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4536" windowWidth="15336" windowHeight="4572" tabRatio="695" firstSheet="5" activeTab="8"/>
  </bookViews>
  <sheets>
    <sheet name="FP Corp1999 fixed price" sheetId="1" r:id="rId1"/>
    <sheet name="FP Corp" sheetId="2" r:id="rId2"/>
    <sheet name="Assumptions" sheetId="3" r:id="rId3"/>
    <sheet name="Short Term Firm For Budget" sheetId="4" r:id="rId4"/>
    <sheet name="Transport" sheetId="5" r:id="rId5"/>
    <sheet name="Prices&amp;Fuel" sheetId="6" r:id="rId6"/>
    <sheet name="Index Price Deals" sheetId="7" r:id="rId7"/>
    <sheet name="amount due from ECT" sheetId="8" r:id="rId8"/>
    <sheet name="Greg Gruber Info" sheetId="12" r:id="rId9"/>
    <sheet name="Long Term Deals" sheetId="9" r:id="rId10"/>
    <sheet name="FPL" sheetId="10" r:id="rId11"/>
    <sheet name="Annual Summary" sheetId="11" r:id="rId12"/>
  </sheets>
  <externalReferences>
    <externalReference r:id="rId13"/>
    <externalReference r:id="rId14"/>
    <externalReference r:id="rId15"/>
    <externalReference r:id="rId16"/>
  </externalReferences>
  <definedNames>
    <definedName name="_xlnm.Print_Area" localSheetId="7">'amount due from ECT'!$A$1:$V$18</definedName>
    <definedName name="_xlnm.Print_Area" localSheetId="11">'Annual Summary'!$B$5:$M$6,'Annual Summary'!$O$5:$V$19,'Annual Summary'!$X$5:$AD$9,'Annual Summary'!$AF$5:$BA$17,'Annual Summary'!$BB$5:$BQ$20,'Annual Summary'!$BR$5:$BZ$7,'Annual Summary'!$CA$5:$CL$20</definedName>
    <definedName name="_xlnm.Print_Area" localSheetId="2">Assumptions!$A$1:$B$35</definedName>
    <definedName name="_xlnm.Print_Area" localSheetId="1">'FP Corp'!#REF!,'FP Corp'!#REF!,'FP Corp'!#REF!,'FP Corp'!#REF!,'FP Corp'!$B$5:$R$195,'FP Corp'!#REF!,'FP Corp'!#REF!</definedName>
    <definedName name="_xlnm.Print_Area" localSheetId="0">'FP Corp1999 fixed price'!#REF!,'FP Corp1999 fixed price'!#REF!,'FP Corp1999 fixed price'!#REF!,'FP Corp1999 fixed price'!#REF!,'FP Corp1999 fixed price'!$B$5:$W$30,'FP Corp1999 fixed price'!#REF!,'FP Corp1999 fixed price'!#REF!</definedName>
    <definedName name="_xlnm.Print_Area" localSheetId="6">'Index Price Deals'!$D$5:$K$17,'Index Price Deals'!$L$5:$AC$29,'Index Price Deals'!$AD$5:$AJ$162,'Index Price Deals'!$AM$5:$AQ$35,'Index Price Deals'!$AR$5:$AU$162</definedName>
    <definedName name="_xlnm.Print_Area" localSheetId="9">'Long Term Deals'!$B$5:$M$21,'Long Term Deals'!$O$5:$V$180,'Long Term Deals'!$X$5:$AD$64,'Long Term Deals'!$AF$5:$BA$152,'Long Term Deals'!$BB$5:$BQ$195,'Long Term Deals'!$BR$5:$BZ$36,'Long Term Deals'!$CA$5:$CL$196</definedName>
    <definedName name="_xlnm.Print_Area" localSheetId="5">'Prices&amp;Fuel'!$B$3:$X$213</definedName>
    <definedName name="_xlnm.Print_Area" localSheetId="3">'Short Term Firm For Budget'!$A$1:$L$46</definedName>
    <definedName name="_xlnm.Print_Area" localSheetId="4">Transport!$A$1:$P$30</definedName>
    <definedName name="_xlnm.Print_Titles" localSheetId="11">'Annual Summary'!$A:$A,'Annual Summary'!$1:$4</definedName>
    <definedName name="_xlnm.Print_Titles" localSheetId="1">'FP Corp'!$A:$A,'FP Corp'!$1:$4</definedName>
    <definedName name="_xlnm.Print_Titles" localSheetId="0">'FP Corp1999 fixed price'!$A:$A,'FP Corp1999 fixed price'!$1:$4</definedName>
    <definedName name="_xlnm.Print_Titles" localSheetId="10">FPL!$A:$A,FPL!$1:$4</definedName>
    <definedName name="_xlnm.Print_Titles" localSheetId="6">'Index Price Deals'!$A:$A,'Index Price Deals'!$1:$4</definedName>
    <definedName name="_xlnm.Print_Titles" localSheetId="9">'Long Term Deals'!$A:$A,'Long Term Deals'!$1:$4</definedName>
    <definedName name="_xlnm.Print_Titles" localSheetId="5">'Prices&amp;Fuel'!$A:$A,'Prices&amp;Fuel'!$1:$2</definedName>
  </definedNames>
  <calcPr calcId="0" calcMode="manual" fullCalcOnLoad="1" iterate="1"/>
</workbook>
</file>

<file path=xl/calcChain.xml><?xml version="1.0" encoding="utf-8"?>
<calcChain xmlns="http://schemas.openxmlformats.org/spreadsheetml/2006/main">
  <c r="B1" i="8" l="1"/>
  <c r="C1" i="8"/>
  <c r="D1" i="8"/>
  <c r="E1" i="8"/>
  <c r="F1" i="8"/>
  <c r="G1" i="8"/>
  <c r="H1" i="8"/>
  <c r="B2" i="8"/>
  <c r="C2" i="8"/>
  <c r="D2" i="8"/>
  <c r="E2" i="8"/>
  <c r="F2" i="8"/>
  <c r="G2" i="8"/>
  <c r="H2" i="8"/>
  <c r="B3" i="8"/>
  <c r="C3" i="8"/>
  <c r="D3" i="8"/>
  <c r="E3" i="8"/>
  <c r="F3" i="8"/>
  <c r="G3" i="8"/>
  <c r="H3" i="8"/>
  <c r="B4" i="8"/>
  <c r="C4" i="8"/>
  <c r="D4" i="8"/>
  <c r="E4" i="8"/>
  <c r="F4" i="8"/>
  <c r="G4" i="8"/>
  <c r="H4" i="8"/>
  <c r="A7" i="8"/>
  <c r="B7" i="8"/>
  <c r="C7" i="8"/>
  <c r="D7" i="8"/>
  <c r="E7" i="8"/>
  <c r="F7" i="8"/>
  <c r="G7" i="8"/>
  <c r="H7" i="8"/>
  <c r="I7" i="8"/>
  <c r="J7" i="8"/>
  <c r="K7" i="8"/>
  <c r="L7" i="8"/>
  <c r="M7" i="8"/>
  <c r="N7" i="8"/>
  <c r="O7" i="8"/>
  <c r="P7" i="8"/>
  <c r="Q7" i="8"/>
  <c r="R7" i="8"/>
  <c r="S7" i="8"/>
  <c r="T7" i="8"/>
  <c r="U7" i="8"/>
  <c r="V7" i="8"/>
  <c r="A8" i="8"/>
  <c r="B8" i="8"/>
  <c r="C8" i="8"/>
  <c r="D8" i="8"/>
  <c r="E8" i="8"/>
  <c r="F8" i="8"/>
  <c r="G8" i="8"/>
  <c r="H8" i="8"/>
  <c r="I8" i="8"/>
  <c r="J8" i="8"/>
  <c r="K8" i="8"/>
  <c r="L8" i="8"/>
  <c r="M8" i="8"/>
  <c r="N8" i="8"/>
  <c r="O8" i="8"/>
  <c r="P8" i="8"/>
  <c r="Q8" i="8"/>
  <c r="R8" i="8"/>
  <c r="S8" i="8"/>
  <c r="T8" i="8"/>
  <c r="U8" i="8"/>
  <c r="V8" i="8"/>
  <c r="A9" i="8"/>
  <c r="B9" i="8"/>
  <c r="C9" i="8"/>
  <c r="D9" i="8"/>
  <c r="E9" i="8"/>
  <c r="F9" i="8"/>
  <c r="G9" i="8"/>
  <c r="H9" i="8"/>
  <c r="I9" i="8"/>
  <c r="J9" i="8"/>
  <c r="K9" i="8"/>
  <c r="L9" i="8"/>
  <c r="M9" i="8"/>
  <c r="N9" i="8"/>
  <c r="O9" i="8"/>
  <c r="P9" i="8"/>
  <c r="Q9" i="8"/>
  <c r="R9" i="8"/>
  <c r="S9" i="8"/>
  <c r="T9" i="8"/>
  <c r="U9" i="8"/>
  <c r="V9" i="8"/>
  <c r="A10" i="8"/>
  <c r="B10" i="8"/>
  <c r="C10" i="8"/>
  <c r="D10" i="8"/>
  <c r="E10" i="8"/>
  <c r="F10" i="8"/>
  <c r="G10" i="8"/>
  <c r="H10" i="8"/>
  <c r="I10" i="8"/>
  <c r="J10" i="8"/>
  <c r="K10" i="8"/>
  <c r="L10" i="8"/>
  <c r="M10" i="8"/>
  <c r="N10" i="8"/>
  <c r="V10" i="8"/>
  <c r="A11" i="8"/>
  <c r="B11" i="8"/>
  <c r="C11" i="8"/>
  <c r="D11" i="8"/>
  <c r="E11" i="8"/>
  <c r="F11" i="8"/>
  <c r="G11" i="8"/>
  <c r="H11" i="8"/>
  <c r="I11" i="8"/>
  <c r="J11" i="8"/>
  <c r="K11" i="8"/>
  <c r="L11" i="8"/>
  <c r="M11" i="8"/>
  <c r="N11" i="8"/>
  <c r="O11" i="8"/>
  <c r="P11" i="8"/>
  <c r="Q11" i="8"/>
  <c r="R11" i="8"/>
  <c r="S11" i="8"/>
  <c r="T11" i="8"/>
  <c r="U11" i="8"/>
  <c r="V11" i="8"/>
  <c r="A12" i="8"/>
  <c r="B12" i="8"/>
  <c r="C12" i="8"/>
  <c r="D12" i="8"/>
  <c r="E12" i="8"/>
  <c r="F12" i="8"/>
  <c r="G12" i="8"/>
  <c r="H12" i="8"/>
  <c r="I12" i="8"/>
  <c r="J12" i="8"/>
  <c r="K12" i="8"/>
  <c r="L12" i="8"/>
  <c r="M12" i="8"/>
  <c r="N12" i="8"/>
  <c r="O12" i="8"/>
  <c r="P12" i="8"/>
  <c r="Q12" i="8"/>
  <c r="R12" i="8"/>
  <c r="S12" i="8"/>
  <c r="T12" i="8"/>
  <c r="U12" i="8"/>
  <c r="V12" i="8"/>
  <c r="A13" i="8"/>
  <c r="B13" i="8"/>
  <c r="C13" i="8"/>
  <c r="D13" i="8"/>
  <c r="E13" i="8"/>
  <c r="F13" i="8"/>
  <c r="G13" i="8"/>
  <c r="H13" i="8"/>
  <c r="I13" i="8"/>
  <c r="J13" i="8"/>
  <c r="K13" i="8"/>
  <c r="L13" i="8"/>
  <c r="M13" i="8"/>
  <c r="N13" i="8"/>
  <c r="O13" i="8"/>
  <c r="P13" i="8"/>
  <c r="Q13" i="8"/>
  <c r="R13" i="8"/>
  <c r="S13" i="8"/>
  <c r="T13" i="8"/>
  <c r="U13" i="8"/>
  <c r="V13" i="8"/>
  <c r="A14" i="8"/>
  <c r="B14" i="8"/>
  <c r="C14" i="8"/>
  <c r="D14" i="8"/>
  <c r="E14" i="8"/>
  <c r="F14" i="8"/>
  <c r="G14" i="8"/>
  <c r="H14" i="8"/>
  <c r="I14" i="8"/>
  <c r="J14" i="8"/>
  <c r="K14" i="8"/>
  <c r="L14" i="8"/>
  <c r="M14" i="8"/>
  <c r="N14" i="8"/>
  <c r="O14" i="8"/>
  <c r="P14" i="8"/>
  <c r="Q14" i="8"/>
  <c r="R14" i="8"/>
  <c r="S14" i="8"/>
  <c r="T14" i="8"/>
  <c r="U14" i="8"/>
  <c r="V14" i="8"/>
  <c r="A15" i="8"/>
  <c r="B15" i="8"/>
  <c r="C15" i="8"/>
  <c r="D15" i="8"/>
  <c r="E15" i="8"/>
  <c r="F15" i="8"/>
  <c r="G15" i="8"/>
  <c r="H15" i="8"/>
  <c r="I15" i="8"/>
  <c r="J15" i="8"/>
  <c r="K15" i="8"/>
  <c r="L15" i="8"/>
  <c r="M15" i="8"/>
  <c r="N15" i="8"/>
  <c r="O15" i="8"/>
  <c r="P15" i="8"/>
  <c r="Q15" i="8"/>
  <c r="R15" i="8"/>
  <c r="S15" i="8"/>
  <c r="T15" i="8"/>
  <c r="U15" i="8"/>
  <c r="V15" i="8"/>
  <c r="A16" i="8"/>
  <c r="B16" i="8"/>
  <c r="C16" i="8"/>
  <c r="D16" i="8"/>
  <c r="E16" i="8"/>
  <c r="F16" i="8"/>
  <c r="G16" i="8"/>
  <c r="H16" i="8"/>
  <c r="I16" i="8"/>
  <c r="J16" i="8"/>
  <c r="K16" i="8"/>
  <c r="L16" i="8"/>
  <c r="M16" i="8"/>
  <c r="N16" i="8"/>
  <c r="O16" i="8"/>
  <c r="P16" i="8"/>
  <c r="Q16" i="8"/>
  <c r="R16" i="8"/>
  <c r="S16" i="8"/>
  <c r="T16" i="8"/>
  <c r="U16" i="8"/>
  <c r="V16" i="8"/>
  <c r="A17" i="8"/>
  <c r="B17" i="8"/>
  <c r="C17" i="8"/>
  <c r="D17" i="8"/>
  <c r="E17" i="8"/>
  <c r="F17" i="8"/>
  <c r="G17" i="8"/>
  <c r="H17" i="8"/>
  <c r="I17" i="8"/>
  <c r="J17" i="8"/>
  <c r="K17" i="8"/>
  <c r="L17" i="8"/>
  <c r="M17" i="8"/>
  <c r="N17" i="8"/>
  <c r="O17" i="8"/>
  <c r="P17" i="8"/>
  <c r="Q17" i="8"/>
  <c r="R17" i="8"/>
  <c r="S17" i="8"/>
  <c r="T17" i="8"/>
  <c r="U17" i="8"/>
  <c r="V17" i="8"/>
  <c r="N18" i="8"/>
  <c r="CO4" i="11"/>
  <c r="B5" i="11"/>
  <c r="C5" i="11"/>
  <c r="D5" i="11"/>
  <c r="K5" i="11"/>
  <c r="L5" i="11"/>
  <c r="M5" i="11"/>
  <c r="O5" i="11"/>
  <c r="P5" i="11"/>
  <c r="Q5" i="11"/>
  <c r="T5" i="11"/>
  <c r="U5" i="11"/>
  <c r="V5" i="11"/>
  <c r="X5" i="11"/>
  <c r="Y5" i="11"/>
  <c r="AB5" i="11"/>
  <c r="AC5" i="11"/>
  <c r="AD5" i="11"/>
  <c r="AF5" i="11"/>
  <c r="AG5" i="11"/>
  <c r="AH5" i="11"/>
  <c r="AI5" i="11"/>
  <c r="AJ5" i="11"/>
  <c r="AK5" i="11"/>
  <c r="AL5" i="11"/>
  <c r="AY5" i="11"/>
  <c r="AZ5" i="11"/>
  <c r="BA5" i="11"/>
  <c r="BB5" i="11"/>
  <c r="BC5" i="11"/>
  <c r="BD5" i="11"/>
  <c r="BE5" i="11"/>
  <c r="BF5" i="11"/>
  <c r="BG5" i="11"/>
  <c r="BH5" i="11"/>
  <c r="BK5" i="11"/>
  <c r="BL5" i="11"/>
  <c r="BP5" i="11"/>
  <c r="BQ5" i="11"/>
  <c r="BR5" i="11"/>
  <c r="BS5" i="11"/>
  <c r="BX5" i="11"/>
  <c r="BY5" i="11"/>
  <c r="BZ5" i="11"/>
  <c r="CA5" i="11"/>
  <c r="CB5" i="11"/>
  <c r="CC5" i="11"/>
  <c r="CD5" i="11"/>
  <c r="CE5" i="11"/>
  <c r="CF5" i="11"/>
  <c r="CG5" i="11"/>
  <c r="CH5" i="11"/>
  <c r="CI5" i="11"/>
  <c r="CJ5" i="11"/>
  <c r="CK5" i="11"/>
  <c r="CL5" i="11"/>
  <c r="CM5" i="11"/>
  <c r="CN5" i="11"/>
  <c r="CO5" i="11"/>
  <c r="CP5" i="11"/>
  <c r="CQ5" i="11"/>
  <c r="CR5" i="11"/>
  <c r="CS5" i="11"/>
  <c r="CT5" i="11"/>
  <c r="CU5" i="11"/>
  <c r="CV5" i="11"/>
  <c r="CW5" i="11"/>
  <c r="CX5" i="11"/>
  <c r="CY5" i="11"/>
  <c r="CZ5" i="11"/>
  <c r="DA5" i="11"/>
  <c r="DB5" i="11"/>
  <c r="DC5" i="11"/>
  <c r="B6" i="11"/>
  <c r="C6" i="11"/>
  <c r="D6" i="11"/>
  <c r="K6" i="11"/>
  <c r="L6" i="11"/>
  <c r="M6" i="11"/>
  <c r="O6" i="11"/>
  <c r="P6" i="11"/>
  <c r="Q6" i="11"/>
  <c r="T6" i="11"/>
  <c r="U6" i="11"/>
  <c r="V6" i="11"/>
  <c r="X6" i="11"/>
  <c r="Y6" i="11"/>
  <c r="AB6" i="11"/>
  <c r="AC6" i="11"/>
  <c r="AD6" i="11"/>
  <c r="AF6" i="11"/>
  <c r="AG6" i="11"/>
  <c r="AH6" i="11"/>
  <c r="AI6" i="11"/>
  <c r="AJ6" i="11"/>
  <c r="AK6" i="11"/>
  <c r="AL6" i="11"/>
  <c r="AY6" i="11"/>
  <c r="AZ6" i="11"/>
  <c r="BA6" i="11"/>
  <c r="BB6" i="11"/>
  <c r="BC6" i="11"/>
  <c r="BD6" i="11"/>
  <c r="BE6" i="11"/>
  <c r="BF6" i="11"/>
  <c r="BG6" i="11"/>
  <c r="BL6" i="11"/>
  <c r="BP6" i="11"/>
  <c r="BQ6" i="11"/>
  <c r="BR6" i="11"/>
  <c r="BS6" i="11"/>
  <c r="BX6" i="11"/>
  <c r="BY6" i="11"/>
  <c r="BZ6" i="11"/>
  <c r="CA6" i="11"/>
  <c r="CB6" i="11"/>
  <c r="CC6" i="11"/>
  <c r="CD6" i="11"/>
  <c r="CE6" i="11"/>
  <c r="CF6" i="11"/>
  <c r="CG6" i="11"/>
  <c r="CH6" i="11"/>
  <c r="CI6" i="11"/>
  <c r="CJ6" i="11"/>
  <c r="CK6" i="11"/>
  <c r="CL6" i="11"/>
  <c r="CM6" i="11"/>
  <c r="CN6" i="11"/>
  <c r="CO6" i="11"/>
  <c r="CP6" i="11"/>
  <c r="CQ6" i="11"/>
  <c r="CR6" i="11"/>
  <c r="CS6" i="11"/>
  <c r="CT6" i="11"/>
  <c r="CU6" i="11"/>
  <c r="CV6" i="11"/>
  <c r="CW6" i="11"/>
  <c r="CX6" i="11"/>
  <c r="CY6" i="11"/>
  <c r="CZ6" i="11"/>
  <c r="DA6" i="11"/>
  <c r="DB6" i="11"/>
  <c r="DC6" i="11"/>
  <c r="O7" i="11"/>
  <c r="P7" i="11"/>
  <c r="Q7" i="11"/>
  <c r="T7" i="11"/>
  <c r="U7" i="11"/>
  <c r="V7" i="11"/>
  <c r="X7" i="11"/>
  <c r="Y7" i="11"/>
  <c r="AB7" i="11"/>
  <c r="AC7" i="11"/>
  <c r="AD7" i="11"/>
  <c r="AF7" i="11"/>
  <c r="AG7" i="11"/>
  <c r="AH7" i="11"/>
  <c r="AI7" i="11"/>
  <c r="AJ7" i="11"/>
  <c r="AK7" i="11"/>
  <c r="AL7" i="11"/>
  <c r="AY7" i="11"/>
  <c r="AZ7" i="11"/>
  <c r="BA7" i="11"/>
  <c r="BB7" i="11"/>
  <c r="BC7" i="11"/>
  <c r="BD7" i="11"/>
  <c r="BE7" i="11"/>
  <c r="BF7" i="11"/>
  <c r="BG7" i="11"/>
  <c r="BL7" i="11"/>
  <c r="BP7" i="11"/>
  <c r="BQ7" i="11"/>
  <c r="BR7" i="11"/>
  <c r="BS7" i="11"/>
  <c r="BX7" i="11"/>
  <c r="BY7" i="11"/>
  <c r="BZ7" i="11"/>
  <c r="CA7" i="11"/>
  <c r="CB7" i="11"/>
  <c r="CC7" i="11"/>
  <c r="CD7" i="11"/>
  <c r="CE7" i="11"/>
  <c r="CF7" i="11"/>
  <c r="CG7" i="11"/>
  <c r="CH7" i="11"/>
  <c r="CI7" i="11"/>
  <c r="CJ7" i="11"/>
  <c r="CK7" i="11"/>
  <c r="CL7" i="11"/>
  <c r="CM7" i="11"/>
  <c r="CN7" i="11"/>
  <c r="CO7" i="11"/>
  <c r="CP7" i="11"/>
  <c r="CQ7" i="11"/>
  <c r="CR7" i="11"/>
  <c r="CS7" i="11"/>
  <c r="CT7" i="11"/>
  <c r="CU7" i="11"/>
  <c r="CV7" i="11"/>
  <c r="CW7" i="11"/>
  <c r="CX7" i="11"/>
  <c r="CY7" i="11"/>
  <c r="CZ7" i="11"/>
  <c r="DA7" i="11"/>
  <c r="DB7" i="11"/>
  <c r="DC7" i="11"/>
  <c r="O8" i="11"/>
  <c r="P8" i="11"/>
  <c r="Q8" i="11"/>
  <c r="T8" i="11"/>
  <c r="U8" i="11"/>
  <c r="V8" i="11"/>
  <c r="X8" i="11"/>
  <c r="Y8" i="11"/>
  <c r="AB8" i="11"/>
  <c r="AC8" i="11"/>
  <c r="AD8" i="11"/>
  <c r="AF8" i="11"/>
  <c r="AG8" i="11"/>
  <c r="AH8" i="11"/>
  <c r="AI8" i="11"/>
  <c r="AJ8" i="11"/>
  <c r="AK8" i="11"/>
  <c r="AL8" i="11"/>
  <c r="AY8" i="11"/>
  <c r="AZ8" i="11"/>
  <c r="BA8" i="11"/>
  <c r="BB8" i="11"/>
  <c r="BC8" i="11"/>
  <c r="BD8" i="11"/>
  <c r="BE8" i="11"/>
  <c r="BF8" i="11"/>
  <c r="BG8" i="11"/>
  <c r="BL8" i="11"/>
  <c r="BP8" i="11"/>
  <c r="BQ8" i="11"/>
  <c r="CA8" i="11"/>
  <c r="CB8" i="11"/>
  <c r="CC8" i="11"/>
  <c r="CD8" i="11"/>
  <c r="CE8" i="11"/>
  <c r="CF8" i="11"/>
  <c r="CG8" i="11"/>
  <c r="CH8" i="11"/>
  <c r="CI8" i="11"/>
  <c r="CJ8" i="11"/>
  <c r="CK8" i="11"/>
  <c r="CL8" i="11"/>
  <c r="CM8" i="11"/>
  <c r="CN8" i="11"/>
  <c r="CO8" i="11"/>
  <c r="CP8" i="11"/>
  <c r="CQ8" i="11"/>
  <c r="CR8" i="11"/>
  <c r="CS8" i="11"/>
  <c r="CT8" i="11"/>
  <c r="CU8" i="11"/>
  <c r="CV8" i="11"/>
  <c r="CW8" i="11"/>
  <c r="CX8" i="11"/>
  <c r="CY8" i="11"/>
  <c r="CZ8" i="11"/>
  <c r="DA8" i="11"/>
  <c r="DC8" i="11"/>
  <c r="DD8" i="11"/>
  <c r="DE8" i="11"/>
  <c r="O9" i="11"/>
  <c r="P9" i="11"/>
  <c r="Q9" i="11"/>
  <c r="T9" i="11"/>
  <c r="U9" i="11"/>
  <c r="V9" i="11"/>
  <c r="X9" i="11"/>
  <c r="Y9" i="11"/>
  <c r="AB9" i="11"/>
  <c r="AC9" i="11"/>
  <c r="AD9" i="11"/>
  <c r="AF9" i="11"/>
  <c r="AG9" i="11"/>
  <c r="AH9" i="11"/>
  <c r="AI9" i="11"/>
  <c r="AJ9" i="11"/>
  <c r="AK9" i="11"/>
  <c r="AL9" i="11"/>
  <c r="AY9" i="11"/>
  <c r="AZ9" i="11"/>
  <c r="BA9" i="11"/>
  <c r="BB9" i="11"/>
  <c r="BC9" i="11"/>
  <c r="BD9" i="11"/>
  <c r="BE9" i="11"/>
  <c r="BF9" i="11"/>
  <c r="BG9" i="11"/>
  <c r="BL9" i="11"/>
  <c r="BP9" i="11"/>
  <c r="BQ9" i="11"/>
  <c r="CA9" i="11"/>
  <c r="CB9" i="11"/>
  <c r="CC9" i="11"/>
  <c r="CD9" i="11"/>
  <c r="CE9" i="11"/>
  <c r="CF9" i="11"/>
  <c r="CG9" i="11"/>
  <c r="CH9" i="11"/>
  <c r="CI9" i="11"/>
  <c r="CJ9" i="11"/>
  <c r="CK9" i="11"/>
  <c r="CL9" i="11"/>
  <c r="CM9" i="11"/>
  <c r="CN9" i="11"/>
  <c r="CO9" i="11"/>
  <c r="CP9" i="11"/>
  <c r="CQ9" i="11"/>
  <c r="CR9" i="11"/>
  <c r="CS9" i="11"/>
  <c r="CT9" i="11"/>
  <c r="CU9" i="11"/>
  <c r="CV9" i="11"/>
  <c r="CW9" i="11"/>
  <c r="CX9" i="11"/>
  <c r="CY9" i="11"/>
  <c r="CZ9" i="11"/>
  <c r="DA9" i="11"/>
  <c r="DC9" i="11"/>
  <c r="O10" i="11"/>
  <c r="P10" i="11"/>
  <c r="Q10" i="11"/>
  <c r="T10" i="11"/>
  <c r="U10" i="11"/>
  <c r="V10" i="11"/>
  <c r="AF10" i="11"/>
  <c r="AG10" i="11"/>
  <c r="AH10" i="11"/>
  <c r="AI10" i="11"/>
  <c r="AJ10" i="11"/>
  <c r="AK10" i="11"/>
  <c r="AL10" i="11"/>
  <c r="AY10" i="11"/>
  <c r="AZ10" i="11"/>
  <c r="BA10" i="11"/>
  <c r="BB10" i="11"/>
  <c r="BC10" i="11"/>
  <c r="BD10" i="11"/>
  <c r="BE10" i="11"/>
  <c r="BF10" i="11"/>
  <c r="BG10" i="11"/>
  <c r="BL10" i="11"/>
  <c r="BP10" i="11"/>
  <c r="BQ10" i="11"/>
  <c r="CA10" i="11"/>
  <c r="CB10" i="11"/>
  <c r="CC10" i="11"/>
  <c r="CD10" i="11"/>
  <c r="CE10" i="11"/>
  <c r="CF10" i="11"/>
  <c r="CG10" i="11"/>
  <c r="CH10" i="11"/>
  <c r="CI10" i="11"/>
  <c r="CJ10" i="11"/>
  <c r="CK10" i="11"/>
  <c r="CL10" i="11"/>
  <c r="CM10" i="11"/>
  <c r="CN10" i="11"/>
  <c r="CO10" i="11"/>
  <c r="CP10" i="11"/>
  <c r="CQ10" i="11"/>
  <c r="CR10" i="11"/>
  <c r="CS10" i="11"/>
  <c r="CT10" i="11"/>
  <c r="CU10" i="11"/>
  <c r="CV10" i="11"/>
  <c r="CW10" i="11"/>
  <c r="CX10" i="11"/>
  <c r="CY10" i="11"/>
  <c r="CZ10" i="11"/>
  <c r="DA10" i="11"/>
  <c r="DC10" i="11"/>
  <c r="O11" i="11"/>
  <c r="P11" i="11"/>
  <c r="Q11" i="11"/>
  <c r="T11" i="11"/>
  <c r="U11" i="11"/>
  <c r="V11" i="11"/>
  <c r="AF11" i="11"/>
  <c r="AG11" i="11"/>
  <c r="AH11" i="11"/>
  <c r="AI11" i="11"/>
  <c r="AJ11" i="11"/>
  <c r="AK11" i="11"/>
  <c r="AL11" i="11"/>
  <c r="AY11" i="11"/>
  <c r="AZ11" i="11"/>
  <c r="BA11" i="11"/>
  <c r="BB11" i="11"/>
  <c r="BC11" i="11"/>
  <c r="BD11" i="11"/>
  <c r="BE11" i="11"/>
  <c r="BF11" i="11"/>
  <c r="BG11" i="11"/>
  <c r="BL11" i="11"/>
  <c r="BP11" i="11"/>
  <c r="BQ11" i="11"/>
  <c r="CA11" i="11"/>
  <c r="CB11" i="11"/>
  <c r="CC11" i="11"/>
  <c r="CD11" i="11"/>
  <c r="CE11" i="11"/>
  <c r="CF11" i="11"/>
  <c r="CG11" i="11"/>
  <c r="CH11" i="11"/>
  <c r="CI11" i="11"/>
  <c r="CJ11" i="11"/>
  <c r="CK11" i="11"/>
  <c r="CL11" i="11"/>
  <c r="CM11" i="11"/>
  <c r="CN11" i="11"/>
  <c r="CO11" i="11"/>
  <c r="CP11" i="11"/>
  <c r="CQ11" i="11"/>
  <c r="CR11" i="11"/>
  <c r="CS11" i="11"/>
  <c r="CT11" i="11"/>
  <c r="CU11" i="11"/>
  <c r="CV11" i="11"/>
  <c r="CW11" i="11"/>
  <c r="CX11" i="11"/>
  <c r="CY11" i="11"/>
  <c r="CZ11" i="11"/>
  <c r="DA11" i="11"/>
  <c r="DC11" i="11"/>
  <c r="O12" i="11"/>
  <c r="P12" i="11"/>
  <c r="Q12" i="11"/>
  <c r="T12" i="11"/>
  <c r="U12" i="11"/>
  <c r="V12" i="11"/>
  <c r="AF12" i="11"/>
  <c r="AG12" i="11"/>
  <c r="AH12" i="11"/>
  <c r="AI12" i="11"/>
  <c r="AJ12" i="11"/>
  <c r="AK12" i="11"/>
  <c r="AL12" i="11"/>
  <c r="AY12" i="11"/>
  <c r="AZ12" i="11"/>
  <c r="BA12" i="11"/>
  <c r="BB12" i="11"/>
  <c r="BC12" i="11"/>
  <c r="BD12" i="11"/>
  <c r="BE12" i="11"/>
  <c r="BF12" i="11"/>
  <c r="BG12" i="11"/>
  <c r="BL12" i="11"/>
  <c r="BP12" i="11"/>
  <c r="BQ12" i="11"/>
  <c r="CA12" i="11"/>
  <c r="CB12" i="11"/>
  <c r="CC12" i="11"/>
  <c r="CD12" i="11"/>
  <c r="CE12" i="11"/>
  <c r="CF12" i="11"/>
  <c r="CG12" i="11"/>
  <c r="CH12" i="11"/>
  <c r="CI12" i="11"/>
  <c r="CJ12" i="11"/>
  <c r="CK12" i="11"/>
  <c r="CL12" i="11"/>
  <c r="CM12" i="11"/>
  <c r="CN12" i="11"/>
  <c r="CO12" i="11"/>
  <c r="CP12" i="11"/>
  <c r="CQ12" i="11"/>
  <c r="CR12" i="11"/>
  <c r="CS12" i="11"/>
  <c r="CT12" i="11"/>
  <c r="CU12" i="11"/>
  <c r="CV12" i="11"/>
  <c r="CW12" i="11"/>
  <c r="CX12" i="11"/>
  <c r="CY12" i="11"/>
  <c r="CZ12" i="11"/>
  <c r="DA12" i="11"/>
  <c r="DC12" i="11"/>
  <c r="O13" i="11"/>
  <c r="P13" i="11"/>
  <c r="Q13" i="11"/>
  <c r="T13" i="11"/>
  <c r="U13" i="11"/>
  <c r="V13" i="11"/>
  <c r="AF13" i="11"/>
  <c r="AG13" i="11"/>
  <c r="AH13" i="11"/>
  <c r="AI13" i="11"/>
  <c r="AJ13" i="11"/>
  <c r="AK13" i="11"/>
  <c r="AL13" i="11"/>
  <c r="AY13" i="11"/>
  <c r="AZ13" i="11"/>
  <c r="BA13" i="11"/>
  <c r="BB13" i="11"/>
  <c r="BC13" i="11"/>
  <c r="BD13" i="11"/>
  <c r="BE13" i="11"/>
  <c r="BF13" i="11"/>
  <c r="BG13" i="11"/>
  <c r="BL13" i="11"/>
  <c r="BP13" i="11"/>
  <c r="BQ13" i="11"/>
  <c r="CA13" i="11"/>
  <c r="CB13" i="11"/>
  <c r="CC13" i="11"/>
  <c r="CD13" i="11"/>
  <c r="CE13" i="11"/>
  <c r="CF13" i="11"/>
  <c r="CG13" i="11"/>
  <c r="CH13" i="11"/>
  <c r="CI13" i="11"/>
  <c r="CJ13" i="11"/>
  <c r="CK13" i="11"/>
  <c r="CL13" i="11"/>
  <c r="CM13" i="11"/>
  <c r="CN13" i="11"/>
  <c r="CO13" i="11"/>
  <c r="CP13" i="11"/>
  <c r="CQ13" i="11"/>
  <c r="CR13" i="11"/>
  <c r="CS13" i="11"/>
  <c r="CT13" i="11"/>
  <c r="CU13" i="11"/>
  <c r="CV13" i="11"/>
  <c r="CW13" i="11"/>
  <c r="CX13" i="11"/>
  <c r="CY13" i="11"/>
  <c r="CZ13" i="11"/>
  <c r="DA13" i="11"/>
  <c r="O14" i="11"/>
  <c r="P14" i="11"/>
  <c r="Q14" i="11"/>
  <c r="T14" i="11"/>
  <c r="U14" i="11"/>
  <c r="V14" i="11"/>
  <c r="AF14" i="11"/>
  <c r="AG14" i="11"/>
  <c r="AH14" i="11"/>
  <c r="AI14" i="11"/>
  <c r="AJ14" i="11"/>
  <c r="AK14" i="11"/>
  <c r="AL14" i="11"/>
  <c r="AY14" i="11"/>
  <c r="AZ14" i="11"/>
  <c r="BA14" i="11"/>
  <c r="BB14" i="11"/>
  <c r="BC14" i="11"/>
  <c r="BD14" i="11"/>
  <c r="BE14" i="11"/>
  <c r="BF14" i="11"/>
  <c r="BG14" i="11"/>
  <c r="BL14" i="11"/>
  <c r="BP14" i="11"/>
  <c r="BQ14" i="11"/>
  <c r="CA14" i="11"/>
  <c r="CB14" i="11"/>
  <c r="CC14" i="11"/>
  <c r="CD14" i="11"/>
  <c r="CE14" i="11"/>
  <c r="CF14" i="11"/>
  <c r="CG14" i="11"/>
  <c r="CH14" i="11"/>
  <c r="CI14" i="11"/>
  <c r="CJ14" i="11"/>
  <c r="CK14" i="11"/>
  <c r="CL14" i="11"/>
  <c r="CM14" i="11"/>
  <c r="CN14" i="11"/>
  <c r="CO14" i="11"/>
  <c r="CP14" i="11"/>
  <c r="CQ14" i="11"/>
  <c r="CR14" i="11"/>
  <c r="CS14" i="11"/>
  <c r="CT14" i="11"/>
  <c r="CU14" i="11"/>
  <c r="CV14" i="11"/>
  <c r="CW14" i="11"/>
  <c r="CX14" i="11"/>
  <c r="CY14" i="11"/>
  <c r="CZ14" i="11"/>
  <c r="DA14" i="11"/>
  <c r="O15" i="11"/>
  <c r="P15" i="11"/>
  <c r="Q15" i="11"/>
  <c r="T15" i="11"/>
  <c r="U15" i="11"/>
  <c r="V15" i="11"/>
  <c r="AF15" i="11"/>
  <c r="AG15" i="11"/>
  <c r="AH15" i="11"/>
  <c r="AI15" i="11"/>
  <c r="AJ15" i="11"/>
  <c r="AK15" i="11"/>
  <c r="AL15" i="11"/>
  <c r="AY15" i="11"/>
  <c r="AZ15" i="11"/>
  <c r="BA15" i="11"/>
  <c r="BB15" i="11"/>
  <c r="BC15" i="11"/>
  <c r="BD15" i="11"/>
  <c r="BE15" i="11"/>
  <c r="BF15" i="11"/>
  <c r="BG15" i="11"/>
  <c r="BL15" i="11"/>
  <c r="BP15" i="11"/>
  <c r="BQ15" i="11"/>
  <c r="CA15" i="11"/>
  <c r="CB15" i="11"/>
  <c r="CC15" i="11"/>
  <c r="CD15" i="11"/>
  <c r="CE15" i="11"/>
  <c r="CF15" i="11"/>
  <c r="CG15" i="11"/>
  <c r="CH15" i="11"/>
  <c r="CI15" i="11"/>
  <c r="CJ15" i="11"/>
  <c r="CK15" i="11"/>
  <c r="CL15" i="11"/>
  <c r="CM15" i="11"/>
  <c r="CN15" i="11"/>
  <c r="CO15" i="11"/>
  <c r="CP15" i="11"/>
  <c r="CQ15" i="11"/>
  <c r="CR15" i="11"/>
  <c r="CS15" i="11"/>
  <c r="CT15" i="11"/>
  <c r="CU15" i="11"/>
  <c r="CV15" i="11"/>
  <c r="CW15" i="11"/>
  <c r="CX15" i="11"/>
  <c r="CY15" i="11"/>
  <c r="CZ15" i="11"/>
  <c r="DA15" i="11"/>
  <c r="O16" i="11"/>
  <c r="P16" i="11"/>
  <c r="Q16" i="11"/>
  <c r="T16" i="11"/>
  <c r="U16" i="11"/>
  <c r="V16" i="11"/>
  <c r="AF16" i="11"/>
  <c r="AG16" i="11"/>
  <c r="AH16" i="11"/>
  <c r="AI16" i="11"/>
  <c r="AJ16" i="11"/>
  <c r="AK16" i="11"/>
  <c r="AL16" i="11"/>
  <c r="AY16" i="11"/>
  <c r="AZ16" i="11"/>
  <c r="BA16" i="11"/>
  <c r="BB16" i="11"/>
  <c r="BC16" i="11"/>
  <c r="BD16" i="11"/>
  <c r="BE16" i="11"/>
  <c r="BF16" i="11"/>
  <c r="BG16" i="11"/>
  <c r="BL16" i="11"/>
  <c r="BP16" i="11"/>
  <c r="BQ16" i="11"/>
  <c r="CA16" i="11"/>
  <c r="CB16" i="11"/>
  <c r="CC16" i="11"/>
  <c r="CD16" i="11"/>
  <c r="CE16" i="11"/>
  <c r="CF16" i="11"/>
  <c r="CG16" i="11"/>
  <c r="CH16" i="11"/>
  <c r="CI16" i="11"/>
  <c r="CJ16" i="11"/>
  <c r="CK16" i="11"/>
  <c r="CL16" i="11"/>
  <c r="CM16" i="11"/>
  <c r="CN16" i="11"/>
  <c r="CO16" i="11"/>
  <c r="CP16" i="11"/>
  <c r="CQ16" i="11"/>
  <c r="CR16" i="11"/>
  <c r="CS16" i="11"/>
  <c r="CT16" i="11"/>
  <c r="CU16" i="11"/>
  <c r="CV16" i="11"/>
  <c r="CW16" i="11"/>
  <c r="CX16" i="11"/>
  <c r="CY16" i="11"/>
  <c r="CZ16" i="11"/>
  <c r="DA16" i="11"/>
  <c r="O17" i="11"/>
  <c r="P17" i="11"/>
  <c r="Q17" i="11"/>
  <c r="T17" i="11"/>
  <c r="U17" i="11"/>
  <c r="V17" i="11"/>
  <c r="AF17" i="11"/>
  <c r="AG17" i="11"/>
  <c r="AH17" i="11"/>
  <c r="AI17" i="11"/>
  <c r="AJ17" i="11"/>
  <c r="AK17" i="11"/>
  <c r="AL17" i="11"/>
  <c r="AY17" i="11"/>
  <c r="AZ17" i="11"/>
  <c r="BA17" i="11"/>
  <c r="BB17" i="11"/>
  <c r="BC17" i="11"/>
  <c r="BD17" i="11"/>
  <c r="BE17" i="11"/>
  <c r="BF17" i="11"/>
  <c r="BG17" i="11"/>
  <c r="BL17" i="11"/>
  <c r="BP17" i="11"/>
  <c r="BQ17" i="11"/>
  <c r="CA17" i="11"/>
  <c r="CB17" i="11"/>
  <c r="CC17" i="11"/>
  <c r="CD17" i="11"/>
  <c r="CE17" i="11"/>
  <c r="CF17" i="11"/>
  <c r="CG17" i="11"/>
  <c r="CH17" i="11"/>
  <c r="CI17" i="11"/>
  <c r="CJ17" i="11"/>
  <c r="CK17" i="11"/>
  <c r="CL17" i="11"/>
  <c r="CM17" i="11"/>
  <c r="CN17" i="11"/>
  <c r="CO17" i="11"/>
  <c r="CP17" i="11"/>
  <c r="CQ17" i="11"/>
  <c r="CR17" i="11"/>
  <c r="CS17" i="11"/>
  <c r="CT17" i="11"/>
  <c r="CU17" i="11"/>
  <c r="CV17" i="11"/>
  <c r="CW17" i="11"/>
  <c r="CX17" i="11"/>
  <c r="CY17" i="11"/>
  <c r="CZ17" i="11"/>
  <c r="DA17" i="11"/>
  <c r="O18" i="11"/>
  <c r="P18" i="11"/>
  <c r="Q18" i="11"/>
  <c r="T18" i="11"/>
  <c r="U18" i="11"/>
  <c r="V18" i="11"/>
  <c r="BB18" i="11"/>
  <c r="BC18" i="11"/>
  <c r="BD18" i="11"/>
  <c r="BE18" i="11"/>
  <c r="BF18" i="11"/>
  <c r="BG18" i="11"/>
  <c r="BL18" i="11"/>
  <c r="BP18" i="11"/>
  <c r="BQ18" i="11"/>
  <c r="CA18" i="11"/>
  <c r="CB18" i="11"/>
  <c r="CC18" i="11"/>
  <c r="CD18" i="11"/>
  <c r="CE18" i="11"/>
  <c r="CF18" i="11"/>
  <c r="CG18" i="11"/>
  <c r="CH18" i="11"/>
  <c r="CI18" i="11"/>
  <c r="CJ18" i="11"/>
  <c r="CK18" i="11"/>
  <c r="CL18" i="11"/>
  <c r="CM18" i="11"/>
  <c r="CN18" i="11"/>
  <c r="CO18" i="11"/>
  <c r="CP18" i="11"/>
  <c r="CQ18" i="11"/>
  <c r="CR18" i="11"/>
  <c r="CS18" i="11"/>
  <c r="CT18" i="11"/>
  <c r="CU18" i="11"/>
  <c r="CV18" i="11"/>
  <c r="CW18" i="11"/>
  <c r="CX18" i="11"/>
  <c r="CY18" i="11"/>
  <c r="CZ18" i="11"/>
  <c r="DA18" i="11"/>
  <c r="O19" i="11"/>
  <c r="P19" i="11"/>
  <c r="Q19" i="11"/>
  <c r="T19" i="11"/>
  <c r="U19" i="11"/>
  <c r="V19" i="11"/>
  <c r="BB19" i="11"/>
  <c r="BC19" i="11"/>
  <c r="BD19" i="11"/>
  <c r="BE19" i="11"/>
  <c r="BF19" i="11"/>
  <c r="BG19" i="11"/>
  <c r="BL19" i="11"/>
  <c r="BP19" i="11"/>
  <c r="BQ19" i="11"/>
  <c r="CA19" i="11"/>
  <c r="CB19" i="11"/>
  <c r="CC19" i="11"/>
  <c r="CD19" i="11"/>
  <c r="CE19" i="11"/>
  <c r="CF19" i="11"/>
  <c r="CG19" i="11"/>
  <c r="CH19" i="11"/>
  <c r="CI19" i="11"/>
  <c r="CJ19" i="11"/>
  <c r="CK19" i="11"/>
  <c r="CL19" i="11"/>
  <c r="CM19" i="11"/>
  <c r="CN19" i="11"/>
  <c r="CO19" i="11"/>
  <c r="CP19" i="11"/>
  <c r="CQ19" i="11"/>
  <c r="CR19" i="11"/>
  <c r="CS19" i="11"/>
  <c r="CT19" i="11"/>
  <c r="CU19" i="11"/>
  <c r="CV19" i="11"/>
  <c r="CW19" i="11"/>
  <c r="CX19" i="11"/>
  <c r="CY19" i="11"/>
  <c r="CZ19" i="11"/>
  <c r="DA19" i="11"/>
  <c r="BB20" i="11"/>
  <c r="BC20" i="11"/>
  <c r="BD20" i="11"/>
  <c r="BE20" i="11"/>
  <c r="BF20" i="11"/>
  <c r="BG20" i="11"/>
  <c r="BL20" i="11"/>
  <c r="BP20" i="11"/>
  <c r="BQ20" i="11"/>
  <c r="CA20" i="11"/>
  <c r="CB20" i="11"/>
  <c r="CC20" i="11"/>
  <c r="CD20" i="11"/>
  <c r="CE20" i="11"/>
  <c r="CF20" i="11"/>
  <c r="CG20" i="11"/>
  <c r="CH20" i="11"/>
  <c r="CI20" i="11"/>
  <c r="CJ20" i="11"/>
  <c r="CK20" i="11"/>
  <c r="CL20" i="11"/>
  <c r="CM20" i="11"/>
  <c r="CN20" i="11"/>
  <c r="CO20" i="11"/>
  <c r="CP20" i="11"/>
  <c r="CQ20" i="11"/>
  <c r="CR20" i="11"/>
  <c r="CS20" i="11"/>
  <c r="CT20" i="11"/>
  <c r="CU20" i="11"/>
  <c r="CV20" i="11"/>
  <c r="CW20" i="11"/>
  <c r="CX20" i="11"/>
  <c r="CY20" i="11"/>
  <c r="CZ20" i="11"/>
  <c r="DA20" i="11"/>
  <c r="A21" i="11"/>
  <c r="CN21" i="11"/>
  <c r="CV21" i="11"/>
  <c r="CZ21" i="11"/>
  <c r="A22" i="11"/>
  <c r="CN22" i="11"/>
  <c r="CV22" i="11"/>
  <c r="CZ22" i="11"/>
  <c r="CV23" i="11"/>
  <c r="CZ23" i="11"/>
  <c r="F5" i="2"/>
  <c r="H5" i="2"/>
  <c r="K5" i="2"/>
  <c r="L5" i="2"/>
  <c r="Q5" i="2"/>
  <c r="R5" i="2"/>
  <c r="A6" i="2"/>
  <c r="F6" i="2"/>
  <c r="H6" i="2"/>
  <c r="K6" i="2"/>
  <c r="L6" i="2"/>
  <c r="Q6" i="2"/>
  <c r="R6" i="2"/>
  <c r="A7" i="2"/>
  <c r="F7" i="2"/>
  <c r="H7" i="2"/>
  <c r="K7" i="2"/>
  <c r="L7" i="2"/>
  <c r="Q7" i="2"/>
  <c r="R7" i="2"/>
  <c r="A8" i="2"/>
  <c r="F8" i="2"/>
  <c r="H8" i="2"/>
  <c r="K8" i="2"/>
  <c r="L8" i="2"/>
  <c r="Q8" i="2"/>
  <c r="R8" i="2"/>
  <c r="A9" i="2"/>
  <c r="F9" i="2"/>
  <c r="H9" i="2"/>
  <c r="K9" i="2"/>
  <c r="L9" i="2"/>
  <c r="Q9" i="2"/>
  <c r="R9" i="2"/>
  <c r="A10" i="2"/>
  <c r="F10" i="2"/>
  <c r="H10" i="2"/>
  <c r="K10" i="2"/>
  <c r="L10" i="2"/>
  <c r="Q10" i="2"/>
  <c r="R10" i="2"/>
  <c r="A11" i="2"/>
  <c r="F11" i="2"/>
  <c r="H11" i="2"/>
  <c r="K11" i="2"/>
  <c r="L11" i="2"/>
  <c r="Q11" i="2"/>
  <c r="R11" i="2"/>
  <c r="A12" i="2"/>
  <c r="A13" i="2"/>
  <c r="A14" i="2"/>
  <c r="A15" i="2"/>
  <c r="A16" i="2"/>
  <c r="A17" i="2"/>
  <c r="B17" i="2"/>
  <c r="C17" i="2"/>
  <c r="D17" i="2"/>
  <c r="E17" i="2"/>
  <c r="F17" i="2"/>
  <c r="G17" i="2"/>
  <c r="H17" i="2"/>
  <c r="I17" i="2"/>
  <c r="K17" i="2"/>
  <c r="L17" i="2"/>
  <c r="M17" i="2"/>
  <c r="N17" i="2"/>
  <c r="O17" i="2"/>
  <c r="P17" i="2"/>
  <c r="Q17" i="2"/>
  <c r="R17" i="2"/>
  <c r="A18" i="2"/>
  <c r="B18" i="2"/>
  <c r="C18" i="2"/>
  <c r="D18" i="2"/>
  <c r="E18" i="2"/>
  <c r="F18" i="2"/>
  <c r="G18" i="2"/>
  <c r="H18" i="2"/>
  <c r="I18" i="2"/>
  <c r="K18" i="2"/>
  <c r="L18" i="2"/>
  <c r="M18" i="2"/>
  <c r="N18" i="2"/>
  <c r="O18" i="2"/>
  <c r="P18" i="2"/>
  <c r="Q18" i="2"/>
  <c r="R18" i="2"/>
  <c r="T18" i="2"/>
  <c r="A19" i="2"/>
  <c r="B19" i="2"/>
  <c r="C19" i="2"/>
  <c r="D19" i="2"/>
  <c r="E19" i="2"/>
  <c r="F19" i="2"/>
  <c r="G19" i="2"/>
  <c r="H19" i="2"/>
  <c r="I19" i="2"/>
  <c r="K19" i="2"/>
  <c r="L19" i="2"/>
  <c r="M19" i="2"/>
  <c r="N19" i="2"/>
  <c r="O19" i="2"/>
  <c r="P19" i="2"/>
  <c r="Q19" i="2"/>
  <c r="R19" i="2"/>
  <c r="S19" i="2"/>
  <c r="T19" i="2"/>
  <c r="A20" i="2"/>
  <c r="B20" i="2"/>
  <c r="C20" i="2"/>
  <c r="D20" i="2"/>
  <c r="E20" i="2"/>
  <c r="F20" i="2"/>
  <c r="G20" i="2"/>
  <c r="H20" i="2"/>
  <c r="I20" i="2"/>
  <c r="K20" i="2"/>
  <c r="L20" i="2"/>
  <c r="M20" i="2"/>
  <c r="N20" i="2"/>
  <c r="O20" i="2"/>
  <c r="P20" i="2"/>
  <c r="Q20" i="2"/>
  <c r="R20" i="2"/>
  <c r="S20" i="2"/>
  <c r="T20" i="2"/>
  <c r="A21" i="2"/>
  <c r="B21" i="2"/>
  <c r="C21" i="2"/>
  <c r="D21" i="2"/>
  <c r="E21" i="2"/>
  <c r="F21" i="2"/>
  <c r="G21" i="2"/>
  <c r="H21" i="2"/>
  <c r="I21" i="2"/>
  <c r="K21" i="2"/>
  <c r="L21" i="2"/>
  <c r="M21" i="2"/>
  <c r="N21" i="2"/>
  <c r="O21" i="2"/>
  <c r="P21" i="2"/>
  <c r="Q21" i="2"/>
  <c r="R21" i="2"/>
  <c r="S21" i="2"/>
  <c r="T21" i="2"/>
  <c r="A22" i="2"/>
  <c r="B22" i="2"/>
  <c r="C22" i="2"/>
  <c r="D22" i="2"/>
  <c r="E22" i="2"/>
  <c r="F22" i="2"/>
  <c r="G22" i="2"/>
  <c r="H22" i="2"/>
  <c r="I22" i="2"/>
  <c r="K22" i="2"/>
  <c r="L22" i="2"/>
  <c r="M22" i="2"/>
  <c r="N22" i="2"/>
  <c r="O22" i="2"/>
  <c r="P22" i="2"/>
  <c r="Q22" i="2"/>
  <c r="R22" i="2"/>
  <c r="S22" i="2"/>
  <c r="T22" i="2"/>
  <c r="A23" i="2"/>
  <c r="B23" i="2"/>
  <c r="C23" i="2"/>
  <c r="D23" i="2"/>
  <c r="E23" i="2"/>
  <c r="F23" i="2"/>
  <c r="G23" i="2"/>
  <c r="H23" i="2"/>
  <c r="I23" i="2"/>
  <c r="K23" i="2"/>
  <c r="L23" i="2"/>
  <c r="M23" i="2"/>
  <c r="N23" i="2"/>
  <c r="O23" i="2"/>
  <c r="P23" i="2"/>
  <c r="Q23" i="2"/>
  <c r="R23" i="2"/>
  <c r="S23" i="2"/>
  <c r="A24" i="2"/>
  <c r="B24" i="2"/>
  <c r="C24" i="2"/>
  <c r="D24" i="2"/>
  <c r="E24" i="2"/>
  <c r="F24" i="2"/>
  <c r="G24" i="2"/>
  <c r="H24" i="2"/>
  <c r="I24" i="2"/>
  <c r="K24" i="2"/>
  <c r="L24" i="2"/>
  <c r="M24" i="2"/>
  <c r="N24" i="2"/>
  <c r="O24" i="2"/>
  <c r="P24" i="2"/>
  <c r="Q24" i="2"/>
  <c r="R24" i="2"/>
  <c r="S24" i="2"/>
  <c r="T24" i="2"/>
  <c r="A25" i="2"/>
  <c r="B25" i="2"/>
  <c r="C25" i="2"/>
  <c r="D25" i="2"/>
  <c r="E25" i="2"/>
  <c r="F25" i="2"/>
  <c r="G25" i="2"/>
  <c r="H25" i="2"/>
  <c r="I25" i="2"/>
  <c r="K25" i="2"/>
  <c r="L25" i="2"/>
  <c r="M25" i="2"/>
  <c r="N25" i="2"/>
  <c r="O25" i="2"/>
  <c r="P25" i="2"/>
  <c r="Q25" i="2"/>
  <c r="R25" i="2"/>
  <c r="S25" i="2"/>
  <c r="T25" i="2"/>
  <c r="A26" i="2"/>
  <c r="B26" i="2"/>
  <c r="C26" i="2"/>
  <c r="D26" i="2"/>
  <c r="E26" i="2"/>
  <c r="F26" i="2"/>
  <c r="G26" i="2"/>
  <c r="H26" i="2"/>
  <c r="I26" i="2"/>
  <c r="K26" i="2"/>
  <c r="L26" i="2"/>
  <c r="M26" i="2"/>
  <c r="N26" i="2"/>
  <c r="O26" i="2"/>
  <c r="P26" i="2"/>
  <c r="Q26" i="2"/>
  <c r="R26" i="2"/>
  <c r="S26" i="2"/>
  <c r="T26" i="2"/>
  <c r="A27" i="2"/>
  <c r="B27" i="2"/>
  <c r="C27" i="2"/>
  <c r="D27" i="2"/>
  <c r="E27" i="2"/>
  <c r="F27" i="2"/>
  <c r="G27" i="2"/>
  <c r="H27" i="2"/>
  <c r="I27" i="2"/>
  <c r="K27" i="2"/>
  <c r="L27" i="2"/>
  <c r="M27" i="2"/>
  <c r="N27" i="2"/>
  <c r="O27" i="2"/>
  <c r="P27" i="2"/>
  <c r="Q27" i="2"/>
  <c r="R27" i="2"/>
  <c r="S27" i="2"/>
  <c r="T27" i="2"/>
  <c r="A28" i="2"/>
  <c r="B28" i="2"/>
  <c r="C28" i="2"/>
  <c r="D28" i="2"/>
  <c r="E28" i="2"/>
  <c r="F28" i="2"/>
  <c r="G28" i="2"/>
  <c r="H28" i="2"/>
  <c r="I28" i="2"/>
  <c r="K28" i="2"/>
  <c r="L28" i="2"/>
  <c r="M28" i="2"/>
  <c r="N28" i="2"/>
  <c r="O28" i="2"/>
  <c r="P28" i="2"/>
  <c r="Q28" i="2"/>
  <c r="R28" i="2"/>
  <c r="S28" i="2"/>
  <c r="T28" i="2"/>
  <c r="A29" i="2"/>
  <c r="B29" i="2"/>
  <c r="C29" i="2"/>
  <c r="D29" i="2"/>
  <c r="E29" i="2"/>
  <c r="F29" i="2"/>
  <c r="G29" i="2"/>
  <c r="H29" i="2"/>
  <c r="I29" i="2"/>
  <c r="K29" i="2"/>
  <c r="L29" i="2"/>
  <c r="M29" i="2"/>
  <c r="N29" i="2"/>
  <c r="O29" i="2"/>
  <c r="P29" i="2"/>
  <c r="Q29" i="2"/>
  <c r="R29" i="2"/>
  <c r="S29" i="2"/>
  <c r="A30" i="2"/>
  <c r="B30" i="2"/>
  <c r="C30" i="2"/>
  <c r="D30" i="2"/>
  <c r="E30" i="2"/>
  <c r="F30" i="2"/>
  <c r="G30" i="2"/>
  <c r="H30" i="2"/>
  <c r="I30" i="2"/>
  <c r="K30" i="2"/>
  <c r="L30" i="2"/>
  <c r="M30" i="2"/>
  <c r="N30" i="2"/>
  <c r="O30" i="2"/>
  <c r="P30" i="2"/>
  <c r="Q30" i="2"/>
  <c r="R30" i="2"/>
  <c r="S30" i="2"/>
  <c r="T30" i="2"/>
  <c r="A31" i="2"/>
  <c r="B31" i="2"/>
  <c r="C31" i="2"/>
  <c r="D31" i="2"/>
  <c r="E31" i="2"/>
  <c r="F31" i="2"/>
  <c r="G31" i="2"/>
  <c r="H31" i="2"/>
  <c r="I31" i="2"/>
  <c r="K31" i="2"/>
  <c r="L31" i="2"/>
  <c r="M31" i="2"/>
  <c r="N31" i="2"/>
  <c r="O31" i="2"/>
  <c r="P31" i="2"/>
  <c r="Q31" i="2"/>
  <c r="R31" i="2"/>
  <c r="S31" i="2"/>
  <c r="T31" i="2"/>
  <c r="A32" i="2"/>
  <c r="B32" i="2"/>
  <c r="C32" i="2"/>
  <c r="D32" i="2"/>
  <c r="E32" i="2"/>
  <c r="F32" i="2"/>
  <c r="G32" i="2"/>
  <c r="H32" i="2"/>
  <c r="I32" i="2"/>
  <c r="K32" i="2"/>
  <c r="L32" i="2"/>
  <c r="M32" i="2"/>
  <c r="N32" i="2"/>
  <c r="O32" i="2"/>
  <c r="P32" i="2"/>
  <c r="Q32" i="2"/>
  <c r="R32" i="2"/>
  <c r="S32" i="2"/>
  <c r="T32" i="2"/>
  <c r="A33" i="2"/>
  <c r="B33" i="2"/>
  <c r="C33" i="2"/>
  <c r="D33" i="2"/>
  <c r="E33" i="2"/>
  <c r="F33" i="2"/>
  <c r="G33" i="2"/>
  <c r="H33" i="2"/>
  <c r="I33" i="2"/>
  <c r="K33" i="2"/>
  <c r="L33" i="2"/>
  <c r="M33" i="2"/>
  <c r="N33" i="2"/>
  <c r="O33" i="2"/>
  <c r="P33" i="2"/>
  <c r="Q33" i="2"/>
  <c r="R33" i="2"/>
  <c r="S33" i="2"/>
  <c r="T33" i="2"/>
  <c r="A34" i="2"/>
  <c r="B34" i="2"/>
  <c r="C34" i="2"/>
  <c r="D34" i="2"/>
  <c r="E34" i="2"/>
  <c r="F34" i="2"/>
  <c r="G34" i="2"/>
  <c r="H34" i="2"/>
  <c r="I34" i="2"/>
  <c r="K34" i="2"/>
  <c r="L34" i="2"/>
  <c r="M34" i="2"/>
  <c r="N34" i="2"/>
  <c r="O34" i="2"/>
  <c r="P34" i="2"/>
  <c r="Q34" i="2"/>
  <c r="R34" i="2"/>
  <c r="S34" i="2"/>
  <c r="T34" i="2"/>
  <c r="A35" i="2"/>
  <c r="B35" i="2"/>
  <c r="C35" i="2"/>
  <c r="D35" i="2"/>
  <c r="E35" i="2"/>
  <c r="F35" i="2"/>
  <c r="G35" i="2"/>
  <c r="H35" i="2"/>
  <c r="I35" i="2"/>
  <c r="K35" i="2"/>
  <c r="L35" i="2"/>
  <c r="M35" i="2"/>
  <c r="N35" i="2"/>
  <c r="O35" i="2"/>
  <c r="P35" i="2"/>
  <c r="Q35" i="2"/>
  <c r="R35" i="2"/>
  <c r="S35" i="2"/>
  <c r="A36" i="2"/>
  <c r="B36" i="2"/>
  <c r="C36" i="2"/>
  <c r="D36" i="2"/>
  <c r="E36" i="2"/>
  <c r="F36" i="2"/>
  <c r="G36" i="2"/>
  <c r="H36" i="2"/>
  <c r="I36" i="2"/>
  <c r="K36" i="2"/>
  <c r="L36" i="2"/>
  <c r="M36" i="2"/>
  <c r="N36" i="2"/>
  <c r="O36" i="2"/>
  <c r="P36" i="2"/>
  <c r="Q36" i="2"/>
  <c r="R36" i="2"/>
  <c r="S36" i="2"/>
  <c r="T36" i="2"/>
  <c r="A37" i="2"/>
  <c r="B37" i="2"/>
  <c r="C37" i="2"/>
  <c r="D37" i="2"/>
  <c r="E37" i="2"/>
  <c r="F37" i="2"/>
  <c r="G37" i="2"/>
  <c r="H37" i="2"/>
  <c r="I37" i="2"/>
  <c r="K37" i="2"/>
  <c r="L37" i="2"/>
  <c r="M37" i="2"/>
  <c r="N37" i="2"/>
  <c r="O37" i="2"/>
  <c r="P37" i="2"/>
  <c r="Q37" i="2"/>
  <c r="R37" i="2"/>
  <c r="S37" i="2"/>
  <c r="T37" i="2"/>
  <c r="A38" i="2"/>
  <c r="B38" i="2"/>
  <c r="C38" i="2"/>
  <c r="D38" i="2"/>
  <c r="E38" i="2"/>
  <c r="F38" i="2"/>
  <c r="G38" i="2"/>
  <c r="H38" i="2"/>
  <c r="I38" i="2"/>
  <c r="K38" i="2"/>
  <c r="L38" i="2"/>
  <c r="M38" i="2"/>
  <c r="N38" i="2"/>
  <c r="O38" i="2"/>
  <c r="P38" i="2"/>
  <c r="Q38" i="2"/>
  <c r="R38" i="2"/>
  <c r="S38" i="2"/>
  <c r="T38" i="2"/>
  <c r="A39" i="2"/>
  <c r="B39" i="2"/>
  <c r="C39" i="2"/>
  <c r="D39" i="2"/>
  <c r="E39" i="2"/>
  <c r="F39" i="2"/>
  <c r="G39" i="2"/>
  <c r="H39" i="2"/>
  <c r="I39" i="2"/>
  <c r="K39" i="2"/>
  <c r="L39" i="2"/>
  <c r="M39" i="2"/>
  <c r="N39" i="2"/>
  <c r="O39" i="2"/>
  <c r="P39" i="2"/>
  <c r="Q39" i="2"/>
  <c r="R39" i="2"/>
  <c r="S39" i="2"/>
  <c r="T39" i="2"/>
  <c r="A40" i="2"/>
  <c r="B40" i="2"/>
  <c r="C40" i="2"/>
  <c r="D40" i="2"/>
  <c r="E40" i="2"/>
  <c r="F40" i="2"/>
  <c r="G40" i="2"/>
  <c r="H40" i="2"/>
  <c r="I40" i="2"/>
  <c r="K40" i="2"/>
  <c r="L40" i="2"/>
  <c r="M40" i="2"/>
  <c r="N40" i="2"/>
  <c r="O40" i="2"/>
  <c r="P40" i="2"/>
  <c r="Q40" i="2"/>
  <c r="R40" i="2"/>
  <c r="S40" i="2"/>
  <c r="T40" i="2"/>
  <c r="A41" i="2"/>
  <c r="B41" i="2"/>
  <c r="C41" i="2"/>
  <c r="D41" i="2"/>
  <c r="E41" i="2"/>
  <c r="F41" i="2"/>
  <c r="G41" i="2"/>
  <c r="H41" i="2"/>
  <c r="I41" i="2"/>
  <c r="K41" i="2"/>
  <c r="L41" i="2"/>
  <c r="M41" i="2"/>
  <c r="N41" i="2"/>
  <c r="O41" i="2"/>
  <c r="P41" i="2"/>
  <c r="Q41" i="2"/>
  <c r="R41" i="2"/>
  <c r="S41" i="2"/>
  <c r="A42" i="2"/>
  <c r="B42" i="2"/>
  <c r="C42" i="2"/>
  <c r="D42" i="2"/>
  <c r="E42" i="2"/>
  <c r="F42" i="2"/>
  <c r="G42" i="2"/>
  <c r="H42" i="2"/>
  <c r="I42" i="2"/>
  <c r="K42" i="2"/>
  <c r="L42" i="2"/>
  <c r="M42" i="2"/>
  <c r="N42" i="2"/>
  <c r="O42" i="2"/>
  <c r="P42" i="2"/>
  <c r="Q42" i="2"/>
  <c r="R42" i="2"/>
  <c r="S42" i="2"/>
  <c r="T42" i="2"/>
  <c r="A43" i="2"/>
  <c r="B43" i="2"/>
  <c r="C43" i="2"/>
  <c r="D43" i="2"/>
  <c r="E43" i="2"/>
  <c r="F43" i="2"/>
  <c r="G43" i="2"/>
  <c r="H43" i="2"/>
  <c r="I43" i="2"/>
  <c r="K43" i="2"/>
  <c r="L43" i="2"/>
  <c r="M43" i="2"/>
  <c r="N43" i="2"/>
  <c r="O43" i="2"/>
  <c r="P43" i="2"/>
  <c r="Q43" i="2"/>
  <c r="R43" i="2"/>
  <c r="S43" i="2"/>
  <c r="T43" i="2"/>
  <c r="A44" i="2"/>
  <c r="B44" i="2"/>
  <c r="C44" i="2"/>
  <c r="D44" i="2"/>
  <c r="E44" i="2"/>
  <c r="F44" i="2"/>
  <c r="G44" i="2"/>
  <c r="H44" i="2"/>
  <c r="I44" i="2"/>
  <c r="K44" i="2"/>
  <c r="L44" i="2"/>
  <c r="M44" i="2"/>
  <c r="N44" i="2"/>
  <c r="O44" i="2"/>
  <c r="P44" i="2"/>
  <c r="Q44" i="2"/>
  <c r="R44" i="2"/>
  <c r="S44" i="2"/>
  <c r="T44" i="2"/>
  <c r="A45" i="2"/>
  <c r="B45" i="2"/>
  <c r="C45" i="2"/>
  <c r="D45" i="2"/>
  <c r="E45" i="2"/>
  <c r="F45" i="2"/>
  <c r="G45" i="2"/>
  <c r="H45" i="2"/>
  <c r="I45" i="2"/>
  <c r="K45" i="2"/>
  <c r="L45" i="2"/>
  <c r="M45" i="2"/>
  <c r="N45" i="2"/>
  <c r="O45" i="2"/>
  <c r="P45" i="2"/>
  <c r="Q45" i="2"/>
  <c r="R45" i="2"/>
  <c r="S45" i="2"/>
  <c r="T45" i="2"/>
  <c r="A46" i="2"/>
  <c r="B46" i="2"/>
  <c r="C46" i="2"/>
  <c r="D46" i="2"/>
  <c r="E46" i="2"/>
  <c r="F46" i="2"/>
  <c r="G46" i="2"/>
  <c r="H46" i="2"/>
  <c r="I46" i="2"/>
  <c r="K46" i="2"/>
  <c r="L46" i="2"/>
  <c r="M46" i="2"/>
  <c r="N46" i="2"/>
  <c r="O46" i="2"/>
  <c r="P46" i="2"/>
  <c r="Q46" i="2"/>
  <c r="R46" i="2"/>
  <c r="S46" i="2"/>
  <c r="T46" i="2"/>
  <c r="A47" i="2"/>
  <c r="B47" i="2"/>
  <c r="C47" i="2"/>
  <c r="D47" i="2"/>
  <c r="E47" i="2"/>
  <c r="F47" i="2"/>
  <c r="G47" i="2"/>
  <c r="H47" i="2"/>
  <c r="I47" i="2"/>
  <c r="K47" i="2"/>
  <c r="L47" i="2"/>
  <c r="M47" i="2"/>
  <c r="N47" i="2"/>
  <c r="O47" i="2"/>
  <c r="P47" i="2"/>
  <c r="Q47" i="2"/>
  <c r="R47" i="2"/>
  <c r="S47" i="2"/>
  <c r="A48" i="2"/>
  <c r="B48" i="2"/>
  <c r="C48" i="2"/>
  <c r="D48" i="2"/>
  <c r="E48" i="2"/>
  <c r="F48" i="2"/>
  <c r="G48" i="2"/>
  <c r="H48" i="2"/>
  <c r="I48" i="2"/>
  <c r="K48" i="2"/>
  <c r="L48" i="2"/>
  <c r="M48" i="2"/>
  <c r="N48" i="2"/>
  <c r="O48" i="2"/>
  <c r="P48" i="2"/>
  <c r="Q48" i="2"/>
  <c r="R48" i="2"/>
  <c r="S48" i="2"/>
  <c r="T48" i="2"/>
  <c r="A49" i="2"/>
  <c r="B49" i="2"/>
  <c r="C49" i="2"/>
  <c r="D49" i="2"/>
  <c r="E49" i="2"/>
  <c r="F49" i="2"/>
  <c r="G49" i="2"/>
  <c r="H49" i="2"/>
  <c r="I49" i="2"/>
  <c r="K49" i="2"/>
  <c r="L49" i="2"/>
  <c r="M49" i="2"/>
  <c r="N49" i="2"/>
  <c r="O49" i="2"/>
  <c r="P49" i="2"/>
  <c r="Q49" i="2"/>
  <c r="R49" i="2"/>
  <c r="S49" i="2"/>
  <c r="T49" i="2"/>
  <c r="A50" i="2"/>
  <c r="B50" i="2"/>
  <c r="C50" i="2"/>
  <c r="D50" i="2"/>
  <c r="E50" i="2"/>
  <c r="F50" i="2"/>
  <c r="G50" i="2"/>
  <c r="H50" i="2"/>
  <c r="I50" i="2"/>
  <c r="K50" i="2"/>
  <c r="L50" i="2"/>
  <c r="M50" i="2"/>
  <c r="N50" i="2"/>
  <c r="O50" i="2"/>
  <c r="P50" i="2"/>
  <c r="Q50" i="2"/>
  <c r="R50" i="2"/>
  <c r="S50" i="2"/>
  <c r="T50" i="2"/>
  <c r="A51" i="2"/>
  <c r="B51" i="2"/>
  <c r="C51" i="2"/>
  <c r="D51" i="2"/>
  <c r="E51" i="2"/>
  <c r="F51" i="2"/>
  <c r="G51" i="2"/>
  <c r="H51" i="2"/>
  <c r="I51" i="2"/>
  <c r="K51" i="2"/>
  <c r="L51" i="2"/>
  <c r="M51" i="2"/>
  <c r="N51" i="2"/>
  <c r="O51" i="2"/>
  <c r="P51" i="2"/>
  <c r="Q51" i="2"/>
  <c r="R51" i="2"/>
  <c r="S51" i="2"/>
  <c r="T51" i="2"/>
  <c r="A52" i="2"/>
  <c r="B52" i="2"/>
  <c r="C52" i="2"/>
  <c r="D52" i="2"/>
  <c r="E52" i="2"/>
  <c r="F52" i="2"/>
  <c r="G52" i="2"/>
  <c r="H52" i="2"/>
  <c r="I52" i="2"/>
  <c r="K52" i="2"/>
  <c r="L52" i="2"/>
  <c r="M52" i="2"/>
  <c r="N52" i="2"/>
  <c r="O52" i="2"/>
  <c r="P52" i="2"/>
  <c r="Q52" i="2"/>
  <c r="R52" i="2"/>
  <c r="S52" i="2"/>
  <c r="T52" i="2"/>
  <c r="A53" i="2"/>
  <c r="B53" i="2"/>
  <c r="C53" i="2"/>
  <c r="D53" i="2"/>
  <c r="E53" i="2"/>
  <c r="F53" i="2"/>
  <c r="G53" i="2"/>
  <c r="H53" i="2"/>
  <c r="I53" i="2"/>
  <c r="K53" i="2"/>
  <c r="L53" i="2"/>
  <c r="M53" i="2"/>
  <c r="N53" i="2"/>
  <c r="O53" i="2"/>
  <c r="P53" i="2"/>
  <c r="Q53" i="2"/>
  <c r="R53" i="2"/>
  <c r="S53" i="2"/>
  <c r="A54" i="2"/>
  <c r="B54" i="2"/>
  <c r="C54" i="2"/>
  <c r="D54" i="2"/>
  <c r="E54" i="2"/>
  <c r="F54" i="2"/>
  <c r="G54" i="2"/>
  <c r="H54" i="2"/>
  <c r="I54" i="2"/>
  <c r="K54" i="2"/>
  <c r="L54" i="2"/>
  <c r="M54" i="2"/>
  <c r="N54" i="2"/>
  <c r="O54" i="2"/>
  <c r="P54" i="2"/>
  <c r="Q54" i="2"/>
  <c r="R54" i="2"/>
  <c r="S54" i="2"/>
  <c r="T54" i="2"/>
  <c r="A55" i="2"/>
  <c r="B55" i="2"/>
  <c r="C55" i="2"/>
  <c r="D55" i="2"/>
  <c r="E55" i="2"/>
  <c r="F55" i="2"/>
  <c r="G55" i="2"/>
  <c r="H55" i="2"/>
  <c r="I55" i="2"/>
  <c r="K55" i="2"/>
  <c r="L55" i="2"/>
  <c r="M55" i="2"/>
  <c r="N55" i="2"/>
  <c r="O55" i="2"/>
  <c r="P55" i="2"/>
  <c r="Q55" i="2"/>
  <c r="R55" i="2"/>
  <c r="S55" i="2"/>
  <c r="T55" i="2"/>
  <c r="A56" i="2"/>
  <c r="B56" i="2"/>
  <c r="C56" i="2"/>
  <c r="D56" i="2"/>
  <c r="E56" i="2"/>
  <c r="F56" i="2"/>
  <c r="G56" i="2"/>
  <c r="H56" i="2"/>
  <c r="I56" i="2"/>
  <c r="K56" i="2"/>
  <c r="L56" i="2"/>
  <c r="M56" i="2"/>
  <c r="N56" i="2"/>
  <c r="O56" i="2"/>
  <c r="P56" i="2"/>
  <c r="Q56" i="2"/>
  <c r="R56" i="2"/>
  <c r="S56" i="2"/>
  <c r="T56" i="2"/>
  <c r="A57" i="2"/>
  <c r="B57" i="2"/>
  <c r="C57" i="2"/>
  <c r="D57" i="2"/>
  <c r="E57" i="2"/>
  <c r="F57" i="2"/>
  <c r="G57" i="2"/>
  <c r="H57" i="2"/>
  <c r="I57" i="2"/>
  <c r="K57" i="2"/>
  <c r="L57" i="2"/>
  <c r="M57" i="2"/>
  <c r="N57" i="2"/>
  <c r="O57" i="2"/>
  <c r="P57" i="2"/>
  <c r="Q57" i="2"/>
  <c r="R57" i="2"/>
  <c r="S57" i="2"/>
  <c r="T57" i="2"/>
  <c r="A58" i="2"/>
  <c r="B58" i="2"/>
  <c r="C58" i="2"/>
  <c r="D58" i="2"/>
  <c r="E58" i="2"/>
  <c r="F58" i="2"/>
  <c r="G58" i="2"/>
  <c r="H58" i="2"/>
  <c r="I58" i="2"/>
  <c r="K58" i="2"/>
  <c r="L58" i="2"/>
  <c r="M58" i="2"/>
  <c r="N58" i="2"/>
  <c r="O58" i="2"/>
  <c r="P58" i="2"/>
  <c r="Q58" i="2"/>
  <c r="R58" i="2"/>
  <c r="S58" i="2"/>
  <c r="T58" i="2"/>
  <c r="A59" i="2"/>
  <c r="B59" i="2"/>
  <c r="C59" i="2"/>
  <c r="D59" i="2"/>
  <c r="E59" i="2"/>
  <c r="F59" i="2"/>
  <c r="G59" i="2"/>
  <c r="H59" i="2"/>
  <c r="I59" i="2"/>
  <c r="K59" i="2"/>
  <c r="L59" i="2"/>
  <c r="M59" i="2"/>
  <c r="N59" i="2"/>
  <c r="O59" i="2"/>
  <c r="P59" i="2"/>
  <c r="Q59" i="2"/>
  <c r="R59" i="2"/>
  <c r="S59" i="2"/>
  <c r="A60" i="2"/>
  <c r="B60" i="2"/>
  <c r="C60" i="2"/>
  <c r="D60" i="2"/>
  <c r="E60" i="2"/>
  <c r="F60" i="2"/>
  <c r="G60" i="2"/>
  <c r="H60" i="2"/>
  <c r="I60" i="2"/>
  <c r="K60" i="2"/>
  <c r="L60" i="2"/>
  <c r="M60" i="2"/>
  <c r="N60" i="2"/>
  <c r="O60" i="2"/>
  <c r="P60" i="2"/>
  <c r="Q60" i="2"/>
  <c r="R60" i="2"/>
  <c r="S60" i="2"/>
  <c r="T60" i="2"/>
  <c r="A61" i="2"/>
  <c r="B61" i="2"/>
  <c r="C61" i="2"/>
  <c r="D61" i="2"/>
  <c r="E61" i="2"/>
  <c r="F61" i="2"/>
  <c r="G61" i="2"/>
  <c r="H61" i="2"/>
  <c r="I61" i="2"/>
  <c r="K61" i="2"/>
  <c r="L61" i="2"/>
  <c r="M61" i="2"/>
  <c r="N61" i="2"/>
  <c r="O61" i="2"/>
  <c r="P61" i="2"/>
  <c r="Q61" i="2"/>
  <c r="R61" i="2"/>
  <c r="S61" i="2"/>
  <c r="T61" i="2"/>
  <c r="A62" i="2"/>
  <c r="B62" i="2"/>
  <c r="C62" i="2"/>
  <c r="D62" i="2"/>
  <c r="E62" i="2"/>
  <c r="F62" i="2"/>
  <c r="G62" i="2"/>
  <c r="H62" i="2"/>
  <c r="I62" i="2"/>
  <c r="K62" i="2"/>
  <c r="L62" i="2"/>
  <c r="M62" i="2"/>
  <c r="N62" i="2"/>
  <c r="O62" i="2"/>
  <c r="P62" i="2"/>
  <c r="Q62" i="2"/>
  <c r="R62" i="2"/>
  <c r="S62" i="2"/>
  <c r="T62" i="2"/>
  <c r="A63" i="2"/>
  <c r="B63" i="2"/>
  <c r="C63" i="2"/>
  <c r="D63" i="2"/>
  <c r="E63" i="2"/>
  <c r="F63" i="2"/>
  <c r="G63" i="2"/>
  <c r="H63" i="2"/>
  <c r="I63" i="2"/>
  <c r="K63" i="2"/>
  <c r="L63" i="2"/>
  <c r="M63" i="2"/>
  <c r="N63" i="2"/>
  <c r="O63" i="2"/>
  <c r="P63" i="2"/>
  <c r="Q63" i="2"/>
  <c r="R63" i="2"/>
  <c r="S63" i="2"/>
  <c r="T63" i="2"/>
  <c r="A64" i="2"/>
  <c r="B64" i="2"/>
  <c r="C64" i="2"/>
  <c r="D64" i="2"/>
  <c r="E64" i="2"/>
  <c r="F64" i="2"/>
  <c r="G64" i="2"/>
  <c r="H64" i="2"/>
  <c r="I64" i="2"/>
  <c r="K64" i="2"/>
  <c r="L64" i="2"/>
  <c r="M64" i="2"/>
  <c r="N64" i="2"/>
  <c r="O64" i="2"/>
  <c r="P64" i="2"/>
  <c r="Q64" i="2"/>
  <c r="R64" i="2"/>
  <c r="S64" i="2"/>
  <c r="T64" i="2"/>
  <c r="A65" i="2"/>
  <c r="B65" i="2"/>
  <c r="C65" i="2"/>
  <c r="D65" i="2"/>
  <c r="E65" i="2"/>
  <c r="F65" i="2"/>
  <c r="G65" i="2"/>
  <c r="H65" i="2"/>
  <c r="I65" i="2"/>
  <c r="K65" i="2"/>
  <c r="L65" i="2"/>
  <c r="M65" i="2"/>
  <c r="N65" i="2"/>
  <c r="O65" i="2"/>
  <c r="P65" i="2"/>
  <c r="Q65" i="2"/>
  <c r="R65" i="2"/>
  <c r="S65" i="2"/>
  <c r="A66" i="2"/>
  <c r="B66" i="2"/>
  <c r="C66" i="2"/>
  <c r="D66" i="2"/>
  <c r="E66" i="2"/>
  <c r="F66" i="2"/>
  <c r="G66" i="2"/>
  <c r="H66" i="2"/>
  <c r="I66" i="2"/>
  <c r="K66" i="2"/>
  <c r="L66" i="2"/>
  <c r="M66" i="2"/>
  <c r="N66" i="2"/>
  <c r="O66" i="2"/>
  <c r="P66" i="2"/>
  <c r="Q66" i="2"/>
  <c r="R66" i="2"/>
  <c r="S66" i="2"/>
  <c r="T66" i="2"/>
  <c r="A67" i="2"/>
  <c r="B67" i="2"/>
  <c r="C67" i="2"/>
  <c r="D67" i="2"/>
  <c r="E67" i="2"/>
  <c r="F67" i="2"/>
  <c r="G67" i="2"/>
  <c r="H67" i="2"/>
  <c r="I67" i="2"/>
  <c r="K67" i="2"/>
  <c r="L67" i="2"/>
  <c r="M67" i="2"/>
  <c r="N67" i="2"/>
  <c r="O67" i="2"/>
  <c r="P67" i="2"/>
  <c r="Q67" i="2"/>
  <c r="R67" i="2"/>
  <c r="S67" i="2"/>
  <c r="T67" i="2"/>
  <c r="A68" i="2"/>
  <c r="B68" i="2"/>
  <c r="C68" i="2"/>
  <c r="D68" i="2"/>
  <c r="E68" i="2"/>
  <c r="F68" i="2"/>
  <c r="G68" i="2"/>
  <c r="H68" i="2"/>
  <c r="I68" i="2"/>
  <c r="K68" i="2"/>
  <c r="L68" i="2"/>
  <c r="M68" i="2"/>
  <c r="N68" i="2"/>
  <c r="O68" i="2"/>
  <c r="P68" i="2"/>
  <c r="Q68" i="2"/>
  <c r="R68" i="2"/>
  <c r="S68" i="2"/>
  <c r="T68" i="2"/>
  <c r="A69" i="2"/>
  <c r="B69" i="2"/>
  <c r="C69" i="2"/>
  <c r="D69" i="2"/>
  <c r="E69" i="2"/>
  <c r="F69" i="2"/>
  <c r="G69" i="2"/>
  <c r="H69" i="2"/>
  <c r="I69" i="2"/>
  <c r="K69" i="2"/>
  <c r="L69" i="2"/>
  <c r="M69" i="2"/>
  <c r="N69" i="2"/>
  <c r="O69" i="2"/>
  <c r="P69" i="2"/>
  <c r="Q69" i="2"/>
  <c r="R69" i="2"/>
  <c r="S69" i="2"/>
  <c r="T69" i="2"/>
  <c r="A70" i="2"/>
  <c r="B70" i="2"/>
  <c r="C70" i="2"/>
  <c r="D70" i="2"/>
  <c r="E70" i="2"/>
  <c r="F70" i="2"/>
  <c r="G70" i="2"/>
  <c r="H70" i="2"/>
  <c r="I70" i="2"/>
  <c r="K70" i="2"/>
  <c r="L70" i="2"/>
  <c r="M70" i="2"/>
  <c r="N70" i="2"/>
  <c r="O70" i="2"/>
  <c r="P70" i="2"/>
  <c r="Q70" i="2"/>
  <c r="R70" i="2"/>
  <c r="S70" i="2"/>
  <c r="T70" i="2"/>
  <c r="A71" i="2"/>
  <c r="B71" i="2"/>
  <c r="C71" i="2"/>
  <c r="D71" i="2"/>
  <c r="E71" i="2"/>
  <c r="F71" i="2"/>
  <c r="G71" i="2"/>
  <c r="H71" i="2"/>
  <c r="I71" i="2"/>
  <c r="K71" i="2"/>
  <c r="L71" i="2"/>
  <c r="M71" i="2"/>
  <c r="N71" i="2"/>
  <c r="O71" i="2"/>
  <c r="P71" i="2"/>
  <c r="Q71" i="2"/>
  <c r="R71" i="2"/>
  <c r="S71" i="2"/>
  <c r="A72" i="2"/>
  <c r="B72" i="2"/>
  <c r="C72" i="2"/>
  <c r="D72" i="2"/>
  <c r="E72" i="2"/>
  <c r="F72" i="2"/>
  <c r="G72" i="2"/>
  <c r="H72" i="2"/>
  <c r="I72" i="2"/>
  <c r="K72" i="2"/>
  <c r="L72" i="2"/>
  <c r="M72" i="2"/>
  <c r="N72" i="2"/>
  <c r="O72" i="2"/>
  <c r="P72" i="2"/>
  <c r="Q72" i="2"/>
  <c r="R72" i="2"/>
  <c r="S72" i="2"/>
  <c r="T72" i="2"/>
  <c r="A73" i="2"/>
  <c r="B73" i="2"/>
  <c r="C73" i="2"/>
  <c r="D73" i="2"/>
  <c r="E73" i="2"/>
  <c r="F73" i="2"/>
  <c r="G73" i="2"/>
  <c r="H73" i="2"/>
  <c r="I73" i="2"/>
  <c r="K73" i="2"/>
  <c r="L73" i="2"/>
  <c r="M73" i="2"/>
  <c r="N73" i="2"/>
  <c r="O73" i="2"/>
  <c r="P73" i="2"/>
  <c r="Q73" i="2"/>
  <c r="R73" i="2"/>
  <c r="S73" i="2"/>
  <c r="T73" i="2"/>
  <c r="A74" i="2"/>
  <c r="B74" i="2"/>
  <c r="C74" i="2"/>
  <c r="D74" i="2"/>
  <c r="E74" i="2"/>
  <c r="F74" i="2"/>
  <c r="G74" i="2"/>
  <c r="H74" i="2"/>
  <c r="I74" i="2"/>
  <c r="K74" i="2"/>
  <c r="L74" i="2"/>
  <c r="M74" i="2"/>
  <c r="N74" i="2"/>
  <c r="O74" i="2"/>
  <c r="P74" i="2"/>
  <c r="Q74" i="2"/>
  <c r="R74" i="2"/>
  <c r="S74" i="2"/>
  <c r="T74" i="2"/>
  <c r="A75" i="2"/>
  <c r="B75" i="2"/>
  <c r="C75" i="2"/>
  <c r="D75" i="2"/>
  <c r="E75" i="2"/>
  <c r="F75" i="2"/>
  <c r="G75" i="2"/>
  <c r="H75" i="2"/>
  <c r="I75" i="2"/>
  <c r="K75" i="2"/>
  <c r="L75" i="2"/>
  <c r="M75" i="2"/>
  <c r="N75" i="2"/>
  <c r="O75" i="2"/>
  <c r="P75" i="2"/>
  <c r="Q75" i="2"/>
  <c r="R75" i="2"/>
  <c r="S75" i="2"/>
  <c r="T75" i="2"/>
  <c r="A76" i="2"/>
  <c r="B76" i="2"/>
  <c r="C76" i="2"/>
  <c r="D76" i="2"/>
  <c r="E76" i="2"/>
  <c r="F76" i="2"/>
  <c r="G76" i="2"/>
  <c r="H76" i="2"/>
  <c r="I76" i="2"/>
  <c r="K76" i="2"/>
  <c r="L76" i="2"/>
  <c r="M76" i="2"/>
  <c r="N76" i="2"/>
  <c r="O76" i="2"/>
  <c r="P76" i="2"/>
  <c r="Q76" i="2"/>
  <c r="R76" i="2"/>
  <c r="S76" i="2"/>
  <c r="T76" i="2"/>
  <c r="A77" i="2"/>
  <c r="B77" i="2"/>
  <c r="C77" i="2"/>
  <c r="D77" i="2"/>
  <c r="E77" i="2"/>
  <c r="F77" i="2"/>
  <c r="G77" i="2"/>
  <c r="H77" i="2"/>
  <c r="I77" i="2"/>
  <c r="K77" i="2"/>
  <c r="L77" i="2"/>
  <c r="M77" i="2"/>
  <c r="N77" i="2"/>
  <c r="O77" i="2"/>
  <c r="P77" i="2"/>
  <c r="Q77" i="2"/>
  <c r="R77" i="2"/>
  <c r="S77" i="2"/>
  <c r="A78" i="2"/>
  <c r="B78" i="2"/>
  <c r="C78" i="2"/>
  <c r="D78" i="2"/>
  <c r="E78" i="2"/>
  <c r="F78" i="2"/>
  <c r="G78" i="2"/>
  <c r="H78" i="2"/>
  <c r="I78" i="2"/>
  <c r="K78" i="2"/>
  <c r="L78" i="2"/>
  <c r="M78" i="2"/>
  <c r="N78" i="2"/>
  <c r="O78" i="2"/>
  <c r="P78" i="2"/>
  <c r="Q78" i="2"/>
  <c r="R78" i="2"/>
  <c r="S78" i="2"/>
  <c r="T78" i="2"/>
  <c r="A79" i="2"/>
  <c r="B79" i="2"/>
  <c r="C79" i="2"/>
  <c r="D79" i="2"/>
  <c r="E79" i="2"/>
  <c r="F79" i="2"/>
  <c r="G79" i="2"/>
  <c r="H79" i="2"/>
  <c r="I79" i="2"/>
  <c r="K79" i="2"/>
  <c r="L79" i="2"/>
  <c r="M79" i="2"/>
  <c r="N79" i="2"/>
  <c r="O79" i="2"/>
  <c r="P79" i="2"/>
  <c r="Q79" i="2"/>
  <c r="R79" i="2"/>
  <c r="T79" i="2"/>
  <c r="A80" i="2"/>
  <c r="B80" i="2"/>
  <c r="C80" i="2"/>
  <c r="D80" i="2"/>
  <c r="E80" i="2"/>
  <c r="F80" i="2"/>
  <c r="G80" i="2"/>
  <c r="H80" i="2"/>
  <c r="I80" i="2"/>
  <c r="K80" i="2"/>
  <c r="L80" i="2"/>
  <c r="M80" i="2"/>
  <c r="N80" i="2"/>
  <c r="O80" i="2"/>
  <c r="P80" i="2"/>
  <c r="Q80" i="2"/>
  <c r="R80" i="2"/>
  <c r="T80" i="2"/>
  <c r="A81" i="2"/>
  <c r="B81" i="2"/>
  <c r="C81" i="2"/>
  <c r="D81" i="2"/>
  <c r="E81" i="2"/>
  <c r="F81" i="2"/>
  <c r="G81" i="2"/>
  <c r="H81" i="2"/>
  <c r="I81" i="2"/>
  <c r="K81" i="2"/>
  <c r="L81" i="2"/>
  <c r="M81" i="2"/>
  <c r="N81" i="2"/>
  <c r="O81" i="2"/>
  <c r="P81" i="2"/>
  <c r="Q81" i="2"/>
  <c r="R81" i="2"/>
  <c r="T81" i="2"/>
  <c r="A82" i="2"/>
  <c r="B82" i="2"/>
  <c r="C82" i="2"/>
  <c r="D82" i="2"/>
  <c r="E82" i="2"/>
  <c r="F82" i="2"/>
  <c r="G82" i="2"/>
  <c r="H82" i="2"/>
  <c r="I82" i="2"/>
  <c r="K82" i="2"/>
  <c r="L82" i="2"/>
  <c r="M82" i="2"/>
  <c r="N82" i="2"/>
  <c r="O82" i="2"/>
  <c r="P82" i="2"/>
  <c r="Q82" i="2"/>
  <c r="R82" i="2"/>
  <c r="T82" i="2"/>
  <c r="A83" i="2"/>
  <c r="B83" i="2"/>
  <c r="C83" i="2"/>
  <c r="D83" i="2"/>
  <c r="E83" i="2"/>
  <c r="F83" i="2"/>
  <c r="G83" i="2"/>
  <c r="H83" i="2"/>
  <c r="I83" i="2"/>
  <c r="K83" i="2"/>
  <c r="L83" i="2"/>
  <c r="M83" i="2"/>
  <c r="N83" i="2"/>
  <c r="O83" i="2"/>
  <c r="P83" i="2"/>
  <c r="Q83" i="2"/>
  <c r="R83" i="2"/>
  <c r="A84" i="2"/>
  <c r="B84" i="2"/>
  <c r="C84" i="2"/>
  <c r="D84" i="2"/>
  <c r="E84" i="2"/>
  <c r="F84" i="2"/>
  <c r="G84" i="2"/>
  <c r="H84" i="2"/>
  <c r="I84" i="2"/>
  <c r="K84" i="2"/>
  <c r="L84" i="2"/>
  <c r="M84" i="2"/>
  <c r="N84" i="2"/>
  <c r="O84" i="2"/>
  <c r="P84" i="2"/>
  <c r="Q84" i="2"/>
  <c r="R84" i="2"/>
  <c r="T84" i="2"/>
  <c r="A85" i="2"/>
  <c r="B85" i="2"/>
  <c r="C85" i="2"/>
  <c r="D85" i="2"/>
  <c r="E85" i="2"/>
  <c r="F85" i="2"/>
  <c r="G85" i="2"/>
  <c r="H85" i="2"/>
  <c r="I85" i="2"/>
  <c r="K85" i="2"/>
  <c r="L85" i="2"/>
  <c r="M85" i="2"/>
  <c r="N85" i="2"/>
  <c r="O85" i="2"/>
  <c r="P85" i="2"/>
  <c r="Q85" i="2"/>
  <c r="R85" i="2"/>
  <c r="T85" i="2"/>
  <c r="A86" i="2"/>
  <c r="B86" i="2"/>
  <c r="C86" i="2"/>
  <c r="D86" i="2"/>
  <c r="E86" i="2"/>
  <c r="F86" i="2"/>
  <c r="G86" i="2"/>
  <c r="H86" i="2"/>
  <c r="I86" i="2"/>
  <c r="K86" i="2"/>
  <c r="L86" i="2"/>
  <c r="M86" i="2"/>
  <c r="N86" i="2"/>
  <c r="O86" i="2"/>
  <c r="P86" i="2"/>
  <c r="Q86" i="2"/>
  <c r="R86" i="2"/>
  <c r="T86" i="2"/>
  <c r="A87" i="2"/>
  <c r="B87" i="2"/>
  <c r="C87" i="2"/>
  <c r="D87" i="2"/>
  <c r="E87" i="2"/>
  <c r="F87" i="2"/>
  <c r="G87" i="2"/>
  <c r="H87" i="2"/>
  <c r="I87" i="2"/>
  <c r="K87" i="2"/>
  <c r="L87" i="2"/>
  <c r="M87" i="2"/>
  <c r="N87" i="2"/>
  <c r="O87" i="2"/>
  <c r="P87" i="2"/>
  <c r="Q87" i="2"/>
  <c r="R87" i="2"/>
  <c r="T87" i="2"/>
  <c r="A88" i="2"/>
  <c r="B88" i="2"/>
  <c r="C88" i="2"/>
  <c r="D88" i="2"/>
  <c r="E88" i="2"/>
  <c r="F88" i="2"/>
  <c r="G88" i="2"/>
  <c r="H88" i="2"/>
  <c r="I88" i="2"/>
  <c r="K88" i="2"/>
  <c r="L88" i="2"/>
  <c r="M88" i="2"/>
  <c r="N88" i="2"/>
  <c r="O88" i="2"/>
  <c r="P88" i="2"/>
  <c r="Q88" i="2"/>
  <c r="R88" i="2"/>
  <c r="T88" i="2"/>
  <c r="A89" i="2"/>
  <c r="B89" i="2"/>
  <c r="C89" i="2"/>
  <c r="D89" i="2"/>
  <c r="E89" i="2"/>
  <c r="F89" i="2"/>
  <c r="G89" i="2"/>
  <c r="H89" i="2"/>
  <c r="I89" i="2"/>
  <c r="K89" i="2"/>
  <c r="L89" i="2"/>
  <c r="M89" i="2"/>
  <c r="N89" i="2"/>
  <c r="O89" i="2"/>
  <c r="P89" i="2"/>
  <c r="Q89" i="2"/>
  <c r="R89" i="2"/>
  <c r="A90" i="2"/>
  <c r="B90" i="2"/>
  <c r="C90" i="2"/>
  <c r="D90" i="2"/>
  <c r="E90" i="2"/>
  <c r="F90" i="2"/>
  <c r="G90" i="2"/>
  <c r="H90" i="2"/>
  <c r="I90" i="2"/>
  <c r="K90" i="2"/>
  <c r="L90" i="2"/>
  <c r="M90" i="2"/>
  <c r="N90" i="2"/>
  <c r="O90" i="2"/>
  <c r="P90" i="2"/>
  <c r="Q90" i="2"/>
  <c r="R90" i="2"/>
  <c r="T90" i="2"/>
  <c r="A91" i="2"/>
  <c r="B91" i="2"/>
  <c r="C91" i="2"/>
  <c r="D91" i="2"/>
  <c r="E91" i="2"/>
  <c r="F91" i="2"/>
  <c r="G91" i="2"/>
  <c r="H91" i="2"/>
  <c r="I91" i="2"/>
  <c r="K91" i="2"/>
  <c r="L91" i="2"/>
  <c r="M91" i="2"/>
  <c r="N91" i="2"/>
  <c r="O91" i="2"/>
  <c r="P91" i="2"/>
  <c r="Q91" i="2"/>
  <c r="R91" i="2"/>
  <c r="T91" i="2"/>
  <c r="A92" i="2"/>
  <c r="B92" i="2"/>
  <c r="C92" i="2"/>
  <c r="D92" i="2"/>
  <c r="E92" i="2"/>
  <c r="F92" i="2"/>
  <c r="G92" i="2"/>
  <c r="H92" i="2"/>
  <c r="I92" i="2"/>
  <c r="K92" i="2"/>
  <c r="L92" i="2"/>
  <c r="M92" i="2"/>
  <c r="N92" i="2"/>
  <c r="O92" i="2"/>
  <c r="P92" i="2"/>
  <c r="Q92" i="2"/>
  <c r="R92" i="2"/>
  <c r="T92" i="2"/>
  <c r="A93" i="2"/>
  <c r="B93" i="2"/>
  <c r="C93" i="2"/>
  <c r="D93" i="2"/>
  <c r="E93" i="2"/>
  <c r="F93" i="2"/>
  <c r="G93" i="2"/>
  <c r="H93" i="2"/>
  <c r="I93" i="2"/>
  <c r="K93" i="2"/>
  <c r="L93" i="2"/>
  <c r="M93" i="2"/>
  <c r="N93" i="2"/>
  <c r="O93" i="2"/>
  <c r="P93" i="2"/>
  <c r="Q93" i="2"/>
  <c r="R93" i="2"/>
  <c r="T93" i="2"/>
  <c r="A94" i="2"/>
  <c r="B94" i="2"/>
  <c r="C94" i="2"/>
  <c r="D94" i="2"/>
  <c r="E94" i="2"/>
  <c r="F94" i="2"/>
  <c r="G94" i="2"/>
  <c r="H94" i="2"/>
  <c r="I94" i="2"/>
  <c r="K94" i="2"/>
  <c r="L94" i="2"/>
  <c r="M94" i="2"/>
  <c r="N94" i="2"/>
  <c r="O94" i="2"/>
  <c r="P94" i="2"/>
  <c r="Q94" i="2"/>
  <c r="R94" i="2"/>
  <c r="T94" i="2"/>
  <c r="A95" i="2"/>
  <c r="B95" i="2"/>
  <c r="C95" i="2"/>
  <c r="D95" i="2"/>
  <c r="E95" i="2"/>
  <c r="F95" i="2"/>
  <c r="G95" i="2"/>
  <c r="H95" i="2"/>
  <c r="I95" i="2"/>
  <c r="K95" i="2"/>
  <c r="L95" i="2"/>
  <c r="M95" i="2"/>
  <c r="N95" i="2"/>
  <c r="O95" i="2"/>
  <c r="P95" i="2"/>
  <c r="Q95" i="2"/>
  <c r="R95" i="2"/>
  <c r="A96" i="2"/>
  <c r="B96" i="2"/>
  <c r="C96" i="2"/>
  <c r="D96" i="2"/>
  <c r="E96" i="2"/>
  <c r="F96" i="2"/>
  <c r="G96" i="2"/>
  <c r="H96" i="2"/>
  <c r="I96" i="2"/>
  <c r="K96" i="2"/>
  <c r="L96" i="2"/>
  <c r="M96" i="2"/>
  <c r="N96" i="2"/>
  <c r="O96" i="2"/>
  <c r="P96" i="2"/>
  <c r="Q96" i="2"/>
  <c r="R96" i="2"/>
  <c r="T96" i="2"/>
  <c r="A97" i="2"/>
  <c r="B97" i="2"/>
  <c r="C97" i="2"/>
  <c r="D97" i="2"/>
  <c r="E97" i="2"/>
  <c r="F97" i="2"/>
  <c r="G97" i="2"/>
  <c r="H97" i="2"/>
  <c r="I97" i="2"/>
  <c r="K97" i="2"/>
  <c r="L97" i="2"/>
  <c r="M97" i="2"/>
  <c r="N97" i="2"/>
  <c r="O97" i="2"/>
  <c r="P97" i="2"/>
  <c r="Q97" i="2"/>
  <c r="R97" i="2"/>
  <c r="T97" i="2"/>
  <c r="A98" i="2"/>
  <c r="B98" i="2"/>
  <c r="C98" i="2"/>
  <c r="D98" i="2"/>
  <c r="E98" i="2"/>
  <c r="F98" i="2"/>
  <c r="G98" i="2"/>
  <c r="H98" i="2"/>
  <c r="I98" i="2"/>
  <c r="K98" i="2"/>
  <c r="L98" i="2"/>
  <c r="M98" i="2"/>
  <c r="N98" i="2"/>
  <c r="O98" i="2"/>
  <c r="P98" i="2"/>
  <c r="Q98" i="2"/>
  <c r="R98" i="2"/>
  <c r="T98" i="2"/>
  <c r="A99" i="2"/>
  <c r="B99" i="2"/>
  <c r="C99" i="2"/>
  <c r="D99" i="2"/>
  <c r="E99" i="2"/>
  <c r="F99" i="2"/>
  <c r="G99" i="2"/>
  <c r="H99" i="2"/>
  <c r="K99" i="2"/>
  <c r="L99" i="2"/>
  <c r="M99" i="2"/>
  <c r="N99" i="2"/>
  <c r="O99" i="2"/>
  <c r="P99" i="2"/>
  <c r="Q99" i="2"/>
  <c r="R99" i="2"/>
  <c r="T99" i="2"/>
  <c r="A100" i="2"/>
  <c r="B100" i="2"/>
  <c r="C100" i="2"/>
  <c r="D100" i="2"/>
  <c r="E100" i="2"/>
  <c r="F100" i="2"/>
  <c r="G100" i="2"/>
  <c r="H100" i="2"/>
  <c r="K100" i="2"/>
  <c r="L100" i="2"/>
  <c r="M100" i="2"/>
  <c r="N100" i="2"/>
  <c r="O100" i="2"/>
  <c r="P100" i="2"/>
  <c r="Q100" i="2"/>
  <c r="R100" i="2"/>
  <c r="T100" i="2"/>
  <c r="A101" i="2"/>
  <c r="B101" i="2"/>
  <c r="C101" i="2"/>
  <c r="D101" i="2"/>
  <c r="E101" i="2"/>
  <c r="F101" i="2"/>
  <c r="G101" i="2"/>
  <c r="H101" i="2"/>
  <c r="K101" i="2"/>
  <c r="L101" i="2"/>
  <c r="M101" i="2"/>
  <c r="N101" i="2"/>
  <c r="O101" i="2"/>
  <c r="P101" i="2"/>
  <c r="Q101" i="2"/>
  <c r="R101" i="2"/>
  <c r="A102" i="2"/>
  <c r="B102" i="2"/>
  <c r="C102" i="2"/>
  <c r="D102" i="2"/>
  <c r="E102" i="2"/>
  <c r="F102" i="2"/>
  <c r="G102" i="2"/>
  <c r="H102" i="2"/>
  <c r="K102" i="2"/>
  <c r="L102" i="2"/>
  <c r="M102" i="2"/>
  <c r="N102" i="2"/>
  <c r="O102" i="2"/>
  <c r="P102" i="2"/>
  <c r="Q102" i="2"/>
  <c r="R102" i="2"/>
  <c r="T102" i="2"/>
  <c r="A103" i="2"/>
  <c r="B103" i="2"/>
  <c r="C103" i="2"/>
  <c r="D103" i="2"/>
  <c r="E103" i="2"/>
  <c r="F103" i="2"/>
  <c r="G103" i="2"/>
  <c r="H103" i="2"/>
  <c r="K103" i="2"/>
  <c r="L103" i="2"/>
  <c r="M103" i="2"/>
  <c r="N103" i="2"/>
  <c r="O103" i="2"/>
  <c r="P103" i="2"/>
  <c r="Q103" i="2"/>
  <c r="R103" i="2"/>
  <c r="T103" i="2"/>
  <c r="A104" i="2"/>
  <c r="B104" i="2"/>
  <c r="C104" i="2"/>
  <c r="D104" i="2"/>
  <c r="E104" i="2"/>
  <c r="F104" i="2"/>
  <c r="G104" i="2"/>
  <c r="H104" i="2"/>
  <c r="K104" i="2"/>
  <c r="L104" i="2"/>
  <c r="M104" i="2"/>
  <c r="N104" i="2"/>
  <c r="O104" i="2"/>
  <c r="P104" i="2"/>
  <c r="Q104" i="2"/>
  <c r="R104" i="2"/>
  <c r="T104" i="2"/>
  <c r="A105" i="2"/>
  <c r="B105" i="2"/>
  <c r="C105" i="2"/>
  <c r="D105" i="2"/>
  <c r="E105" i="2"/>
  <c r="F105" i="2"/>
  <c r="G105" i="2"/>
  <c r="H105" i="2"/>
  <c r="K105" i="2"/>
  <c r="L105" i="2"/>
  <c r="M105" i="2"/>
  <c r="N105" i="2"/>
  <c r="O105" i="2"/>
  <c r="P105" i="2"/>
  <c r="Q105" i="2"/>
  <c r="R105" i="2"/>
  <c r="T105" i="2"/>
  <c r="A106" i="2"/>
  <c r="B106" i="2"/>
  <c r="C106" i="2"/>
  <c r="D106" i="2"/>
  <c r="E106" i="2"/>
  <c r="F106" i="2"/>
  <c r="G106" i="2"/>
  <c r="H106" i="2"/>
  <c r="K106" i="2"/>
  <c r="L106" i="2"/>
  <c r="M106" i="2"/>
  <c r="N106" i="2"/>
  <c r="O106" i="2"/>
  <c r="P106" i="2"/>
  <c r="Q106" i="2"/>
  <c r="R106" i="2"/>
  <c r="T106" i="2"/>
  <c r="A107" i="2"/>
  <c r="B107" i="2"/>
  <c r="C107" i="2"/>
  <c r="D107" i="2"/>
  <c r="E107" i="2"/>
  <c r="F107" i="2"/>
  <c r="G107" i="2"/>
  <c r="H107" i="2"/>
  <c r="K107" i="2"/>
  <c r="L107" i="2"/>
  <c r="M107" i="2"/>
  <c r="N107" i="2"/>
  <c r="O107" i="2"/>
  <c r="P107" i="2"/>
  <c r="Q107" i="2"/>
  <c r="R107" i="2"/>
  <c r="A108" i="2"/>
  <c r="B108" i="2"/>
  <c r="C108" i="2"/>
  <c r="D108" i="2"/>
  <c r="E108" i="2"/>
  <c r="F108" i="2"/>
  <c r="G108" i="2"/>
  <c r="H108" i="2"/>
  <c r="K108" i="2"/>
  <c r="L108" i="2"/>
  <c r="M108" i="2"/>
  <c r="N108" i="2"/>
  <c r="O108" i="2"/>
  <c r="P108" i="2"/>
  <c r="Q108" i="2"/>
  <c r="R108" i="2"/>
  <c r="T108" i="2"/>
  <c r="A109" i="2"/>
  <c r="B109" i="2"/>
  <c r="C109" i="2"/>
  <c r="D109" i="2"/>
  <c r="E109" i="2"/>
  <c r="F109" i="2"/>
  <c r="G109" i="2"/>
  <c r="H109" i="2"/>
  <c r="K109" i="2"/>
  <c r="L109" i="2"/>
  <c r="M109" i="2"/>
  <c r="N109" i="2"/>
  <c r="O109" i="2"/>
  <c r="P109" i="2"/>
  <c r="Q109" i="2"/>
  <c r="R109" i="2"/>
  <c r="T109" i="2"/>
  <c r="A110" i="2"/>
  <c r="B110" i="2"/>
  <c r="C110" i="2"/>
  <c r="D110" i="2"/>
  <c r="E110" i="2"/>
  <c r="F110" i="2"/>
  <c r="G110" i="2"/>
  <c r="H110" i="2"/>
  <c r="K110" i="2"/>
  <c r="L110" i="2"/>
  <c r="M110" i="2"/>
  <c r="N110" i="2"/>
  <c r="O110" i="2"/>
  <c r="P110" i="2"/>
  <c r="Q110" i="2"/>
  <c r="R110" i="2"/>
  <c r="T110" i="2"/>
  <c r="A111" i="2"/>
  <c r="B111" i="2"/>
  <c r="C111" i="2"/>
  <c r="D111" i="2"/>
  <c r="E111" i="2"/>
  <c r="F111" i="2"/>
  <c r="G111" i="2"/>
  <c r="H111" i="2"/>
  <c r="K111" i="2"/>
  <c r="L111" i="2"/>
  <c r="M111" i="2"/>
  <c r="N111" i="2"/>
  <c r="O111" i="2"/>
  <c r="P111" i="2"/>
  <c r="Q111" i="2"/>
  <c r="R111" i="2"/>
  <c r="T111" i="2"/>
  <c r="A112" i="2"/>
  <c r="B112" i="2"/>
  <c r="C112" i="2"/>
  <c r="D112" i="2"/>
  <c r="E112" i="2"/>
  <c r="F112" i="2"/>
  <c r="G112" i="2"/>
  <c r="H112" i="2"/>
  <c r="K112" i="2"/>
  <c r="L112" i="2"/>
  <c r="M112" i="2"/>
  <c r="N112" i="2"/>
  <c r="O112" i="2"/>
  <c r="P112" i="2"/>
  <c r="Q112" i="2"/>
  <c r="R112" i="2"/>
  <c r="T112" i="2"/>
  <c r="A113" i="2"/>
  <c r="B113" i="2"/>
  <c r="C113" i="2"/>
  <c r="D113" i="2"/>
  <c r="E113" i="2"/>
  <c r="F113" i="2"/>
  <c r="G113" i="2"/>
  <c r="H113" i="2"/>
  <c r="K113" i="2"/>
  <c r="L113" i="2"/>
  <c r="M113" i="2"/>
  <c r="N113" i="2"/>
  <c r="O113" i="2"/>
  <c r="P113" i="2"/>
  <c r="Q113" i="2"/>
  <c r="R113" i="2"/>
  <c r="A114" i="2"/>
  <c r="B114" i="2"/>
  <c r="C114" i="2"/>
  <c r="D114" i="2"/>
  <c r="E114" i="2"/>
  <c r="F114" i="2"/>
  <c r="G114" i="2"/>
  <c r="H114" i="2"/>
  <c r="K114" i="2"/>
  <c r="L114" i="2"/>
  <c r="M114" i="2"/>
  <c r="N114" i="2"/>
  <c r="O114" i="2"/>
  <c r="P114" i="2"/>
  <c r="Q114" i="2"/>
  <c r="R114" i="2"/>
  <c r="T114" i="2"/>
  <c r="A115" i="2"/>
  <c r="B115" i="2"/>
  <c r="C115" i="2"/>
  <c r="D115" i="2"/>
  <c r="E115" i="2"/>
  <c r="F115" i="2"/>
  <c r="G115" i="2"/>
  <c r="H115" i="2"/>
  <c r="K115" i="2"/>
  <c r="L115" i="2"/>
  <c r="M115" i="2"/>
  <c r="N115" i="2"/>
  <c r="O115" i="2"/>
  <c r="P115" i="2"/>
  <c r="Q115" i="2"/>
  <c r="R115" i="2"/>
  <c r="T115" i="2"/>
  <c r="A116" i="2"/>
  <c r="B116" i="2"/>
  <c r="C116" i="2"/>
  <c r="D116" i="2"/>
  <c r="E116" i="2"/>
  <c r="F116" i="2"/>
  <c r="G116" i="2"/>
  <c r="H116" i="2"/>
  <c r="K116" i="2"/>
  <c r="L116" i="2"/>
  <c r="M116" i="2"/>
  <c r="N116" i="2"/>
  <c r="O116" i="2"/>
  <c r="P116" i="2"/>
  <c r="Q116" i="2"/>
  <c r="R116" i="2"/>
  <c r="T116" i="2"/>
  <c r="A117" i="2"/>
  <c r="B117" i="2"/>
  <c r="C117" i="2"/>
  <c r="D117" i="2"/>
  <c r="E117" i="2"/>
  <c r="F117" i="2"/>
  <c r="G117" i="2"/>
  <c r="H117" i="2"/>
  <c r="K117" i="2"/>
  <c r="L117" i="2"/>
  <c r="M117" i="2"/>
  <c r="N117" i="2"/>
  <c r="O117" i="2"/>
  <c r="P117" i="2"/>
  <c r="Q117" i="2"/>
  <c r="R117" i="2"/>
  <c r="T117" i="2"/>
  <c r="A118" i="2"/>
  <c r="B118" i="2"/>
  <c r="C118" i="2"/>
  <c r="D118" i="2"/>
  <c r="E118" i="2"/>
  <c r="F118" i="2"/>
  <c r="G118" i="2"/>
  <c r="H118" i="2"/>
  <c r="K118" i="2"/>
  <c r="L118" i="2"/>
  <c r="M118" i="2"/>
  <c r="N118" i="2"/>
  <c r="O118" i="2"/>
  <c r="P118" i="2"/>
  <c r="Q118" i="2"/>
  <c r="R118" i="2"/>
  <c r="T118" i="2"/>
  <c r="A119" i="2"/>
  <c r="B119" i="2"/>
  <c r="C119" i="2"/>
  <c r="D119" i="2"/>
  <c r="E119" i="2"/>
  <c r="F119" i="2"/>
  <c r="G119" i="2"/>
  <c r="H119" i="2"/>
  <c r="K119" i="2"/>
  <c r="L119" i="2"/>
  <c r="M119" i="2"/>
  <c r="N119" i="2"/>
  <c r="O119" i="2"/>
  <c r="P119" i="2"/>
  <c r="Q119" i="2"/>
  <c r="R119" i="2"/>
  <c r="A120" i="2"/>
  <c r="B120" i="2"/>
  <c r="C120" i="2"/>
  <c r="D120" i="2"/>
  <c r="E120" i="2"/>
  <c r="F120" i="2"/>
  <c r="G120" i="2"/>
  <c r="H120" i="2"/>
  <c r="K120" i="2"/>
  <c r="L120" i="2"/>
  <c r="M120" i="2"/>
  <c r="N120" i="2"/>
  <c r="O120" i="2"/>
  <c r="P120" i="2"/>
  <c r="Q120" i="2"/>
  <c r="R120" i="2"/>
  <c r="T120" i="2"/>
  <c r="A121" i="2"/>
  <c r="B121" i="2"/>
  <c r="C121" i="2"/>
  <c r="D121" i="2"/>
  <c r="E121" i="2"/>
  <c r="F121" i="2"/>
  <c r="G121" i="2"/>
  <c r="H121" i="2"/>
  <c r="K121" i="2"/>
  <c r="L121" i="2"/>
  <c r="M121" i="2"/>
  <c r="N121" i="2"/>
  <c r="O121" i="2"/>
  <c r="P121" i="2"/>
  <c r="Q121" i="2"/>
  <c r="R121" i="2"/>
  <c r="T121" i="2"/>
  <c r="A122" i="2"/>
  <c r="B122" i="2"/>
  <c r="C122" i="2"/>
  <c r="D122" i="2"/>
  <c r="E122" i="2"/>
  <c r="F122" i="2"/>
  <c r="G122" i="2"/>
  <c r="H122" i="2"/>
  <c r="K122" i="2"/>
  <c r="L122" i="2"/>
  <c r="M122" i="2"/>
  <c r="N122" i="2"/>
  <c r="O122" i="2"/>
  <c r="P122" i="2"/>
  <c r="Q122" i="2"/>
  <c r="R122" i="2"/>
  <c r="T122" i="2"/>
  <c r="A123" i="2"/>
  <c r="B123" i="2"/>
  <c r="C123" i="2"/>
  <c r="D123" i="2"/>
  <c r="E123" i="2"/>
  <c r="F123" i="2"/>
  <c r="G123" i="2"/>
  <c r="H123" i="2"/>
  <c r="K123" i="2"/>
  <c r="L123" i="2"/>
  <c r="M123" i="2"/>
  <c r="N123" i="2"/>
  <c r="O123" i="2"/>
  <c r="P123" i="2"/>
  <c r="Q123" i="2"/>
  <c r="R123" i="2"/>
  <c r="T123" i="2"/>
  <c r="A124" i="2"/>
  <c r="B124" i="2"/>
  <c r="C124" i="2"/>
  <c r="D124" i="2"/>
  <c r="E124" i="2"/>
  <c r="F124" i="2"/>
  <c r="G124" i="2"/>
  <c r="H124" i="2"/>
  <c r="K124" i="2"/>
  <c r="L124" i="2"/>
  <c r="M124" i="2"/>
  <c r="N124" i="2"/>
  <c r="O124" i="2"/>
  <c r="P124" i="2"/>
  <c r="Q124" i="2"/>
  <c r="R124" i="2"/>
  <c r="T124" i="2"/>
  <c r="A125" i="2"/>
  <c r="B125" i="2"/>
  <c r="C125" i="2"/>
  <c r="D125" i="2"/>
  <c r="E125" i="2"/>
  <c r="F125" i="2"/>
  <c r="G125" i="2"/>
  <c r="H125" i="2"/>
  <c r="K125" i="2"/>
  <c r="L125" i="2"/>
  <c r="M125" i="2"/>
  <c r="N125" i="2"/>
  <c r="O125" i="2"/>
  <c r="P125" i="2"/>
  <c r="Q125" i="2"/>
  <c r="R125" i="2"/>
  <c r="A126" i="2"/>
  <c r="B126" i="2"/>
  <c r="C126" i="2"/>
  <c r="D126" i="2"/>
  <c r="E126" i="2"/>
  <c r="F126" i="2"/>
  <c r="G126" i="2"/>
  <c r="H126" i="2"/>
  <c r="K126" i="2"/>
  <c r="L126" i="2"/>
  <c r="M126" i="2"/>
  <c r="N126" i="2"/>
  <c r="O126" i="2"/>
  <c r="P126" i="2"/>
  <c r="Q126" i="2"/>
  <c r="R126" i="2"/>
  <c r="T126" i="2"/>
  <c r="A127" i="2"/>
  <c r="B127" i="2"/>
  <c r="C127" i="2"/>
  <c r="D127" i="2"/>
  <c r="E127" i="2"/>
  <c r="F127" i="2"/>
  <c r="G127" i="2"/>
  <c r="H127" i="2"/>
  <c r="K127" i="2"/>
  <c r="L127" i="2"/>
  <c r="M127" i="2"/>
  <c r="N127" i="2"/>
  <c r="O127" i="2"/>
  <c r="P127" i="2"/>
  <c r="Q127" i="2"/>
  <c r="R127" i="2"/>
  <c r="T127" i="2"/>
  <c r="A128" i="2"/>
  <c r="B128" i="2"/>
  <c r="C128" i="2"/>
  <c r="D128" i="2"/>
  <c r="E128" i="2"/>
  <c r="F128" i="2"/>
  <c r="G128" i="2"/>
  <c r="H128" i="2"/>
  <c r="K128" i="2"/>
  <c r="L128" i="2"/>
  <c r="M128" i="2"/>
  <c r="N128" i="2"/>
  <c r="O128" i="2"/>
  <c r="P128" i="2"/>
  <c r="Q128" i="2"/>
  <c r="R128" i="2"/>
  <c r="T128" i="2"/>
  <c r="A129" i="2"/>
  <c r="B129" i="2"/>
  <c r="C129" i="2"/>
  <c r="D129" i="2"/>
  <c r="E129" i="2"/>
  <c r="F129" i="2"/>
  <c r="G129" i="2"/>
  <c r="H129" i="2"/>
  <c r="K129" i="2"/>
  <c r="L129" i="2"/>
  <c r="M129" i="2"/>
  <c r="N129" i="2"/>
  <c r="O129" i="2"/>
  <c r="P129" i="2"/>
  <c r="Q129" i="2"/>
  <c r="R129" i="2"/>
  <c r="T129" i="2"/>
  <c r="A130" i="2"/>
  <c r="B130" i="2"/>
  <c r="C130" i="2"/>
  <c r="D130" i="2"/>
  <c r="E130" i="2"/>
  <c r="F130" i="2"/>
  <c r="G130" i="2"/>
  <c r="H130" i="2"/>
  <c r="K130" i="2"/>
  <c r="L130" i="2"/>
  <c r="M130" i="2"/>
  <c r="N130" i="2"/>
  <c r="O130" i="2"/>
  <c r="P130" i="2"/>
  <c r="Q130" i="2"/>
  <c r="R130" i="2"/>
  <c r="T130" i="2"/>
  <c r="A131" i="2"/>
  <c r="B131" i="2"/>
  <c r="C131" i="2"/>
  <c r="D131" i="2"/>
  <c r="E131" i="2"/>
  <c r="F131" i="2"/>
  <c r="G131" i="2"/>
  <c r="H131" i="2"/>
  <c r="K131" i="2"/>
  <c r="L131" i="2"/>
  <c r="M131" i="2"/>
  <c r="N131" i="2"/>
  <c r="O131" i="2"/>
  <c r="P131" i="2"/>
  <c r="Q131" i="2"/>
  <c r="R131" i="2"/>
  <c r="A132" i="2"/>
  <c r="B132" i="2"/>
  <c r="C132" i="2"/>
  <c r="D132" i="2"/>
  <c r="E132" i="2"/>
  <c r="F132" i="2"/>
  <c r="G132" i="2"/>
  <c r="H132" i="2"/>
  <c r="K132" i="2"/>
  <c r="L132" i="2"/>
  <c r="M132" i="2"/>
  <c r="N132" i="2"/>
  <c r="O132" i="2"/>
  <c r="P132" i="2"/>
  <c r="Q132" i="2"/>
  <c r="R132" i="2"/>
  <c r="T132" i="2"/>
  <c r="A133" i="2"/>
  <c r="B133" i="2"/>
  <c r="C133" i="2"/>
  <c r="D133" i="2"/>
  <c r="E133" i="2"/>
  <c r="F133" i="2"/>
  <c r="G133" i="2"/>
  <c r="H133" i="2"/>
  <c r="K133" i="2"/>
  <c r="L133" i="2"/>
  <c r="M133" i="2"/>
  <c r="N133" i="2"/>
  <c r="O133" i="2"/>
  <c r="P133" i="2"/>
  <c r="Q133" i="2"/>
  <c r="R133" i="2"/>
  <c r="T133" i="2"/>
  <c r="A134" i="2"/>
  <c r="B134" i="2"/>
  <c r="C134" i="2"/>
  <c r="D134" i="2"/>
  <c r="E134" i="2"/>
  <c r="F134" i="2"/>
  <c r="G134" i="2"/>
  <c r="H134" i="2"/>
  <c r="K134" i="2"/>
  <c r="L134" i="2"/>
  <c r="M134" i="2"/>
  <c r="N134" i="2"/>
  <c r="O134" i="2"/>
  <c r="P134" i="2"/>
  <c r="Q134" i="2"/>
  <c r="R134" i="2"/>
  <c r="T134" i="2"/>
  <c r="A135" i="2"/>
  <c r="B135" i="2"/>
  <c r="C135" i="2"/>
  <c r="D135" i="2"/>
  <c r="E135" i="2"/>
  <c r="F135" i="2"/>
  <c r="G135" i="2"/>
  <c r="H135" i="2"/>
  <c r="K135" i="2"/>
  <c r="L135" i="2"/>
  <c r="M135" i="2"/>
  <c r="N135" i="2"/>
  <c r="O135" i="2"/>
  <c r="P135" i="2"/>
  <c r="Q135" i="2"/>
  <c r="R135" i="2"/>
  <c r="T135" i="2"/>
  <c r="A136" i="2"/>
  <c r="B136" i="2"/>
  <c r="C136" i="2"/>
  <c r="D136" i="2"/>
  <c r="E136" i="2"/>
  <c r="F136" i="2"/>
  <c r="G136" i="2"/>
  <c r="H136" i="2"/>
  <c r="K136" i="2"/>
  <c r="L136" i="2"/>
  <c r="M136" i="2"/>
  <c r="N136" i="2"/>
  <c r="O136" i="2"/>
  <c r="P136" i="2"/>
  <c r="Q136" i="2"/>
  <c r="R136" i="2"/>
  <c r="T136" i="2"/>
  <c r="A137" i="2"/>
  <c r="B137" i="2"/>
  <c r="C137" i="2"/>
  <c r="D137" i="2"/>
  <c r="E137" i="2"/>
  <c r="F137" i="2"/>
  <c r="G137" i="2"/>
  <c r="H137" i="2"/>
  <c r="K137" i="2"/>
  <c r="L137" i="2"/>
  <c r="M137" i="2"/>
  <c r="N137" i="2"/>
  <c r="O137" i="2"/>
  <c r="P137" i="2"/>
  <c r="Q137" i="2"/>
  <c r="R137" i="2"/>
  <c r="A138" i="2"/>
  <c r="B138" i="2"/>
  <c r="C138" i="2"/>
  <c r="D138" i="2"/>
  <c r="E138" i="2"/>
  <c r="F138" i="2"/>
  <c r="G138" i="2"/>
  <c r="H138" i="2"/>
  <c r="K138" i="2"/>
  <c r="L138" i="2"/>
  <c r="M138" i="2"/>
  <c r="N138" i="2"/>
  <c r="O138" i="2"/>
  <c r="P138" i="2"/>
  <c r="Q138" i="2"/>
  <c r="R138" i="2"/>
  <c r="T138" i="2"/>
  <c r="A139" i="2"/>
  <c r="B139" i="2"/>
  <c r="C139" i="2"/>
  <c r="D139" i="2"/>
  <c r="E139" i="2"/>
  <c r="F139" i="2"/>
  <c r="G139" i="2"/>
  <c r="H139" i="2"/>
  <c r="K139" i="2"/>
  <c r="L139" i="2"/>
  <c r="M139" i="2"/>
  <c r="N139" i="2"/>
  <c r="O139" i="2"/>
  <c r="P139" i="2"/>
  <c r="Q139" i="2"/>
  <c r="R139" i="2"/>
  <c r="T139" i="2"/>
  <c r="A140" i="2"/>
  <c r="B140" i="2"/>
  <c r="C140" i="2"/>
  <c r="D140" i="2"/>
  <c r="E140" i="2"/>
  <c r="F140" i="2"/>
  <c r="G140" i="2"/>
  <c r="H140" i="2"/>
  <c r="K140" i="2"/>
  <c r="L140" i="2"/>
  <c r="M140" i="2"/>
  <c r="N140" i="2"/>
  <c r="O140" i="2"/>
  <c r="P140" i="2"/>
  <c r="Q140" i="2"/>
  <c r="R140" i="2"/>
  <c r="T140" i="2"/>
  <c r="A141" i="2"/>
  <c r="B141" i="2"/>
  <c r="C141" i="2"/>
  <c r="D141" i="2"/>
  <c r="E141" i="2"/>
  <c r="F141" i="2"/>
  <c r="G141" i="2"/>
  <c r="H141" i="2"/>
  <c r="K141" i="2"/>
  <c r="L141" i="2"/>
  <c r="M141" i="2"/>
  <c r="N141" i="2"/>
  <c r="O141" i="2"/>
  <c r="P141" i="2"/>
  <c r="Q141" i="2"/>
  <c r="R141" i="2"/>
  <c r="T141" i="2"/>
  <c r="A142" i="2"/>
  <c r="B142" i="2"/>
  <c r="C142" i="2"/>
  <c r="D142" i="2"/>
  <c r="E142" i="2"/>
  <c r="F142" i="2"/>
  <c r="G142" i="2"/>
  <c r="H142" i="2"/>
  <c r="K142" i="2"/>
  <c r="L142" i="2"/>
  <c r="M142" i="2"/>
  <c r="N142" i="2"/>
  <c r="O142" i="2"/>
  <c r="P142" i="2"/>
  <c r="Q142" i="2"/>
  <c r="R142" i="2"/>
  <c r="T142" i="2"/>
  <c r="A143" i="2"/>
  <c r="B143" i="2"/>
  <c r="C143" i="2"/>
  <c r="D143" i="2"/>
  <c r="E143" i="2"/>
  <c r="F143" i="2"/>
  <c r="G143" i="2"/>
  <c r="H143" i="2"/>
  <c r="K143" i="2"/>
  <c r="L143" i="2"/>
  <c r="M143" i="2"/>
  <c r="N143" i="2"/>
  <c r="O143" i="2"/>
  <c r="P143" i="2"/>
  <c r="Q143" i="2"/>
  <c r="R143" i="2"/>
  <c r="A144" i="2"/>
  <c r="B144" i="2"/>
  <c r="C144" i="2"/>
  <c r="D144" i="2"/>
  <c r="E144" i="2"/>
  <c r="F144" i="2"/>
  <c r="G144" i="2"/>
  <c r="H144" i="2"/>
  <c r="K144" i="2"/>
  <c r="L144" i="2"/>
  <c r="M144" i="2"/>
  <c r="N144" i="2"/>
  <c r="O144" i="2"/>
  <c r="P144" i="2"/>
  <c r="Q144" i="2"/>
  <c r="R144" i="2"/>
  <c r="T144" i="2"/>
  <c r="A145" i="2"/>
  <c r="B145" i="2"/>
  <c r="C145" i="2"/>
  <c r="D145" i="2"/>
  <c r="E145" i="2"/>
  <c r="F145" i="2"/>
  <c r="G145" i="2"/>
  <c r="H145" i="2"/>
  <c r="K145" i="2"/>
  <c r="L145" i="2"/>
  <c r="M145" i="2"/>
  <c r="N145" i="2"/>
  <c r="O145" i="2"/>
  <c r="P145" i="2"/>
  <c r="Q145" i="2"/>
  <c r="R145" i="2"/>
  <c r="T145" i="2"/>
  <c r="A146" i="2"/>
  <c r="B146" i="2"/>
  <c r="C146" i="2"/>
  <c r="D146" i="2"/>
  <c r="E146" i="2"/>
  <c r="F146" i="2"/>
  <c r="G146" i="2"/>
  <c r="H146" i="2"/>
  <c r="K146" i="2"/>
  <c r="L146" i="2"/>
  <c r="M146" i="2"/>
  <c r="N146" i="2"/>
  <c r="O146" i="2"/>
  <c r="P146" i="2"/>
  <c r="Q146" i="2"/>
  <c r="R146" i="2"/>
  <c r="T146" i="2"/>
  <c r="A147" i="2"/>
  <c r="B147" i="2"/>
  <c r="C147" i="2"/>
  <c r="D147" i="2"/>
  <c r="E147" i="2"/>
  <c r="F147" i="2"/>
  <c r="G147" i="2"/>
  <c r="H147" i="2"/>
  <c r="K147" i="2"/>
  <c r="L147" i="2"/>
  <c r="M147" i="2"/>
  <c r="N147" i="2"/>
  <c r="O147" i="2"/>
  <c r="P147" i="2"/>
  <c r="Q147" i="2"/>
  <c r="R147" i="2"/>
  <c r="T147" i="2"/>
  <c r="A148" i="2"/>
  <c r="B148" i="2"/>
  <c r="C148" i="2"/>
  <c r="D148" i="2"/>
  <c r="E148" i="2"/>
  <c r="F148" i="2"/>
  <c r="G148" i="2"/>
  <c r="H148" i="2"/>
  <c r="K148" i="2"/>
  <c r="L148" i="2"/>
  <c r="M148" i="2"/>
  <c r="N148" i="2"/>
  <c r="O148" i="2"/>
  <c r="P148" i="2"/>
  <c r="Q148" i="2"/>
  <c r="R148" i="2"/>
  <c r="T148" i="2"/>
  <c r="A149" i="2"/>
  <c r="B149" i="2"/>
  <c r="C149" i="2"/>
  <c r="D149" i="2"/>
  <c r="E149" i="2"/>
  <c r="F149" i="2"/>
  <c r="G149" i="2"/>
  <c r="H149" i="2"/>
  <c r="K149" i="2"/>
  <c r="L149" i="2"/>
  <c r="M149" i="2"/>
  <c r="N149" i="2"/>
  <c r="O149" i="2"/>
  <c r="P149" i="2"/>
  <c r="Q149" i="2"/>
  <c r="R149" i="2"/>
  <c r="A150" i="2"/>
  <c r="B150" i="2"/>
  <c r="C150" i="2"/>
  <c r="D150" i="2"/>
  <c r="E150" i="2"/>
  <c r="F150" i="2"/>
  <c r="G150" i="2"/>
  <c r="H150" i="2"/>
  <c r="K150" i="2"/>
  <c r="L150" i="2"/>
  <c r="M150" i="2"/>
  <c r="N150" i="2"/>
  <c r="O150" i="2"/>
  <c r="P150" i="2"/>
  <c r="Q150" i="2"/>
  <c r="R150" i="2"/>
  <c r="T150" i="2"/>
  <c r="A151" i="2"/>
  <c r="B151" i="2"/>
  <c r="C151" i="2"/>
  <c r="D151" i="2"/>
  <c r="E151" i="2"/>
  <c r="F151" i="2"/>
  <c r="G151" i="2"/>
  <c r="H151" i="2"/>
  <c r="K151" i="2"/>
  <c r="L151" i="2"/>
  <c r="M151" i="2"/>
  <c r="N151" i="2"/>
  <c r="O151" i="2"/>
  <c r="P151" i="2"/>
  <c r="Q151" i="2"/>
  <c r="R151" i="2"/>
  <c r="T151" i="2"/>
  <c r="A152" i="2"/>
  <c r="B152" i="2"/>
  <c r="C152" i="2"/>
  <c r="D152" i="2"/>
  <c r="E152" i="2"/>
  <c r="F152" i="2"/>
  <c r="G152" i="2"/>
  <c r="H152" i="2"/>
  <c r="K152" i="2"/>
  <c r="L152" i="2"/>
  <c r="M152" i="2"/>
  <c r="N152" i="2"/>
  <c r="O152" i="2"/>
  <c r="P152" i="2"/>
  <c r="Q152" i="2"/>
  <c r="R152" i="2"/>
  <c r="T152" i="2"/>
  <c r="A153" i="2"/>
  <c r="B153" i="2"/>
  <c r="C153" i="2"/>
  <c r="D153" i="2"/>
  <c r="E153" i="2"/>
  <c r="F153" i="2"/>
  <c r="G153" i="2"/>
  <c r="H153" i="2"/>
  <c r="K153" i="2"/>
  <c r="L153" i="2"/>
  <c r="M153" i="2"/>
  <c r="N153" i="2"/>
  <c r="O153" i="2"/>
  <c r="P153" i="2"/>
  <c r="Q153" i="2"/>
  <c r="R153" i="2"/>
  <c r="T153" i="2"/>
  <c r="A154" i="2"/>
  <c r="B154" i="2"/>
  <c r="C154" i="2"/>
  <c r="D154" i="2"/>
  <c r="E154" i="2"/>
  <c r="F154" i="2"/>
  <c r="G154" i="2"/>
  <c r="H154" i="2"/>
  <c r="K154" i="2"/>
  <c r="L154" i="2"/>
  <c r="M154" i="2"/>
  <c r="N154" i="2"/>
  <c r="O154" i="2"/>
  <c r="P154" i="2"/>
  <c r="Q154" i="2"/>
  <c r="R154" i="2"/>
  <c r="T154" i="2"/>
  <c r="A155" i="2"/>
  <c r="B155" i="2"/>
  <c r="C155" i="2"/>
  <c r="D155" i="2"/>
  <c r="E155" i="2"/>
  <c r="F155" i="2"/>
  <c r="G155" i="2"/>
  <c r="H155" i="2"/>
  <c r="K155" i="2"/>
  <c r="L155" i="2"/>
  <c r="M155" i="2"/>
  <c r="N155" i="2"/>
  <c r="O155" i="2"/>
  <c r="P155" i="2"/>
  <c r="Q155" i="2"/>
  <c r="R155" i="2"/>
  <c r="A156" i="2"/>
  <c r="B156" i="2"/>
  <c r="C156" i="2"/>
  <c r="D156" i="2"/>
  <c r="E156" i="2"/>
  <c r="F156" i="2"/>
  <c r="G156" i="2"/>
  <c r="H156" i="2"/>
  <c r="K156" i="2"/>
  <c r="L156" i="2"/>
  <c r="M156" i="2"/>
  <c r="N156" i="2"/>
  <c r="O156" i="2"/>
  <c r="P156" i="2"/>
  <c r="Q156" i="2"/>
  <c r="R156" i="2"/>
  <c r="T156" i="2"/>
  <c r="A157" i="2"/>
  <c r="B157" i="2"/>
  <c r="C157" i="2"/>
  <c r="D157" i="2"/>
  <c r="E157" i="2"/>
  <c r="F157" i="2"/>
  <c r="G157" i="2"/>
  <c r="H157" i="2"/>
  <c r="K157" i="2"/>
  <c r="L157" i="2"/>
  <c r="M157" i="2"/>
  <c r="N157" i="2"/>
  <c r="O157" i="2"/>
  <c r="P157" i="2"/>
  <c r="Q157" i="2"/>
  <c r="R157" i="2"/>
  <c r="T157" i="2"/>
  <c r="A158" i="2"/>
  <c r="B158" i="2"/>
  <c r="C158" i="2"/>
  <c r="D158" i="2"/>
  <c r="E158" i="2"/>
  <c r="F158" i="2"/>
  <c r="G158" i="2"/>
  <c r="H158" i="2"/>
  <c r="K158" i="2"/>
  <c r="L158" i="2"/>
  <c r="M158" i="2"/>
  <c r="N158" i="2"/>
  <c r="O158" i="2"/>
  <c r="P158" i="2"/>
  <c r="Q158" i="2"/>
  <c r="R158" i="2"/>
  <c r="T158" i="2"/>
  <c r="A159" i="2"/>
  <c r="B159" i="2"/>
  <c r="C159" i="2"/>
  <c r="D159" i="2"/>
  <c r="E159" i="2"/>
  <c r="F159" i="2"/>
  <c r="G159" i="2"/>
  <c r="H159" i="2"/>
  <c r="K159" i="2"/>
  <c r="L159" i="2"/>
  <c r="M159" i="2"/>
  <c r="N159" i="2"/>
  <c r="O159" i="2"/>
  <c r="P159" i="2"/>
  <c r="Q159" i="2"/>
  <c r="R159" i="2"/>
  <c r="T159" i="2"/>
  <c r="A160" i="2"/>
  <c r="B160" i="2"/>
  <c r="C160" i="2"/>
  <c r="D160" i="2"/>
  <c r="E160" i="2"/>
  <c r="F160" i="2"/>
  <c r="G160" i="2"/>
  <c r="H160" i="2"/>
  <c r="K160" i="2"/>
  <c r="L160" i="2"/>
  <c r="M160" i="2"/>
  <c r="N160" i="2"/>
  <c r="O160" i="2"/>
  <c r="P160" i="2"/>
  <c r="Q160" i="2"/>
  <c r="R160" i="2"/>
  <c r="T160" i="2"/>
  <c r="A161" i="2"/>
  <c r="B161" i="2"/>
  <c r="C161" i="2"/>
  <c r="D161" i="2"/>
  <c r="E161" i="2"/>
  <c r="F161" i="2"/>
  <c r="G161" i="2"/>
  <c r="H161" i="2"/>
  <c r="K161" i="2"/>
  <c r="L161" i="2"/>
  <c r="M161" i="2"/>
  <c r="N161" i="2"/>
  <c r="O161" i="2"/>
  <c r="P161" i="2"/>
  <c r="Q161" i="2"/>
  <c r="R161" i="2"/>
  <c r="A162" i="2"/>
  <c r="B162" i="2"/>
  <c r="C162" i="2"/>
  <c r="D162" i="2"/>
  <c r="E162" i="2"/>
  <c r="F162" i="2"/>
  <c r="G162" i="2"/>
  <c r="H162" i="2"/>
  <c r="K162" i="2"/>
  <c r="L162" i="2"/>
  <c r="M162" i="2"/>
  <c r="N162" i="2"/>
  <c r="O162" i="2"/>
  <c r="P162" i="2"/>
  <c r="Q162" i="2"/>
  <c r="R162" i="2"/>
  <c r="T162" i="2"/>
  <c r="A163" i="2"/>
  <c r="B163" i="2"/>
  <c r="C163" i="2"/>
  <c r="D163" i="2"/>
  <c r="E163" i="2"/>
  <c r="F163" i="2"/>
  <c r="G163" i="2"/>
  <c r="H163" i="2"/>
  <c r="K163" i="2"/>
  <c r="L163" i="2"/>
  <c r="M163" i="2"/>
  <c r="N163" i="2"/>
  <c r="O163" i="2"/>
  <c r="P163" i="2"/>
  <c r="Q163" i="2"/>
  <c r="R163" i="2"/>
  <c r="T163" i="2"/>
  <c r="A164" i="2"/>
  <c r="B164" i="2"/>
  <c r="C164" i="2"/>
  <c r="D164" i="2"/>
  <c r="E164" i="2"/>
  <c r="F164" i="2"/>
  <c r="G164" i="2"/>
  <c r="H164" i="2"/>
  <c r="K164" i="2"/>
  <c r="L164" i="2"/>
  <c r="M164" i="2"/>
  <c r="N164" i="2"/>
  <c r="O164" i="2"/>
  <c r="P164" i="2"/>
  <c r="Q164" i="2"/>
  <c r="R164" i="2"/>
  <c r="T164" i="2"/>
  <c r="A165" i="2"/>
  <c r="B165" i="2"/>
  <c r="C165" i="2"/>
  <c r="D165" i="2"/>
  <c r="E165" i="2"/>
  <c r="F165" i="2"/>
  <c r="G165" i="2"/>
  <c r="H165" i="2"/>
  <c r="K165" i="2"/>
  <c r="L165" i="2"/>
  <c r="M165" i="2"/>
  <c r="N165" i="2"/>
  <c r="O165" i="2"/>
  <c r="P165" i="2"/>
  <c r="Q165" i="2"/>
  <c r="R165" i="2"/>
  <c r="T165" i="2"/>
  <c r="A166" i="2"/>
  <c r="B166" i="2"/>
  <c r="C166" i="2"/>
  <c r="D166" i="2"/>
  <c r="E166" i="2"/>
  <c r="F166" i="2"/>
  <c r="G166" i="2"/>
  <c r="H166" i="2"/>
  <c r="K166" i="2"/>
  <c r="L166" i="2"/>
  <c r="M166" i="2"/>
  <c r="N166" i="2"/>
  <c r="O166" i="2"/>
  <c r="P166" i="2"/>
  <c r="Q166" i="2"/>
  <c r="R166" i="2"/>
  <c r="T166" i="2"/>
  <c r="A167" i="2"/>
  <c r="B167" i="2"/>
  <c r="C167" i="2"/>
  <c r="D167" i="2"/>
  <c r="E167" i="2"/>
  <c r="F167" i="2"/>
  <c r="G167" i="2"/>
  <c r="H167" i="2"/>
  <c r="K167" i="2"/>
  <c r="L167" i="2"/>
  <c r="M167" i="2"/>
  <c r="N167" i="2"/>
  <c r="O167" i="2"/>
  <c r="P167" i="2"/>
  <c r="Q167" i="2"/>
  <c r="R167" i="2"/>
  <c r="A168" i="2"/>
  <c r="B168" i="2"/>
  <c r="C168" i="2"/>
  <c r="D168" i="2"/>
  <c r="E168" i="2"/>
  <c r="F168" i="2"/>
  <c r="G168" i="2"/>
  <c r="H168" i="2"/>
  <c r="K168" i="2"/>
  <c r="L168" i="2"/>
  <c r="M168" i="2"/>
  <c r="N168" i="2"/>
  <c r="O168" i="2"/>
  <c r="P168" i="2"/>
  <c r="Q168" i="2"/>
  <c r="R168" i="2"/>
  <c r="T168" i="2"/>
  <c r="A169" i="2"/>
  <c r="B169" i="2"/>
  <c r="C169" i="2"/>
  <c r="D169" i="2"/>
  <c r="E169" i="2"/>
  <c r="F169" i="2"/>
  <c r="G169" i="2"/>
  <c r="H169" i="2"/>
  <c r="K169" i="2"/>
  <c r="L169" i="2"/>
  <c r="M169" i="2"/>
  <c r="N169" i="2"/>
  <c r="O169" i="2"/>
  <c r="P169" i="2"/>
  <c r="Q169" i="2"/>
  <c r="R169" i="2"/>
  <c r="T169" i="2"/>
  <c r="A170" i="2"/>
  <c r="B170" i="2"/>
  <c r="C170" i="2"/>
  <c r="D170" i="2"/>
  <c r="E170" i="2"/>
  <c r="F170" i="2"/>
  <c r="G170" i="2"/>
  <c r="H170" i="2"/>
  <c r="K170" i="2"/>
  <c r="L170" i="2"/>
  <c r="M170" i="2"/>
  <c r="N170" i="2"/>
  <c r="O170" i="2"/>
  <c r="P170" i="2"/>
  <c r="Q170" i="2"/>
  <c r="R170" i="2"/>
  <c r="T170" i="2"/>
  <c r="A171" i="2"/>
  <c r="B171" i="2"/>
  <c r="C171" i="2"/>
  <c r="D171" i="2"/>
  <c r="E171" i="2"/>
  <c r="F171" i="2"/>
  <c r="G171" i="2"/>
  <c r="H171" i="2"/>
  <c r="K171" i="2"/>
  <c r="L171" i="2"/>
  <c r="M171" i="2"/>
  <c r="N171" i="2"/>
  <c r="O171" i="2"/>
  <c r="P171" i="2"/>
  <c r="Q171" i="2"/>
  <c r="R171" i="2"/>
  <c r="T171" i="2"/>
  <c r="A172" i="2"/>
  <c r="B172" i="2"/>
  <c r="C172" i="2"/>
  <c r="D172" i="2"/>
  <c r="E172" i="2"/>
  <c r="F172" i="2"/>
  <c r="G172" i="2"/>
  <c r="H172" i="2"/>
  <c r="K172" i="2"/>
  <c r="L172" i="2"/>
  <c r="M172" i="2"/>
  <c r="N172" i="2"/>
  <c r="O172" i="2"/>
  <c r="P172" i="2"/>
  <c r="Q172" i="2"/>
  <c r="R172" i="2"/>
  <c r="T172" i="2"/>
  <c r="A173" i="2"/>
  <c r="B173" i="2"/>
  <c r="C173" i="2"/>
  <c r="D173" i="2"/>
  <c r="E173" i="2"/>
  <c r="F173" i="2"/>
  <c r="G173" i="2"/>
  <c r="H173" i="2"/>
  <c r="K173" i="2"/>
  <c r="L173" i="2"/>
  <c r="M173" i="2"/>
  <c r="N173" i="2"/>
  <c r="O173" i="2"/>
  <c r="P173" i="2"/>
  <c r="Q173" i="2"/>
  <c r="R173" i="2"/>
  <c r="A174" i="2"/>
  <c r="B174" i="2"/>
  <c r="C174" i="2"/>
  <c r="D174" i="2"/>
  <c r="E174" i="2"/>
  <c r="F174" i="2"/>
  <c r="G174" i="2"/>
  <c r="H174" i="2"/>
  <c r="K174" i="2"/>
  <c r="L174" i="2"/>
  <c r="M174" i="2"/>
  <c r="N174" i="2"/>
  <c r="O174" i="2"/>
  <c r="P174" i="2"/>
  <c r="Q174" i="2"/>
  <c r="R174" i="2"/>
  <c r="T174" i="2"/>
  <c r="A175" i="2"/>
  <c r="B175" i="2"/>
  <c r="C175" i="2"/>
  <c r="D175" i="2"/>
  <c r="E175" i="2"/>
  <c r="F175" i="2"/>
  <c r="G175" i="2"/>
  <c r="H175" i="2"/>
  <c r="K175" i="2"/>
  <c r="L175" i="2"/>
  <c r="M175" i="2"/>
  <c r="N175" i="2"/>
  <c r="O175" i="2"/>
  <c r="P175" i="2"/>
  <c r="Q175" i="2"/>
  <c r="R175" i="2"/>
  <c r="T175" i="2"/>
  <c r="A176" i="2"/>
  <c r="B176" i="2"/>
  <c r="C176" i="2"/>
  <c r="D176" i="2"/>
  <c r="E176" i="2"/>
  <c r="F176" i="2"/>
  <c r="G176" i="2"/>
  <c r="H176" i="2"/>
  <c r="K176" i="2"/>
  <c r="L176" i="2"/>
  <c r="M176" i="2"/>
  <c r="N176" i="2"/>
  <c r="O176" i="2"/>
  <c r="P176" i="2"/>
  <c r="Q176" i="2"/>
  <c r="R176" i="2"/>
  <c r="T176" i="2"/>
  <c r="A177" i="2"/>
  <c r="B177" i="2"/>
  <c r="C177" i="2"/>
  <c r="D177" i="2"/>
  <c r="E177" i="2"/>
  <c r="F177" i="2"/>
  <c r="G177" i="2"/>
  <c r="H177" i="2"/>
  <c r="K177" i="2"/>
  <c r="L177" i="2"/>
  <c r="M177" i="2"/>
  <c r="N177" i="2"/>
  <c r="O177" i="2"/>
  <c r="P177" i="2"/>
  <c r="Q177" i="2"/>
  <c r="R177" i="2"/>
  <c r="T177" i="2"/>
  <c r="A178" i="2"/>
  <c r="B178" i="2"/>
  <c r="C178" i="2"/>
  <c r="D178" i="2"/>
  <c r="E178" i="2"/>
  <c r="F178" i="2"/>
  <c r="G178" i="2"/>
  <c r="H178" i="2"/>
  <c r="K178" i="2"/>
  <c r="L178" i="2"/>
  <c r="M178" i="2"/>
  <c r="N178" i="2"/>
  <c r="O178" i="2"/>
  <c r="P178" i="2"/>
  <c r="Q178" i="2"/>
  <c r="R178" i="2"/>
  <c r="T178" i="2"/>
  <c r="A179" i="2"/>
  <c r="B179" i="2"/>
  <c r="C179" i="2"/>
  <c r="D179" i="2"/>
  <c r="E179" i="2"/>
  <c r="F179" i="2"/>
  <c r="G179" i="2"/>
  <c r="H179" i="2"/>
  <c r="K179" i="2"/>
  <c r="L179" i="2"/>
  <c r="M179" i="2"/>
  <c r="N179" i="2"/>
  <c r="O179" i="2"/>
  <c r="P179" i="2"/>
  <c r="Q179" i="2"/>
  <c r="R179" i="2"/>
  <c r="A180" i="2"/>
  <c r="B180" i="2"/>
  <c r="C180" i="2"/>
  <c r="D180" i="2"/>
  <c r="E180" i="2"/>
  <c r="F180" i="2"/>
  <c r="G180" i="2"/>
  <c r="H180" i="2"/>
  <c r="K180" i="2"/>
  <c r="L180" i="2"/>
  <c r="M180" i="2"/>
  <c r="N180" i="2"/>
  <c r="O180" i="2"/>
  <c r="P180" i="2"/>
  <c r="Q180" i="2"/>
  <c r="R180" i="2"/>
  <c r="T180" i="2"/>
  <c r="A181" i="2"/>
  <c r="B181" i="2"/>
  <c r="C181" i="2"/>
  <c r="D181" i="2"/>
  <c r="E181" i="2"/>
  <c r="F181" i="2"/>
  <c r="G181" i="2"/>
  <c r="H181" i="2"/>
  <c r="K181" i="2"/>
  <c r="L181" i="2"/>
  <c r="M181" i="2"/>
  <c r="N181" i="2"/>
  <c r="O181" i="2"/>
  <c r="P181" i="2"/>
  <c r="Q181" i="2"/>
  <c r="R181" i="2"/>
  <c r="T181" i="2"/>
  <c r="A182" i="2"/>
  <c r="B182" i="2"/>
  <c r="C182" i="2"/>
  <c r="D182" i="2"/>
  <c r="E182" i="2"/>
  <c r="F182" i="2"/>
  <c r="G182" i="2"/>
  <c r="H182" i="2"/>
  <c r="K182" i="2"/>
  <c r="L182" i="2"/>
  <c r="M182" i="2"/>
  <c r="N182" i="2"/>
  <c r="O182" i="2"/>
  <c r="P182" i="2"/>
  <c r="Q182" i="2"/>
  <c r="R182" i="2"/>
  <c r="T182" i="2"/>
  <c r="A183" i="2"/>
  <c r="B183" i="2"/>
  <c r="C183" i="2"/>
  <c r="D183" i="2"/>
  <c r="E183" i="2"/>
  <c r="F183" i="2"/>
  <c r="G183" i="2"/>
  <c r="H183" i="2"/>
  <c r="K183" i="2"/>
  <c r="L183" i="2"/>
  <c r="M183" i="2"/>
  <c r="N183" i="2"/>
  <c r="O183" i="2"/>
  <c r="P183" i="2"/>
  <c r="Q183" i="2"/>
  <c r="R183" i="2"/>
  <c r="T183" i="2"/>
  <c r="A184" i="2"/>
  <c r="B184" i="2"/>
  <c r="C184" i="2"/>
  <c r="D184" i="2"/>
  <c r="E184" i="2"/>
  <c r="F184" i="2"/>
  <c r="G184" i="2"/>
  <c r="H184" i="2"/>
  <c r="K184" i="2"/>
  <c r="L184" i="2"/>
  <c r="M184" i="2"/>
  <c r="N184" i="2"/>
  <c r="O184" i="2"/>
  <c r="P184" i="2"/>
  <c r="Q184" i="2"/>
  <c r="R184" i="2"/>
  <c r="T184" i="2"/>
  <c r="A185" i="2"/>
  <c r="B185" i="2"/>
  <c r="C185" i="2"/>
  <c r="D185" i="2"/>
  <c r="E185" i="2"/>
  <c r="F185" i="2"/>
  <c r="G185" i="2"/>
  <c r="H185" i="2"/>
  <c r="K185" i="2"/>
  <c r="L185" i="2"/>
  <c r="M185" i="2"/>
  <c r="N185" i="2"/>
  <c r="O185" i="2"/>
  <c r="P185" i="2"/>
  <c r="Q185" i="2"/>
  <c r="R185" i="2"/>
  <c r="A186" i="2"/>
  <c r="B186" i="2"/>
  <c r="C186" i="2"/>
  <c r="D186" i="2"/>
  <c r="E186" i="2"/>
  <c r="F186" i="2"/>
  <c r="G186" i="2"/>
  <c r="H186" i="2"/>
  <c r="K186" i="2"/>
  <c r="L186" i="2"/>
  <c r="M186" i="2"/>
  <c r="N186" i="2"/>
  <c r="O186" i="2"/>
  <c r="P186" i="2"/>
  <c r="Q186" i="2"/>
  <c r="R186" i="2"/>
  <c r="T186" i="2"/>
  <c r="A187" i="2"/>
  <c r="B187" i="2"/>
  <c r="C187" i="2"/>
  <c r="D187" i="2"/>
  <c r="E187" i="2"/>
  <c r="F187" i="2"/>
  <c r="G187" i="2"/>
  <c r="H187" i="2"/>
  <c r="K187" i="2"/>
  <c r="L187" i="2"/>
  <c r="M187" i="2"/>
  <c r="N187" i="2"/>
  <c r="O187" i="2"/>
  <c r="P187" i="2"/>
  <c r="Q187" i="2"/>
  <c r="R187" i="2"/>
  <c r="T187" i="2"/>
  <c r="A188" i="2"/>
  <c r="B188" i="2"/>
  <c r="C188" i="2"/>
  <c r="D188" i="2"/>
  <c r="E188" i="2"/>
  <c r="F188" i="2"/>
  <c r="G188" i="2"/>
  <c r="H188" i="2"/>
  <c r="K188" i="2"/>
  <c r="L188" i="2"/>
  <c r="M188" i="2"/>
  <c r="N188" i="2"/>
  <c r="O188" i="2"/>
  <c r="P188" i="2"/>
  <c r="Q188" i="2"/>
  <c r="R188" i="2"/>
  <c r="T188" i="2"/>
  <c r="A189" i="2"/>
  <c r="B189" i="2"/>
  <c r="C189" i="2"/>
  <c r="D189" i="2"/>
  <c r="E189" i="2"/>
  <c r="F189" i="2"/>
  <c r="G189" i="2"/>
  <c r="H189" i="2"/>
  <c r="K189" i="2"/>
  <c r="L189" i="2"/>
  <c r="M189" i="2"/>
  <c r="N189" i="2"/>
  <c r="O189" i="2"/>
  <c r="P189" i="2"/>
  <c r="Q189" i="2"/>
  <c r="R189" i="2"/>
  <c r="T189" i="2"/>
  <c r="A190" i="2"/>
  <c r="B190" i="2"/>
  <c r="C190" i="2"/>
  <c r="D190" i="2"/>
  <c r="E190" i="2"/>
  <c r="F190" i="2"/>
  <c r="G190" i="2"/>
  <c r="H190" i="2"/>
  <c r="K190" i="2"/>
  <c r="L190" i="2"/>
  <c r="M190" i="2"/>
  <c r="N190" i="2"/>
  <c r="O190" i="2"/>
  <c r="P190" i="2"/>
  <c r="Q190" i="2"/>
  <c r="R190" i="2"/>
  <c r="T190" i="2"/>
  <c r="A191" i="2"/>
  <c r="B191" i="2"/>
  <c r="C191" i="2"/>
  <c r="D191" i="2"/>
  <c r="E191" i="2"/>
  <c r="F191" i="2"/>
  <c r="G191" i="2"/>
  <c r="H191" i="2"/>
  <c r="K191" i="2"/>
  <c r="L191" i="2"/>
  <c r="M191" i="2"/>
  <c r="N191" i="2"/>
  <c r="O191" i="2"/>
  <c r="P191" i="2"/>
  <c r="Q191" i="2"/>
  <c r="R191" i="2"/>
  <c r="A192" i="2"/>
  <c r="B192" i="2"/>
  <c r="C192" i="2"/>
  <c r="D192" i="2"/>
  <c r="E192" i="2"/>
  <c r="F192" i="2"/>
  <c r="G192" i="2"/>
  <c r="H192" i="2"/>
  <c r="K192" i="2"/>
  <c r="L192" i="2"/>
  <c r="M192" i="2"/>
  <c r="N192" i="2"/>
  <c r="O192" i="2"/>
  <c r="P192" i="2"/>
  <c r="Q192" i="2"/>
  <c r="R192" i="2"/>
  <c r="T192" i="2"/>
  <c r="A193" i="2"/>
  <c r="B193" i="2"/>
  <c r="C193" i="2"/>
  <c r="D193" i="2"/>
  <c r="E193" i="2"/>
  <c r="F193" i="2"/>
  <c r="G193" i="2"/>
  <c r="H193" i="2"/>
  <c r="K193" i="2"/>
  <c r="L193" i="2"/>
  <c r="M193" i="2"/>
  <c r="N193" i="2"/>
  <c r="O193" i="2"/>
  <c r="P193" i="2"/>
  <c r="Q193" i="2"/>
  <c r="R193" i="2"/>
  <c r="T193" i="2"/>
  <c r="A194" i="2"/>
  <c r="B194" i="2"/>
  <c r="C194" i="2"/>
  <c r="D194" i="2"/>
  <c r="E194" i="2"/>
  <c r="F194" i="2"/>
  <c r="G194" i="2"/>
  <c r="H194" i="2"/>
  <c r="K194" i="2"/>
  <c r="L194" i="2"/>
  <c r="M194" i="2"/>
  <c r="N194" i="2"/>
  <c r="O194" i="2"/>
  <c r="P194" i="2"/>
  <c r="Q194" i="2"/>
  <c r="R194" i="2"/>
  <c r="T194" i="2"/>
  <c r="A195" i="2"/>
  <c r="B195" i="2"/>
  <c r="C195" i="2"/>
  <c r="D195" i="2"/>
  <c r="E195" i="2"/>
  <c r="F195" i="2"/>
  <c r="G195" i="2"/>
  <c r="H195" i="2"/>
  <c r="K195" i="2"/>
  <c r="L195" i="2"/>
  <c r="M195" i="2"/>
  <c r="N195" i="2"/>
  <c r="O195" i="2"/>
  <c r="P195" i="2"/>
  <c r="Q195" i="2"/>
  <c r="R195" i="2"/>
  <c r="T195" i="2"/>
  <c r="A196" i="2"/>
  <c r="B196" i="2"/>
  <c r="C196" i="2"/>
  <c r="D196" i="2"/>
  <c r="E196" i="2"/>
  <c r="F196" i="2"/>
  <c r="G196" i="2"/>
  <c r="H196" i="2"/>
  <c r="K196" i="2"/>
  <c r="L196" i="2"/>
  <c r="M196" i="2"/>
  <c r="N196" i="2"/>
  <c r="O196" i="2"/>
  <c r="P196" i="2"/>
  <c r="Q196" i="2"/>
  <c r="R196" i="2"/>
  <c r="T196" i="2"/>
  <c r="A197" i="2"/>
  <c r="A198" i="2"/>
  <c r="A199" i="2"/>
  <c r="A200" i="2"/>
  <c r="A201" i="2"/>
  <c r="A202" i="2"/>
  <c r="A203" i="2"/>
  <c r="A204" i="2"/>
  <c r="A205" i="2"/>
  <c r="A206" i="2"/>
  <c r="A207" i="2"/>
  <c r="A208" i="2"/>
  <c r="A209" i="2"/>
  <c r="A210" i="2"/>
  <c r="A211" i="2"/>
  <c r="A212" i="2"/>
  <c r="F5" i="1"/>
  <c r="H5" i="1"/>
  <c r="K5" i="1"/>
  <c r="L5" i="1"/>
  <c r="V5" i="1"/>
  <c r="W5" i="1"/>
  <c r="A6" i="1"/>
  <c r="F6" i="1"/>
  <c r="H6" i="1"/>
  <c r="K6" i="1"/>
  <c r="L6" i="1"/>
  <c r="V6" i="1"/>
  <c r="W6" i="1"/>
  <c r="A7" i="1"/>
  <c r="F7" i="1"/>
  <c r="H7" i="1"/>
  <c r="K7" i="1"/>
  <c r="L7" i="1"/>
  <c r="V7" i="1"/>
  <c r="W7" i="1"/>
  <c r="A8" i="1"/>
  <c r="F8" i="1"/>
  <c r="H8" i="1"/>
  <c r="K8" i="1"/>
  <c r="L8" i="1"/>
  <c r="V8" i="1"/>
  <c r="W8" i="1"/>
  <c r="A9" i="1"/>
  <c r="F9" i="1"/>
  <c r="H9" i="1"/>
  <c r="K9" i="1"/>
  <c r="L9" i="1"/>
  <c r="V9" i="1"/>
  <c r="W9" i="1"/>
  <c r="A10" i="1"/>
  <c r="F10" i="1"/>
  <c r="H10" i="1"/>
  <c r="K10" i="1"/>
  <c r="L10" i="1"/>
  <c r="V10" i="1"/>
  <c r="W10" i="1"/>
  <c r="A11" i="1"/>
  <c r="F11" i="1"/>
  <c r="H11" i="1"/>
  <c r="K11" i="1"/>
  <c r="L11" i="1"/>
  <c r="V11" i="1"/>
  <c r="W11" i="1"/>
  <c r="A12" i="1"/>
  <c r="A13" i="1"/>
  <c r="A14" i="1"/>
  <c r="A15" i="1"/>
  <c r="A16" i="1"/>
  <c r="A17" i="1"/>
  <c r="B17" i="1"/>
  <c r="C17" i="1"/>
  <c r="D17" i="1"/>
  <c r="E17" i="1"/>
  <c r="F17" i="1"/>
  <c r="G17" i="1"/>
  <c r="H17" i="1"/>
  <c r="I17" i="1"/>
  <c r="K17" i="1"/>
  <c r="L17" i="1"/>
  <c r="R17" i="1"/>
  <c r="S17" i="1"/>
  <c r="T17" i="1"/>
  <c r="U17" i="1"/>
  <c r="V17" i="1"/>
  <c r="W17" i="1"/>
  <c r="A18" i="1"/>
  <c r="B18" i="1"/>
  <c r="C18" i="1"/>
  <c r="D18" i="1"/>
  <c r="E18" i="1"/>
  <c r="F18" i="1"/>
  <c r="G18" i="1"/>
  <c r="H18" i="1"/>
  <c r="I18" i="1"/>
  <c r="K18" i="1"/>
  <c r="L18" i="1"/>
  <c r="R18" i="1"/>
  <c r="S18" i="1"/>
  <c r="T18" i="1"/>
  <c r="U18" i="1"/>
  <c r="V18" i="1"/>
  <c r="W18" i="1"/>
  <c r="Y18" i="1"/>
  <c r="A19" i="1"/>
  <c r="B19" i="1"/>
  <c r="C19" i="1"/>
  <c r="D19" i="1"/>
  <c r="E19" i="1"/>
  <c r="F19" i="1"/>
  <c r="G19" i="1"/>
  <c r="H19" i="1"/>
  <c r="I19" i="1"/>
  <c r="K19" i="1"/>
  <c r="L19" i="1"/>
  <c r="M19" i="1"/>
  <c r="N19" i="1"/>
  <c r="O19" i="1"/>
  <c r="P19" i="1"/>
  <c r="Q19" i="1"/>
  <c r="R19" i="1"/>
  <c r="S19" i="1"/>
  <c r="T19" i="1"/>
  <c r="U19" i="1"/>
  <c r="V19" i="1"/>
  <c r="W19" i="1"/>
  <c r="X19" i="1"/>
  <c r="Y19" i="1"/>
  <c r="Z19" i="1"/>
  <c r="AA19" i="1"/>
  <c r="AB19" i="1"/>
  <c r="A20" i="1"/>
  <c r="B20" i="1"/>
  <c r="C20" i="1"/>
  <c r="D20" i="1"/>
  <c r="E20" i="1"/>
  <c r="F20" i="1"/>
  <c r="G20" i="1"/>
  <c r="H20" i="1"/>
  <c r="I20" i="1"/>
  <c r="K20" i="1"/>
  <c r="L20" i="1"/>
  <c r="M20" i="1"/>
  <c r="N20" i="1"/>
  <c r="O20" i="1"/>
  <c r="P20" i="1"/>
  <c r="Q20" i="1"/>
  <c r="R20" i="1"/>
  <c r="S20" i="1"/>
  <c r="T20" i="1"/>
  <c r="U20" i="1"/>
  <c r="V20" i="1"/>
  <c r="W20" i="1"/>
  <c r="X20" i="1"/>
  <c r="Y20" i="1"/>
  <c r="Z20" i="1"/>
  <c r="AA20" i="1"/>
  <c r="AB20" i="1"/>
  <c r="A21" i="1"/>
  <c r="B21" i="1"/>
  <c r="C21" i="1"/>
  <c r="D21" i="1"/>
  <c r="E21" i="1"/>
  <c r="F21" i="1"/>
  <c r="G21" i="1"/>
  <c r="H21" i="1"/>
  <c r="I21" i="1"/>
  <c r="K21" i="1"/>
  <c r="L21" i="1"/>
  <c r="M21" i="1"/>
  <c r="N21" i="1"/>
  <c r="O21" i="1"/>
  <c r="P21" i="1"/>
  <c r="Q21" i="1"/>
  <c r="R21" i="1"/>
  <c r="S21" i="1"/>
  <c r="T21" i="1"/>
  <c r="U21" i="1"/>
  <c r="V21" i="1"/>
  <c r="W21" i="1"/>
  <c r="X21" i="1"/>
  <c r="Y21" i="1"/>
  <c r="Z21" i="1"/>
  <c r="AA21" i="1"/>
  <c r="AB21" i="1"/>
  <c r="A22" i="1"/>
  <c r="B22" i="1"/>
  <c r="C22" i="1"/>
  <c r="D22" i="1"/>
  <c r="E22" i="1"/>
  <c r="F22" i="1"/>
  <c r="G22" i="1"/>
  <c r="H22" i="1"/>
  <c r="I22" i="1"/>
  <c r="K22" i="1"/>
  <c r="L22" i="1"/>
  <c r="M22" i="1"/>
  <c r="N22" i="1"/>
  <c r="O22" i="1"/>
  <c r="P22" i="1"/>
  <c r="Q22" i="1"/>
  <c r="R22" i="1"/>
  <c r="S22" i="1"/>
  <c r="T22" i="1"/>
  <c r="U22" i="1"/>
  <c r="V22" i="1"/>
  <c r="W22" i="1"/>
  <c r="X22" i="1"/>
  <c r="Y22" i="1"/>
  <c r="Z22" i="1"/>
  <c r="AA22" i="1"/>
  <c r="AB22" i="1"/>
  <c r="A23" i="1"/>
  <c r="B23" i="1"/>
  <c r="C23" i="1"/>
  <c r="D23" i="1"/>
  <c r="E23" i="1"/>
  <c r="F23" i="1"/>
  <c r="G23" i="1"/>
  <c r="H23" i="1"/>
  <c r="I23" i="1"/>
  <c r="K23" i="1"/>
  <c r="L23" i="1"/>
  <c r="M23" i="1"/>
  <c r="N23" i="1"/>
  <c r="O23" i="1"/>
  <c r="P23" i="1"/>
  <c r="Q23" i="1"/>
  <c r="R23" i="1"/>
  <c r="S23" i="1"/>
  <c r="T23" i="1"/>
  <c r="U23" i="1"/>
  <c r="V23" i="1"/>
  <c r="W23" i="1"/>
  <c r="X23" i="1"/>
  <c r="Z23" i="1"/>
  <c r="AA23" i="1"/>
  <c r="AB23" i="1"/>
  <c r="A24" i="1"/>
  <c r="B24" i="1"/>
  <c r="C24" i="1"/>
  <c r="D24" i="1"/>
  <c r="E24" i="1"/>
  <c r="F24" i="1"/>
  <c r="G24" i="1"/>
  <c r="H24" i="1"/>
  <c r="I24" i="1"/>
  <c r="K24" i="1"/>
  <c r="L24" i="1"/>
  <c r="M24" i="1"/>
  <c r="N24" i="1"/>
  <c r="O24" i="1"/>
  <c r="P24" i="1"/>
  <c r="Q24" i="1"/>
  <c r="R24" i="1"/>
  <c r="S24" i="1"/>
  <c r="T24" i="1"/>
  <c r="U24" i="1"/>
  <c r="V24" i="1"/>
  <c r="W24" i="1"/>
  <c r="X24" i="1"/>
  <c r="Y24" i="1"/>
  <c r="Z24" i="1"/>
  <c r="AA24" i="1"/>
  <c r="AB24" i="1"/>
  <c r="A25" i="1"/>
  <c r="B25" i="1"/>
  <c r="C25" i="1"/>
  <c r="D25" i="1"/>
  <c r="E25" i="1"/>
  <c r="F25" i="1"/>
  <c r="G25" i="1"/>
  <c r="H25" i="1"/>
  <c r="I25" i="1"/>
  <c r="K25" i="1"/>
  <c r="L25" i="1"/>
  <c r="M25" i="1"/>
  <c r="N25" i="1"/>
  <c r="O25" i="1"/>
  <c r="P25" i="1"/>
  <c r="Q25" i="1"/>
  <c r="R25" i="1"/>
  <c r="S25" i="1"/>
  <c r="T25" i="1"/>
  <c r="U25" i="1"/>
  <c r="V25" i="1"/>
  <c r="W25" i="1"/>
  <c r="X25" i="1"/>
  <c r="Y25" i="1"/>
  <c r="Z25" i="1"/>
  <c r="AA25" i="1"/>
  <c r="AB25" i="1"/>
  <c r="A26" i="1"/>
  <c r="B26" i="1"/>
  <c r="C26" i="1"/>
  <c r="D26" i="1"/>
  <c r="E26" i="1"/>
  <c r="F26" i="1"/>
  <c r="G26" i="1"/>
  <c r="H26" i="1"/>
  <c r="I26" i="1"/>
  <c r="K26" i="1"/>
  <c r="L26" i="1"/>
  <c r="M26" i="1"/>
  <c r="N26" i="1"/>
  <c r="O26" i="1"/>
  <c r="P26" i="1"/>
  <c r="Q26" i="1"/>
  <c r="R26" i="1"/>
  <c r="S26" i="1"/>
  <c r="T26" i="1"/>
  <c r="U26" i="1"/>
  <c r="V26" i="1"/>
  <c r="W26" i="1"/>
  <c r="X26" i="1"/>
  <c r="Y26" i="1"/>
  <c r="Z26" i="1"/>
  <c r="AA26" i="1"/>
  <c r="AB26" i="1"/>
  <c r="A27" i="1"/>
  <c r="B27" i="1"/>
  <c r="C27" i="1"/>
  <c r="D27" i="1"/>
  <c r="E27" i="1"/>
  <c r="F27" i="1"/>
  <c r="G27" i="1"/>
  <c r="H27" i="1"/>
  <c r="I27" i="1"/>
  <c r="K27" i="1"/>
  <c r="L27" i="1"/>
  <c r="M27" i="1"/>
  <c r="N27" i="1"/>
  <c r="O27" i="1"/>
  <c r="P27" i="1"/>
  <c r="Q27" i="1"/>
  <c r="R27" i="1"/>
  <c r="S27" i="1"/>
  <c r="T27" i="1"/>
  <c r="U27" i="1"/>
  <c r="V27" i="1"/>
  <c r="W27" i="1"/>
  <c r="X27" i="1"/>
  <c r="Y27" i="1"/>
  <c r="Z27" i="1"/>
  <c r="AA27" i="1"/>
  <c r="AB27" i="1"/>
  <c r="A28" i="1"/>
  <c r="B28" i="1"/>
  <c r="C28" i="1"/>
  <c r="D28" i="1"/>
  <c r="E28" i="1"/>
  <c r="F28" i="1"/>
  <c r="G28" i="1"/>
  <c r="H28" i="1"/>
  <c r="I28" i="1"/>
  <c r="K28" i="1"/>
  <c r="L28" i="1"/>
  <c r="M28" i="1"/>
  <c r="N28" i="1"/>
  <c r="O28" i="1"/>
  <c r="P28" i="1"/>
  <c r="Q28" i="1"/>
  <c r="R28" i="1"/>
  <c r="S28" i="1"/>
  <c r="T28" i="1"/>
  <c r="U28" i="1"/>
  <c r="V28" i="1"/>
  <c r="W28" i="1"/>
  <c r="X28" i="1"/>
  <c r="Y28" i="1"/>
  <c r="Z28" i="1"/>
  <c r="AA28" i="1"/>
  <c r="AB28" i="1"/>
  <c r="A29" i="1"/>
  <c r="B29" i="1"/>
  <c r="C29" i="1"/>
  <c r="D29" i="1"/>
  <c r="E29" i="1"/>
  <c r="F29" i="1"/>
  <c r="G29" i="1"/>
  <c r="H29" i="1"/>
  <c r="I29" i="1"/>
  <c r="K29" i="1"/>
  <c r="L29" i="1"/>
  <c r="M29" i="1"/>
  <c r="N29" i="1"/>
  <c r="O29" i="1"/>
  <c r="P29" i="1"/>
  <c r="Q29" i="1"/>
  <c r="R29" i="1"/>
  <c r="S29" i="1"/>
  <c r="T29" i="1"/>
  <c r="U29" i="1"/>
  <c r="V29" i="1"/>
  <c r="W29" i="1"/>
  <c r="X29" i="1"/>
  <c r="Z29" i="1"/>
  <c r="AA29" i="1"/>
  <c r="AB29" i="1"/>
  <c r="A30" i="1"/>
  <c r="B30" i="1"/>
  <c r="C30" i="1"/>
  <c r="D30" i="1"/>
  <c r="E30" i="1"/>
  <c r="F30" i="1"/>
  <c r="G30" i="1"/>
  <c r="H30" i="1"/>
  <c r="I30" i="1"/>
  <c r="K30" i="1"/>
  <c r="L30" i="1"/>
  <c r="M30" i="1"/>
  <c r="N30" i="1"/>
  <c r="O30" i="1"/>
  <c r="P30" i="1"/>
  <c r="Q30" i="1"/>
  <c r="R30" i="1"/>
  <c r="S30" i="1"/>
  <c r="T30" i="1"/>
  <c r="U30" i="1"/>
  <c r="V30" i="1"/>
  <c r="W30" i="1"/>
  <c r="X30" i="1"/>
  <c r="Y30" i="1"/>
  <c r="Z30" i="1"/>
  <c r="AA30" i="1"/>
  <c r="AB30" i="1"/>
  <c r="Q31" i="1"/>
  <c r="B5" i="10"/>
  <c r="C5" i="10"/>
  <c r="D5" i="10"/>
  <c r="E5" i="10"/>
  <c r="F5" i="10"/>
  <c r="G5" i="10"/>
  <c r="H5" i="10"/>
  <c r="I5" i="10"/>
  <c r="J5" i="10"/>
  <c r="K5" i="10"/>
  <c r="L5" i="10"/>
  <c r="M5" i="10"/>
  <c r="N5" i="10"/>
  <c r="O5" i="10"/>
  <c r="P5" i="10"/>
  <c r="Q5" i="10"/>
  <c r="R5" i="10"/>
  <c r="S5" i="10"/>
  <c r="T5" i="10"/>
  <c r="U5" i="10"/>
  <c r="V5" i="10"/>
  <c r="W5" i="10"/>
  <c r="X5" i="10"/>
  <c r="Z5" i="10"/>
  <c r="AA5" i="10"/>
  <c r="AB5" i="10"/>
  <c r="AC5" i="10"/>
  <c r="AD5" i="10"/>
  <c r="AE5" i="10"/>
  <c r="AG5" i="10"/>
  <c r="AH5" i="10"/>
  <c r="AI5" i="10"/>
  <c r="AJ5" i="10"/>
  <c r="A6" i="10"/>
  <c r="B6" i="10"/>
  <c r="C6" i="10"/>
  <c r="D6" i="10"/>
  <c r="E6" i="10"/>
  <c r="F6" i="10"/>
  <c r="G6" i="10"/>
  <c r="H6" i="10"/>
  <c r="I6" i="10"/>
  <c r="J6" i="10"/>
  <c r="K6" i="10"/>
  <c r="L6" i="10"/>
  <c r="M6" i="10"/>
  <c r="N6" i="10"/>
  <c r="O6" i="10"/>
  <c r="P6" i="10"/>
  <c r="Q6" i="10"/>
  <c r="R6" i="10"/>
  <c r="S6" i="10"/>
  <c r="T6" i="10"/>
  <c r="U6" i="10"/>
  <c r="V6" i="10"/>
  <c r="W6" i="10"/>
  <c r="X6" i="10"/>
  <c r="Z6" i="10"/>
  <c r="AA6" i="10"/>
  <c r="AB6" i="10"/>
  <c r="AC6" i="10"/>
  <c r="AD6" i="10"/>
  <c r="AE6" i="10"/>
  <c r="AG6" i="10"/>
  <c r="AH6" i="10"/>
  <c r="AI6" i="10"/>
  <c r="AJ6" i="10"/>
  <c r="A7" i="10"/>
  <c r="B7" i="10"/>
  <c r="C7" i="10"/>
  <c r="D7" i="10"/>
  <c r="E7" i="10"/>
  <c r="F7" i="10"/>
  <c r="G7" i="10"/>
  <c r="H7" i="10"/>
  <c r="I7" i="10"/>
  <c r="J7" i="10"/>
  <c r="K7" i="10"/>
  <c r="L7" i="10"/>
  <c r="M7" i="10"/>
  <c r="N7" i="10"/>
  <c r="O7" i="10"/>
  <c r="P7" i="10"/>
  <c r="Q7" i="10"/>
  <c r="R7" i="10"/>
  <c r="S7" i="10"/>
  <c r="T7" i="10"/>
  <c r="U7" i="10"/>
  <c r="V7" i="10"/>
  <c r="W7" i="10"/>
  <c r="X7" i="10"/>
  <c r="Z7" i="10"/>
  <c r="AA7" i="10"/>
  <c r="AB7" i="10"/>
  <c r="AC7" i="10"/>
  <c r="AD7" i="10"/>
  <c r="AE7" i="10"/>
  <c r="AG7" i="10"/>
  <c r="AH7" i="10"/>
  <c r="AI7" i="10"/>
  <c r="AJ7" i="10"/>
  <c r="A8" i="10"/>
  <c r="B8" i="10"/>
  <c r="C8" i="10"/>
  <c r="D8" i="10"/>
  <c r="E8" i="10"/>
  <c r="F8" i="10"/>
  <c r="G8" i="10"/>
  <c r="H8" i="10"/>
  <c r="I8" i="10"/>
  <c r="J8" i="10"/>
  <c r="K8" i="10"/>
  <c r="L8" i="10"/>
  <c r="M8" i="10"/>
  <c r="N8" i="10"/>
  <c r="O8" i="10"/>
  <c r="P8" i="10"/>
  <c r="Q8" i="10"/>
  <c r="R8" i="10"/>
  <c r="S8" i="10"/>
  <c r="T8" i="10"/>
  <c r="U8" i="10"/>
  <c r="V8" i="10"/>
  <c r="W8" i="10"/>
  <c r="X8" i="10"/>
  <c r="Z8" i="10"/>
  <c r="AA8" i="10"/>
  <c r="AB8" i="10"/>
  <c r="AC8" i="10"/>
  <c r="AD8" i="10"/>
  <c r="AE8" i="10"/>
  <c r="AG8" i="10"/>
  <c r="AH8" i="10"/>
  <c r="AI8" i="10"/>
  <c r="AJ8" i="10"/>
  <c r="A9" i="10"/>
  <c r="B9" i="10"/>
  <c r="C9" i="10"/>
  <c r="D9" i="10"/>
  <c r="E9" i="10"/>
  <c r="F9" i="10"/>
  <c r="G9" i="10"/>
  <c r="H9" i="10"/>
  <c r="I9" i="10"/>
  <c r="J9" i="10"/>
  <c r="K9" i="10"/>
  <c r="L9" i="10"/>
  <c r="M9" i="10"/>
  <c r="N9" i="10"/>
  <c r="O9" i="10"/>
  <c r="P9" i="10"/>
  <c r="Q9" i="10"/>
  <c r="R9" i="10"/>
  <c r="S9" i="10"/>
  <c r="T9" i="10"/>
  <c r="U9" i="10"/>
  <c r="V9" i="10"/>
  <c r="W9" i="10"/>
  <c r="X9" i="10"/>
  <c r="Z9" i="10"/>
  <c r="AA9" i="10"/>
  <c r="AB9" i="10"/>
  <c r="AC9" i="10"/>
  <c r="AD9" i="10"/>
  <c r="AE9" i="10"/>
  <c r="AG9" i="10"/>
  <c r="AH9" i="10"/>
  <c r="AI9" i="10"/>
  <c r="AJ9" i="10"/>
  <c r="A10" i="10"/>
  <c r="B10"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G10" i="10"/>
  <c r="AH10" i="10"/>
  <c r="AI10" i="10"/>
  <c r="AJ10" i="10"/>
  <c r="A11" i="10"/>
  <c r="B11"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G11" i="10"/>
  <c r="AH11" i="10"/>
  <c r="AI11" i="10"/>
  <c r="AJ11" i="10"/>
  <c r="A12" i="10"/>
  <c r="B12"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G12" i="10"/>
  <c r="AH12" i="10"/>
  <c r="AI12" i="10"/>
  <c r="AJ12" i="10"/>
  <c r="A13"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G13" i="10"/>
  <c r="AH13" i="10"/>
  <c r="AI13" i="10"/>
  <c r="AJ13" i="10"/>
  <c r="A14"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G14" i="10"/>
  <c r="AH14" i="10"/>
  <c r="AI14" i="10"/>
  <c r="AJ14" i="10"/>
  <c r="A15" i="10"/>
  <c r="B15"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G15" i="10"/>
  <c r="AH15" i="10"/>
  <c r="AI15" i="10"/>
  <c r="AJ15" i="10"/>
  <c r="A16" i="10"/>
  <c r="B16"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G16" i="10"/>
  <c r="AH16" i="10"/>
  <c r="AI16" i="10"/>
  <c r="AJ16" i="10"/>
  <c r="A17" i="10"/>
  <c r="B17"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G17" i="10"/>
  <c r="AH17" i="10"/>
  <c r="AI17" i="10"/>
  <c r="AJ17" i="10"/>
  <c r="A18" i="10"/>
  <c r="B18"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G18" i="10"/>
  <c r="AH18" i="10"/>
  <c r="AI18" i="10"/>
  <c r="AJ18" i="10"/>
  <c r="A19" i="10"/>
  <c r="B19"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G19" i="10"/>
  <c r="AH19" i="10"/>
  <c r="AI19" i="10"/>
  <c r="AJ19" i="10"/>
  <c r="A20" i="10"/>
  <c r="B20"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G20" i="10"/>
  <c r="AH20" i="10"/>
  <c r="AI20" i="10"/>
  <c r="AJ20" i="10"/>
  <c r="A21" i="10"/>
  <c r="B21"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G21" i="10"/>
  <c r="AH21" i="10"/>
  <c r="AI21" i="10"/>
  <c r="AJ21" i="10"/>
  <c r="A22" i="10"/>
  <c r="B22"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G22" i="10"/>
  <c r="AH22" i="10"/>
  <c r="AI22" i="10"/>
  <c r="AJ22" i="10"/>
  <c r="A23" i="10"/>
  <c r="B23"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G23" i="10"/>
  <c r="AH23" i="10"/>
  <c r="AI23" i="10"/>
  <c r="AJ23" i="10"/>
  <c r="A24" i="10"/>
  <c r="B24"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G24" i="10"/>
  <c r="AH24" i="10"/>
  <c r="AI24" i="10"/>
  <c r="AJ24" i="10"/>
  <c r="A25" i="10"/>
  <c r="B25" i="10"/>
  <c r="C25" i="10"/>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G25" i="10"/>
  <c r="AH25" i="10"/>
  <c r="AI25" i="10"/>
  <c r="AJ25" i="10"/>
  <c r="A26" i="10"/>
  <c r="B26" i="10"/>
  <c r="C26"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G26" i="10"/>
  <c r="AH26" i="10"/>
  <c r="AI26" i="10"/>
  <c r="AJ26" i="10"/>
  <c r="A27" i="10"/>
  <c r="B27" i="10"/>
  <c r="C27" i="10"/>
  <c r="D27" i="10"/>
  <c r="E27" i="10"/>
  <c r="F27" i="10"/>
  <c r="G27" i="10"/>
  <c r="H27" i="10"/>
  <c r="I27" i="10"/>
  <c r="J27" i="10"/>
  <c r="K27" i="10"/>
  <c r="L27" i="10"/>
  <c r="M27" i="10"/>
  <c r="N27" i="10"/>
  <c r="O27" i="10"/>
  <c r="P27" i="10"/>
  <c r="Q27" i="10"/>
  <c r="R27" i="10"/>
  <c r="S27" i="10"/>
  <c r="T27" i="10"/>
  <c r="U27" i="10"/>
  <c r="V27" i="10"/>
  <c r="W27" i="10"/>
  <c r="X27" i="10"/>
  <c r="Y27" i="10"/>
  <c r="Z27" i="10"/>
  <c r="AA27" i="10"/>
  <c r="AB27" i="10"/>
  <c r="AC27" i="10"/>
  <c r="AD27" i="10"/>
  <c r="AE27" i="10"/>
  <c r="AG27" i="10"/>
  <c r="AH27" i="10"/>
  <c r="AI27" i="10"/>
  <c r="AJ27" i="10"/>
  <c r="A28" i="10"/>
  <c r="B28" i="10"/>
  <c r="C28" i="10"/>
  <c r="D28" i="10"/>
  <c r="E28" i="10"/>
  <c r="F28" i="10"/>
  <c r="G28" i="10"/>
  <c r="H28" i="10"/>
  <c r="I28" i="10"/>
  <c r="J28" i="10"/>
  <c r="K28" i="10"/>
  <c r="L28" i="10"/>
  <c r="M28" i="10"/>
  <c r="N28" i="10"/>
  <c r="O28" i="10"/>
  <c r="P28" i="10"/>
  <c r="Q28" i="10"/>
  <c r="R28" i="10"/>
  <c r="S28" i="10"/>
  <c r="T28" i="10"/>
  <c r="U28" i="10"/>
  <c r="V28" i="10"/>
  <c r="W28" i="10"/>
  <c r="X28" i="10"/>
  <c r="Y28" i="10"/>
  <c r="Z28" i="10"/>
  <c r="AA28" i="10"/>
  <c r="AB28" i="10"/>
  <c r="AC28" i="10"/>
  <c r="AD28" i="10"/>
  <c r="AE28" i="10"/>
  <c r="AG28" i="10"/>
  <c r="AH28" i="10"/>
  <c r="AI28" i="10"/>
  <c r="AJ28" i="10"/>
  <c r="A29" i="10"/>
  <c r="B29" i="10"/>
  <c r="C29" i="10"/>
  <c r="D29" i="10"/>
  <c r="E29" i="10"/>
  <c r="F29" i="10"/>
  <c r="G29" i="10"/>
  <c r="H29" i="10"/>
  <c r="I29" i="10"/>
  <c r="J29" i="10"/>
  <c r="K29" i="10"/>
  <c r="L29" i="10"/>
  <c r="M29" i="10"/>
  <c r="N29" i="10"/>
  <c r="O29" i="10"/>
  <c r="P29" i="10"/>
  <c r="Q29" i="10"/>
  <c r="R29" i="10"/>
  <c r="S29" i="10"/>
  <c r="T29" i="10"/>
  <c r="U29" i="10"/>
  <c r="V29" i="10"/>
  <c r="W29" i="10"/>
  <c r="X29" i="10"/>
  <c r="Y29" i="10"/>
  <c r="Z29" i="10"/>
  <c r="AA29" i="10"/>
  <c r="AB29" i="10"/>
  <c r="AC29" i="10"/>
  <c r="AD29" i="10"/>
  <c r="AE29" i="10"/>
  <c r="AG29" i="10"/>
  <c r="AH29" i="10"/>
  <c r="AI29" i="10"/>
  <c r="AJ29" i="10"/>
  <c r="A30" i="10"/>
  <c r="B30" i="10"/>
  <c r="C30" i="10"/>
  <c r="D30" i="10"/>
  <c r="E30" i="10"/>
  <c r="F30" i="10"/>
  <c r="G30" i="10"/>
  <c r="H30" i="10"/>
  <c r="I30" i="10"/>
  <c r="J30" i="10"/>
  <c r="K30" i="10"/>
  <c r="L30" i="10"/>
  <c r="M30" i="10"/>
  <c r="N30" i="10"/>
  <c r="O30" i="10"/>
  <c r="P30" i="10"/>
  <c r="Q30" i="10"/>
  <c r="R30" i="10"/>
  <c r="S30" i="10"/>
  <c r="T30" i="10"/>
  <c r="U30" i="10"/>
  <c r="V30" i="10"/>
  <c r="W30" i="10"/>
  <c r="X30" i="10"/>
  <c r="Y30" i="10"/>
  <c r="Z30" i="10"/>
  <c r="AA30" i="10"/>
  <c r="AB30" i="10"/>
  <c r="AC30" i="10"/>
  <c r="AD30" i="10"/>
  <c r="AE30" i="10"/>
  <c r="AG30" i="10"/>
  <c r="AH30" i="10"/>
  <c r="AI30" i="10"/>
  <c r="AJ30" i="10"/>
  <c r="A31" i="10"/>
  <c r="B31" i="10"/>
  <c r="C31" i="10"/>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G31" i="10"/>
  <c r="AH31" i="10"/>
  <c r="AI31" i="10"/>
  <c r="AJ31" i="10"/>
  <c r="A32" i="10"/>
  <c r="B32"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G32" i="10"/>
  <c r="AH32" i="10"/>
  <c r="AI32" i="10"/>
  <c r="AJ32" i="10"/>
  <c r="A33" i="10"/>
  <c r="B33" i="10"/>
  <c r="C33" i="10"/>
  <c r="D33" i="10"/>
  <c r="E33" i="10"/>
  <c r="F33" i="10"/>
  <c r="G33" i="10"/>
  <c r="H33" i="10"/>
  <c r="I33" i="10"/>
  <c r="J33" i="10"/>
  <c r="K33" i="10"/>
  <c r="L33" i="10"/>
  <c r="M33" i="10"/>
  <c r="N33" i="10"/>
  <c r="O33" i="10"/>
  <c r="P33" i="10"/>
  <c r="Q33" i="10"/>
  <c r="R33" i="10"/>
  <c r="S33" i="10"/>
  <c r="T33" i="10"/>
  <c r="U33" i="10"/>
  <c r="V33" i="10"/>
  <c r="W33" i="10"/>
  <c r="X33" i="10"/>
  <c r="Y33" i="10"/>
  <c r="Z33" i="10"/>
  <c r="AA33" i="10"/>
  <c r="AB33" i="10"/>
  <c r="AC33" i="10"/>
  <c r="AD33" i="10"/>
  <c r="AE33" i="10"/>
  <c r="AG33" i="10"/>
  <c r="AH33" i="10"/>
  <c r="AI33" i="10"/>
  <c r="AJ33" i="10"/>
  <c r="A34" i="10"/>
  <c r="B34" i="10"/>
  <c r="C34" i="10"/>
  <c r="D34" i="10"/>
  <c r="E34" i="10"/>
  <c r="F34" i="10"/>
  <c r="G34" i="10"/>
  <c r="H34" i="10"/>
  <c r="I34" i="10"/>
  <c r="J34" i="10"/>
  <c r="K34" i="10"/>
  <c r="L34" i="10"/>
  <c r="M34" i="10"/>
  <c r="N34" i="10"/>
  <c r="O34" i="10"/>
  <c r="P34" i="10"/>
  <c r="Q34" i="10"/>
  <c r="R34" i="10"/>
  <c r="S34" i="10"/>
  <c r="T34" i="10"/>
  <c r="U34" i="10"/>
  <c r="V34" i="10"/>
  <c r="W34" i="10"/>
  <c r="X34" i="10"/>
  <c r="Y34" i="10"/>
  <c r="Z34" i="10"/>
  <c r="AA34" i="10"/>
  <c r="AB34" i="10"/>
  <c r="AC34" i="10"/>
  <c r="AD34" i="10"/>
  <c r="AE34" i="10"/>
  <c r="AG34" i="10"/>
  <c r="AH34" i="10"/>
  <c r="AI34" i="10"/>
  <c r="AJ34" i="10"/>
  <c r="A35" i="10"/>
  <c r="B35" i="10"/>
  <c r="C35"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G35" i="10"/>
  <c r="AH35" i="10"/>
  <c r="AI35" i="10"/>
  <c r="AJ35" i="10"/>
  <c r="A36" i="10"/>
  <c r="B36" i="10"/>
  <c r="C36" i="10"/>
  <c r="D36" i="10"/>
  <c r="E36" i="10"/>
  <c r="F36" i="10"/>
  <c r="G36" i="10"/>
  <c r="H36" i="10"/>
  <c r="I36" i="10"/>
  <c r="J36" i="10"/>
  <c r="K36" i="10"/>
  <c r="L36" i="10"/>
  <c r="M36" i="10"/>
  <c r="N36" i="10"/>
  <c r="O36" i="10"/>
  <c r="P36" i="10"/>
  <c r="Q36" i="10"/>
  <c r="R36" i="10"/>
  <c r="S36" i="10"/>
  <c r="T36" i="10"/>
  <c r="U36" i="10"/>
  <c r="V36" i="10"/>
  <c r="W36" i="10"/>
  <c r="X36" i="10"/>
  <c r="Y36" i="10"/>
  <c r="Z36" i="10"/>
  <c r="AA36" i="10"/>
  <c r="AB36" i="10"/>
  <c r="AC36" i="10"/>
  <c r="AD36" i="10"/>
  <c r="AE36" i="10"/>
  <c r="AG36" i="10"/>
  <c r="AH36" i="10"/>
  <c r="AI36" i="10"/>
  <c r="AJ36" i="10"/>
  <c r="A37" i="10"/>
  <c r="B37" i="10"/>
  <c r="C37" i="10"/>
  <c r="D37" i="10"/>
  <c r="E37" i="10"/>
  <c r="F37" i="10"/>
  <c r="G37" i="10"/>
  <c r="H37" i="10"/>
  <c r="I37" i="10"/>
  <c r="J37" i="10"/>
  <c r="K37" i="10"/>
  <c r="L37" i="10"/>
  <c r="M37" i="10"/>
  <c r="N37" i="10"/>
  <c r="O37" i="10"/>
  <c r="P37" i="10"/>
  <c r="Q37" i="10"/>
  <c r="R37" i="10"/>
  <c r="S37" i="10"/>
  <c r="T37" i="10"/>
  <c r="U37" i="10"/>
  <c r="V37" i="10"/>
  <c r="W37" i="10"/>
  <c r="X37" i="10"/>
  <c r="Y37" i="10"/>
  <c r="Z37" i="10"/>
  <c r="AA37" i="10"/>
  <c r="AB37" i="10"/>
  <c r="AC37" i="10"/>
  <c r="AD37" i="10"/>
  <c r="AE37" i="10"/>
  <c r="AG37" i="10"/>
  <c r="AH37" i="10"/>
  <c r="AI37" i="10"/>
  <c r="AJ37" i="10"/>
  <c r="A38" i="10"/>
  <c r="B38" i="10"/>
  <c r="C38"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G38" i="10"/>
  <c r="AH38" i="10"/>
  <c r="AI38" i="10"/>
  <c r="AJ38" i="10"/>
  <c r="A39" i="10"/>
  <c r="B39" i="10"/>
  <c r="C39" i="10"/>
  <c r="D39" i="10"/>
  <c r="E39" i="10"/>
  <c r="F39" i="10"/>
  <c r="G39" i="10"/>
  <c r="H39" i="10"/>
  <c r="I39" i="10"/>
  <c r="J39" i="10"/>
  <c r="K39" i="10"/>
  <c r="L39" i="10"/>
  <c r="M39" i="10"/>
  <c r="N39" i="10"/>
  <c r="O39" i="10"/>
  <c r="P39" i="10"/>
  <c r="Q39" i="10"/>
  <c r="R39" i="10"/>
  <c r="S39" i="10"/>
  <c r="T39" i="10"/>
  <c r="U39" i="10"/>
  <c r="V39" i="10"/>
  <c r="W39" i="10"/>
  <c r="X39" i="10"/>
  <c r="Y39" i="10"/>
  <c r="Z39" i="10"/>
  <c r="AA39" i="10"/>
  <c r="AB39" i="10"/>
  <c r="AC39" i="10"/>
  <c r="AD39" i="10"/>
  <c r="AE39" i="10"/>
  <c r="AG39" i="10"/>
  <c r="AH39" i="10"/>
  <c r="AI39" i="10"/>
  <c r="AJ39" i="10"/>
  <c r="A40" i="10"/>
  <c r="B40" i="10"/>
  <c r="C40"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G40" i="10"/>
  <c r="AH40" i="10"/>
  <c r="AI40" i="10"/>
  <c r="AJ40" i="10"/>
  <c r="A41" i="10"/>
  <c r="B41" i="10"/>
  <c r="C41"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G41" i="10"/>
  <c r="AH41" i="10"/>
  <c r="AI41" i="10"/>
  <c r="AJ41" i="10"/>
  <c r="A42" i="10"/>
  <c r="B42" i="10"/>
  <c r="C42"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AG42" i="10"/>
  <c r="AH42" i="10"/>
  <c r="AI42" i="10"/>
  <c r="AJ42" i="10"/>
  <c r="A43" i="10"/>
  <c r="B43" i="10"/>
  <c r="C43"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AG43" i="10"/>
  <c r="AH43" i="10"/>
  <c r="AI43" i="10"/>
  <c r="AJ43" i="10"/>
  <c r="A44" i="10"/>
  <c r="B44" i="10"/>
  <c r="C44"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AG44" i="10"/>
  <c r="AH44" i="10"/>
  <c r="AI44" i="10"/>
  <c r="AJ44" i="10"/>
  <c r="A45" i="10"/>
  <c r="B45" i="10"/>
  <c r="C45"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AG45" i="10"/>
  <c r="AH45" i="10"/>
  <c r="AI45" i="10"/>
  <c r="AJ45" i="10"/>
  <c r="A46" i="10"/>
  <c r="B46" i="10"/>
  <c r="C46"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AG46" i="10"/>
  <c r="AH46" i="10"/>
  <c r="AI46" i="10"/>
  <c r="AJ46" i="10"/>
  <c r="A47" i="10"/>
  <c r="B47" i="10"/>
  <c r="C47"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AG47" i="10"/>
  <c r="AH47" i="10"/>
  <c r="AI47" i="10"/>
  <c r="AJ47" i="10"/>
  <c r="A48" i="10"/>
  <c r="B48" i="10"/>
  <c r="C48"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AG48" i="10"/>
  <c r="AH48" i="10"/>
  <c r="AI48" i="10"/>
  <c r="AJ48" i="10"/>
  <c r="A49" i="10"/>
  <c r="B49" i="10"/>
  <c r="C49"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AG49" i="10"/>
  <c r="AH49" i="10"/>
  <c r="AI49" i="10"/>
  <c r="AJ49" i="10"/>
  <c r="A50" i="10"/>
  <c r="B50" i="10"/>
  <c r="C50" i="10"/>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AG50" i="10"/>
  <c r="AH50" i="10"/>
  <c r="AI50" i="10"/>
  <c r="AJ50" i="10"/>
  <c r="A51" i="10"/>
  <c r="B51" i="10"/>
  <c r="C51"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AG51" i="10"/>
  <c r="AH51" i="10"/>
  <c r="AI51" i="10"/>
  <c r="AJ51" i="10"/>
  <c r="A52" i="10"/>
  <c r="B52" i="10"/>
  <c r="C5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G52" i="10"/>
  <c r="AH52" i="10"/>
  <c r="AI52" i="10"/>
  <c r="AJ52" i="10"/>
  <c r="A53" i="10"/>
  <c r="B53" i="10"/>
  <c r="C53"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AG53" i="10"/>
  <c r="AH53" i="10"/>
  <c r="AI53" i="10"/>
  <c r="AJ53" i="10"/>
  <c r="A54" i="10"/>
  <c r="B54" i="10"/>
  <c r="C54"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G54" i="10"/>
  <c r="AH54" i="10"/>
  <c r="AI54" i="10"/>
  <c r="AJ54" i="10"/>
  <c r="A55" i="10"/>
  <c r="B55" i="10"/>
  <c r="C55" i="10"/>
  <c r="D55" i="10"/>
  <c r="E55" i="10"/>
  <c r="F55" i="10"/>
  <c r="G55" i="10"/>
  <c r="H55" i="10"/>
  <c r="I55" i="10"/>
  <c r="J55" i="10"/>
  <c r="K55" i="10"/>
  <c r="L55" i="10"/>
  <c r="M55" i="10"/>
  <c r="N55" i="10"/>
  <c r="O55" i="10"/>
  <c r="P55" i="10"/>
  <c r="Q55" i="10"/>
  <c r="R55" i="10"/>
  <c r="S55" i="10"/>
  <c r="T55" i="10"/>
  <c r="U55" i="10"/>
  <c r="V55" i="10"/>
  <c r="W55" i="10"/>
  <c r="X55" i="10"/>
  <c r="Y55" i="10"/>
  <c r="Z55" i="10"/>
  <c r="AA55" i="10"/>
  <c r="AB55" i="10"/>
  <c r="AC55" i="10"/>
  <c r="AD55" i="10"/>
  <c r="AE55" i="10"/>
  <c r="AG55" i="10"/>
  <c r="AH55" i="10"/>
  <c r="AI55" i="10"/>
  <c r="AJ55" i="10"/>
  <c r="A56" i="10"/>
  <c r="B56" i="10"/>
  <c r="C56" i="10"/>
  <c r="D56" i="10"/>
  <c r="E56" i="10"/>
  <c r="F56" i="10"/>
  <c r="G56" i="10"/>
  <c r="H56" i="10"/>
  <c r="I56" i="10"/>
  <c r="J56" i="10"/>
  <c r="K56" i="10"/>
  <c r="L56" i="10"/>
  <c r="M56" i="10"/>
  <c r="N56" i="10"/>
  <c r="O56" i="10"/>
  <c r="P56" i="10"/>
  <c r="Q56" i="10"/>
  <c r="R56" i="10"/>
  <c r="S56" i="10"/>
  <c r="T56" i="10"/>
  <c r="U56" i="10"/>
  <c r="V56" i="10"/>
  <c r="W56" i="10"/>
  <c r="X56" i="10"/>
  <c r="Y56" i="10"/>
  <c r="Z56" i="10"/>
  <c r="AA56" i="10"/>
  <c r="AB56" i="10"/>
  <c r="AC56" i="10"/>
  <c r="AD56" i="10"/>
  <c r="AE56" i="10"/>
  <c r="AG56" i="10"/>
  <c r="AH56" i="10"/>
  <c r="AI56" i="10"/>
  <c r="AJ56" i="10"/>
  <c r="A57" i="10"/>
  <c r="B57" i="10"/>
  <c r="C57" i="10"/>
  <c r="D57" i="10"/>
  <c r="E57" i="10"/>
  <c r="F57" i="10"/>
  <c r="G57" i="10"/>
  <c r="H57" i="10"/>
  <c r="I57" i="10"/>
  <c r="J57" i="10"/>
  <c r="K57" i="10"/>
  <c r="L57" i="10"/>
  <c r="M57" i="10"/>
  <c r="N57" i="10"/>
  <c r="O57" i="10"/>
  <c r="P57" i="10"/>
  <c r="Q57" i="10"/>
  <c r="R57" i="10"/>
  <c r="S57" i="10"/>
  <c r="T57" i="10"/>
  <c r="U57" i="10"/>
  <c r="V57" i="10"/>
  <c r="W57" i="10"/>
  <c r="X57" i="10"/>
  <c r="Y57" i="10"/>
  <c r="Z57" i="10"/>
  <c r="AA57" i="10"/>
  <c r="AB57" i="10"/>
  <c r="AC57" i="10"/>
  <c r="AD57" i="10"/>
  <c r="AE57" i="10"/>
  <c r="AG57" i="10"/>
  <c r="AH57" i="10"/>
  <c r="AI57" i="10"/>
  <c r="AJ57" i="10"/>
  <c r="A58" i="10"/>
  <c r="B58" i="10"/>
  <c r="C58" i="10"/>
  <c r="D58" i="10"/>
  <c r="E58" i="10"/>
  <c r="F58" i="10"/>
  <c r="G58" i="10"/>
  <c r="H58" i="10"/>
  <c r="I58" i="10"/>
  <c r="J58" i="10"/>
  <c r="K58" i="10"/>
  <c r="L58" i="10"/>
  <c r="M58" i="10"/>
  <c r="N58" i="10"/>
  <c r="O58" i="10"/>
  <c r="P58" i="10"/>
  <c r="Q58" i="10"/>
  <c r="R58" i="10"/>
  <c r="S58" i="10"/>
  <c r="T58" i="10"/>
  <c r="U58" i="10"/>
  <c r="V58" i="10"/>
  <c r="W58" i="10"/>
  <c r="X58" i="10"/>
  <c r="Y58" i="10"/>
  <c r="Z58" i="10"/>
  <c r="AA58" i="10"/>
  <c r="AB58" i="10"/>
  <c r="AC58" i="10"/>
  <c r="AD58" i="10"/>
  <c r="AE58" i="10"/>
  <c r="AG58" i="10"/>
  <c r="AH58" i="10"/>
  <c r="AI58" i="10"/>
  <c r="AJ58" i="10"/>
  <c r="A59" i="10"/>
  <c r="B59" i="10"/>
  <c r="C59" i="10"/>
  <c r="D59" i="10"/>
  <c r="E59" i="10"/>
  <c r="F59" i="10"/>
  <c r="G59" i="10"/>
  <c r="H59" i="10"/>
  <c r="I59" i="10"/>
  <c r="J59" i="10"/>
  <c r="K59" i="10"/>
  <c r="L59" i="10"/>
  <c r="M59" i="10"/>
  <c r="N59" i="10"/>
  <c r="O59" i="10"/>
  <c r="P59" i="10"/>
  <c r="Q59" i="10"/>
  <c r="R59" i="10"/>
  <c r="S59" i="10"/>
  <c r="T59" i="10"/>
  <c r="U59" i="10"/>
  <c r="V59" i="10"/>
  <c r="W59" i="10"/>
  <c r="X59" i="10"/>
  <c r="Y59" i="10"/>
  <c r="Z59" i="10"/>
  <c r="AA59" i="10"/>
  <c r="AB59" i="10"/>
  <c r="AC59" i="10"/>
  <c r="AD59" i="10"/>
  <c r="AE59" i="10"/>
  <c r="AG59" i="10"/>
  <c r="AH59" i="10"/>
  <c r="AI59" i="10"/>
  <c r="AJ59" i="10"/>
  <c r="A60" i="10"/>
  <c r="B60" i="10"/>
  <c r="C60" i="10"/>
  <c r="D60" i="10"/>
  <c r="E60" i="10"/>
  <c r="F60" i="10"/>
  <c r="G60" i="10"/>
  <c r="H60" i="10"/>
  <c r="I60" i="10"/>
  <c r="J60" i="10"/>
  <c r="K60" i="10"/>
  <c r="L60" i="10"/>
  <c r="M60" i="10"/>
  <c r="N60" i="10"/>
  <c r="O60" i="10"/>
  <c r="P60" i="10"/>
  <c r="Q60" i="10"/>
  <c r="R60" i="10"/>
  <c r="S60" i="10"/>
  <c r="T60" i="10"/>
  <c r="U60" i="10"/>
  <c r="V60" i="10"/>
  <c r="W60" i="10"/>
  <c r="X60" i="10"/>
  <c r="Y60" i="10"/>
  <c r="Z60" i="10"/>
  <c r="AA60" i="10"/>
  <c r="AB60" i="10"/>
  <c r="AC60" i="10"/>
  <c r="AD60" i="10"/>
  <c r="AE60" i="10"/>
  <c r="AG60" i="10"/>
  <c r="AH60" i="10"/>
  <c r="AI60" i="10"/>
  <c r="AJ60" i="10"/>
  <c r="A61" i="10"/>
  <c r="B61" i="10"/>
  <c r="C61" i="10"/>
  <c r="D61" i="10"/>
  <c r="E61" i="10"/>
  <c r="F61" i="10"/>
  <c r="G61" i="10"/>
  <c r="H61" i="10"/>
  <c r="I61" i="10"/>
  <c r="J61" i="10"/>
  <c r="K61" i="10"/>
  <c r="L61" i="10"/>
  <c r="M61" i="10"/>
  <c r="N61" i="10"/>
  <c r="O61" i="10"/>
  <c r="P61" i="10"/>
  <c r="Q61" i="10"/>
  <c r="R61" i="10"/>
  <c r="S61" i="10"/>
  <c r="T61" i="10"/>
  <c r="U61" i="10"/>
  <c r="V61" i="10"/>
  <c r="W61" i="10"/>
  <c r="X61" i="10"/>
  <c r="Y61" i="10"/>
  <c r="Z61" i="10"/>
  <c r="AA61" i="10"/>
  <c r="AB61" i="10"/>
  <c r="AC61" i="10"/>
  <c r="AD61" i="10"/>
  <c r="AE61" i="10"/>
  <c r="AG61" i="10"/>
  <c r="AH61" i="10"/>
  <c r="AI61" i="10"/>
  <c r="AJ61" i="10"/>
  <c r="A62" i="10"/>
  <c r="B62" i="10"/>
  <c r="C62"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AG62" i="10"/>
  <c r="AH62" i="10"/>
  <c r="AI62" i="10"/>
  <c r="AJ62" i="10"/>
  <c r="A63" i="10"/>
  <c r="B63" i="10"/>
  <c r="C63" i="10"/>
  <c r="D63" i="10"/>
  <c r="E63" i="10"/>
  <c r="F63" i="10"/>
  <c r="G63" i="10"/>
  <c r="H63" i="10"/>
  <c r="I63" i="10"/>
  <c r="J63" i="10"/>
  <c r="K63" i="10"/>
  <c r="L63" i="10"/>
  <c r="M63" i="10"/>
  <c r="N63" i="10"/>
  <c r="O63" i="10"/>
  <c r="P63" i="10"/>
  <c r="Q63" i="10"/>
  <c r="R63" i="10"/>
  <c r="S63" i="10"/>
  <c r="T63" i="10"/>
  <c r="U63" i="10"/>
  <c r="V63" i="10"/>
  <c r="W63" i="10"/>
  <c r="X63" i="10"/>
  <c r="Y63" i="10"/>
  <c r="Z63" i="10"/>
  <c r="AA63" i="10"/>
  <c r="AB63" i="10"/>
  <c r="AC63" i="10"/>
  <c r="AD63" i="10"/>
  <c r="AE63" i="10"/>
  <c r="AG63" i="10"/>
  <c r="AH63" i="10"/>
  <c r="AI63" i="10"/>
  <c r="AJ63" i="10"/>
  <c r="A64" i="10"/>
  <c r="B64" i="10"/>
  <c r="C64" i="10"/>
  <c r="D64" i="10"/>
  <c r="E64" i="10"/>
  <c r="F64" i="10"/>
  <c r="G64" i="10"/>
  <c r="H64" i="10"/>
  <c r="I64" i="10"/>
  <c r="J64" i="10"/>
  <c r="K64" i="10"/>
  <c r="L64" i="10"/>
  <c r="M64" i="10"/>
  <c r="N64" i="10"/>
  <c r="O64" i="10"/>
  <c r="P64" i="10"/>
  <c r="Q64" i="10"/>
  <c r="R64" i="10"/>
  <c r="S64" i="10"/>
  <c r="T64" i="10"/>
  <c r="U64" i="10"/>
  <c r="V64" i="10"/>
  <c r="W64" i="10"/>
  <c r="X64" i="10"/>
  <c r="Y64" i="10"/>
  <c r="Z64" i="10"/>
  <c r="AA64" i="10"/>
  <c r="AB64" i="10"/>
  <c r="AC64" i="10"/>
  <c r="AD64" i="10"/>
  <c r="AE64" i="10"/>
  <c r="AG64" i="10"/>
  <c r="AH64" i="10"/>
  <c r="AI64" i="10"/>
  <c r="AJ64" i="10"/>
  <c r="A65" i="10"/>
  <c r="B65" i="10"/>
  <c r="C65" i="10"/>
  <c r="D65" i="10"/>
  <c r="E65" i="10"/>
  <c r="F65" i="10"/>
  <c r="G65" i="10"/>
  <c r="H65" i="10"/>
  <c r="I65" i="10"/>
  <c r="J65" i="10"/>
  <c r="K65" i="10"/>
  <c r="L65" i="10"/>
  <c r="M65" i="10"/>
  <c r="N65" i="10"/>
  <c r="O65" i="10"/>
  <c r="P65" i="10"/>
  <c r="Q65" i="10"/>
  <c r="R65" i="10"/>
  <c r="S65" i="10"/>
  <c r="T65" i="10"/>
  <c r="U65" i="10"/>
  <c r="V65" i="10"/>
  <c r="W65" i="10"/>
  <c r="X65" i="10"/>
  <c r="Y65" i="10"/>
  <c r="Z65" i="10"/>
  <c r="AA65" i="10"/>
  <c r="AB65" i="10"/>
  <c r="AC65" i="10"/>
  <c r="AD65" i="10"/>
  <c r="AE65" i="10"/>
  <c r="AG65" i="10"/>
  <c r="AH65" i="10"/>
  <c r="AI65" i="10"/>
  <c r="AJ65" i="10"/>
  <c r="A66" i="10"/>
  <c r="B66" i="10"/>
  <c r="C66" i="10"/>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G66" i="10"/>
  <c r="AH66" i="10"/>
  <c r="AI66" i="10"/>
  <c r="AJ66" i="10"/>
  <c r="A67" i="10"/>
  <c r="B67" i="10"/>
  <c r="C67"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G67" i="10"/>
  <c r="AH67" i="10"/>
  <c r="AI67" i="10"/>
  <c r="AJ67" i="10"/>
  <c r="A68" i="10"/>
  <c r="B68" i="10"/>
  <c r="C68"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G68" i="10"/>
  <c r="AH68" i="10"/>
  <c r="AI68" i="10"/>
  <c r="AJ68" i="10"/>
  <c r="A69" i="10"/>
  <c r="B69" i="10"/>
  <c r="C69"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G69" i="10"/>
  <c r="AH69" i="10"/>
  <c r="AI69" i="10"/>
  <c r="AJ69" i="10"/>
  <c r="A70" i="10"/>
  <c r="B70" i="10"/>
  <c r="C70"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G70" i="10"/>
  <c r="AH70" i="10"/>
  <c r="AI70" i="10"/>
  <c r="AJ70" i="10"/>
  <c r="A71" i="10"/>
  <c r="B71" i="10"/>
  <c r="C71"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G71" i="10"/>
  <c r="AH71" i="10"/>
  <c r="AI71" i="10"/>
  <c r="AJ71" i="10"/>
  <c r="A72" i="10"/>
  <c r="B72" i="10"/>
  <c r="C72"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G72" i="10"/>
  <c r="AH72" i="10"/>
  <c r="AI72" i="10"/>
  <c r="AJ72" i="10"/>
  <c r="A73" i="10"/>
  <c r="B73" i="10"/>
  <c r="C73"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G73" i="10"/>
  <c r="AH73" i="10"/>
  <c r="AI73" i="10"/>
  <c r="AJ73" i="10"/>
  <c r="A74" i="10"/>
  <c r="B74" i="10"/>
  <c r="C74" i="10"/>
  <c r="D74" i="10"/>
  <c r="E74" i="10"/>
  <c r="F74" i="10"/>
  <c r="G74" i="10"/>
  <c r="H74" i="10"/>
  <c r="I74" i="10"/>
  <c r="J74" i="10"/>
  <c r="K74" i="10"/>
  <c r="L74" i="10"/>
  <c r="M74" i="10"/>
  <c r="N74" i="10"/>
  <c r="O74" i="10"/>
  <c r="P74" i="10"/>
  <c r="Q74" i="10"/>
  <c r="R74" i="10"/>
  <c r="S74" i="10"/>
  <c r="T74" i="10"/>
  <c r="U74" i="10"/>
  <c r="V74" i="10"/>
  <c r="W74" i="10"/>
  <c r="X74" i="10"/>
  <c r="Y74" i="10"/>
  <c r="Z74" i="10"/>
  <c r="AA74" i="10"/>
  <c r="AB74" i="10"/>
  <c r="AC74" i="10"/>
  <c r="AD74" i="10"/>
  <c r="AE74" i="10"/>
  <c r="AG74" i="10"/>
  <c r="AH74" i="10"/>
  <c r="AI74" i="10"/>
  <c r="AJ74" i="10"/>
  <c r="A75" i="10"/>
  <c r="B75" i="10"/>
  <c r="C75" i="10"/>
  <c r="D75" i="10"/>
  <c r="E75" i="10"/>
  <c r="F75" i="10"/>
  <c r="G75" i="10"/>
  <c r="H75" i="10"/>
  <c r="I75" i="10"/>
  <c r="J75" i="10"/>
  <c r="K75" i="10"/>
  <c r="L75" i="10"/>
  <c r="M75" i="10"/>
  <c r="N75" i="10"/>
  <c r="O75" i="10"/>
  <c r="P75" i="10"/>
  <c r="Q75" i="10"/>
  <c r="R75" i="10"/>
  <c r="S75" i="10"/>
  <c r="T75" i="10"/>
  <c r="U75" i="10"/>
  <c r="V75" i="10"/>
  <c r="W75" i="10"/>
  <c r="X75" i="10"/>
  <c r="Y75" i="10"/>
  <c r="Z75" i="10"/>
  <c r="AA75" i="10"/>
  <c r="AB75" i="10"/>
  <c r="AC75" i="10"/>
  <c r="AD75" i="10"/>
  <c r="AE75" i="10"/>
  <c r="AG75" i="10"/>
  <c r="AH75" i="10"/>
  <c r="AI75" i="10"/>
  <c r="AJ75" i="10"/>
  <c r="A76" i="10"/>
  <c r="B76" i="10"/>
  <c r="C76" i="10"/>
  <c r="D76" i="10"/>
  <c r="E76" i="10"/>
  <c r="F76" i="10"/>
  <c r="G76" i="10"/>
  <c r="H76" i="10"/>
  <c r="I76" i="10"/>
  <c r="J76" i="10"/>
  <c r="K76" i="10"/>
  <c r="L76" i="10"/>
  <c r="M76" i="10"/>
  <c r="N76" i="10"/>
  <c r="O76" i="10"/>
  <c r="P76" i="10"/>
  <c r="Q76" i="10"/>
  <c r="R76" i="10"/>
  <c r="S76" i="10"/>
  <c r="T76" i="10"/>
  <c r="U76" i="10"/>
  <c r="V76" i="10"/>
  <c r="W76" i="10"/>
  <c r="X76" i="10"/>
  <c r="Y76" i="10"/>
  <c r="Z76" i="10"/>
  <c r="AA76" i="10"/>
  <c r="AB76" i="10"/>
  <c r="AC76" i="10"/>
  <c r="AD76" i="10"/>
  <c r="AE76" i="10"/>
  <c r="AG76" i="10"/>
  <c r="AH76" i="10"/>
  <c r="AI76" i="10"/>
  <c r="AJ76" i="10"/>
  <c r="A77" i="10"/>
  <c r="B77" i="10"/>
  <c r="C77" i="10"/>
  <c r="D77" i="10"/>
  <c r="E77" i="10"/>
  <c r="F77" i="10"/>
  <c r="G77" i="10"/>
  <c r="H77" i="10"/>
  <c r="I77" i="10"/>
  <c r="J77" i="10"/>
  <c r="K77" i="10"/>
  <c r="L77" i="10"/>
  <c r="M77" i="10"/>
  <c r="N77" i="10"/>
  <c r="O77" i="10"/>
  <c r="P77" i="10"/>
  <c r="Q77" i="10"/>
  <c r="R77" i="10"/>
  <c r="S77" i="10"/>
  <c r="T77" i="10"/>
  <c r="U77" i="10"/>
  <c r="V77" i="10"/>
  <c r="W77" i="10"/>
  <c r="X77" i="10"/>
  <c r="Y77" i="10"/>
  <c r="Z77" i="10"/>
  <c r="AA77" i="10"/>
  <c r="AB77" i="10"/>
  <c r="AC77" i="10"/>
  <c r="AD77" i="10"/>
  <c r="AE77" i="10"/>
  <c r="AG77" i="10"/>
  <c r="AH77" i="10"/>
  <c r="AI77" i="10"/>
  <c r="AJ77" i="10"/>
  <c r="A78" i="10"/>
  <c r="B78" i="10"/>
  <c r="C78" i="10"/>
  <c r="D78" i="10"/>
  <c r="E78" i="10"/>
  <c r="F78" i="10"/>
  <c r="G78" i="10"/>
  <c r="H78" i="10"/>
  <c r="I78" i="10"/>
  <c r="J78" i="10"/>
  <c r="K78" i="10"/>
  <c r="L78" i="10"/>
  <c r="M78" i="10"/>
  <c r="N78" i="10"/>
  <c r="O78" i="10"/>
  <c r="P78" i="10"/>
  <c r="Q78" i="10"/>
  <c r="R78" i="10"/>
  <c r="S78" i="10"/>
  <c r="T78" i="10"/>
  <c r="U78" i="10"/>
  <c r="V78" i="10"/>
  <c r="W78" i="10"/>
  <c r="X78" i="10"/>
  <c r="Y78" i="10"/>
  <c r="Z78" i="10"/>
  <c r="AA78" i="10"/>
  <c r="AB78" i="10"/>
  <c r="AC78" i="10"/>
  <c r="AD78" i="10"/>
  <c r="AE78" i="10"/>
  <c r="AG78" i="10"/>
  <c r="AH78" i="10"/>
  <c r="AI78" i="10"/>
  <c r="AJ78" i="10"/>
  <c r="A79" i="10"/>
  <c r="B79" i="10"/>
  <c r="C79" i="10"/>
  <c r="D79" i="10"/>
  <c r="E79" i="10"/>
  <c r="F79" i="10"/>
  <c r="G79" i="10"/>
  <c r="H79" i="10"/>
  <c r="I79" i="10"/>
  <c r="J79" i="10"/>
  <c r="K79" i="10"/>
  <c r="L79" i="10"/>
  <c r="M79" i="10"/>
  <c r="N79" i="10"/>
  <c r="O79" i="10"/>
  <c r="P79" i="10"/>
  <c r="Q79" i="10"/>
  <c r="R79" i="10"/>
  <c r="S79" i="10"/>
  <c r="T79" i="10"/>
  <c r="U79" i="10"/>
  <c r="V79" i="10"/>
  <c r="W79" i="10"/>
  <c r="X79" i="10"/>
  <c r="Y79" i="10"/>
  <c r="Z79" i="10"/>
  <c r="AA79" i="10"/>
  <c r="AB79" i="10"/>
  <c r="AC79" i="10"/>
  <c r="AD79" i="10"/>
  <c r="AE79" i="10"/>
  <c r="AG79" i="10"/>
  <c r="AH79" i="10"/>
  <c r="AI79" i="10"/>
  <c r="AJ79" i="10"/>
  <c r="A80" i="10"/>
  <c r="B80" i="10"/>
  <c r="C80" i="10"/>
  <c r="D80" i="10"/>
  <c r="E80" i="10"/>
  <c r="F80" i="10"/>
  <c r="G80" i="10"/>
  <c r="H80" i="10"/>
  <c r="I80" i="10"/>
  <c r="J80" i="10"/>
  <c r="K80" i="10"/>
  <c r="L80" i="10"/>
  <c r="M80" i="10"/>
  <c r="N80" i="10"/>
  <c r="O80" i="10"/>
  <c r="P80" i="10"/>
  <c r="Q80" i="10"/>
  <c r="R80" i="10"/>
  <c r="S80" i="10"/>
  <c r="T80" i="10"/>
  <c r="U80" i="10"/>
  <c r="V80" i="10"/>
  <c r="W80" i="10"/>
  <c r="X80" i="10"/>
  <c r="Y80" i="10"/>
  <c r="Z80" i="10"/>
  <c r="AA80" i="10"/>
  <c r="AB80" i="10"/>
  <c r="AC80" i="10"/>
  <c r="AD80" i="10"/>
  <c r="AE80" i="10"/>
  <c r="AG80" i="10"/>
  <c r="AH80" i="10"/>
  <c r="AI80" i="10"/>
  <c r="AJ80" i="10"/>
  <c r="A81" i="10"/>
  <c r="B81" i="10"/>
  <c r="C81" i="10"/>
  <c r="D81" i="10"/>
  <c r="E81" i="10"/>
  <c r="F81" i="10"/>
  <c r="G81" i="10"/>
  <c r="H81" i="10"/>
  <c r="I81" i="10"/>
  <c r="J81" i="10"/>
  <c r="K81" i="10"/>
  <c r="L81" i="10"/>
  <c r="M81" i="10"/>
  <c r="N81" i="10"/>
  <c r="O81" i="10"/>
  <c r="P81" i="10"/>
  <c r="Q81" i="10"/>
  <c r="R81" i="10"/>
  <c r="S81" i="10"/>
  <c r="T81" i="10"/>
  <c r="U81" i="10"/>
  <c r="V81" i="10"/>
  <c r="W81" i="10"/>
  <c r="X81" i="10"/>
  <c r="Y81" i="10"/>
  <c r="Z81" i="10"/>
  <c r="AA81" i="10"/>
  <c r="AB81" i="10"/>
  <c r="AC81" i="10"/>
  <c r="AD81" i="10"/>
  <c r="AE81" i="10"/>
  <c r="AG81" i="10"/>
  <c r="AH81" i="10"/>
  <c r="AI81" i="10"/>
  <c r="AJ81" i="10"/>
  <c r="A82" i="10"/>
  <c r="B82" i="10"/>
  <c r="C82" i="10"/>
  <c r="D82" i="10"/>
  <c r="E82" i="10"/>
  <c r="F82" i="10"/>
  <c r="G82" i="10"/>
  <c r="H82" i="10"/>
  <c r="I82" i="10"/>
  <c r="J82" i="10"/>
  <c r="K82" i="10"/>
  <c r="L82" i="10"/>
  <c r="M82" i="10"/>
  <c r="N82" i="10"/>
  <c r="O82" i="10"/>
  <c r="P82" i="10"/>
  <c r="Q82" i="10"/>
  <c r="R82" i="10"/>
  <c r="S82" i="10"/>
  <c r="T82" i="10"/>
  <c r="U82" i="10"/>
  <c r="V82" i="10"/>
  <c r="W82" i="10"/>
  <c r="X82" i="10"/>
  <c r="Y82" i="10"/>
  <c r="Z82" i="10"/>
  <c r="AA82" i="10"/>
  <c r="AB82" i="10"/>
  <c r="AC82" i="10"/>
  <c r="AD82" i="10"/>
  <c r="AE82" i="10"/>
  <c r="AG82" i="10"/>
  <c r="AH82" i="10"/>
  <c r="AI82" i="10"/>
  <c r="AJ82" i="10"/>
  <c r="A83" i="10"/>
  <c r="B83" i="10"/>
  <c r="C83" i="10"/>
  <c r="D83" i="10"/>
  <c r="E83" i="10"/>
  <c r="F83" i="10"/>
  <c r="G83" i="10"/>
  <c r="H83" i="10"/>
  <c r="I83" i="10"/>
  <c r="J83" i="10"/>
  <c r="K83" i="10"/>
  <c r="L83" i="10"/>
  <c r="M83" i="10"/>
  <c r="N83" i="10"/>
  <c r="O83" i="10"/>
  <c r="P83" i="10"/>
  <c r="Q83" i="10"/>
  <c r="R83" i="10"/>
  <c r="S83" i="10"/>
  <c r="T83" i="10"/>
  <c r="U83" i="10"/>
  <c r="V83" i="10"/>
  <c r="W83" i="10"/>
  <c r="X83" i="10"/>
  <c r="Y83" i="10"/>
  <c r="Z83" i="10"/>
  <c r="AA83" i="10"/>
  <c r="AB83" i="10"/>
  <c r="AC83" i="10"/>
  <c r="AD83" i="10"/>
  <c r="AE83" i="10"/>
  <c r="AG83" i="10"/>
  <c r="AH83" i="10"/>
  <c r="AI83" i="10"/>
  <c r="AJ83" i="10"/>
  <c r="A84" i="10"/>
  <c r="B84" i="10"/>
  <c r="C84" i="10"/>
  <c r="D84" i="10"/>
  <c r="E84" i="10"/>
  <c r="F84" i="10"/>
  <c r="G84" i="10"/>
  <c r="H84" i="10"/>
  <c r="I84" i="10"/>
  <c r="J84" i="10"/>
  <c r="K84" i="10"/>
  <c r="L84" i="10"/>
  <c r="M84" i="10"/>
  <c r="N84" i="10"/>
  <c r="O84" i="10"/>
  <c r="P84" i="10"/>
  <c r="Q84" i="10"/>
  <c r="R84" i="10"/>
  <c r="S84" i="10"/>
  <c r="T84" i="10"/>
  <c r="U84" i="10"/>
  <c r="V84" i="10"/>
  <c r="W84" i="10"/>
  <c r="X84" i="10"/>
  <c r="Y84" i="10"/>
  <c r="Z84" i="10"/>
  <c r="AA84" i="10"/>
  <c r="AB84" i="10"/>
  <c r="AC84" i="10"/>
  <c r="AD84" i="10"/>
  <c r="AE84" i="10"/>
  <c r="AG84" i="10"/>
  <c r="AH84" i="10"/>
  <c r="AI84" i="10"/>
  <c r="AJ84" i="10"/>
  <c r="A85" i="10"/>
  <c r="B85" i="10"/>
  <c r="C85" i="10"/>
  <c r="D85" i="10"/>
  <c r="E85" i="10"/>
  <c r="F85" i="10"/>
  <c r="G85" i="10"/>
  <c r="H85" i="10"/>
  <c r="I85" i="10"/>
  <c r="J85" i="10"/>
  <c r="K85" i="10"/>
  <c r="L85" i="10"/>
  <c r="M85" i="10"/>
  <c r="N85" i="10"/>
  <c r="O85" i="10"/>
  <c r="P85" i="10"/>
  <c r="Q85" i="10"/>
  <c r="R85" i="10"/>
  <c r="S85" i="10"/>
  <c r="T85" i="10"/>
  <c r="U85" i="10"/>
  <c r="V85" i="10"/>
  <c r="W85" i="10"/>
  <c r="X85" i="10"/>
  <c r="Y85" i="10"/>
  <c r="Z85" i="10"/>
  <c r="AA85" i="10"/>
  <c r="AB85" i="10"/>
  <c r="AC85" i="10"/>
  <c r="AD85" i="10"/>
  <c r="AE85" i="10"/>
  <c r="AG85" i="10"/>
  <c r="AH85" i="10"/>
  <c r="AI85" i="10"/>
  <c r="AJ85" i="10"/>
  <c r="A86" i="10"/>
  <c r="B86" i="10"/>
  <c r="C86" i="10"/>
  <c r="D86" i="10"/>
  <c r="E86" i="10"/>
  <c r="F86" i="10"/>
  <c r="G86" i="10"/>
  <c r="H86" i="10"/>
  <c r="I86" i="10"/>
  <c r="J86" i="10"/>
  <c r="K86" i="10"/>
  <c r="L86" i="10"/>
  <c r="M86" i="10"/>
  <c r="N86" i="10"/>
  <c r="O86" i="10"/>
  <c r="P86" i="10"/>
  <c r="Q86" i="10"/>
  <c r="R86" i="10"/>
  <c r="S86" i="10"/>
  <c r="T86" i="10"/>
  <c r="U86" i="10"/>
  <c r="V86" i="10"/>
  <c r="W86" i="10"/>
  <c r="X86" i="10"/>
  <c r="Y86" i="10"/>
  <c r="Z86" i="10"/>
  <c r="AA86" i="10"/>
  <c r="AB86" i="10"/>
  <c r="AC86" i="10"/>
  <c r="AD86" i="10"/>
  <c r="AE86" i="10"/>
  <c r="AG86" i="10"/>
  <c r="AH86" i="10"/>
  <c r="AI86" i="10"/>
  <c r="AJ86" i="10"/>
  <c r="A87" i="10"/>
  <c r="B87" i="10"/>
  <c r="C87" i="10"/>
  <c r="D87" i="10"/>
  <c r="E87" i="10"/>
  <c r="F87" i="10"/>
  <c r="G87" i="10"/>
  <c r="H87" i="10"/>
  <c r="I87" i="10"/>
  <c r="J87" i="10"/>
  <c r="K87" i="10"/>
  <c r="L87" i="10"/>
  <c r="M87" i="10"/>
  <c r="N87" i="10"/>
  <c r="O87" i="10"/>
  <c r="P87" i="10"/>
  <c r="Q87" i="10"/>
  <c r="R87" i="10"/>
  <c r="S87" i="10"/>
  <c r="T87" i="10"/>
  <c r="U87" i="10"/>
  <c r="V87" i="10"/>
  <c r="W87" i="10"/>
  <c r="X87" i="10"/>
  <c r="Y87" i="10"/>
  <c r="Z87" i="10"/>
  <c r="AA87" i="10"/>
  <c r="AB87" i="10"/>
  <c r="AC87" i="10"/>
  <c r="AD87" i="10"/>
  <c r="AE87" i="10"/>
  <c r="AG87" i="10"/>
  <c r="AH87" i="10"/>
  <c r="AI87" i="10"/>
  <c r="AJ87" i="10"/>
  <c r="A88" i="10"/>
  <c r="B88" i="10"/>
  <c r="C88" i="10"/>
  <c r="D88" i="10"/>
  <c r="E88" i="10"/>
  <c r="F88" i="10"/>
  <c r="G88" i="10"/>
  <c r="H88" i="10"/>
  <c r="I88" i="10"/>
  <c r="J88" i="10"/>
  <c r="K88" i="10"/>
  <c r="L88" i="10"/>
  <c r="M88" i="10"/>
  <c r="N88" i="10"/>
  <c r="O88" i="10"/>
  <c r="P88" i="10"/>
  <c r="Q88" i="10"/>
  <c r="R88" i="10"/>
  <c r="S88" i="10"/>
  <c r="T88" i="10"/>
  <c r="U88" i="10"/>
  <c r="V88" i="10"/>
  <c r="W88" i="10"/>
  <c r="X88" i="10"/>
  <c r="Y88" i="10"/>
  <c r="Z88" i="10"/>
  <c r="AA88" i="10"/>
  <c r="AB88" i="10"/>
  <c r="AC88" i="10"/>
  <c r="AD88" i="10"/>
  <c r="AE88" i="10"/>
  <c r="AG88" i="10"/>
  <c r="AH88" i="10"/>
  <c r="AI88" i="10"/>
  <c r="AJ88" i="10"/>
  <c r="A89" i="10"/>
  <c r="B89" i="10"/>
  <c r="C89" i="10"/>
  <c r="D89" i="10"/>
  <c r="E89" i="10"/>
  <c r="F89" i="10"/>
  <c r="G89" i="10"/>
  <c r="H89" i="10"/>
  <c r="I89" i="10"/>
  <c r="J89" i="10"/>
  <c r="K89" i="10"/>
  <c r="L89" i="10"/>
  <c r="M89" i="10"/>
  <c r="N89" i="10"/>
  <c r="O89" i="10"/>
  <c r="P89" i="10"/>
  <c r="Q89" i="10"/>
  <c r="R89" i="10"/>
  <c r="S89" i="10"/>
  <c r="T89" i="10"/>
  <c r="U89" i="10"/>
  <c r="V89" i="10"/>
  <c r="W89" i="10"/>
  <c r="X89" i="10"/>
  <c r="Y89" i="10"/>
  <c r="Z89" i="10"/>
  <c r="AA89" i="10"/>
  <c r="AB89" i="10"/>
  <c r="AC89" i="10"/>
  <c r="AD89" i="10"/>
  <c r="AE89" i="10"/>
  <c r="AG89" i="10"/>
  <c r="AH89" i="10"/>
  <c r="AI89" i="10"/>
  <c r="AJ89" i="10"/>
  <c r="A90" i="10"/>
  <c r="B90" i="10"/>
  <c r="C90" i="10"/>
  <c r="D90" i="10"/>
  <c r="E90" i="10"/>
  <c r="F90" i="10"/>
  <c r="G90" i="10"/>
  <c r="H90" i="10"/>
  <c r="I90" i="10"/>
  <c r="J90" i="10"/>
  <c r="K90" i="10"/>
  <c r="L90" i="10"/>
  <c r="M90" i="10"/>
  <c r="N90" i="10"/>
  <c r="O90" i="10"/>
  <c r="P90" i="10"/>
  <c r="Q90" i="10"/>
  <c r="R90" i="10"/>
  <c r="S90" i="10"/>
  <c r="T90" i="10"/>
  <c r="U90" i="10"/>
  <c r="V90" i="10"/>
  <c r="W90" i="10"/>
  <c r="X90" i="10"/>
  <c r="Y90" i="10"/>
  <c r="Z90" i="10"/>
  <c r="AA90" i="10"/>
  <c r="AB90" i="10"/>
  <c r="AC90" i="10"/>
  <c r="AD90" i="10"/>
  <c r="AE90" i="10"/>
  <c r="AG90" i="10"/>
  <c r="AH90" i="10"/>
  <c r="AI90" i="10"/>
  <c r="AJ90" i="10"/>
  <c r="A91" i="10"/>
  <c r="B91" i="10"/>
  <c r="C91" i="10"/>
  <c r="D91" i="10"/>
  <c r="E91" i="10"/>
  <c r="F91" i="10"/>
  <c r="G91" i="10"/>
  <c r="H91" i="10"/>
  <c r="I91" i="10"/>
  <c r="J91" i="10"/>
  <c r="K91" i="10"/>
  <c r="L91" i="10"/>
  <c r="M91" i="10"/>
  <c r="N91" i="10"/>
  <c r="O91" i="10"/>
  <c r="P91" i="10"/>
  <c r="Q91" i="10"/>
  <c r="R91" i="10"/>
  <c r="S91" i="10"/>
  <c r="T91" i="10"/>
  <c r="U91" i="10"/>
  <c r="V91" i="10"/>
  <c r="W91" i="10"/>
  <c r="X91" i="10"/>
  <c r="Y91" i="10"/>
  <c r="Z91" i="10"/>
  <c r="AA91" i="10"/>
  <c r="AB91" i="10"/>
  <c r="AC91" i="10"/>
  <c r="AD91" i="10"/>
  <c r="AE91" i="10"/>
  <c r="AG91" i="10"/>
  <c r="AH91" i="10"/>
  <c r="AI91" i="10"/>
  <c r="AJ91" i="10"/>
  <c r="A92" i="10"/>
  <c r="B92" i="10"/>
  <c r="C92" i="10"/>
  <c r="D92" i="10"/>
  <c r="E92" i="10"/>
  <c r="F92" i="10"/>
  <c r="G92" i="10"/>
  <c r="H92" i="10"/>
  <c r="I92" i="10"/>
  <c r="J92" i="10"/>
  <c r="K92" i="10"/>
  <c r="L92" i="10"/>
  <c r="M92" i="10"/>
  <c r="N92" i="10"/>
  <c r="O92" i="10"/>
  <c r="P92" i="10"/>
  <c r="Q92" i="10"/>
  <c r="R92" i="10"/>
  <c r="S92" i="10"/>
  <c r="T92" i="10"/>
  <c r="U92" i="10"/>
  <c r="V92" i="10"/>
  <c r="W92" i="10"/>
  <c r="X92" i="10"/>
  <c r="Y92" i="10"/>
  <c r="Z92" i="10"/>
  <c r="AA92" i="10"/>
  <c r="AB92" i="10"/>
  <c r="AC92" i="10"/>
  <c r="AD92" i="10"/>
  <c r="AE92" i="10"/>
  <c r="AG92" i="10"/>
  <c r="AH92" i="10"/>
  <c r="AI92" i="10"/>
  <c r="AJ92" i="10"/>
  <c r="A93" i="10"/>
  <c r="B93" i="10"/>
  <c r="C93" i="10"/>
  <c r="D93" i="10"/>
  <c r="E93" i="10"/>
  <c r="F93" i="10"/>
  <c r="G93" i="10"/>
  <c r="H93" i="10"/>
  <c r="I93" i="10"/>
  <c r="J93" i="10"/>
  <c r="K93" i="10"/>
  <c r="L93" i="10"/>
  <c r="M93" i="10"/>
  <c r="N93" i="10"/>
  <c r="O93" i="10"/>
  <c r="P93" i="10"/>
  <c r="Q93" i="10"/>
  <c r="R93" i="10"/>
  <c r="S93" i="10"/>
  <c r="T93" i="10"/>
  <c r="U93" i="10"/>
  <c r="V93" i="10"/>
  <c r="W93" i="10"/>
  <c r="X93" i="10"/>
  <c r="Y93" i="10"/>
  <c r="Z93" i="10"/>
  <c r="AA93" i="10"/>
  <c r="AB93" i="10"/>
  <c r="AC93" i="10"/>
  <c r="AD93" i="10"/>
  <c r="AE93" i="10"/>
  <c r="AG93" i="10"/>
  <c r="AH93" i="10"/>
  <c r="AI93" i="10"/>
  <c r="AJ93" i="10"/>
  <c r="A94" i="10"/>
  <c r="B94" i="10"/>
  <c r="C94" i="10"/>
  <c r="D94" i="10"/>
  <c r="E94" i="10"/>
  <c r="F94" i="10"/>
  <c r="G94" i="10"/>
  <c r="H94" i="10"/>
  <c r="I94" i="10"/>
  <c r="J94" i="10"/>
  <c r="K94" i="10"/>
  <c r="L94" i="10"/>
  <c r="M94" i="10"/>
  <c r="N94" i="10"/>
  <c r="O94" i="10"/>
  <c r="P94" i="10"/>
  <c r="Q94" i="10"/>
  <c r="R94" i="10"/>
  <c r="S94" i="10"/>
  <c r="T94" i="10"/>
  <c r="U94" i="10"/>
  <c r="V94" i="10"/>
  <c r="W94" i="10"/>
  <c r="X94" i="10"/>
  <c r="Y94" i="10"/>
  <c r="Z94" i="10"/>
  <c r="AA94" i="10"/>
  <c r="AB94" i="10"/>
  <c r="AC94" i="10"/>
  <c r="AD94" i="10"/>
  <c r="AE94" i="10"/>
  <c r="AG94" i="10"/>
  <c r="AH94" i="10"/>
  <c r="AI94" i="10"/>
  <c r="AJ94" i="10"/>
  <c r="A95" i="10"/>
  <c r="B95" i="10"/>
  <c r="C95" i="10"/>
  <c r="D95" i="10"/>
  <c r="E95" i="10"/>
  <c r="F95" i="10"/>
  <c r="G95" i="10"/>
  <c r="H95" i="10"/>
  <c r="I95" i="10"/>
  <c r="J95" i="10"/>
  <c r="K95" i="10"/>
  <c r="L95" i="10"/>
  <c r="M95" i="10"/>
  <c r="N95" i="10"/>
  <c r="O95" i="10"/>
  <c r="P95" i="10"/>
  <c r="Q95" i="10"/>
  <c r="R95" i="10"/>
  <c r="S95" i="10"/>
  <c r="T95" i="10"/>
  <c r="U95" i="10"/>
  <c r="V95" i="10"/>
  <c r="W95" i="10"/>
  <c r="X95" i="10"/>
  <c r="Y95" i="10"/>
  <c r="Z95" i="10"/>
  <c r="AA95" i="10"/>
  <c r="AB95" i="10"/>
  <c r="AC95" i="10"/>
  <c r="AD95" i="10"/>
  <c r="AE95" i="10"/>
  <c r="AG95" i="10"/>
  <c r="AH95" i="10"/>
  <c r="AI95" i="10"/>
  <c r="AJ95" i="10"/>
  <c r="A96" i="10"/>
  <c r="B96" i="10"/>
  <c r="C96" i="10"/>
  <c r="D96" i="10"/>
  <c r="E96" i="10"/>
  <c r="F96" i="10"/>
  <c r="G96" i="10"/>
  <c r="H96" i="10"/>
  <c r="I96" i="10"/>
  <c r="J96" i="10"/>
  <c r="K96" i="10"/>
  <c r="L96" i="10"/>
  <c r="M96" i="10"/>
  <c r="N96" i="10"/>
  <c r="O96" i="10"/>
  <c r="P96" i="10"/>
  <c r="Q96" i="10"/>
  <c r="R96" i="10"/>
  <c r="S96" i="10"/>
  <c r="T96" i="10"/>
  <c r="U96" i="10"/>
  <c r="V96" i="10"/>
  <c r="W96" i="10"/>
  <c r="X96" i="10"/>
  <c r="Y96" i="10"/>
  <c r="Z96" i="10"/>
  <c r="AA96" i="10"/>
  <c r="AB96" i="10"/>
  <c r="AC96" i="10"/>
  <c r="AD96" i="10"/>
  <c r="AE96" i="10"/>
  <c r="AG96" i="10"/>
  <c r="AH96" i="10"/>
  <c r="AI96" i="10"/>
  <c r="AJ96" i="10"/>
  <c r="A97" i="10"/>
  <c r="B97" i="10"/>
  <c r="C97" i="10"/>
  <c r="D97" i="10"/>
  <c r="E97" i="10"/>
  <c r="F97" i="10"/>
  <c r="G97" i="10"/>
  <c r="H97" i="10"/>
  <c r="I97" i="10"/>
  <c r="J97" i="10"/>
  <c r="K97" i="10"/>
  <c r="L97" i="10"/>
  <c r="M97" i="10"/>
  <c r="N97" i="10"/>
  <c r="O97" i="10"/>
  <c r="P97" i="10"/>
  <c r="Q97" i="10"/>
  <c r="R97" i="10"/>
  <c r="S97" i="10"/>
  <c r="T97" i="10"/>
  <c r="U97" i="10"/>
  <c r="V97" i="10"/>
  <c r="W97" i="10"/>
  <c r="X97" i="10"/>
  <c r="Y97" i="10"/>
  <c r="Z97" i="10"/>
  <c r="AA97" i="10"/>
  <c r="AB97" i="10"/>
  <c r="AC97" i="10"/>
  <c r="AD97" i="10"/>
  <c r="AE97" i="10"/>
  <c r="AG97" i="10"/>
  <c r="AH97" i="10"/>
  <c r="AI97" i="10"/>
  <c r="AJ97" i="10"/>
  <c r="A98" i="10"/>
  <c r="B98" i="10"/>
  <c r="C98" i="10"/>
  <c r="D98" i="10"/>
  <c r="E98" i="10"/>
  <c r="F98" i="10"/>
  <c r="G98" i="10"/>
  <c r="H98" i="10"/>
  <c r="I98" i="10"/>
  <c r="J98" i="10"/>
  <c r="K98" i="10"/>
  <c r="L98" i="10"/>
  <c r="M98" i="10"/>
  <c r="N98" i="10"/>
  <c r="O98" i="10"/>
  <c r="P98" i="10"/>
  <c r="Q98" i="10"/>
  <c r="R98" i="10"/>
  <c r="S98" i="10"/>
  <c r="T98" i="10"/>
  <c r="U98" i="10"/>
  <c r="V98" i="10"/>
  <c r="W98" i="10"/>
  <c r="X98" i="10"/>
  <c r="Y98" i="10"/>
  <c r="Z98" i="10"/>
  <c r="AA98" i="10"/>
  <c r="AB98" i="10"/>
  <c r="AC98" i="10"/>
  <c r="AD98" i="10"/>
  <c r="AE98" i="10"/>
  <c r="AG98" i="10"/>
  <c r="AH98" i="10"/>
  <c r="AI98" i="10"/>
  <c r="AJ98" i="10"/>
  <c r="A99" i="10"/>
  <c r="B99" i="10"/>
  <c r="C99" i="10"/>
  <c r="D99" i="10"/>
  <c r="E99" i="10"/>
  <c r="F99" i="10"/>
  <c r="G99" i="10"/>
  <c r="H99" i="10"/>
  <c r="I99" i="10"/>
  <c r="J99" i="10"/>
  <c r="K99" i="10"/>
  <c r="L99" i="10"/>
  <c r="M99" i="10"/>
  <c r="N99" i="10"/>
  <c r="O99" i="10"/>
  <c r="P99" i="10"/>
  <c r="Q99" i="10"/>
  <c r="R99" i="10"/>
  <c r="S99" i="10"/>
  <c r="T99" i="10"/>
  <c r="U99" i="10"/>
  <c r="V99" i="10"/>
  <c r="W99" i="10"/>
  <c r="X99" i="10"/>
  <c r="Y99" i="10"/>
  <c r="Z99" i="10"/>
  <c r="AA99" i="10"/>
  <c r="AB99" i="10"/>
  <c r="AC99" i="10"/>
  <c r="AD99" i="10"/>
  <c r="AE99" i="10"/>
  <c r="AG99" i="10"/>
  <c r="AH99" i="10"/>
  <c r="AI99" i="10"/>
  <c r="AJ99" i="10"/>
  <c r="A100" i="10"/>
  <c r="B100" i="10"/>
  <c r="C100" i="10"/>
  <c r="D100" i="10"/>
  <c r="E100" i="10"/>
  <c r="F100" i="10"/>
  <c r="G100" i="10"/>
  <c r="H100" i="10"/>
  <c r="I100" i="10"/>
  <c r="J100" i="10"/>
  <c r="K100" i="10"/>
  <c r="L100" i="10"/>
  <c r="M100" i="10"/>
  <c r="N100" i="10"/>
  <c r="O100" i="10"/>
  <c r="P100" i="10"/>
  <c r="Q100" i="10"/>
  <c r="R100" i="10"/>
  <c r="S100" i="10"/>
  <c r="T100" i="10"/>
  <c r="U100" i="10"/>
  <c r="V100" i="10"/>
  <c r="W100" i="10"/>
  <c r="X100" i="10"/>
  <c r="Z100" i="10"/>
  <c r="AA100" i="10"/>
  <c r="AB100" i="10"/>
  <c r="AC100" i="10"/>
  <c r="AD100" i="10"/>
  <c r="AE100" i="10"/>
  <c r="AG100" i="10"/>
  <c r="AH100" i="10"/>
  <c r="AI100" i="10"/>
  <c r="AJ100" i="10"/>
  <c r="A101" i="10"/>
  <c r="B101" i="10"/>
  <c r="C101" i="10"/>
  <c r="D101" i="10"/>
  <c r="E101" i="10"/>
  <c r="F101" i="10"/>
  <c r="G101" i="10"/>
  <c r="H101" i="10"/>
  <c r="I101" i="10"/>
  <c r="J101" i="10"/>
  <c r="K101" i="10"/>
  <c r="L101" i="10"/>
  <c r="M101" i="10"/>
  <c r="N101" i="10"/>
  <c r="O101" i="10"/>
  <c r="P101" i="10"/>
  <c r="Q101" i="10"/>
  <c r="R101" i="10"/>
  <c r="S101" i="10"/>
  <c r="T101" i="10"/>
  <c r="U101" i="10"/>
  <c r="V101" i="10"/>
  <c r="W101" i="10"/>
  <c r="X101" i="10"/>
  <c r="Z101" i="10"/>
  <c r="AA101" i="10"/>
  <c r="AB101" i="10"/>
  <c r="AC101" i="10"/>
  <c r="AD101" i="10"/>
  <c r="AE101" i="10"/>
  <c r="AG101" i="10"/>
  <c r="AH101" i="10"/>
  <c r="AI101" i="10"/>
  <c r="AJ101" i="10"/>
  <c r="A102" i="10"/>
  <c r="B102" i="10"/>
  <c r="C102" i="10"/>
  <c r="D102" i="10"/>
  <c r="E102" i="10"/>
  <c r="F102" i="10"/>
  <c r="G102" i="10"/>
  <c r="H102" i="10"/>
  <c r="I102" i="10"/>
  <c r="J102" i="10"/>
  <c r="K102" i="10"/>
  <c r="L102" i="10"/>
  <c r="M102" i="10"/>
  <c r="N102" i="10"/>
  <c r="O102" i="10"/>
  <c r="P102" i="10"/>
  <c r="Q102" i="10"/>
  <c r="R102" i="10"/>
  <c r="S102" i="10"/>
  <c r="T102" i="10"/>
  <c r="U102" i="10"/>
  <c r="V102" i="10"/>
  <c r="W102" i="10"/>
  <c r="X102" i="10"/>
  <c r="Z102" i="10"/>
  <c r="AA102" i="10"/>
  <c r="AB102" i="10"/>
  <c r="AC102" i="10"/>
  <c r="AD102" i="10"/>
  <c r="AE102" i="10"/>
  <c r="AG102" i="10"/>
  <c r="AH102" i="10"/>
  <c r="AI102" i="10"/>
  <c r="AJ102" i="10"/>
  <c r="A103" i="10"/>
  <c r="B103" i="10"/>
  <c r="C103" i="10"/>
  <c r="D103" i="10"/>
  <c r="E103" i="10"/>
  <c r="F103" i="10"/>
  <c r="G103" i="10"/>
  <c r="H103" i="10"/>
  <c r="I103" i="10"/>
  <c r="J103" i="10"/>
  <c r="K103" i="10"/>
  <c r="L103" i="10"/>
  <c r="M103" i="10"/>
  <c r="N103" i="10"/>
  <c r="O103" i="10"/>
  <c r="P103" i="10"/>
  <c r="Q103" i="10"/>
  <c r="R103" i="10"/>
  <c r="S103" i="10"/>
  <c r="T103" i="10"/>
  <c r="U103" i="10"/>
  <c r="V103" i="10"/>
  <c r="W103" i="10"/>
  <c r="X103" i="10"/>
  <c r="Z103" i="10"/>
  <c r="AA103" i="10"/>
  <c r="AB103" i="10"/>
  <c r="AC103" i="10"/>
  <c r="AD103" i="10"/>
  <c r="AE103" i="10"/>
  <c r="AG103" i="10"/>
  <c r="AH103" i="10"/>
  <c r="AI103" i="10"/>
  <c r="AJ103" i="10"/>
  <c r="A104" i="10"/>
  <c r="B104" i="10"/>
  <c r="C104" i="10"/>
  <c r="D104" i="10"/>
  <c r="E104" i="10"/>
  <c r="F104" i="10"/>
  <c r="G104" i="10"/>
  <c r="H104" i="10"/>
  <c r="I104" i="10"/>
  <c r="J104" i="10"/>
  <c r="K104" i="10"/>
  <c r="L104" i="10"/>
  <c r="M104" i="10"/>
  <c r="N104" i="10"/>
  <c r="O104" i="10"/>
  <c r="P104" i="10"/>
  <c r="Q104" i="10"/>
  <c r="R104" i="10"/>
  <c r="S104" i="10"/>
  <c r="T104" i="10"/>
  <c r="U104" i="10"/>
  <c r="V104" i="10"/>
  <c r="W104" i="10"/>
  <c r="X104" i="10"/>
  <c r="Z104" i="10"/>
  <c r="AA104" i="10"/>
  <c r="AB104" i="10"/>
  <c r="AC104" i="10"/>
  <c r="AD104" i="10"/>
  <c r="AE104" i="10"/>
  <c r="AG104" i="10"/>
  <c r="AH104" i="10"/>
  <c r="AI104" i="10"/>
  <c r="AJ104" i="10"/>
  <c r="A105" i="10"/>
  <c r="B105" i="10"/>
  <c r="C105" i="10"/>
  <c r="D105" i="10"/>
  <c r="E105" i="10"/>
  <c r="F105" i="10"/>
  <c r="G105" i="10"/>
  <c r="H105" i="10"/>
  <c r="I105" i="10"/>
  <c r="J105" i="10"/>
  <c r="K105" i="10"/>
  <c r="L105" i="10"/>
  <c r="M105" i="10"/>
  <c r="N105" i="10"/>
  <c r="O105" i="10"/>
  <c r="P105" i="10"/>
  <c r="Q105" i="10"/>
  <c r="R105" i="10"/>
  <c r="S105" i="10"/>
  <c r="T105" i="10"/>
  <c r="U105" i="10"/>
  <c r="V105" i="10"/>
  <c r="W105" i="10"/>
  <c r="X105" i="10"/>
  <c r="Z105" i="10"/>
  <c r="AA105" i="10"/>
  <c r="AB105" i="10"/>
  <c r="AC105" i="10"/>
  <c r="AD105" i="10"/>
  <c r="AE105" i="10"/>
  <c r="AG105" i="10"/>
  <c r="AH105" i="10"/>
  <c r="AI105" i="10"/>
  <c r="AJ105" i="10"/>
  <c r="A106" i="10"/>
  <c r="B106" i="10"/>
  <c r="C106" i="10"/>
  <c r="D106" i="10"/>
  <c r="E106" i="10"/>
  <c r="F106" i="10"/>
  <c r="G106" i="10"/>
  <c r="H106" i="10"/>
  <c r="I106" i="10"/>
  <c r="J106" i="10"/>
  <c r="K106" i="10"/>
  <c r="L106" i="10"/>
  <c r="M106" i="10"/>
  <c r="N106" i="10"/>
  <c r="O106" i="10"/>
  <c r="P106" i="10"/>
  <c r="Q106" i="10"/>
  <c r="R106" i="10"/>
  <c r="S106" i="10"/>
  <c r="T106" i="10"/>
  <c r="U106" i="10"/>
  <c r="V106" i="10"/>
  <c r="W106" i="10"/>
  <c r="X106" i="10"/>
  <c r="Z106" i="10"/>
  <c r="AA106" i="10"/>
  <c r="AB106" i="10"/>
  <c r="AC106" i="10"/>
  <c r="AD106" i="10"/>
  <c r="AE106" i="10"/>
  <c r="AG106" i="10"/>
  <c r="AH106" i="10"/>
  <c r="AI106" i="10"/>
  <c r="AJ106" i="10"/>
  <c r="A107" i="10"/>
  <c r="B107" i="10"/>
  <c r="C107" i="10"/>
  <c r="D107" i="10"/>
  <c r="E107" i="10"/>
  <c r="F107" i="10"/>
  <c r="G107" i="10"/>
  <c r="H107" i="10"/>
  <c r="I107" i="10"/>
  <c r="J107" i="10"/>
  <c r="K107" i="10"/>
  <c r="L107" i="10"/>
  <c r="M107" i="10"/>
  <c r="N107" i="10"/>
  <c r="O107" i="10"/>
  <c r="P107" i="10"/>
  <c r="Q107" i="10"/>
  <c r="R107" i="10"/>
  <c r="S107" i="10"/>
  <c r="T107" i="10"/>
  <c r="U107" i="10"/>
  <c r="V107" i="10"/>
  <c r="W107" i="10"/>
  <c r="X107" i="10"/>
  <c r="Z107" i="10"/>
  <c r="AA107" i="10"/>
  <c r="AB107" i="10"/>
  <c r="AC107" i="10"/>
  <c r="AD107" i="10"/>
  <c r="AE107" i="10"/>
  <c r="AG107" i="10"/>
  <c r="AH107" i="10"/>
  <c r="AI107" i="10"/>
  <c r="AJ107" i="10"/>
  <c r="A108" i="10"/>
  <c r="B108" i="10"/>
  <c r="C108" i="10"/>
  <c r="D108" i="10"/>
  <c r="E108" i="10"/>
  <c r="F108" i="10"/>
  <c r="G108" i="10"/>
  <c r="H108" i="10"/>
  <c r="I108" i="10"/>
  <c r="J108" i="10"/>
  <c r="K108" i="10"/>
  <c r="L108" i="10"/>
  <c r="M108" i="10"/>
  <c r="N108" i="10"/>
  <c r="O108" i="10"/>
  <c r="P108" i="10"/>
  <c r="Q108" i="10"/>
  <c r="R108" i="10"/>
  <c r="S108" i="10"/>
  <c r="T108" i="10"/>
  <c r="U108" i="10"/>
  <c r="V108" i="10"/>
  <c r="W108" i="10"/>
  <c r="X108" i="10"/>
  <c r="Z108" i="10"/>
  <c r="AA108" i="10"/>
  <c r="AB108" i="10"/>
  <c r="AC108" i="10"/>
  <c r="AD108" i="10"/>
  <c r="AE108" i="10"/>
  <c r="AG108" i="10"/>
  <c r="AH108" i="10"/>
  <c r="AI108" i="10"/>
  <c r="AJ108" i="10"/>
  <c r="A109" i="10"/>
  <c r="B109" i="10"/>
  <c r="C109" i="10"/>
  <c r="D109" i="10"/>
  <c r="E109" i="10"/>
  <c r="F109" i="10"/>
  <c r="G109" i="10"/>
  <c r="H109" i="10"/>
  <c r="I109" i="10"/>
  <c r="J109" i="10"/>
  <c r="K109" i="10"/>
  <c r="L109" i="10"/>
  <c r="M109" i="10"/>
  <c r="N109" i="10"/>
  <c r="O109" i="10"/>
  <c r="P109" i="10"/>
  <c r="Q109" i="10"/>
  <c r="R109" i="10"/>
  <c r="S109" i="10"/>
  <c r="T109" i="10"/>
  <c r="U109" i="10"/>
  <c r="V109" i="10"/>
  <c r="W109" i="10"/>
  <c r="X109" i="10"/>
  <c r="Z109" i="10"/>
  <c r="AA109" i="10"/>
  <c r="AB109" i="10"/>
  <c r="AC109" i="10"/>
  <c r="AD109" i="10"/>
  <c r="AE109" i="10"/>
  <c r="AG109" i="10"/>
  <c r="AH109" i="10"/>
  <c r="AI109" i="10"/>
  <c r="AJ109" i="10"/>
  <c r="A110" i="10"/>
  <c r="B110" i="10"/>
  <c r="C110" i="10"/>
  <c r="D110" i="10"/>
  <c r="E110" i="10"/>
  <c r="F110" i="10"/>
  <c r="G110" i="10"/>
  <c r="H110" i="10"/>
  <c r="I110" i="10"/>
  <c r="J110" i="10"/>
  <c r="K110" i="10"/>
  <c r="L110" i="10"/>
  <c r="M110" i="10"/>
  <c r="N110" i="10"/>
  <c r="O110" i="10"/>
  <c r="P110" i="10"/>
  <c r="Q110" i="10"/>
  <c r="R110" i="10"/>
  <c r="S110" i="10"/>
  <c r="T110" i="10"/>
  <c r="U110" i="10"/>
  <c r="V110" i="10"/>
  <c r="W110" i="10"/>
  <c r="X110" i="10"/>
  <c r="Z110" i="10"/>
  <c r="AA110" i="10"/>
  <c r="AB110" i="10"/>
  <c r="AC110" i="10"/>
  <c r="AD110" i="10"/>
  <c r="AE110" i="10"/>
  <c r="AG110" i="10"/>
  <c r="AH110" i="10"/>
  <c r="AI110" i="10"/>
  <c r="AJ110" i="10"/>
  <c r="A111" i="10"/>
  <c r="B111" i="10"/>
  <c r="C111" i="10"/>
  <c r="D111" i="10"/>
  <c r="E111" i="10"/>
  <c r="F111" i="10"/>
  <c r="G111" i="10"/>
  <c r="H111" i="10"/>
  <c r="I111" i="10"/>
  <c r="J111" i="10"/>
  <c r="K111" i="10"/>
  <c r="L111" i="10"/>
  <c r="M111" i="10"/>
  <c r="N111" i="10"/>
  <c r="O111" i="10"/>
  <c r="P111" i="10"/>
  <c r="Q111" i="10"/>
  <c r="R111" i="10"/>
  <c r="S111" i="10"/>
  <c r="T111" i="10"/>
  <c r="U111" i="10"/>
  <c r="V111" i="10"/>
  <c r="W111" i="10"/>
  <c r="X111" i="10"/>
  <c r="Z111" i="10"/>
  <c r="AA111" i="10"/>
  <c r="AB111" i="10"/>
  <c r="AC111" i="10"/>
  <c r="AD111" i="10"/>
  <c r="AE111" i="10"/>
  <c r="AG111" i="10"/>
  <c r="AH111" i="10"/>
  <c r="AI111" i="10"/>
  <c r="AJ111" i="10"/>
  <c r="A112" i="10"/>
  <c r="B112" i="10"/>
  <c r="C112" i="10"/>
  <c r="D112" i="10"/>
  <c r="E112" i="10"/>
  <c r="F112" i="10"/>
  <c r="G112" i="10"/>
  <c r="H112" i="10"/>
  <c r="I112" i="10"/>
  <c r="J112" i="10"/>
  <c r="K112" i="10"/>
  <c r="L112" i="10"/>
  <c r="M112" i="10"/>
  <c r="N112" i="10"/>
  <c r="O112" i="10"/>
  <c r="P112" i="10"/>
  <c r="Q112" i="10"/>
  <c r="R112" i="10"/>
  <c r="S112" i="10"/>
  <c r="T112" i="10"/>
  <c r="U112" i="10"/>
  <c r="V112" i="10"/>
  <c r="W112" i="10"/>
  <c r="X112" i="10"/>
  <c r="Z112" i="10"/>
  <c r="AA112" i="10"/>
  <c r="AB112" i="10"/>
  <c r="AC112" i="10"/>
  <c r="AD112" i="10"/>
  <c r="AE112" i="10"/>
  <c r="AG112" i="10"/>
  <c r="AH112" i="10"/>
  <c r="AI112" i="10"/>
  <c r="AJ112" i="10"/>
  <c r="A113" i="10"/>
  <c r="B113" i="10"/>
  <c r="C113" i="10"/>
  <c r="D113" i="10"/>
  <c r="E113" i="10"/>
  <c r="F113" i="10"/>
  <c r="G113" i="10"/>
  <c r="H113" i="10"/>
  <c r="I113" i="10"/>
  <c r="J113" i="10"/>
  <c r="K113" i="10"/>
  <c r="L113" i="10"/>
  <c r="M113" i="10"/>
  <c r="N113" i="10"/>
  <c r="O113" i="10"/>
  <c r="P113" i="10"/>
  <c r="Q113" i="10"/>
  <c r="R113" i="10"/>
  <c r="S113" i="10"/>
  <c r="T113" i="10"/>
  <c r="U113" i="10"/>
  <c r="V113" i="10"/>
  <c r="W113" i="10"/>
  <c r="X113" i="10"/>
  <c r="Z113" i="10"/>
  <c r="AA113" i="10"/>
  <c r="AB113" i="10"/>
  <c r="AC113" i="10"/>
  <c r="AD113" i="10"/>
  <c r="AE113" i="10"/>
  <c r="AG113" i="10"/>
  <c r="AH113" i="10"/>
  <c r="AI113" i="10"/>
  <c r="AJ113" i="10"/>
  <c r="A114" i="10"/>
  <c r="B114" i="10"/>
  <c r="C114" i="10"/>
  <c r="D114" i="10"/>
  <c r="E114" i="10"/>
  <c r="F114" i="10"/>
  <c r="G114" i="10"/>
  <c r="H114" i="10"/>
  <c r="I114" i="10"/>
  <c r="J114" i="10"/>
  <c r="K114" i="10"/>
  <c r="L114" i="10"/>
  <c r="M114" i="10"/>
  <c r="N114" i="10"/>
  <c r="O114" i="10"/>
  <c r="P114" i="10"/>
  <c r="Q114" i="10"/>
  <c r="R114" i="10"/>
  <c r="S114" i="10"/>
  <c r="T114" i="10"/>
  <c r="U114" i="10"/>
  <c r="V114" i="10"/>
  <c r="W114" i="10"/>
  <c r="X114" i="10"/>
  <c r="Z114" i="10"/>
  <c r="AA114" i="10"/>
  <c r="AB114" i="10"/>
  <c r="AC114" i="10"/>
  <c r="AD114" i="10"/>
  <c r="AE114" i="10"/>
  <c r="AG114" i="10"/>
  <c r="AH114" i="10"/>
  <c r="AI114" i="10"/>
  <c r="AJ114" i="10"/>
  <c r="A115" i="10"/>
  <c r="B115" i="10"/>
  <c r="C115" i="10"/>
  <c r="D115" i="10"/>
  <c r="E115" i="10"/>
  <c r="F115" i="10"/>
  <c r="G115" i="10"/>
  <c r="H115" i="10"/>
  <c r="I115" i="10"/>
  <c r="J115" i="10"/>
  <c r="K115" i="10"/>
  <c r="L115" i="10"/>
  <c r="M115" i="10"/>
  <c r="N115" i="10"/>
  <c r="O115" i="10"/>
  <c r="P115" i="10"/>
  <c r="Q115" i="10"/>
  <c r="R115" i="10"/>
  <c r="S115" i="10"/>
  <c r="T115" i="10"/>
  <c r="U115" i="10"/>
  <c r="V115" i="10"/>
  <c r="W115" i="10"/>
  <c r="X115" i="10"/>
  <c r="Z115" i="10"/>
  <c r="AA115" i="10"/>
  <c r="AB115" i="10"/>
  <c r="AC115" i="10"/>
  <c r="AD115" i="10"/>
  <c r="AE115" i="10"/>
  <c r="AG115" i="10"/>
  <c r="AH115" i="10"/>
  <c r="AI115" i="10"/>
  <c r="AJ115" i="10"/>
  <c r="A116" i="10"/>
  <c r="B116" i="10"/>
  <c r="C116" i="10"/>
  <c r="D116" i="10"/>
  <c r="E116" i="10"/>
  <c r="F116" i="10"/>
  <c r="G116" i="10"/>
  <c r="H116" i="10"/>
  <c r="I116" i="10"/>
  <c r="J116" i="10"/>
  <c r="K116" i="10"/>
  <c r="L116" i="10"/>
  <c r="M116" i="10"/>
  <c r="N116" i="10"/>
  <c r="O116" i="10"/>
  <c r="P116" i="10"/>
  <c r="Q116" i="10"/>
  <c r="R116" i="10"/>
  <c r="S116" i="10"/>
  <c r="T116" i="10"/>
  <c r="U116" i="10"/>
  <c r="V116" i="10"/>
  <c r="W116" i="10"/>
  <c r="X116" i="10"/>
  <c r="Z116" i="10"/>
  <c r="AA116" i="10"/>
  <c r="AB116" i="10"/>
  <c r="AC116" i="10"/>
  <c r="AD116" i="10"/>
  <c r="AE116" i="10"/>
  <c r="AG116" i="10"/>
  <c r="AH116" i="10"/>
  <c r="AI116" i="10"/>
  <c r="AJ116" i="10"/>
  <c r="A117" i="10"/>
  <c r="B117" i="10"/>
  <c r="C117" i="10"/>
  <c r="D117" i="10"/>
  <c r="E117" i="10"/>
  <c r="F117" i="10"/>
  <c r="G117" i="10"/>
  <c r="H117" i="10"/>
  <c r="I117" i="10"/>
  <c r="J117" i="10"/>
  <c r="K117" i="10"/>
  <c r="L117" i="10"/>
  <c r="M117" i="10"/>
  <c r="N117" i="10"/>
  <c r="O117" i="10"/>
  <c r="P117" i="10"/>
  <c r="Q117" i="10"/>
  <c r="R117" i="10"/>
  <c r="S117" i="10"/>
  <c r="T117" i="10"/>
  <c r="U117" i="10"/>
  <c r="V117" i="10"/>
  <c r="W117" i="10"/>
  <c r="X117" i="10"/>
  <c r="Z117" i="10"/>
  <c r="AA117" i="10"/>
  <c r="AB117" i="10"/>
  <c r="AC117" i="10"/>
  <c r="AD117" i="10"/>
  <c r="AE117" i="10"/>
  <c r="AG117" i="10"/>
  <c r="AH117" i="10"/>
  <c r="AI117" i="10"/>
  <c r="AJ117" i="10"/>
  <c r="A118" i="10"/>
  <c r="B118" i="10"/>
  <c r="C118" i="10"/>
  <c r="D118" i="10"/>
  <c r="E118" i="10"/>
  <c r="F118" i="10"/>
  <c r="G118" i="10"/>
  <c r="H118" i="10"/>
  <c r="I118" i="10"/>
  <c r="J118" i="10"/>
  <c r="K118" i="10"/>
  <c r="L118" i="10"/>
  <c r="M118" i="10"/>
  <c r="N118" i="10"/>
  <c r="O118" i="10"/>
  <c r="P118" i="10"/>
  <c r="Q118" i="10"/>
  <c r="R118" i="10"/>
  <c r="S118" i="10"/>
  <c r="T118" i="10"/>
  <c r="U118" i="10"/>
  <c r="V118" i="10"/>
  <c r="W118" i="10"/>
  <c r="X118" i="10"/>
  <c r="Z118" i="10"/>
  <c r="AA118" i="10"/>
  <c r="AB118" i="10"/>
  <c r="AC118" i="10"/>
  <c r="AD118" i="10"/>
  <c r="AE118" i="10"/>
  <c r="AG118" i="10"/>
  <c r="AH118" i="10"/>
  <c r="AI118" i="10"/>
  <c r="AJ118" i="10"/>
  <c r="A119" i="10"/>
  <c r="B119" i="10"/>
  <c r="C119" i="10"/>
  <c r="D119" i="10"/>
  <c r="E119" i="10"/>
  <c r="F119" i="10"/>
  <c r="G119" i="10"/>
  <c r="H119" i="10"/>
  <c r="I119" i="10"/>
  <c r="J119" i="10"/>
  <c r="K119" i="10"/>
  <c r="L119" i="10"/>
  <c r="M119" i="10"/>
  <c r="N119" i="10"/>
  <c r="O119" i="10"/>
  <c r="P119" i="10"/>
  <c r="Q119" i="10"/>
  <c r="R119" i="10"/>
  <c r="S119" i="10"/>
  <c r="T119" i="10"/>
  <c r="U119" i="10"/>
  <c r="V119" i="10"/>
  <c r="W119" i="10"/>
  <c r="X119" i="10"/>
  <c r="Z119" i="10"/>
  <c r="AA119" i="10"/>
  <c r="AB119" i="10"/>
  <c r="AC119" i="10"/>
  <c r="AD119" i="10"/>
  <c r="AE119" i="10"/>
  <c r="AG119" i="10"/>
  <c r="AH119" i="10"/>
  <c r="AI119" i="10"/>
  <c r="AJ119" i="10"/>
  <c r="A120" i="10"/>
  <c r="B120" i="10"/>
  <c r="C120" i="10"/>
  <c r="D120" i="10"/>
  <c r="E120" i="10"/>
  <c r="F120" i="10"/>
  <c r="G120" i="10"/>
  <c r="H120" i="10"/>
  <c r="I120" i="10"/>
  <c r="J120" i="10"/>
  <c r="K120" i="10"/>
  <c r="L120" i="10"/>
  <c r="M120" i="10"/>
  <c r="N120" i="10"/>
  <c r="O120" i="10"/>
  <c r="P120" i="10"/>
  <c r="Q120" i="10"/>
  <c r="R120" i="10"/>
  <c r="S120" i="10"/>
  <c r="T120" i="10"/>
  <c r="U120" i="10"/>
  <c r="V120" i="10"/>
  <c r="W120" i="10"/>
  <c r="X120" i="10"/>
  <c r="Z120" i="10"/>
  <c r="AA120" i="10"/>
  <c r="AB120" i="10"/>
  <c r="AC120" i="10"/>
  <c r="AD120" i="10"/>
  <c r="AE120" i="10"/>
  <c r="AG120" i="10"/>
  <c r="AH120" i="10"/>
  <c r="AI120" i="10"/>
  <c r="AJ120" i="10"/>
  <c r="A121" i="10"/>
  <c r="B121" i="10"/>
  <c r="C121" i="10"/>
  <c r="D121" i="10"/>
  <c r="E121" i="10"/>
  <c r="F121" i="10"/>
  <c r="G121" i="10"/>
  <c r="H121" i="10"/>
  <c r="I121" i="10"/>
  <c r="J121" i="10"/>
  <c r="K121" i="10"/>
  <c r="L121" i="10"/>
  <c r="M121" i="10"/>
  <c r="N121" i="10"/>
  <c r="O121" i="10"/>
  <c r="P121" i="10"/>
  <c r="Q121" i="10"/>
  <c r="R121" i="10"/>
  <c r="S121" i="10"/>
  <c r="T121" i="10"/>
  <c r="U121" i="10"/>
  <c r="V121" i="10"/>
  <c r="W121" i="10"/>
  <c r="X121" i="10"/>
  <c r="Z121" i="10"/>
  <c r="AA121" i="10"/>
  <c r="AB121" i="10"/>
  <c r="AC121" i="10"/>
  <c r="AD121" i="10"/>
  <c r="AE121" i="10"/>
  <c r="AG121" i="10"/>
  <c r="AH121" i="10"/>
  <c r="AI121" i="10"/>
  <c r="AJ121" i="10"/>
  <c r="A122" i="10"/>
  <c r="B122" i="10"/>
  <c r="C122" i="10"/>
  <c r="D122" i="10"/>
  <c r="E122" i="10"/>
  <c r="F122" i="10"/>
  <c r="G122" i="10"/>
  <c r="H122" i="10"/>
  <c r="I122" i="10"/>
  <c r="J122" i="10"/>
  <c r="K122" i="10"/>
  <c r="L122" i="10"/>
  <c r="M122" i="10"/>
  <c r="N122" i="10"/>
  <c r="O122" i="10"/>
  <c r="P122" i="10"/>
  <c r="Q122" i="10"/>
  <c r="R122" i="10"/>
  <c r="S122" i="10"/>
  <c r="T122" i="10"/>
  <c r="U122" i="10"/>
  <c r="V122" i="10"/>
  <c r="W122" i="10"/>
  <c r="X122" i="10"/>
  <c r="Z122" i="10"/>
  <c r="AA122" i="10"/>
  <c r="AB122" i="10"/>
  <c r="AC122" i="10"/>
  <c r="AD122" i="10"/>
  <c r="AE122" i="10"/>
  <c r="AG122" i="10"/>
  <c r="AH122" i="10"/>
  <c r="AI122" i="10"/>
  <c r="AJ122" i="10"/>
  <c r="A123" i="10"/>
  <c r="B123" i="10"/>
  <c r="C123" i="10"/>
  <c r="D123" i="10"/>
  <c r="E123" i="10"/>
  <c r="F123" i="10"/>
  <c r="G123" i="10"/>
  <c r="H123" i="10"/>
  <c r="I123" i="10"/>
  <c r="J123" i="10"/>
  <c r="K123" i="10"/>
  <c r="L123" i="10"/>
  <c r="M123" i="10"/>
  <c r="N123" i="10"/>
  <c r="O123" i="10"/>
  <c r="P123" i="10"/>
  <c r="Q123" i="10"/>
  <c r="R123" i="10"/>
  <c r="S123" i="10"/>
  <c r="T123" i="10"/>
  <c r="U123" i="10"/>
  <c r="V123" i="10"/>
  <c r="W123" i="10"/>
  <c r="X123" i="10"/>
  <c r="Z123" i="10"/>
  <c r="AA123" i="10"/>
  <c r="AB123" i="10"/>
  <c r="AC123" i="10"/>
  <c r="AD123" i="10"/>
  <c r="AE123" i="10"/>
  <c r="AG123" i="10"/>
  <c r="AH123" i="10"/>
  <c r="AI123" i="10"/>
  <c r="AJ123" i="10"/>
  <c r="A124" i="10"/>
  <c r="B124" i="10"/>
  <c r="C124" i="10"/>
  <c r="D124" i="10"/>
  <c r="E124" i="10"/>
  <c r="F124" i="10"/>
  <c r="G124" i="10"/>
  <c r="H124" i="10"/>
  <c r="I124" i="10"/>
  <c r="J124" i="10"/>
  <c r="K124" i="10"/>
  <c r="L124" i="10"/>
  <c r="M124" i="10"/>
  <c r="N124" i="10"/>
  <c r="O124" i="10"/>
  <c r="P124" i="10"/>
  <c r="Q124" i="10"/>
  <c r="R124" i="10"/>
  <c r="S124" i="10"/>
  <c r="T124" i="10"/>
  <c r="U124" i="10"/>
  <c r="V124" i="10"/>
  <c r="W124" i="10"/>
  <c r="X124" i="10"/>
  <c r="Z124" i="10"/>
  <c r="AA124" i="10"/>
  <c r="AB124" i="10"/>
  <c r="AC124" i="10"/>
  <c r="AD124" i="10"/>
  <c r="AE124" i="10"/>
  <c r="AG124" i="10"/>
  <c r="AH124" i="10"/>
  <c r="AI124" i="10"/>
  <c r="AJ124" i="10"/>
  <c r="A125" i="10"/>
  <c r="B125" i="10"/>
  <c r="C125" i="10"/>
  <c r="D125" i="10"/>
  <c r="E125" i="10"/>
  <c r="F125" i="10"/>
  <c r="G125" i="10"/>
  <c r="H125" i="10"/>
  <c r="I125" i="10"/>
  <c r="J125" i="10"/>
  <c r="K125" i="10"/>
  <c r="L125" i="10"/>
  <c r="M125" i="10"/>
  <c r="N125" i="10"/>
  <c r="O125" i="10"/>
  <c r="P125" i="10"/>
  <c r="Q125" i="10"/>
  <c r="R125" i="10"/>
  <c r="S125" i="10"/>
  <c r="T125" i="10"/>
  <c r="U125" i="10"/>
  <c r="V125" i="10"/>
  <c r="W125" i="10"/>
  <c r="X125" i="10"/>
  <c r="Z125" i="10"/>
  <c r="AA125" i="10"/>
  <c r="AB125" i="10"/>
  <c r="AC125" i="10"/>
  <c r="AD125" i="10"/>
  <c r="AE125" i="10"/>
  <c r="AG125" i="10"/>
  <c r="AH125" i="10"/>
  <c r="AI125" i="10"/>
  <c r="AJ125" i="10"/>
  <c r="A126" i="10"/>
  <c r="B126" i="10"/>
  <c r="C126" i="10"/>
  <c r="D126" i="10"/>
  <c r="E126" i="10"/>
  <c r="F126" i="10"/>
  <c r="G126" i="10"/>
  <c r="H126" i="10"/>
  <c r="I126" i="10"/>
  <c r="J126" i="10"/>
  <c r="K126" i="10"/>
  <c r="L126" i="10"/>
  <c r="M126" i="10"/>
  <c r="N126" i="10"/>
  <c r="O126" i="10"/>
  <c r="P126" i="10"/>
  <c r="Q126" i="10"/>
  <c r="R126" i="10"/>
  <c r="S126" i="10"/>
  <c r="T126" i="10"/>
  <c r="U126" i="10"/>
  <c r="V126" i="10"/>
  <c r="W126" i="10"/>
  <c r="X126" i="10"/>
  <c r="Z126" i="10"/>
  <c r="AA126" i="10"/>
  <c r="AB126" i="10"/>
  <c r="AC126" i="10"/>
  <c r="AD126" i="10"/>
  <c r="AE126" i="10"/>
  <c r="AG126" i="10"/>
  <c r="AH126" i="10"/>
  <c r="AI126" i="10"/>
  <c r="AJ126" i="10"/>
  <c r="A127" i="10"/>
  <c r="B127" i="10"/>
  <c r="C127" i="10"/>
  <c r="D127" i="10"/>
  <c r="E127" i="10"/>
  <c r="F127" i="10"/>
  <c r="G127" i="10"/>
  <c r="H127" i="10"/>
  <c r="I127" i="10"/>
  <c r="J127" i="10"/>
  <c r="K127" i="10"/>
  <c r="L127" i="10"/>
  <c r="M127" i="10"/>
  <c r="N127" i="10"/>
  <c r="O127" i="10"/>
  <c r="P127" i="10"/>
  <c r="Q127" i="10"/>
  <c r="R127" i="10"/>
  <c r="S127" i="10"/>
  <c r="T127" i="10"/>
  <c r="U127" i="10"/>
  <c r="V127" i="10"/>
  <c r="W127" i="10"/>
  <c r="X127" i="10"/>
  <c r="Z127" i="10"/>
  <c r="AA127" i="10"/>
  <c r="AB127" i="10"/>
  <c r="AC127" i="10"/>
  <c r="AD127" i="10"/>
  <c r="AE127" i="10"/>
  <c r="AG127" i="10"/>
  <c r="AH127" i="10"/>
  <c r="AI127" i="10"/>
  <c r="AJ127" i="10"/>
  <c r="A128" i="10"/>
  <c r="B128" i="10"/>
  <c r="C128" i="10"/>
  <c r="D128" i="10"/>
  <c r="E128" i="10"/>
  <c r="F128" i="10"/>
  <c r="G128" i="10"/>
  <c r="H128" i="10"/>
  <c r="I128" i="10"/>
  <c r="J128" i="10"/>
  <c r="K128" i="10"/>
  <c r="L128" i="10"/>
  <c r="M128" i="10"/>
  <c r="N128" i="10"/>
  <c r="O128" i="10"/>
  <c r="P128" i="10"/>
  <c r="Q128" i="10"/>
  <c r="R128" i="10"/>
  <c r="S128" i="10"/>
  <c r="T128" i="10"/>
  <c r="U128" i="10"/>
  <c r="V128" i="10"/>
  <c r="W128" i="10"/>
  <c r="X128" i="10"/>
  <c r="Z128" i="10"/>
  <c r="AA128" i="10"/>
  <c r="AB128" i="10"/>
  <c r="AC128" i="10"/>
  <c r="AD128" i="10"/>
  <c r="AE128" i="10"/>
  <c r="AG128" i="10"/>
  <c r="AH128" i="10"/>
  <c r="AI128" i="10"/>
  <c r="AJ128" i="10"/>
  <c r="A129" i="10"/>
  <c r="B129" i="10"/>
  <c r="C129" i="10"/>
  <c r="D129" i="10"/>
  <c r="E129" i="10"/>
  <c r="F129" i="10"/>
  <c r="G129" i="10"/>
  <c r="H129" i="10"/>
  <c r="I129" i="10"/>
  <c r="J129" i="10"/>
  <c r="K129" i="10"/>
  <c r="L129" i="10"/>
  <c r="M129" i="10"/>
  <c r="N129" i="10"/>
  <c r="O129" i="10"/>
  <c r="P129" i="10"/>
  <c r="Q129" i="10"/>
  <c r="R129" i="10"/>
  <c r="S129" i="10"/>
  <c r="T129" i="10"/>
  <c r="U129" i="10"/>
  <c r="V129" i="10"/>
  <c r="W129" i="10"/>
  <c r="X129" i="10"/>
  <c r="Z129" i="10"/>
  <c r="AA129" i="10"/>
  <c r="AB129" i="10"/>
  <c r="AC129" i="10"/>
  <c r="AD129" i="10"/>
  <c r="AE129" i="10"/>
  <c r="AG129" i="10"/>
  <c r="AH129" i="10"/>
  <c r="AI129" i="10"/>
  <c r="AJ129" i="10"/>
  <c r="A130" i="10"/>
  <c r="B130" i="10"/>
  <c r="C130" i="10"/>
  <c r="D130" i="10"/>
  <c r="E130" i="10"/>
  <c r="F130" i="10"/>
  <c r="G130" i="10"/>
  <c r="H130" i="10"/>
  <c r="I130" i="10"/>
  <c r="J130" i="10"/>
  <c r="K130" i="10"/>
  <c r="L130" i="10"/>
  <c r="M130" i="10"/>
  <c r="N130" i="10"/>
  <c r="O130" i="10"/>
  <c r="P130" i="10"/>
  <c r="Q130" i="10"/>
  <c r="R130" i="10"/>
  <c r="S130" i="10"/>
  <c r="T130" i="10"/>
  <c r="U130" i="10"/>
  <c r="V130" i="10"/>
  <c r="W130" i="10"/>
  <c r="X130" i="10"/>
  <c r="Z130" i="10"/>
  <c r="AA130" i="10"/>
  <c r="AB130" i="10"/>
  <c r="AC130" i="10"/>
  <c r="AD130" i="10"/>
  <c r="AE130" i="10"/>
  <c r="AG130" i="10"/>
  <c r="AH130" i="10"/>
  <c r="AI130" i="10"/>
  <c r="AJ130" i="10"/>
  <c r="A131" i="10"/>
  <c r="B131" i="10"/>
  <c r="C131" i="10"/>
  <c r="D131" i="10"/>
  <c r="E131" i="10"/>
  <c r="F131" i="10"/>
  <c r="G131" i="10"/>
  <c r="H131" i="10"/>
  <c r="I131" i="10"/>
  <c r="J131" i="10"/>
  <c r="K131" i="10"/>
  <c r="L131" i="10"/>
  <c r="M131" i="10"/>
  <c r="N131" i="10"/>
  <c r="O131" i="10"/>
  <c r="P131" i="10"/>
  <c r="Q131" i="10"/>
  <c r="R131" i="10"/>
  <c r="S131" i="10"/>
  <c r="T131" i="10"/>
  <c r="U131" i="10"/>
  <c r="V131" i="10"/>
  <c r="W131" i="10"/>
  <c r="X131" i="10"/>
  <c r="Z131" i="10"/>
  <c r="AA131" i="10"/>
  <c r="AB131" i="10"/>
  <c r="AC131" i="10"/>
  <c r="AD131" i="10"/>
  <c r="AE131" i="10"/>
  <c r="AG131" i="10"/>
  <c r="AH131" i="10"/>
  <c r="AI131" i="10"/>
  <c r="AJ131" i="10"/>
  <c r="A132" i="10"/>
  <c r="B132" i="10"/>
  <c r="C132" i="10"/>
  <c r="D132" i="10"/>
  <c r="E132" i="10"/>
  <c r="F132" i="10"/>
  <c r="G132" i="10"/>
  <c r="H132" i="10"/>
  <c r="I132" i="10"/>
  <c r="J132" i="10"/>
  <c r="K132" i="10"/>
  <c r="L132" i="10"/>
  <c r="M132" i="10"/>
  <c r="N132" i="10"/>
  <c r="O132" i="10"/>
  <c r="P132" i="10"/>
  <c r="Q132" i="10"/>
  <c r="R132" i="10"/>
  <c r="S132" i="10"/>
  <c r="T132" i="10"/>
  <c r="U132" i="10"/>
  <c r="V132" i="10"/>
  <c r="W132" i="10"/>
  <c r="X132" i="10"/>
  <c r="Z132" i="10"/>
  <c r="AA132" i="10"/>
  <c r="AB132" i="10"/>
  <c r="AC132" i="10"/>
  <c r="AD132" i="10"/>
  <c r="AE132" i="10"/>
  <c r="AG132" i="10"/>
  <c r="AH132" i="10"/>
  <c r="AI132" i="10"/>
  <c r="AJ132" i="10"/>
  <c r="A133" i="10"/>
  <c r="B133" i="10"/>
  <c r="C133" i="10"/>
  <c r="D133" i="10"/>
  <c r="E133" i="10"/>
  <c r="F133" i="10"/>
  <c r="G133" i="10"/>
  <c r="H133" i="10"/>
  <c r="I133" i="10"/>
  <c r="J133" i="10"/>
  <c r="K133" i="10"/>
  <c r="L133" i="10"/>
  <c r="M133" i="10"/>
  <c r="N133" i="10"/>
  <c r="O133" i="10"/>
  <c r="P133" i="10"/>
  <c r="Q133" i="10"/>
  <c r="R133" i="10"/>
  <c r="S133" i="10"/>
  <c r="T133" i="10"/>
  <c r="U133" i="10"/>
  <c r="V133" i="10"/>
  <c r="W133" i="10"/>
  <c r="X133" i="10"/>
  <c r="Z133" i="10"/>
  <c r="AA133" i="10"/>
  <c r="AB133" i="10"/>
  <c r="AC133" i="10"/>
  <c r="AD133" i="10"/>
  <c r="AE133" i="10"/>
  <c r="AG133" i="10"/>
  <c r="AH133" i="10"/>
  <c r="AI133" i="10"/>
  <c r="AJ133" i="10"/>
  <c r="A134" i="10"/>
  <c r="B134" i="10"/>
  <c r="C134" i="10"/>
  <c r="D134" i="10"/>
  <c r="E134" i="10"/>
  <c r="F134" i="10"/>
  <c r="G134" i="10"/>
  <c r="H134" i="10"/>
  <c r="I134" i="10"/>
  <c r="J134" i="10"/>
  <c r="K134" i="10"/>
  <c r="L134" i="10"/>
  <c r="M134" i="10"/>
  <c r="N134" i="10"/>
  <c r="O134" i="10"/>
  <c r="P134" i="10"/>
  <c r="Q134" i="10"/>
  <c r="R134" i="10"/>
  <c r="S134" i="10"/>
  <c r="T134" i="10"/>
  <c r="U134" i="10"/>
  <c r="V134" i="10"/>
  <c r="W134" i="10"/>
  <c r="X134" i="10"/>
  <c r="Z134" i="10"/>
  <c r="AA134" i="10"/>
  <c r="AB134" i="10"/>
  <c r="AC134" i="10"/>
  <c r="AD134" i="10"/>
  <c r="AE134" i="10"/>
  <c r="AG134" i="10"/>
  <c r="AH134" i="10"/>
  <c r="AI134" i="10"/>
  <c r="AJ134" i="10"/>
  <c r="A135" i="10"/>
  <c r="B135" i="10"/>
  <c r="C135" i="10"/>
  <c r="D135" i="10"/>
  <c r="E135" i="10"/>
  <c r="F135" i="10"/>
  <c r="G135" i="10"/>
  <c r="H135" i="10"/>
  <c r="I135" i="10"/>
  <c r="J135" i="10"/>
  <c r="K135" i="10"/>
  <c r="L135" i="10"/>
  <c r="M135" i="10"/>
  <c r="N135" i="10"/>
  <c r="O135" i="10"/>
  <c r="P135" i="10"/>
  <c r="Q135" i="10"/>
  <c r="R135" i="10"/>
  <c r="S135" i="10"/>
  <c r="T135" i="10"/>
  <c r="U135" i="10"/>
  <c r="V135" i="10"/>
  <c r="W135" i="10"/>
  <c r="X135" i="10"/>
  <c r="Z135" i="10"/>
  <c r="AA135" i="10"/>
  <c r="AB135" i="10"/>
  <c r="AC135" i="10"/>
  <c r="AD135" i="10"/>
  <c r="AE135" i="10"/>
  <c r="AG135" i="10"/>
  <c r="AH135" i="10"/>
  <c r="AI135" i="10"/>
  <c r="AJ135" i="10"/>
  <c r="A136" i="10"/>
  <c r="B136" i="10"/>
  <c r="C136" i="10"/>
  <c r="D136" i="10"/>
  <c r="E136" i="10"/>
  <c r="F136" i="10"/>
  <c r="G136" i="10"/>
  <c r="H136" i="10"/>
  <c r="I136" i="10"/>
  <c r="J136" i="10"/>
  <c r="K136" i="10"/>
  <c r="L136" i="10"/>
  <c r="M136" i="10"/>
  <c r="N136" i="10"/>
  <c r="O136" i="10"/>
  <c r="P136" i="10"/>
  <c r="Q136" i="10"/>
  <c r="R136" i="10"/>
  <c r="S136" i="10"/>
  <c r="T136" i="10"/>
  <c r="U136" i="10"/>
  <c r="V136" i="10"/>
  <c r="W136" i="10"/>
  <c r="X136" i="10"/>
  <c r="Z136" i="10"/>
  <c r="AA136" i="10"/>
  <c r="AB136" i="10"/>
  <c r="AC136" i="10"/>
  <c r="AD136" i="10"/>
  <c r="AE136" i="10"/>
  <c r="AG136" i="10"/>
  <c r="AH136" i="10"/>
  <c r="AI136" i="10"/>
  <c r="AJ136" i="10"/>
  <c r="A137" i="10"/>
  <c r="B137" i="10"/>
  <c r="C137" i="10"/>
  <c r="D137" i="10"/>
  <c r="E137" i="10"/>
  <c r="F137" i="10"/>
  <c r="G137" i="10"/>
  <c r="H137" i="10"/>
  <c r="I137" i="10"/>
  <c r="J137" i="10"/>
  <c r="K137" i="10"/>
  <c r="L137" i="10"/>
  <c r="M137" i="10"/>
  <c r="N137" i="10"/>
  <c r="O137" i="10"/>
  <c r="P137" i="10"/>
  <c r="Q137" i="10"/>
  <c r="R137" i="10"/>
  <c r="S137" i="10"/>
  <c r="T137" i="10"/>
  <c r="U137" i="10"/>
  <c r="V137" i="10"/>
  <c r="W137" i="10"/>
  <c r="X137" i="10"/>
  <c r="Z137" i="10"/>
  <c r="AA137" i="10"/>
  <c r="AB137" i="10"/>
  <c r="AC137" i="10"/>
  <c r="AD137" i="10"/>
  <c r="AE137" i="10"/>
  <c r="AG137" i="10"/>
  <c r="AH137" i="10"/>
  <c r="AI137" i="10"/>
  <c r="AJ137" i="10"/>
  <c r="A138" i="10"/>
  <c r="B138" i="10"/>
  <c r="C138" i="10"/>
  <c r="D138" i="10"/>
  <c r="E138" i="10"/>
  <c r="F138" i="10"/>
  <c r="G138" i="10"/>
  <c r="H138" i="10"/>
  <c r="I138" i="10"/>
  <c r="J138" i="10"/>
  <c r="K138" i="10"/>
  <c r="L138" i="10"/>
  <c r="M138" i="10"/>
  <c r="N138" i="10"/>
  <c r="O138" i="10"/>
  <c r="P138" i="10"/>
  <c r="Q138" i="10"/>
  <c r="R138" i="10"/>
  <c r="S138" i="10"/>
  <c r="T138" i="10"/>
  <c r="U138" i="10"/>
  <c r="V138" i="10"/>
  <c r="W138" i="10"/>
  <c r="X138" i="10"/>
  <c r="Z138" i="10"/>
  <c r="AA138" i="10"/>
  <c r="AB138" i="10"/>
  <c r="AC138" i="10"/>
  <c r="AD138" i="10"/>
  <c r="AE138" i="10"/>
  <c r="AG138" i="10"/>
  <c r="AH138" i="10"/>
  <c r="AI138" i="10"/>
  <c r="AJ138" i="10"/>
  <c r="A139" i="10"/>
  <c r="B139" i="10"/>
  <c r="C139" i="10"/>
  <c r="D139" i="10"/>
  <c r="E139" i="10"/>
  <c r="F139" i="10"/>
  <c r="G139" i="10"/>
  <c r="H139" i="10"/>
  <c r="I139" i="10"/>
  <c r="J139" i="10"/>
  <c r="K139" i="10"/>
  <c r="L139" i="10"/>
  <c r="M139" i="10"/>
  <c r="N139" i="10"/>
  <c r="O139" i="10"/>
  <c r="P139" i="10"/>
  <c r="Q139" i="10"/>
  <c r="R139" i="10"/>
  <c r="S139" i="10"/>
  <c r="T139" i="10"/>
  <c r="U139" i="10"/>
  <c r="V139" i="10"/>
  <c r="W139" i="10"/>
  <c r="X139" i="10"/>
  <c r="Z139" i="10"/>
  <c r="AA139" i="10"/>
  <c r="AB139" i="10"/>
  <c r="AC139" i="10"/>
  <c r="AD139" i="10"/>
  <c r="AE139" i="10"/>
  <c r="AG139" i="10"/>
  <c r="AH139" i="10"/>
  <c r="AI139" i="10"/>
  <c r="AJ139" i="10"/>
  <c r="A140" i="10"/>
  <c r="B140" i="10"/>
  <c r="C140" i="10"/>
  <c r="D140" i="10"/>
  <c r="E140" i="10"/>
  <c r="F140" i="10"/>
  <c r="G140" i="10"/>
  <c r="H140" i="10"/>
  <c r="I140" i="10"/>
  <c r="J140" i="10"/>
  <c r="K140" i="10"/>
  <c r="L140" i="10"/>
  <c r="M140" i="10"/>
  <c r="N140" i="10"/>
  <c r="O140" i="10"/>
  <c r="P140" i="10"/>
  <c r="Q140" i="10"/>
  <c r="R140" i="10"/>
  <c r="S140" i="10"/>
  <c r="T140" i="10"/>
  <c r="U140" i="10"/>
  <c r="V140" i="10"/>
  <c r="W140" i="10"/>
  <c r="X140" i="10"/>
  <c r="Z140" i="10"/>
  <c r="AA140" i="10"/>
  <c r="AB140" i="10"/>
  <c r="AC140" i="10"/>
  <c r="AD140" i="10"/>
  <c r="AE140" i="10"/>
  <c r="AG140" i="10"/>
  <c r="AH140" i="10"/>
  <c r="AI140" i="10"/>
  <c r="AJ140" i="10"/>
  <c r="A141" i="10"/>
  <c r="B141" i="10"/>
  <c r="C141" i="10"/>
  <c r="D141" i="10"/>
  <c r="E141" i="10"/>
  <c r="F141" i="10"/>
  <c r="G141" i="10"/>
  <c r="H141" i="10"/>
  <c r="I141" i="10"/>
  <c r="J141" i="10"/>
  <c r="K141" i="10"/>
  <c r="L141" i="10"/>
  <c r="M141" i="10"/>
  <c r="N141" i="10"/>
  <c r="O141" i="10"/>
  <c r="P141" i="10"/>
  <c r="Q141" i="10"/>
  <c r="R141" i="10"/>
  <c r="S141" i="10"/>
  <c r="T141" i="10"/>
  <c r="U141" i="10"/>
  <c r="V141" i="10"/>
  <c r="W141" i="10"/>
  <c r="X141" i="10"/>
  <c r="Z141" i="10"/>
  <c r="AA141" i="10"/>
  <c r="AB141" i="10"/>
  <c r="AC141" i="10"/>
  <c r="AD141" i="10"/>
  <c r="AE141" i="10"/>
  <c r="AG141" i="10"/>
  <c r="AH141" i="10"/>
  <c r="AI141" i="10"/>
  <c r="AJ141" i="10"/>
  <c r="A142" i="10"/>
  <c r="B142" i="10"/>
  <c r="C142" i="10"/>
  <c r="D142" i="10"/>
  <c r="E142" i="10"/>
  <c r="F142" i="10"/>
  <c r="G142" i="10"/>
  <c r="H142" i="10"/>
  <c r="I142" i="10"/>
  <c r="J142" i="10"/>
  <c r="K142" i="10"/>
  <c r="L142" i="10"/>
  <c r="M142" i="10"/>
  <c r="N142" i="10"/>
  <c r="O142" i="10"/>
  <c r="P142" i="10"/>
  <c r="Q142" i="10"/>
  <c r="R142" i="10"/>
  <c r="S142" i="10"/>
  <c r="T142" i="10"/>
  <c r="U142" i="10"/>
  <c r="V142" i="10"/>
  <c r="W142" i="10"/>
  <c r="X142" i="10"/>
  <c r="Z142" i="10"/>
  <c r="AA142" i="10"/>
  <c r="AB142" i="10"/>
  <c r="AC142" i="10"/>
  <c r="AD142" i="10"/>
  <c r="AE142" i="10"/>
  <c r="AG142" i="10"/>
  <c r="AH142" i="10"/>
  <c r="AI142" i="10"/>
  <c r="AJ142" i="10"/>
  <c r="A143" i="10"/>
  <c r="B143" i="10"/>
  <c r="C143" i="10"/>
  <c r="D143" i="10"/>
  <c r="E143" i="10"/>
  <c r="F143" i="10"/>
  <c r="G143" i="10"/>
  <c r="H143" i="10"/>
  <c r="I143" i="10"/>
  <c r="J143" i="10"/>
  <c r="K143" i="10"/>
  <c r="L143" i="10"/>
  <c r="M143" i="10"/>
  <c r="N143" i="10"/>
  <c r="O143" i="10"/>
  <c r="P143" i="10"/>
  <c r="Q143" i="10"/>
  <c r="R143" i="10"/>
  <c r="S143" i="10"/>
  <c r="T143" i="10"/>
  <c r="U143" i="10"/>
  <c r="V143" i="10"/>
  <c r="W143" i="10"/>
  <c r="X143" i="10"/>
  <c r="Z143" i="10"/>
  <c r="AA143" i="10"/>
  <c r="AB143" i="10"/>
  <c r="AC143" i="10"/>
  <c r="AD143" i="10"/>
  <c r="AE143" i="10"/>
  <c r="AG143" i="10"/>
  <c r="AH143" i="10"/>
  <c r="AI143" i="10"/>
  <c r="AJ143" i="10"/>
  <c r="A144" i="10"/>
  <c r="B144" i="10"/>
  <c r="C144" i="10"/>
  <c r="D144" i="10"/>
  <c r="E144" i="10"/>
  <c r="F144" i="10"/>
  <c r="G144" i="10"/>
  <c r="H144" i="10"/>
  <c r="I144" i="10"/>
  <c r="J144" i="10"/>
  <c r="K144" i="10"/>
  <c r="L144" i="10"/>
  <c r="M144" i="10"/>
  <c r="N144" i="10"/>
  <c r="O144" i="10"/>
  <c r="P144" i="10"/>
  <c r="Q144" i="10"/>
  <c r="R144" i="10"/>
  <c r="S144" i="10"/>
  <c r="T144" i="10"/>
  <c r="U144" i="10"/>
  <c r="V144" i="10"/>
  <c r="W144" i="10"/>
  <c r="X144" i="10"/>
  <c r="Z144" i="10"/>
  <c r="AA144" i="10"/>
  <c r="AB144" i="10"/>
  <c r="AC144" i="10"/>
  <c r="AD144" i="10"/>
  <c r="AE144" i="10"/>
  <c r="AG144" i="10"/>
  <c r="AH144" i="10"/>
  <c r="AI144" i="10"/>
  <c r="AJ144" i="10"/>
  <c r="A145" i="10"/>
  <c r="B145" i="10"/>
  <c r="C145" i="10"/>
  <c r="D145" i="10"/>
  <c r="E145" i="10"/>
  <c r="F145" i="10"/>
  <c r="G145" i="10"/>
  <c r="H145" i="10"/>
  <c r="I145" i="10"/>
  <c r="J145" i="10"/>
  <c r="K145" i="10"/>
  <c r="L145" i="10"/>
  <c r="M145" i="10"/>
  <c r="N145" i="10"/>
  <c r="O145" i="10"/>
  <c r="P145" i="10"/>
  <c r="Q145" i="10"/>
  <c r="R145" i="10"/>
  <c r="S145" i="10"/>
  <c r="T145" i="10"/>
  <c r="U145" i="10"/>
  <c r="V145" i="10"/>
  <c r="W145" i="10"/>
  <c r="X145" i="10"/>
  <c r="Z145" i="10"/>
  <c r="AA145" i="10"/>
  <c r="AB145" i="10"/>
  <c r="AC145" i="10"/>
  <c r="AD145" i="10"/>
  <c r="AE145" i="10"/>
  <c r="AG145" i="10"/>
  <c r="AH145" i="10"/>
  <c r="AI145" i="10"/>
  <c r="AJ145" i="10"/>
  <c r="A146" i="10"/>
  <c r="B146" i="10"/>
  <c r="C146" i="10"/>
  <c r="D146" i="10"/>
  <c r="E146" i="10"/>
  <c r="F146" i="10"/>
  <c r="G146" i="10"/>
  <c r="H146" i="10"/>
  <c r="I146" i="10"/>
  <c r="J146" i="10"/>
  <c r="K146" i="10"/>
  <c r="L146" i="10"/>
  <c r="M146" i="10"/>
  <c r="N146" i="10"/>
  <c r="O146" i="10"/>
  <c r="P146" i="10"/>
  <c r="Q146" i="10"/>
  <c r="R146" i="10"/>
  <c r="S146" i="10"/>
  <c r="T146" i="10"/>
  <c r="U146" i="10"/>
  <c r="V146" i="10"/>
  <c r="W146" i="10"/>
  <c r="X146" i="10"/>
  <c r="Z146" i="10"/>
  <c r="AA146" i="10"/>
  <c r="AB146" i="10"/>
  <c r="AC146" i="10"/>
  <c r="AD146" i="10"/>
  <c r="AE146" i="10"/>
  <c r="AG146" i="10"/>
  <c r="AH146" i="10"/>
  <c r="AI146" i="10"/>
  <c r="AJ146" i="10"/>
  <c r="A147" i="10"/>
  <c r="B147" i="10"/>
  <c r="C147" i="10"/>
  <c r="D147" i="10"/>
  <c r="E147" i="10"/>
  <c r="F147" i="10"/>
  <c r="G147" i="10"/>
  <c r="H147" i="10"/>
  <c r="I147" i="10"/>
  <c r="J147" i="10"/>
  <c r="K147" i="10"/>
  <c r="L147" i="10"/>
  <c r="M147" i="10"/>
  <c r="N147" i="10"/>
  <c r="O147" i="10"/>
  <c r="P147" i="10"/>
  <c r="Q147" i="10"/>
  <c r="R147" i="10"/>
  <c r="S147" i="10"/>
  <c r="T147" i="10"/>
  <c r="U147" i="10"/>
  <c r="V147" i="10"/>
  <c r="W147" i="10"/>
  <c r="X147" i="10"/>
  <c r="Z147" i="10"/>
  <c r="AA147" i="10"/>
  <c r="AB147" i="10"/>
  <c r="AC147" i="10"/>
  <c r="AD147" i="10"/>
  <c r="AE147" i="10"/>
  <c r="AG147" i="10"/>
  <c r="AH147" i="10"/>
  <c r="AI147" i="10"/>
  <c r="AJ147" i="10"/>
  <c r="A148" i="10"/>
  <c r="B148" i="10"/>
  <c r="C148" i="10"/>
  <c r="D148" i="10"/>
  <c r="E148" i="10"/>
  <c r="F148" i="10"/>
  <c r="G148" i="10"/>
  <c r="H148" i="10"/>
  <c r="I148" i="10"/>
  <c r="J148" i="10"/>
  <c r="K148" i="10"/>
  <c r="L148" i="10"/>
  <c r="M148" i="10"/>
  <c r="N148" i="10"/>
  <c r="O148" i="10"/>
  <c r="P148" i="10"/>
  <c r="Q148" i="10"/>
  <c r="R148" i="10"/>
  <c r="S148" i="10"/>
  <c r="T148" i="10"/>
  <c r="U148" i="10"/>
  <c r="V148" i="10"/>
  <c r="W148" i="10"/>
  <c r="X148" i="10"/>
  <c r="Z148" i="10"/>
  <c r="AA148" i="10"/>
  <c r="AB148" i="10"/>
  <c r="AC148" i="10"/>
  <c r="AD148" i="10"/>
  <c r="AE148" i="10"/>
  <c r="AG148" i="10"/>
  <c r="AH148" i="10"/>
  <c r="AI148" i="10"/>
  <c r="AJ148" i="10"/>
  <c r="A149" i="10"/>
  <c r="B149" i="10"/>
  <c r="C149" i="10"/>
  <c r="D149" i="10"/>
  <c r="E149" i="10"/>
  <c r="F149" i="10"/>
  <c r="G149" i="10"/>
  <c r="H149" i="10"/>
  <c r="I149" i="10"/>
  <c r="J149" i="10"/>
  <c r="K149" i="10"/>
  <c r="L149" i="10"/>
  <c r="M149" i="10"/>
  <c r="N149" i="10"/>
  <c r="O149" i="10"/>
  <c r="P149" i="10"/>
  <c r="Q149" i="10"/>
  <c r="R149" i="10"/>
  <c r="S149" i="10"/>
  <c r="T149" i="10"/>
  <c r="U149" i="10"/>
  <c r="V149" i="10"/>
  <c r="W149" i="10"/>
  <c r="X149" i="10"/>
  <c r="Z149" i="10"/>
  <c r="AA149" i="10"/>
  <c r="AB149" i="10"/>
  <c r="AC149" i="10"/>
  <c r="AD149" i="10"/>
  <c r="AE149" i="10"/>
  <c r="AG149" i="10"/>
  <c r="AH149" i="10"/>
  <c r="AI149" i="10"/>
  <c r="AJ149" i="10"/>
  <c r="A150" i="10"/>
  <c r="B150" i="10"/>
  <c r="C150" i="10"/>
  <c r="D150" i="10"/>
  <c r="E150" i="10"/>
  <c r="F150" i="10"/>
  <c r="G150" i="10"/>
  <c r="H150" i="10"/>
  <c r="I150" i="10"/>
  <c r="J150" i="10"/>
  <c r="K150" i="10"/>
  <c r="L150" i="10"/>
  <c r="M150" i="10"/>
  <c r="N150" i="10"/>
  <c r="O150" i="10"/>
  <c r="P150" i="10"/>
  <c r="Q150" i="10"/>
  <c r="R150" i="10"/>
  <c r="S150" i="10"/>
  <c r="T150" i="10"/>
  <c r="U150" i="10"/>
  <c r="V150" i="10"/>
  <c r="W150" i="10"/>
  <c r="X150" i="10"/>
  <c r="Z150" i="10"/>
  <c r="AA150" i="10"/>
  <c r="AB150" i="10"/>
  <c r="AC150" i="10"/>
  <c r="AD150" i="10"/>
  <c r="AE150" i="10"/>
  <c r="AG150" i="10"/>
  <c r="AH150" i="10"/>
  <c r="AI150" i="10"/>
  <c r="AJ150" i="10"/>
  <c r="A151" i="10"/>
  <c r="B151" i="10"/>
  <c r="C151" i="10"/>
  <c r="D151" i="10"/>
  <c r="E151" i="10"/>
  <c r="F151" i="10"/>
  <c r="G151" i="10"/>
  <c r="H151" i="10"/>
  <c r="I151" i="10"/>
  <c r="J151" i="10"/>
  <c r="K151" i="10"/>
  <c r="L151" i="10"/>
  <c r="M151" i="10"/>
  <c r="N151" i="10"/>
  <c r="O151" i="10"/>
  <c r="P151" i="10"/>
  <c r="Q151" i="10"/>
  <c r="R151" i="10"/>
  <c r="S151" i="10"/>
  <c r="T151" i="10"/>
  <c r="U151" i="10"/>
  <c r="V151" i="10"/>
  <c r="W151" i="10"/>
  <c r="X151" i="10"/>
  <c r="Z151" i="10"/>
  <c r="AA151" i="10"/>
  <c r="AB151" i="10"/>
  <c r="AC151" i="10"/>
  <c r="AD151" i="10"/>
  <c r="AE151" i="10"/>
  <c r="AG151" i="10"/>
  <c r="AH151" i="10"/>
  <c r="AI151" i="10"/>
  <c r="AJ151" i="10"/>
  <c r="A152" i="10"/>
  <c r="B152" i="10"/>
  <c r="C152" i="10"/>
  <c r="D152" i="10"/>
  <c r="E152" i="10"/>
  <c r="F152" i="10"/>
  <c r="G152" i="10"/>
  <c r="H152" i="10"/>
  <c r="I152" i="10"/>
  <c r="J152" i="10"/>
  <c r="K152" i="10"/>
  <c r="L152" i="10"/>
  <c r="M152" i="10"/>
  <c r="N152" i="10"/>
  <c r="O152" i="10"/>
  <c r="P152" i="10"/>
  <c r="Q152" i="10"/>
  <c r="R152" i="10"/>
  <c r="S152" i="10"/>
  <c r="T152" i="10"/>
  <c r="U152" i="10"/>
  <c r="V152" i="10"/>
  <c r="W152" i="10"/>
  <c r="X152" i="10"/>
  <c r="Z152" i="10"/>
  <c r="AA152" i="10"/>
  <c r="AB152" i="10"/>
  <c r="AC152" i="10"/>
  <c r="AD152" i="10"/>
  <c r="AE152" i="10"/>
  <c r="AG152" i="10"/>
  <c r="AH152" i="10"/>
  <c r="AI152" i="10"/>
  <c r="AJ152" i="10"/>
  <c r="A153" i="10"/>
  <c r="X153" i="10"/>
  <c r="A154" i="10"/>
  <c r="X154" i="10"/>
  <c r="A155" i="10"/>
  <c r="X155" i="10"/>
  <c r="A156" i="10"/>
  <c r="X156" i="10"/>
  <c r="A157" i="10"/>
  <c r="X157" i="10"/>
  <c r="A158" i="10"/>
  <c r="X158" i="10"/>
  <c r="A159" i="10"/>
  <c r="X159" i="10"/>
  <c r="A160" i="10"/>
  <c r="X160" i="10"/>
  <c r="A161" i="10"/>
  <c r="X161" i="10"/>
  <c r="A162" i="10"/>
  <c r="X162" i="10"/>
  <c r="A163" i="10"/>
  <c r="X163" i="10"/>
  <c r="A164" i="10"/>
  <c r="X164" i="10"/>
  <c r="A165" i="10"/>
  <c r="X165" i="10"/>
  <c r="A166" i="10"/>
  <c r="X166" i="10"/>
  <c r="A167" i="10"/>
  <c r="X167" i="10"/>
  <c r="A168" i="10"/>
  <c r="X168" i="10"/>
  <c r="A169" i="10"/>
  <c r="X169" i="10"/>
  <c r="A170" i="10"/>
  <c r="X170" i="10"/>
  <c r="A171" i="10"/>
  <c r="X171" i="10"/>
  <c r="A172" i="10"/>
  <c r="X172" i="10"/>
  <c r="A173" i="10"/>
  <c r="X173" i="10"/>
  <c r="A174" i="10"/>
  <c r="X174" i="10"/>
  <c r="A175" i="10"/>
  <c r="X175" i="10"/>
  <c r="A176" i="10"/>
  <c r="X176" i="10"/>
  <c r="A177" i="10"/>
  <c r="X177" i="10"/>
  <c r="A178" i="10"/>
  <c r="X178" i="10"/>
  <c r="A179" i="10"/>
  <c r="X179" i="10"/>
  <c r="A180" i="10"/>
  <c r="X180" i="10"/>
  <c r="A181" i="10"/>
  <c r="X181" i="10"/>
  <c r="A182" i="10"/>
  <c r="X182" i="10"/>
  <c r="A183" i="10"/>
  <c r="X183" i="10"/>
  <c r="A184" i="10"/>
  <c r="X184" i="10"/>
  <c r="A185" i="10"/>
  <c r="X185" i="10"/>
  <c r="A186" i="10"/>
  <c r="X186" i="10"/>
  <c r="A187" i="10"/>
  <c r="X187" i="10"/>
  <c r="A188" i="10"/>
  <c r="X188" i="10"/>
  <c r="A189" i="10"/>
  <c r="X189" i="10"/>
  <c r="A190" i="10"/>
  <c r="X190" i="10"/>
  <c r="A191" i="10"/>
  <c r="X191" i="10"/>
  <c r="A192" i="10"/>
  <c r="X192" i="10"/>
  <c r="A193" i="10"/>
  <c r="X193" i="10"/>
  <c r="A194" i="10"/>
  <c r="X194" i="10"/>
  <c r="A195" i="10"/>
  <c r="X195" i="10"/>
  <c r="A196" i="10"/>
  <c r="A197" i="10"/>
  <c r="A198" i="10"/>
  <c r="A199" i="10"/>
  <c r="A200" i="10"/>
  <c r="A201" i="10"/>
  <c r="A202" i="10"/>
  <c r="A203" i="10"/>
  <c r="A204" i="10"/>
  <c r="A205" i="10"/>
  <c r="A206" i="10"/>
  <c r="A207" i="10"/>
  <c r="A208" i="10"/>
  <c r="A209" i="10"/>
  <c r="A210" i="10"/>
  <c r="A211" i="10"/>
  <c r="A212" i="10"/>
  <c r="B2" i="12"/>
  <c r="B3" i="12"/>
  <c r="C5" i="12"/>
  <c r="B6" i="12"/>
  <c r="C6" i="12"/>
  <c r="B7" i="12"/>
  <c r="C7" i="12"/>
  <c r="B8" i="12"/>
  <c r="C8" i="12"/>
  <c r="B9" i="12"/>
  <c r="C9" i="12"/>
  <c r="B10" i="12"/>
  <c r="C10" i="12"/>
  <c r="B11" i="12"/>
  <c r="C11" i="12"/>
  <c r="B12" i="12"/>
  <c r="C12" i="12"/>
  <c r="B13" i="12"/>
  <c r="C13" i="12"/>
  <c r="B14" i="12"/>
  <c r="C14" i="12"/>
  <c r="B15" i="12"/>
  <c r="C15" i="12"/>
  <c r="B16" i="12"/>
  <c r="C16" i="12"/>
  <c r="C17" i="12"/>
  <c r="C19" i="12"/>
  <c r="B20" i="12"/>
  <c r="C20" i="12"/>
  <c r="B21" i="12"/>
  <c r="C21" i="12"/>
  <c r="B22" i="12"/>
  <c r="C22" i="12"/>
  <c r="B23" i="12"/>
  <c r="C23" i="12"/>
  <c r="B24" i="12"/>
  <c r="C24" i="12"/>
  <c r="B25" i="12"/>
  <c r="C25" i="12"/>
  <c r="B26" i="12"/>
  <c r="C26" i="12"/>
  <c r="B27" i="12"/>
  <c r="C27" i="12"/>
  <c r="B28" i="12"/>
  <c r="C28" i="12"/>
  <c r="B29" i="12"/>
  <c r="C29" i="12"/>
  <c r="B30" i="12"/>
  <c r="C30" i="12"/>
  <c r="C31" i="12"/>
  <c r="C33" i="12"/>
  <c r="B34" i="12"/>
  <c r="C34" i="12"/>
  <c r="B35" i="12"/>
  <c r="C35" i="12"/>
  <c r="B36" i="12"/>
  <c r="C36" i="12"/>
  <c r="B37" i="12"/>
  <c r="C37" i="12"/>
  <c r="B38" i="12"/>
  <c r="C38" i="12"/>
  <c r="B39" i="12"/>
  <c r="C39" i="12"/>
  <c r="B40" i="12"/>
  <c r="C40" i="12"/>
  <c r="B41" i="12"/>
  <c r="C41" i="12"/>
  <c r="B42" i="12"/>
  <c r="C42" i="12"/>
  <c r="B43" i="12"/>
  <c r="C43" i="12"/>
  <c r="B44" i="12"/>
  <c r="C44" i="12"/>
  <c r="C45" i="12"/>
  <c r="C50" i="12"/>
  <c r="C5" i="7"/>
  <c r="D5" i="7"/>
  <c r="E5" i="7"/>
  <c r="F5" i="7"/>
  <c r="G5" i="7"/>
  <c r="H5" i="7"/>
  <c r="I5" i="7"/>
  <c r="J5" i="7"/>
  <c r="K5" i="7"/>
  <c r="M5" i="7"/>
  <c r="N5" i="7"/>
  <c r="O5" i="7"/>
  <c r="P5" i="7"/>
  <c r="Q5" i="7"/>
  <c r="R5" i="7"/>
  <c r="S5" i="7"/>
  <c r="T5" i="7"/>
  <c r="U5" i="7"/>
  <c r="V5" i="7"/>
  <c r="W5" i="7"/>
  <c r="X5" i="7"/>
  <c r="Y5" i="7"/>
  <c r="AA5" i="7"/>
  <c r="AB5" i="7"/>
  <c r="AC5" i="7"/>
  <c r="AF5" i="7"/>
  <c r="AG5" i="7"/>
  <c r="AH5" i="7"/>
  <c r="AI5" i="7"/>
  <c r="AJ5" i="7"/>
  <c r="AM5" i="7"/>
  <c r="AN5" i="7"/>
  <c r="AO5" i="7"/>
  <c r="AP5" i="7"/>
  <c r="AQ5" i="7"/>
  <c r="AR5" i="7"/>
  <c r="AS5" i="7"/>
  <c r="AT5" i="7"/>
  <c r="AU5" i="7"/>
  <c r="AV5" i="7"/>
  <c r="AW5" i="7"/>
  <c r="AX5" i="7"/>
  <c r="AY5" i="7"/>
  <c r="A6" i="7"/>
  <c r="E6" i="7"/>
  <c r="F6" i="7"/>
  <c r="G6" i="7"/>
  <c r="H6" i="7"/>
  <c r="I6" i="7"/>
  <c r="J6" i="7"/>
  <c r="K6" i="7"/>
  <c r="O6" i="7"/>
  <c r="P6" i="7"/>
  <c r="Q6" i="7"/>
  <c r="R6" i="7"/>
  <c r="S6" i="7"/>
  <c r="T6" i="7"/>
  <c r="U6" i="7"/>
  <c r="V6" i="7"/>
  <c r="W6" i="7"/>
  <c r="X6" i="7"/>
  <c r="Y6" i="7"/>
  <c r="AA6" i="7"/>
  <c r="AB6" i="7"/>
  <c r="AC6" i="7"/>
  <c r="AN6" i="7"/>
  <c r="AO6" i="7"/>
  <c r="AP6" i="7"/>
  <c r="AQ6" i="7"/>
  <c r="AR6" i="7"/>
  <c r="AS6" i="7"/>
  <c r="AT6" i="7"/>
  <c r="AU6" i="7"/>
  <c r="AV6" i="7"/>
  <c r="AW6" i="7"/>
  <c r="AX6" i="7"/>
  <c r="AY6" i="7"/>
  <c r="AZ6" i="7"/>
  <c r="CU6" i="7"/>
  <c r="A7" i="7"/>
  <c r="E7" i="7"/>
  <c r="F7" i="7"/>
  <c r="G7" i="7"/>
  <c r="H7" i="7"/>
  <c r="I7" i="7"/>
  <c r="J7" i="7"/>
  <c r="K7" i="7"/>
  <c r="O7" i="7"/>
  <c r="P7" i="7"/>
  <c r="Q7" i="7"/>
  <c r="R7" i="7"/>
  <c r="S7" i="7"/>
  <c r="T7" i="7"/>
  <c r="U7" i="7"/>
  <c r="V7" i="7"/>
  <c r="W7" i="7"/>
  <c r="X7" i="7"/>
  <c r="Y7" i="7"/>
  <c r="AA7" i="7"/>
  <c r="AB7" i="7"/>
  <c r="AC7" i="7"/>
  <c r="AN7" i="7"/>
  <c r="AO7" i="7"/>
  <c r="AP7" i="7"/>
  <c r="AQ7" i="7"/>
  <c r="AR7" i="7"/>
  <c r="AS7" i="7"/>
  <c r="AT7" i="7"/>
  <c r="AU7" i="7"/>
  <c r="AV7" i="7"/>
  <c r="AW7" i="7"/>
  <c r="AX7" i="7"/>
  <c r="AY7" i="7"/>
  <c r="A8" i="7"/>
  <c r="B8" i="7"/>
  <c r="C8" i="7"/>
  <c r="D8" i="7"/>
  <c r="E8" i="7"/>
  <c r="F8" i="7"/>
  <c r="G8" i="7"/>
  <c r="H8" i="7"/>
  <c r="I8" i="7"/>
  <c r="J8" i="7"/>
  <c r="K8" i="7"/>
  <c r="O8" i="7"/>
  <c r="P8" i="7"/>
  <c r="Q8" i="7"/>
  <c r="R8" i="7"/>
  <c r="S8" i="7"/>
  <c r="T8" i="7"/>
  <c r="U8" i="7"/>
  <c r="V8" i="7"/>
  <c r="W8" i="7"/>
  <c r="X8" i="7"/>
  <c r="Y8" i="7"/>
  <c r="AA8" i="7"/>
  <c r="AB8" i="7"/>
  <c r="AC8" i="7"/>
  <c r="AN8" i="7"/>
  <c r="AO8" i="7"/>
  <c r="AP8" i="7"/>
  <c r="AQ8" i="7"/>
  <c r="AR8" i="7"/>
  <c r="AS8" i="7"/>
  <c r="AT8" i="7"/>
  <c r="AU8" i="7"/>
  <c r="AV8" i="7"/>
  <c r="AW8" i="7"/>
  <c r="AX8" i="7"/>
  <c r="AY8" i="7"/>
  <c r="A9" i="7"/>
  <c r="C9" i="7"/>
  <c r="D9" i="7"/>
  <c r="E9" i="7"/>
  <c r="F9" i="7"/>
  <c r="G9" i="7"/>
  <c r="H9" i="7"/>
  <c r="I9" i="7"/>
  <c r="J9" i="7"/>
  <c r="K9" i="7"/>
  <c r="N9" i="7"/>
  <c r="O9" i="7"/>
  <c r="P9" i="7"/>
  <c r="Q9" i="7"/>
  <c r="R9" i="7"/>
  <c r="S9" i="7"/>
  <c r="T9" i="7"/>
  <c r="U9" i="7"/>
  <c r="V9" i="7"/>
  <c r="W9" i="7"/>
  <c r="X9" i="7"/>
  <c r="Y9" i="7"/>
  <c r="AA9" i="7"/>
  <c r="AB9" i="7"/>
  <c r="AC9" i="7"/>
  <c r="AN9" i="7"/>
  <c r="AO9" i="7"/>
  <c r="AP9" i="7"/>
  <c r="AQ9" i="7"/>
  <c r="AR9" i="7"/>
  <c r="AS9" i="7"/>
  <c r="AT9" i="7"/>
  <c r="AU9" i="7"/>
  <c r="AV9" i="7"/>
  <c r="AW9" i="7"/>
  <c r="AX9" i="7"/>
  <c r="AY9" i="7"/>
  <c r="A10" i="7"/>
  <c r="E10" i="7"/>
  <c r="F10" i="7"/>
  <c r="G10" i="7"/>
  <c r="H10" i="7"/>
  <c r="I10" i="7"/>
  <c r="J10" i="7"/>
  <c r="K10" i="7"/>
  <c r="O10" i="7"/>
  <c r="P10" i="7"/>
  <c r="Q10" i="7"/>
  <c r="R10" i="7"/>
  <c r="S10" i="7"/>
  <c r="T10" i="7"/>
  <c r="U10" i="7"/>
  <c r="V10" i="7"/>
  <c r="W10" i="7"/>
  <c r="X10" i="7"/>
  <c r="Y10" i="7"/>
  <c r="AA10" i="7"/>
  <c r="AB10" i="7"/>
  <c r="AC10" i="7"/>
  <c r="AN10" i="7"/>
  <c r="AO10" i="7"/>
  <c r="AP10" i="7"/>
  <c r="AQ10" i="7"/>
  <c r="AR10" i="7"/>
  <c r="AS10" i="7"/>
  <c r="AT10" i="7"/>
  <c r="AU10" i="7"/>
  <c r="AV10" i="7"/>
  <c r="AW10" i="7"/>
  <c r="AX10" i="7"/>
  <c r="AY10" i="7"/>
  <c r="A11" i="7"/>
  <c r="E11" i="7"/>
  <c r="F11" i="7"/>
  <c r="G11" i="7"/>
  <c r="H11" i="7"/>
  <c r="I11" i="7"/>
  <c r="J11" i="7"/>
  <c r="K11" i="7"/>
  <c r="O11" i="7"/>
  <c r="P11" i="7"/>
  <c r="Q11" i="7"/>
  <c r="R11" i="7"/>
  <c r="S11" i="7"/>
  <c r="T11" i="7"/>
  <c r="U11" i="7"/>
  <c r="V11" i="7"/>
  <c r="W11" i="7"/>
  <c r="X11" i="7"/>
  <c r="Y11" i="7"/>
  <c r="AA11" i="7"/>
  <c r="AB11" i="7"/>
  <c r="AC11" i="7"/>
  <c r="AN11" i="7"/>
  <c r="AO11" i="7"/>
  <c r="AP11" i="7"/>
  <c r="AQ11" i="7"/>
  <c r="AR11" i="7"/>
  <c r="AS11" i="7"/>
  <c r="AT11" i="7"/>
  <c r="AU11" i="7"/>
  <c r="AV11" i="7"/>
  <c r="AW11" i="7"/>
  <c r="AX11" i="7"/>
  <c r="AY11" i="7"/>
  <c r="A12" i="7"/>
  <c r="E12" i="7"/>
  <c r="F12" i="7"/>
  <c r="G12" i="7"/>
  <c r="H12" i="7"/>
  <c r="I12" i="7"/>
  <c r="J12" i="7"/>
  <c r="K12" i="7"/>
  <c r="O12" i="7"/>
  <c r="P12" i="7"/>
  <c r="Q12" i="7"/>
  <c r="R12" i="7"/>
  <c r="S12" i="7"/>
  <c r="T12" i="7"/>
  <c r="U12" i="7"/>
  <c r="V12" i="7"/>
  <c r="W12" i="7"/>
  <c r="X12" i="7"/>
  <c r="Y12" i="7"/>
  <c r="AA12" i="7"/>
  <c r="AB12" i="7"/>
  <c r="AC12" i="7"/>
  <c r="AN12" i="7"/>
  <c r="AO12" i="7"/>
  <c r="AP12" i="7"/>
  <c r="AQ12" i="7"/>
  <c r="AR12" i="7"/>
  <c r="AS12" i="7"/>
  <c r="AT12" i="7"/>
  <c r="AU12" i="7"/>
  <c r="AV12" i="7"/>
  <c r="AW12" i="7"/>
  <c r="AX12" i="7"/>
  <c r="AY12" i="7"/>
  <c r="A13" i="7"/>
  <c r="E13" i="7"/>
  <c r="F13" i="7"/>
  <c r="G13" i="7"/>
  <c r="H13" i="7"/>
  <c r="I13" i="7"/>
  <c r="J13" i="7"/>
  <c r="K13" i="7"/>
  <c r="O13" i="7"/>
  <c r="P13" i="7"/>
  <c r="Q13" i="7"/>
  <c r="R13" i="7"/>
  <c r="S13" i="7"/>
  <c r="T13" i="7"/>
  <c r="U13" i="7"/>
  <c r="V13" i="7"/>
  <c r="W13" i="7"/>
  <c r="X13" i="7"/>
  <c r="Y13" i="7"/>
  <c r="AA13" i="7"/>
  <c r="AB13" i="7"/>
  <c r="AC13" i="7"/>
  <c r="AN13" i="7"/>
  <c r="AO13" i="7"/>
  <c r="AP13" i="7"/>
  <c r="AQ13" i="7"/>
  <c r="AR13" i="7"/>
  <c r="AS13" i="7"/>
  <c r="AT13" i="7"/>
  <c r="AU13" i="7"/>
  <c r="AV13" i="7"/>
  <c r="AW13" i="7"/>
  <c r="AX13" i="7"/>
  <c r="AY13" i="7"/>
  <c r="A14" i="7"/>
  <c r="E14" i="7"/>
  <c r="F14" i="7"/>
  <c r="G14" i="7"/>
  <c r="H14" i="7"/>
  <c r="I14" i="7"/>
  <c r="J14" i="7"/>
  <c r="K14" i="7"/>
  <c r="M14" i="7"/>
  <c r="N14" i="7"/>
  <c r="O14" i="7"/>
  <c r="P14" i="7"/>
  <c r="Q14" i="7"/>
  <c r="R14" i="7"/>
  <c r="S14" i="7"/>
  <c r="T14" i="7"/>
  <c r="U14" i="7"/>
  <c r="V14" i="7"/>
  <c r="W14" i="7"/>
  <c r="X14" i="7"/>
  <c r="Y14" i="7"/>
  <c r="AA14" i="7"/>
  <c r="AB14" i="7"/>
  <c r="AC14" i="7"/>
  <c r="AN14" i="7"/>
  <c r="AO14" i="7"/>
  <c r="AP14" i="7"/>
  <c r="AQ14" i="7"/>
  <c r="AR14" i="7"/>
  <c r="AS14" i="7"/>
  <c r="AT14" i="7"/>
  <c r="AU14" i="7"/>
  <c r="AV14" i="7"/>
  <c r="AW14" i="7"/>
  <c r="AX14" i="7"/>
  <c r="AY14" i="7"/>
  <c r="A15" i="7"/>
  <c r="E15" i="7"/>
  <c r="F15" i="7"/>
  <c r="G15" i="7"/>
  <c r="H15" i="7"/>
  <c r="I15" i="7"/>
  <c r="J15" i="7"/>
  <c r="K15" i="7"/>
  <c r="O15" i="7"/>
  <c r="P15" i="7"/>
  <c r="Q15" i="7"/>
  <c r="R15" i="7"/>
  <c r="S15" i="7"/>
  <c r="T15" i="7"/>
  <c r="U15" i="7"/>
  <c r="V15" i="7"/>
  <c r="W15" i="7"/>
  <c r="X15" i="7"/>
  <c r="Y15" i="7"/>
  <c r="AA15" i="7"/>
  <c r="AB15" i="7"/>
  <c r="AC15" i="7"/>
  <c r="AN15" i="7"/>
  <c r="AO15" i="7"/>
  <c r="AP15" i="7"/>
  <c r="AQ15" i="7"/>
  <c r="AR15" i="7"/>
  <c r="AS15" i="7"/>
  <c r="AT15" i="7"/>
  <c r="AU15" i="7"/>
  <c r="AV15" i="7"/>
  <c r="AW15" i="7"/>
  <c r="AX15" i="7"/>
  <c r="AY15" i="7"/>
  <c r="A16" i="7"/>
  <c r="E16" i="7"/>
  <c r="F16" i="7"/>
  <c r="G16" i="7"/>
  <c r="H16" i="7"/>
  <c r="I16" i="7"/>
  <c r="J16" i="7"/>
  <c r="K16" i="7"/>
  <c r="L16" i="7"/>
  <c r="O16" i="7"/>
  <c r="P16" i="7"/>
  <c r="Q16" i="7"/>
  <c r="R16" i="7"/>
  <c r="S16" i="7"/>
  <c r="T16" i="7"/>
  <c r="U16" i="7"/>
  <c r="V16" i="7"/>
  <c r="W16" i="7"/>
  <c r="X16" i="7"/>
  <c r="Y16" i="7"/>
  <c r="AA16" i="7"/>
  <c r="AB16" i="7"/>
  <c r="AC16" i="7"/>
  <c r="AN16" i="7"/>
  <c r="AO16" i="7"/>
  <c r="AP16" i="7"/>
  <c r="AQ16" i="7"/>
  <c r="AR16" i="7"/>
  <c r="AS16" i="7"/>
  <c r="AT16" i="7"/>
  <c r="AU16" i="7"/>
  <c r="AV16" i="7"/>
  <c r="AW16" i="7"/>
  <c r="AX16" i="7"/>
  <c r="AY16" i="7"/>
  <c r="A17" i="7"/>
  <c r="L17" i="7"/>
  <c r="O17" i="7"/>
  <c r="P17" i="7"/>
  <c r="Q17" i="7"/>
  <c r="R17" i="7"/>
  <c r="S17" i="7"/>
  <c r="T17" i="7"/>
  <c r="U17" i="7"/>
  <c r="V17" i="7"/>
  <c r="W17" i="7"/>
  <c r="X17" i="7"/>
  <c r="Y17" i="7"/>
  <c r="Z17" i="7"/>
  <c r="AA17" i="7"/>
  <c r="AB17" i="7"/>
  <c r="AC17" i="7"/>
  <c r="AN17" i="7"/>
  <c r="AO17" i="7"/>
  <c r="AP17" i="7"/>
  <c r="AQ17" i="7"/>
  <c r="AR17" i="7"/>
  <c r="AS17" i="7"/>
  <c r="AT17" i="7"/>
  <c r="AU17" i="7"/>
  <c r="AV17" i="7"/>
  <c r="AW17" i="7"/>
  <c r="AX17" i="7"/>
  <c r="AY17" i="7"/>
  <c r="A18" i="7"/>
  <c r="O18" i="7"/>
  <c r="P18" i="7"/>
  <c r="Q18" i="7"/>
  <c r="R18" i="7"/>
  <c r="S18" i="7"/>
  <c r="T18" i="7"/>
  <c r="U18" i="7"/>
  <c r="V18" i="7"/>
  <c r="W18" i="7"/>
  <c r="X18" i="7"/>
  <c r="Y18" i="7"/>
  <c r="AA18" i="7"/>
  <c r="AB18" i="7"/>
  <c r="AC18" i="7"/>
  <c r="AN18" i="7"/>
  <c r="AO18" i="7"/>
  <c r="AP18" i="7"/>
  <c r="AQ18" i="7"/>
  <c r="AR18" i="7"/>
  <c r="AS18" i="7"/>
  <c r="AT18" i="7"/>
  <c r="AU18" i="7"/>
  <c r="AV18" i="7"/>
  <c r="AW18" i="7"/>
  <c r="AX18" i="7"/>
  <c r="AY18" i="7"/>
  <c r="AZ18" i="7"/>
  <c r="A19" i="7"/>
  <c r="L19" i="7"/>
  <c r="M19" i="7"/>
  <c r="N19" i="7"/>
  <c r="P19" i="7"/>
  <c r="Q19" i="7"/>
  <c r="R19" i="7"/>
  <c r="S19" i="7"/>
  <c r="T19" i="7"/>
  <c r="U19" i="7"/>
  <c r="V19" i="7"/>
  <c r="W19" i="7"/>
  <c r="X19" i="7"/>
  <c r="Y19" i="7"/>
  <c r="AA19" i="7"/>
  <c r="AB19" i="7"/>
  <c r="AC19" i="7"/>
  <c r="AL19" i="7"/>
  <c r="AM19" i="7"/>
  <c r="AN19" i="7"/>
  <c r="AO19" i="7"/>
  <c r="AP19" i="7"/>
  <c r="AQ19" i="7"/>
  <c r="AR19" i="7"/>
  <c r="AS19" i="7"/>
  <c r="AT19" i="7"/>
  <c r="AU19" i="7"/>
  <c r="AV19" i="7"/>
  <c r="AW19" i="7"/>
  <c r="AX19" i="7"/>
  <c r="AY19" i="7"/>
  <c r="BA19" i="7"/>
  <c r="A20" i="7"/>
  <c r="L20" i="7"/>
  <c r="M20" i="7"/>
  <c r="N20" i="7"/>
  <c r="P20" i="7"/>
  <c r="Q20" i="7"/>
  <c r="R20" i="7"/>
  <c r="S20" i="7"/>
  <c r="T20" i="7"/>
  <c r="U20" i="7"/>
  <c r="V20" i="7"/>
  <c r="W20" i="7"/>
  <c r="X20" i="7"/>
  <c r="Y20" i="7"/>
  <c r="AA20" i="7"/>
  <c r="AB20" i="7"/>
  <c r="AC20" i="7"/>
  <c r="AL20" i="7"/>
  <c r="AM20" i="7"/>
  <c r="AN20" i="7"/>
  <c r="AO20" i="7"/>
  <c r="AP20" i="7"/>
  <c r="AQ20" i="7"/>
  <c r="AR20" i="7"/>
  <c r="AS20" i="7"/>
  <c r="AT20" i="7"/>
  <c r="AU20" i="7"/>
  <c r="AV20" i="7"/>
  <c r="AW20" i="7"/>
  <c r="AX20" i="7"/>
  <c r="AY20" i="7"/>
  <c r="BA20" i="7"/>
  <c r="A21" i="7"/>
  <c r="L21" i="7"/>
  <c r="M21" i="7"/>
  <c r="N21" i="7"/>
  <c r="P21" i="7"/>
  <c r="Q21" i="7"/>
  <c r="R21" i="7"/>
  <c r="S21" i="7"/>
  <c r="T21" i="7"/>
  <c r="U21" i="7"/>
  <c r="V21" i="7"/>
  <c r="W21" i="7"/>
  <c r="X21" i="7"/>
  <c r="Y21" i="7"/>
  <c r="AA21" i="7"/>
  <c r="AB21" i="7"/>
  <c r="AC21" i="7"/>
  <c r="AL21" i="7"/>
  <c r="AM21" i="7"/>
  <c r="AN21" i="7"/>
  <c r="AO21" i="7"/>
  <c r="AP21" i="7"/>
  <c r="AQ21" i="7"/>
  <c r="AR21" i="7"/>
  <c r="AS21" i="7"/>
  <c r="AT21" i="7"/>
  <c r="AU21" i="7"/>
  <c r="AV21" i="7"/>
  <c r="AW21" i="7"/>
  <c r="AX21" i="7"/>
  <c r="AY21" i="7"/>
  <c r="BA21" i="7"/>
  <c r="A22" i="7"/>
  <c r="L22" i="7"/>
  <c r="M22" i="7"/>
  <c r="N22" i="7"/>
  <c r="P22" i="7"/>
  <c r="Q22" i="7"/>
  <c r="R22" i="7"/>
  <c r="S22" i="7"/>
  <c r="T22" i="7"/>
  <c r="U22" i="7"/>
  <c r="V22" i="7"/>
  <c r="W22" i="7"/>
  <c r="X22" i="7"/>
  <c r="Y22" i="7"/>
  <c r="AA22" i="7"/>
  <c r="AB22" i="7"/>
  <c r="AC22" i="7"/>
  <c r="AL22" i="7"/>
  <c r="AM22" i="7"/>
  <c r="AN22" i="7"/>
  <c r="AO22" i="7"/>
  <c r="AP22" i="7"/>
  <c r="AQ22" i="7"/>
  <c r="AR22" i="7"/>
  <c r="AS22" i="7"/>
  <c r="AT22" i="7"/>
  <c r="AU22" i="7"/>
  <c r="AV22" i="7"/>
  <c r="AW22" i="7"/>
  <c r="AX22" i="7"/>
  <c r="AY22" i="7"/>
  <c r="BA22" i="7"/>
  <c r="A23" i="7"/>
  <c r="L23" i="7"/>
  <c r="M23" i="7"/>
  <c r="N23" i="7"/>
  <c r="P23" i="7"/>
  <c r="Q23" i="7"/>
  <c r="R23" i="7"/>
  <c r="S23" i="7"/>
  <c r="T23" i="7"/>
  <c r="U23" i="7"/>
  <c r="V23" i="7"/>
  <c r="W23" i="7"/>
  <c r="X23" i="7"/>
  <c r="Y23" i="7"/>
  <c r="AA23" i="7"/>
  <c r="AB23" i="7"/>
  <c r="AC23" i="7"/>
  <c r="AL23" i="7"/>
  <c r="AM23" i="7"/>
  <c r="AN23" i="7"/>
  <c r="AO23" i="7"/>
  <c r="AP23" i="7"/>
  <c r="AQ23" i="7"/>
  <c r="AR23" i="7"/>
  <c r="AS23" i="7"/>
  <c r="AT23" i="7"/>
  <c r="AU23" i="7"/>
  <c r="AV23" i="7"/>
  <c r="AW23" i="7"/>
  <c r="AX23" i="7"/>
  <c r="AY23" i="7"/>
  <c r="BA23" i="7"/>
  <c r="A24" i="7"/>
  <c r="L24" i="7"/>
  <c r="M24" i="7"/>
  <c r="N24" i="7"/>
  <c r="P24" i="7"/>
  <c r="Q24" i="7"/>
  <c r="R24" i="7"/>
  <c r="S24" i="7"/>
  <c r="T24" i="7"/>
  <c r="U24" i="7"/>
  <c r="V24" i="7"/>
  <c r="W24" i="7"/>
  <c r="X24" i="7"/>
  <c r="Y24" i="7"/>
  <c r="AA24" i="7"/>
  <c r="AB24" i="7"/>
  <c r="AC24" i="7"/>
  <c r="AL24" i="7"/>
  <c r="AM24" i="7"/>
  <c r="AN24" i="7"/>
  <c r="AO24" i="7"/>
  <c r="AP24" i="7"/>
  <c r="AQ24" i="7"/>
  <c r="AR24" i="7"/>
  <c r="AS24" i="7"/>
  <c r="AT24" i="7"/>
  <c r="AU24" i="7"/>
  <c r="AV24" i="7"/>
  <c r="AW24" i="7"/>
  <c r="AX24" i="7"/>
  <c r="AY24" i="7"/>
  <c r="BA24" i="7"/>
  <c r="A25" i="7"/>
  <c r="L25" i="7"/>
  <c r="M25" i="7"/>
  <c r="N25" i="7"/>
  <c r="P25" i="7"/>
  <c r="Q25" i="7"/>
  <c r="R25" i="7"/>
  <c r="S25" i="7"/>
  <c r="T25" i="7"/>
  <c r="U25" i="7"/>
  <c r="V25" i="7"/>
  <c r="W25" i="7"/>
  <c r="X25" i="7"/>
  <c r="Y25" i="7"/>
  <c r="AA25" i="7"/>
  <c r="AB25" i="7"/>
  <c r="AC25" i="7"/>
  <c r="AL25" i="7"/>
  <c r="AM25" i="7"/>
  <c r="AN25" i="7"/>
  <c r="AO25" i="7"/>
  <c r="AP25" i="7"/>
  <c r="AQ25" i="7"/>
  <c r="AR25" i="7"/>
  <c r="AS25" i="7"/>
  <c r="AT25" i="7"/>
  <c r="AU25" i="7"/>
  <c r="AV25" i="7"/>
  <c r="AW25" i="7"/>
  <c r="AX25" i="7"/>
  <c r="AY25" i="7"/>
  <c r="BA25" i="7"/>
  <c r="A26" i="7"/>
  <c r="L26" i="7"/>
  <c r="M26" i="7"/>
  <c r="N26" i="7"/>
  <c r="P26" i="7"/>
  <c r="Q26" i="7"/>
  <c r="R26" i="7"/>
  <c r="S26" i="7"/>
  <c r="T26" i="7"/>
  <c r="U26" i="7"/>
  <c r="V26" i="7"/>
  <c r="W26" i="7"/>
  <c r="X26" i="7"/>
  <c r="Y26" i="7"/>
  <c r="AA26" i="7"/>
  <c r="AB26" i="7"/>
  <c r="AC26" i="7"/>
  <c r="AL26" i="7"/>
  <c r="AM26" i="7"/>
  <c r="AN26" i="7"/>
  <c r="AO26" i="7"/>
  <c r="AP26" i="7"/>
  <c r="AQ26" i="7"/>
  <c r="AR26" i="7"/>
  <c r="AS26" i="7"/>
  <c r="AT26" i="7"/>
  <c r="AU26" i="7"/>
  <c r="AV26" i="7"/>
  <c r="AW26" i="7"/>
  <c r="AX26" i="7"/>
  <c r="AY26" i="7"/>
  <c r="BA26" i="7"/>
  <c r="A27" i="7"/>
  <c r="L27" i="7"/>
  <c r="M27" i="7"/>
  <c r="N27" i="7"/>
  <c r="P27" i="7"/>
  <c r="Q27" i="7"/>
  <c r="R27" i="7"/>
  <c r="S27" i="7"/>
  <c r="T27" i="7"/>
  <c r="U27" i="7"/>
  <c r="V27" i="7"/>
  <c r="W27" i="7"/>
  <c r="X27" i="7"/>
  <c r="Y27" i="7"/>
  <c r="AA27" i="7"/>
  <c r="AB27" i="7"/>
  <c r="AC27" i="7"/>
  <c r="AL27" i="7"/>
  <c r="AM27" i="7"/>
  <c r="AN27" i="7"/>
  <c r="AO27" i="7"/>
  <c r="AP27" i="7"/>
  <c r="AQ27" i="7"/>
  <c r="AR27" i="7"/>
  <c r="AS27" i="7"/>
  <c r="AT27" i="7"/>
  <c r="AU27" i="7"/>
  <c r="AV27" i="7"/>
  <c r="AW27" i="7"/>
  <c r="AX27" i="7"/>
  <c r="AY27" i="7"/>
  <c r="BA27" i="7"/>
  <c r="A28" i="7"/>
  <c r="L28" i="7"/>
  <c r="M28" i="7"/>
  <c r="N28" i="7"/>
  <c r="P28" i="7"/>
  <c r="Q28" i="7"/>
  <c r="R28" i="7"/>
  <c r="S28" i="7"/>
  <c r="T28" i="7"/>
  <c r="U28" i="7"/>
  <c r="V28" i="7"/>
  <c r="W28" i="7"/>
  <c r="X28" i="7"/>
  <c r="Y28" i="7"/>
  <c r="AA28" i="7"/>
  <c r="AB28" i="7"/>
  <c r="AC28" i="7"/>
  <c r="AL28" i="7"/>
  <c r="AM28" i="7"/>
  <c r="AN28" i="7"/>
  <c r="AO28" i="7"/>
  <c r="AP28" i="7"/>
  <c r="AQ28" i="7"/>
  <c r="AR28" i="7"/>
  <c r="AS28" i="7"/>
  <c r="AT28" i="7"/>
  <c r="AU28" i="7"/>
  <c r="AV28" i="7"/>
  <c r="AW28" i="7"/>
  <c r="AX28" i="7"/>
  <c r="AY28" i="7"/>
  <c r="BA28" i="7"/>
  <c r="A29" i="7"/>
  <c r="AL29" i="7"/>
  <c r="AM29" i="7"/>
  <c r="AN29" i="7"/>
  <c r="AO29" i="7"/>
  <c r="AP29" i="7"/>
  <c r="AQ29" i="7"/>
  <c r="AR29" i="7"/>
  <c r="AS29" i="7"/>
  <c r="AT29" i="7"/>
  <c r="AU29" i="7"/>
  <c r="AV29" i="7"/>
  <c r="AW29" i="7"/>
  <c r="AX29" i="7"/>
  <c r="AY29" i="7"/>
  <c r="BA29" i="7"/>
  <c r="A30" i="7"/>
  <c r="AL30" i="7"/>
  <c r="AM30" i="7"/>
  <c r="AN30" i="7"/>
  <c r="AO30" i="7"/>
  <c r="AP30" i="7"/>
  <c r="AQ30" i="7"/>
  <c r="AR30" i="7"/>
  <c r="AS30" i="7"/>
  <c r="AT30" i="7"/>
  <c r="AU30" i="7"/>
  <c r="AV30" i="7"/>
  <c r="AW30" i="7"/>
  <c r="AX30" i="7"/>
  <c r="AY30" i="7"/>
  <c r="AZ30" i="7"/>
  <c r="BA30" i="7"/>
  <c r="A31" i="7"/>
  <c r="AL31" i="7"/>
  <c r="AM31" i="7"/>
  <c r="AN31" i="7"/>
  <c r="AO31" i="7"/>
  <c r="AP31" i="7"/>
  <c r="AQ31" i="7"/>
  <c r="AR31" i="7"/>
  <c r="AS31" i="7"/>
  <c r="AT31" i="7"/>
  <c r="AU31" i="7"/>
  <c r="AV31" i="7"/>
  <c r="AW31" i="7"/>
  <c r="AX31" i="7"/>
  <c r="AY31" i="7"/>
  <c r="BA31" i="7"/>
  <c r="A32" i="7"/>
  <c r="AL32" i="7"/>
  <c r="AM32" i="7"/>
  <c r="AN32" i="7"/>
  <c r="AO32" i="7"/>
  <c r="AP32" i="7"/>
  <c r="AQ32" i="7"/>
  <c r="AR32" i="7"/>
  <c r="AS32" i="7"/>
  <c r="AT32" i="7"/>
  <c r="AU32" i="7"/>
  <c r="AV32" i="7"/>
  <c r="AW32" i="7"/>
  <c r="AX32" i="7"/>
  <c r="AY32" i="7"/>
  <c r="BA32" i="7"/>
  <c r="A33" i="7"/>
  <c r="AL33" i="7"/>
  <c r="AM33" i="7"/>
  <c r="AN33" i="7"/>
  <c r="AO33" i="7"/>
  <c r="AP33" i="7"/>
  <c r="AQ33" i="7"/>
  <c r="AR33" i="7"/>
  <c r="AS33" i="7"/>
  <c r="AT33" i="7"/>
  <c r="AU33" i="7"/>
  <c r="AV33" i="7"/>
  <c r="AW33" i="7"/>
  <c r="AX33" i="7"/>
  <c r="AY33" i="7"/>
  <c r="BA33" i="7"/>
  <c r="A34" i="7"/>
  <c r="AL34" i="7"/>
  <c r="AM34" i="7"/>
  <c r="AN34" i="7"/>
  <c r="AO34" i="7"/>
  <c r="AP34" i="7"/>
  <c r="AQ34" i="7"/>
  <c r="AR34" i="7"/>
  <c r="AS34" i="7"/>
  <c r="AT34" i="7"/>
  <c r="AU34" i="7"/>
  <c r="AV34" i="7"/>
  <c r="AW34" i="7"/>
  <c r="AX34" i="7"/>
  <c r="AY34" i="7"/>
  <c r="BA34" i="7"/>
  <c r="A35" i="7"/>
  <c r="AL35" i="7"/>
  <c r="AM35" i="7"/>
  <c r="AN35" i="7"/>
  <c r="AO35" i="7"/>
  <c r="AP35" i="7"/>
  <c r="AQ35" i="7"/>
  <c r="AR35" i="7"/>
  <c r="AS35" i="7"/>
  <c r="AT35" i="7"/>
  <c r="AU35" i="7"/>
  <c r="AV35" i="7"/>
  <c r="AW35" i="7"/>
  <c r="AX35" i="7"/>
  <c r="AY35" i="7"/>
  <c r="AZ35" i="7"/>
  <c r="B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E5" i="9"/>
  <c r="F5" i="9"/>
  <c r="G5" i="9"/>
  <c r="H5" i="9"/>
  <c r="I5" i="9"/>
  <c r="J5" i="9"/>
  <c r="K5" i="9"/>
  <c r="L5" i="9"/>
  <c r="M5" i="9"/>
  <c r="T5" i="9"/>
  <c r="U5" i="9"/>
  <c r="V5" i="9"/>
  <c r="X5" i="9"/>
  <c r="Y5" i="9"/>
  <c r="AB5" i="9"/>
  <c r="AC5" i="9"/>
  <c r="AD5" i="9"/>
  <c r="AF5" i="9"/>
  <c r="AG5" i="9"/>
  <c r="AH5" i="9"/>
  <c r="AL5" i="9"/>
  <c r="AM5" i="9"/>
  <c r="AN5" i="9"/>
  <c r="AO5" i="9"/>
  <c r="AP5" i="9"/>
  <c r="AR5" i="9"/>
  <c r="AS5" i="9"/>
  <c r="AT5" i="9"/>
  <c r="AU5" i="9"/>
  <c r="AV5" i="9"/>
  <c r="AY5" i="9"/>
  <c r="AZ5" i="9"/>
  <c r="BA5" i="9"/>
  <c r="BF5" i="9"/>
  <c r="BH5" i="9"/>
  <c r="BK5" i="9"/>
  <c r="BL5" i="9"/>
  <c r="BP5" i="9"/>
  <c r="BQ5" i="9"/>
  <c r="BT5" i="9"/>
  <c r="BU5" i="9"/>
  <c r="BV5" i="9"/>
  <c r="BW5" i="9"/>
  <c r="BX5" i="9"/>
  <c r="BY5" i="9"/>
  <c r="BZ5" i="9"/>
  <c r="CA5" i="9"/>
  <c r="CB5" i="9"/>
  <c r="CC5" i="9"/>
  <c r="CD5" i="9"/>
  <c r="CE5" i="9"/>
  <c r="CF5" i="9"/>
  <c r="CG5" i="9"/>
  <c r="CH5" i="9"/>
  <c r="CI5" i="9"/>
  <c r="CJ5" i="9"/>
  <c r="CK5" i="9"/>
  <c r="CL5" i="9"/>
  <c r="CN5" i="9"/>
  <c r="CP5" i="9"/>
  <c r="CQ5" i="9"/>
  <c r="CR5" i="9"/>
  <c r="CT5" i="9"/>
  <c r="CU5" i="9"/>
  <c r="CV5" i="9"/>
  <c r="CW5" i="9"/>
  <c r="DA5" i="9"/>
  <c r="A6" i="9"/>
  <c r="E6" i="9"/>
  <c r="F6" i="9"/>
  <c r="G6" i="9"/>
  <c r="H6" i="9"/>
  <c r="I6" i="9"/>
  <c r="J6" i="9"/>
  <c r="K6" i="9"/>
  <c r="L6" i="9"/>
  <c r="M6" i="9"/>
  <c r="R6" i="9"/>
  <c r="S6" i="9"/>
  <c r="T6" i="9"/>
  <c r="U6" i="9"/>
  <c r="V6" i="9"/>
  <c r="X6" i="9"/>
  <c r="Y6" i="9"/>
  <c r="AB6" i="9"/>
  <c r="AC6" i="9"/>
  <c r="AD6" i="9"/>
  <c r="AF6" i="9"/>
  <c r="AG6" i="9"/>
  <c r="AH6" i="9"/>
  <c r="AI6" i="9"/>
  <c r="AJ6" i="9"/>
  <c r="AK6" i="9"/>
  <c r="AL6" i="9"/>
  <c r="AM6" i="9"/>
  <c r="AN6" i="9"/>
  <c r="AO6" i="9"/>
  <c r="AP6" i="9"/>
  <c r="AQ6" i="9"/>
  <c r="AR6" i="9"/>
  <c r="AS6" i="9"/>
  <c r="AT6" i="9"/>
  <c r="AU6" i="9"/>
  <c r="AV6" i="9"/>
  <c r="AW6" i="9"/>
  <c r="AX6" i="9"/>
  <c r="AY6" i="9"/>
  <c r="AZ6" i="9"/>
  <c r="BA6" i="9"/>
  <c r="BF6" i="9"/>
  <c r="BH6" i="9"/>
  <c r="BK6" i="9"/>
  <c r="BL6" i="9"/>
  <c r="BP6" i="9"/>
  <c r="BQ6" i="9"/>
  <c r="BT6" i="9"/>
  <c r="BU6" i="9"/>
  <c r="BV6" i="9"/>
  <c r="BW6" i="9"/>
  <c r="BX6" i="9"/>
  <c r="BY6" i="9"/>
  <c r="BZ6" i="9"/>
  <c r="CA6" i="9"/>
  <c r="CB6" i="9"/>
  <c r="CC6" i="9"/>
  <c r="CD6" i="9"/>
  <c r="CE6" i="9"/>
  <c r="CF6" i="9"/>
  <c r="CG6" i="9"/>
  <c r="CH6" i="9"/>
  <c r="CI6" i="9"/>
  <c r="CJ6" i="9"/>
  <c r="CK6" i="9"/>
  <c r="CL6" i="9"/>
  <c r="CM6" i="9"/>
  <c r="CN6" i="9"/>
  <c r="CP6" i="9"/>
  <c r="CQ6" i="9"/>
  <c r="CR6" i="9"/>
  <c r="CT6" i="9"/>
  <c r="CU6" i="9"/>
  <c r="CV6" i="9"/>
  <c r="CW6" i="9"/>
  <c r="DA6" i="9"/>
  <c r="A7" i="9"/>
  <c r="E7" i="9"/>
  <c r="F7" i="9"/>
  <c r="G7" i="9"/>
  <c r="H7" i="9"/>
  <c r="I7" i="9"/>
  <c r="J7" i="9"/>
  <c r="K7" i="9"/>
  <c r="L7" i="9"/>
  <c r="M7" i="9"/>
  <c r="R7" i="9"/>
  <c r="S7" i="9"/>
  <c r="T7" i="9"/>
  <c r="U7" i="9"/>
  <c r="V7" i="9"/>
  <c r="X7" i="9"/>
  <c r="Y7" i="9"/>
  <c r="AB7" i="9"/>
  <c r="AC7" i="9"/>
  <c r="AD7" i="9"/>
  <c r="AF7" i="9"/>
  <c r="AG7" i="9"/>
  <c r="AH7" i="9"/>
  <c r="AI7" i="9"/>
  <c r="AJ7" i="9"/>
  <c r="AK7" i="9"/>
  <c r="AL7" i="9"/>
  <c r="AM7" i="9"/>
  <c r="AN7" i="9"/>
  <c r="AO7" i="9"/>
  <c r="AP7" i="9"/>
  <c r="AQ7" i="9"/>
  <c r="AR7" i="9"/>
  <c r="AS7" i="9"/>
  <c r="AT7" i="9"/>
  <c r="AU7" i="9"/>
  <c r="AV7" i="9"/>
  <c r="AX7" i="9"/>
  <c r="AY7" i="9"/>
  <c r="AZ7" i="9"/>
  <c r="BA7" i="9"/>
  <c r="BF7" i="9"/>
  <c r="BH7" i="9"/>
  <c r="BK7" i="9"/>
  <c r="BL7" i="9"/>
  <c r="BP7" i="9"/>
  <c r="BQ7" i="9"/>
  <c r="BT7" i="9"/>
  <c r="BU7" i="9"/>
  <c r="BV7" i="9"/>
  <c r="BW7" i="9"/>
  <c r="BX7" i="9"/>
  <c r="BY7" i="9"/>
  <c r="BZ7" i="9"/>
  <c r="CA7" i="9"/>
  <c r="CB7" i="9"/>
  <c r="CC7" i="9"/>
  <c r="CD7" i="9"/>
  <c r="CE7" i="9"/>
  <c r="CF7" i="9"/>
  <c r="CG7" i="9"/>
  <c r="CH7" i="9"/>
  <c r="CI7" i="9"/>
  <c r="CJ7" i="9"/>
  <c r="CK7" i="9"/>
  <c r="CL7" i="9"/>
  <c r="CN7" i="9"/>
  <c r="CP7" i="9"/>
  <c r="CQ7" i="9"/>
  <c r="CR7" i="9"/>
  <c r="CT7" i="9"/>
  <c r="CU7" i="9"/>
  <c r="CV7" i="9"/>
  <c r="CW7" i="9"/>
  <c r="DA7" i="9"/>
  <c r="A8" i="9"/>
  <c r="E8" i="9"/>
  <c r="F8" i="9"/>
  <c r="G8" i="9"/>
  <c r="H8" i="9"/>
  <c r="I8" i="9"/>
  <c r="J8" i="9"/>
  <c r="K8" i="9"/>
  <c r="L8" i="9"/>
  <c r="M8" i="9"/>
  <c r="R8" i="9"/>
  <c r="S8" i="9"/>
  <c r="T8" i="9"/>
  <c r="U8" i="9"/>
  <c r="V8" i="9"/>
  <c r="X8" i="9"/>
  <c r="Y8" i="9"/>
  <c r="AB8" i="9"/>
  <c r="AC8" i="9"/>
  <c r="AD8" i="9"/>
  <c r="AF8" i="9"/>
  <c r="AG8" i="9"/>
  <c r="AH8" i="9"/>
  <c r="AI8" i="9"/>
  <c r="AJ8" i="9"/>
  <c r="AK8" i="9"/>
  <c r="AL8" i="9"/>
  <c r="AM8" i="9"/>
  <c r="AN8" i="9"/>
  <c r="AO8" i="9"/>
  <c r="AP8" i="9"/>
  <c r="AQ8" i="9"/>
  <c r="AR8" i="9"/>
  <c r="AS8" i="9"/>
  <c r="AT8" i="9"/>
  <c r="AU8" i="9"/>
  <c r="AV8" i="9"/>
  <c r="AW8" i="9"/>
  <c r="AX8" i="9"/>
  <c r="AY8" i="9"/>
  <c r="AZ8" i="9"/>
  <c r="BA8" i="9"/>
  <c r="BF8" i="9"/>
  <c r="BH8" i="9"/>
  <c r="BK8" i="9"/>
  <c r="BL8" i="9"/>
  <c r="BP8" i="9"/>
  <c r="BQ8" i="9"/>
  <c r="BT8" i="9"/>
  <c r="BU8" i="9"/>
  <c r="BV8" i="9"/>
  <c r="BW8" i="9"/>
  <c r="BX8" i="9"/>
  <c r="BY8" i="9"/>
  <c r="BZ8" i="9"/>
  <c r="CA8" i="9"/>
  <c r="CB8" i="9"/>
  <c r="CC8" i="9"/>
  <c r="CD8" i="9"/>
  <c r="CE8" i="9"/>
  <c r="CF8" i="9"/>
  <c r="CG8" i="9"/>
  <c r="CH8" i="9"/>
  <c r="CI8" i="9"/>
  <c r="CJ8" i="9"/>
  <c r="CK8" i="9"/>
  <c r="CL8" i="9"/>
  <c r="CN8" i="9"/>
  <c r="CQ8" i="9"/>
  <c r="CR8" i="9"/>
  <c r="CT8" i="9"/>
  <c r="CU8" i="9"/>
  <c r="CV8" i="9"/>
  <c r="CW8" i="9"/>
  <c r="DA8" i="9"/>
  <c r="A9" i="9"/>
  <c r="E9" i="9"/>
  <c r="F9" i="9"/>
  <c r="G9" i="9"/>
  <c r="H9" i="9"/>
  <c r="I9" i="9"/>
  <c r="J9" i="9"/>
  <c r="K9" i="9"/>
  <c r="L9" i="9"/>
  <c r="M9" i="9"/>
  <c r="R9" i="9"/>
  <c r="S9" i="9"/>
  <c r="T9" i="9"/>
  <c r="U9" i="9"/>
  <c r="V9" i="9"/>
  <c r="X9" i="9"/>
  <c r="Y9" i="9"/>
  <c r="AB9" i="9"/>
  <c r="AC9" i="9"/>
  <c r="AD9" i="9"/>
  <c r="AF9" i="9"/>
  <c r="AG9" i="9"/>
  <c r="AH9" i="9"/>
  <c r="AI9" i="9"/>
  <c r="AJ9" i="9"/>
  <c r="AK9" i="9"/>
  <c r="AL9" i="9"/>
  <c r="AM9" i="9"/>
  <c r="AN9" i="9"/>
  <c r="AO9" i="9"/>
  <c r="AP9" i="9"/>
  <c r="AQ9" i="9"/>
  <c r="AR9" i="9"/>
  <c r="AS9" i="9"/>
  <c r="AT9" i="9"/>
  <c r="AU9" i="9"/>
  <c r="AW9" i="9"/>
  <c r="AX9" i="9"/>
  <c r="AY9" i="9"/>
  <c r="AZ9" i="9"/>
  <c r="BA9" i="9"/>
  <c r="BF9" i="9"/>
  <c r="BH9" i="9"/>
  <c r="BK9" i="9"/>
  <c r="BL9" i="9"/>
  <c r="BP9" i="9"/>
  <c r="BQ9" i="9"/>
  <c r="BT9" i="9"/>
  <c r="BU9" i="9"/>
  <c r="BV9" i="9"/>
  <c r="BW9" i="9"/>
  <c r="BX9" i="9"/>
  <c r="BY9" i="9"/>
  <c r="BZ9" i="9"/>
  <c r="CA9" i="9"/>
  <c r="CB9" i="9"/>
  <c r="CC9" i="9"/>
  <c r="CD9" i="9"/>
  <c r="CE9" i="9"/>
  <c r="CF9" i="9"/>
  <c r="CG9" i="9"/>
  <c r="CH9" i="9"/>
  <c r="CI9" i="9"/>
  <c r="CJ9" i="9"/>
  <c r="CK9" i="9"/>
  <c r="CL9" i="9"/>
  <c r="CN9" i="9"/>
  <c r="CQ9" i="9"/>
  <c r="CR9" i="9"/>
  <c r="CT9" i="9"/>
  <c r="CU9" i="9"/>
  <c r="CV9" i="9"/>
  <c r="CW9" i="9"/>
  <c r="DA9" i="9"/>
  <c r="A10" i="9"/>
  <c r="E10" i="9"/>
  <c r="F10" i="9"/>
  <c r="G10" i="9"/>
  <c r="H10" i="9"/>
  <c r="I10" i="9"/>
  <c r="J10" i="9"/>
  <c r="K10" i="9"/>
  <c r="L10" i="9"/>
  <c r="M10" i="9"/>
  <c r="R10" i="9"/>
  <c r="S10" i="9"/>
  <c r="T10" i="9"/>
  <c r="U10" i="9"/>
  <c r="V10" i="9"/>
  <c r="X10" i="9"/>
  <c r="Y10" i="9"/>
  <c r="AB10" i="9"/>
  <c r="AC10" i="9"/>
  <c r="AD10" i="9"/>
  <c r="AF10" i="9"/>
  <c r="AG10" i="9"/>
  <c r="AH10" i="9"/>
  <c r="AL10" i="9"/>
  <c r="AM10" i="9"/>
  <c r="AN10" i="9"/>
  <c r="AO10" i="9"/>
  <c r="AP10" i="9"/>
  <c r="AQ10" i="9"/>
  <c r="AR10" i="9"/>
  <c r="AS10" i="9"/>
  <c r="AT10" i="9"/>
  <c r="AU10" i="9"/>
  <c r="AW10" i="9"/>
  <c r="AX10" i="9"/>
  <c r="AY10" i="9"/>
  <c r="AZ10" i="9"/>
  <c r="BA10" i="9"/>
  <c r="BF10" i="9"/>
  <c r="BH10" i="9"/>
  <c r="BK10" i="9"/>
  <c r="BL10" i="9"/>
  <c r="BP10" i="9"/>
  <c r="BQ10" i="9"/>
  <c r="BT10" i="9"/>
  <c r="BV10" i="9"/>
  <c r="BX10" i="9"/>
  <c r="BY10" i="9"/>
  <c r="BZ10" i="9"/>
  <c r="CA10" i="9"/>
  <c r="CB10" i="9"/>
  <c r="CC10" i="9"/>
  <c r="CD10" i="9"/>
  <c r="CE10" i="9"/>
  <c r="CF10" i="9"/>
  <c r="CG10" i="9"/>
  <c r="CH10" i="9"/>
  <c r="CI10" i="9"/>
  <c r="CJ10" i="9"/>
  <c r="CK10" i="9"/>
  <c r="CL10" i="9"/>
  <c r="CN10" i="9"/>
  <c r="CO10" i="9"/>
  <c r="CQ10" i="9"/>
  <c r="CR10" i="9"/>
  <c r="CT10" i="9"/>
  <c r="CU10" i="9"/>
  <c r="CV10" i="9"/>
  <c r="CW10" i="9"/>
  <c r="DA10" i="9"/>
  <c r="A11" i="9"/>
  <c r="E11" i="9"/>
  <c r="F11" i="9"/>
  <c r="G11" i="9"/>
  <c r="H11" i="9"/>
  <c r="I11" i="9"/>
  <c r="J11" i="9"/>
  <c r="K11" i="9"/>
  <c r="L11" i="9"/>
  <c r="M11" i="9"/>
  <c r="R11" i="9"/>
  <c r="S11" i="9"/>
  <c r="T11" i="9"/>
  <c r="U11" i="9"/>
  <c r="V11" i="9"/>
  <c r="X11" i="9"/>
  <c r="Y11" i="9"/>
  <c r="AB11" i="9"/>
  <c r="AC11" i="9"/>
  <c r="AD11" i="9"/>
  <c r="AF11" i="9"/>
  <c r="AG11" i="9"/>
  <c r="AH11" i="9"/>
  <c r="AL11" i="9"/>
  <c r="AM11" i="9"/>
  <c r="AN11" i="9"/>
  <c r="AO11" i="9"/>
  <c r="AP11" i="9"/>
  <c r="AQ11" i="9"/>
  <c r="AR11" i="9"/>
  <c r="AS11" i="9"/>
  <c r="AT11" i="9"/>
  <c r="AU11" i="9"/>
  <c r="AW11" i="9"/>
  <c r="AX11" i="9"/>
  <c r="AY11" i="9"/>
  <c r="AZ11" i="9"/>
  <c r="BA11" i="9"/>
  <c r="BF11" i="9"/>
  <c r="BH11" i="9"/>
  <c r="BK11" i="9"/>
  <c r="BL11" i="9"/>
  <c r="BP11" i="9"/>
  <c r="BQ11" i="9"/>
  <c r="BT11" i="9"/>
  <c r="BV11" i="9"/>
  <c r="BX11" i="9"/>
  <c r="BY11" i="9"/>
  <c r="BZ11" i="9"/>
  <c r="CA11" i="9"/>
  <c r="CB11" i="9"/>
  <c r="CC11" i="9"/>
  <c r="CD11" i="9"/>
  <c r="CE11" i="9"/>
  <c r="CF11" i="9"/>
  <c r="CG11" i="9"/>
  <c r="CH11" i="9"/>
  <c r="CI11" i="9"/>
  <c r="CJ11" i="9"/>
  <c r="CK11" i="9"/>
  <c r="CL11" i="9"/>
  <c r="CN11" i="9"/>
  <c r="CO11" i="9"/>
  <c r="CQ11" i="9"/>
  <c r="CR11" i="9"/>
  <c r="CT11" i="9"/>
  <c r="CU11" i="9"/>
  <c r="CV11" i="9"/>
  <c r="CW11" i="9"/>
  <c r="DA11" i="9"/>
  <c r="A12" i="9"/>
  <c r="E12" i="9"/>
  <c r="F12" i="9"/>
  <c r="G12" i="9"/>
  <c r="H12" i="9"/>
  <c r="I12" i="9"/>
  <c r="J12" i="9"/>
  <c r="K12" i="9"/>
  <c r="L12" i="9"/>
  <c r="M12" i="9"/>
  <c r="R12" i="9"/>
  <c r="S12" i="9"/>
  <c r="T12" i="9"/>
  <c r="U12" i="9"/>
  <c r="V12" i="9"/>
  <c r="X12" i="9"/>
  <c r="Y12" i="9"/>
  <c r="AB12" i="9"/>
  <c r="AC12" i="9"/>
  <c r="AD12" i="9"/>
  <c r="AF12" i="9"/>
  <c r="AG12" i="9"/>
  <c r="AH12" i="9"/>
  <c r="AL12" i="9"/>
  <c r="AM12" i="9"/>
  <c r="AN12" i="9"/>
  <c r="AO12" i="9"/>
  <c r="AP12" i="9"/>
  <c r="AQ12" i="9"/>
  <c r="AR12" i="9"/>
  <c r="AS12" i="9"/>
  <c r="AT12" i="9"/>
  <c r="AU12" i="9"/>
  <c r="AW12" i="9"/>
  <c r="AX12" i="9"/>
  <c r="AY12" i="9"/>
  <c r="AZ12" i="9"/>
  <c r="BA12" i="9"/>
  <c r="BT12" i="9"/>
  <c r="BV12" i="9"/>
  <c r="BX12" i="9"/>
  <c r="BY12" i="9"/>
  <c r="BZ12" i="9"/>
  <c r="CA12" i="9"/>
  <c r="CB12" i="9"/>
  <c r="CC12" i="9"/>
  <c r="CD12" i="9"/>
  <c r="CE12" i="9"/>
  <c r="CF12" i="9"/>
  <c r="CG12" i="9"/>
  <c r="CH12" i="9"/>
  <c r="CI12" i="9"/>
  <c r="CJ12" i="9"/>
  <c r="CK12" i="9"/>
  <c r="CL12" i="9"/>
  <c r="CN12" i="9"/>
  <c r="CO12" i="9"/>
  <c r="CQ12" i="9"/>
  <c r="CR12" i="9"/>
  <c r="CT12" i="9"/>
  <c r="CU12" i="9"/>
  <c r="CV12" i="9"/>
  <c r="CW12" i="9"/>
  <c r="DA12" i="9"/>
  <c r="A13" i="9"/>
  <c r="E13" i="9"/>
  <c r="F13" i="9"/>
  <c r="G13" i="9"/>
  <c r="H13" i="9"/>
  <c r="I13" i="9"/>
  <c r="J13" i="9"/>
  <c r="K13" i="9"/>
  <c r="L13" i="9"/>
  <c r="M13" i="9"/>
  <c r="R13" i="9"/>
  <c r="S13" i="9"/>
  <c r="T13" i="9"/>
  <c r="U13" i="9"/>
  <c r="V13" i="9"/>
  <c r="X13" i="9"/>
  <c r="Y13" i="9"/>
  <c r="AB13" i="9"/>
  <c r="AC13" i="9"/>
  <c r="AD13" i="9"/>
  <c r="AF13" i="9"/>
  <c r="AG13" i="9"/>
  <c r="AH13" i="9"/>
  <c r="AL13" i="9"/>
  <c r="AM13" i="9"/>
  <c r="AN13" i="9"/>
  <c r="AO13" i="9"/>
  <c r="AP13" i="9"/>
  <c r="AQ13" i="9"/>
  <c r="AR13" i="9"/>
  <c r="AS13" i="9"/>
  <c r="AT13" i="9"/>
  <c r="AU13" i="9"/>
  <c r="AW13" i="9"/>
  <c r="AX13" i="9"/>
  <c r="AY13" i="9"/>
  <c r="AZ13" i="9"/>
  <c r="BA13" i="9"/>
  <c r="BT13" i="9"/>
  <c r="BV13" i="9"/>
  <c r="BX13" i="9"/>
  <c r="BY13" i="9"/>
  <c r="BZ13" i="9"/>
  <c r="CA13" i="9"/>
  <c r="CB13" i="9"/>
  <c r="CC13" i="9"/>
  <c r="CD13" i="9"/>
  <c r="CE13" i="9"/>
  <c r="CF13" i="9"/>
  <c r="CG13" i="9"/>
  <c r="CH13" i="9"/>
  <c r="CI13" i="9"/>
  <c r="CJ13" i="9"/>
  <c r="CK13" i="9"/>
  <c r="CL13" i="9"/>
  <c r="CN13" i="9"/>
  <c r="CO13" i="9"/>
  <c r="CQ13" i="9"/>
  <c r="CR13" i="9"/>
  <c r="CT13" i="9"/>
  <c r="CU13" i="9"/>
  <c r="CV13" i="9"/>
  <c r="CW13" i="9"/>
  <c r="DA13" i="9"/>
  <c r="A14" i="9"/>
  <c r="E14" i="9"/>
  <c r="F14" i="9"/>
  <c r="G14" i="9"/>
  <c r="H14" i="9"/>
  <c r="I14" i="9"/>
  <c r="J14" i="9"/>
  <c r="K14" i="9"/>
  <c r="L14" i="9"/>
  <c r="M14" i="9"/>
  <c r="R14" i="9"/>
  <c r="S14" i="9"/>
  <c r="T14" i="9"/>
  <c r="U14" i="9"/>
  <c r="V14" i="9"/>
  <c r="X14" i="9"/>
  <c r="Y14" i="9"/>
  <c r="AB14" i="9"/>
  <c r="AC14" i="9"/>
  <c r="AD14" i="9"/>
  <c r="AF14" i="9"/>
  <c r="AG14" i="9"/>
  <c r="AH14" i="9"/>
  <c r="AL14" i="9"/>
  <c r="AM14" i="9"/>
  <c r="AN14" i="9"/>
  <c r="AO14" i="9"/>
  <c r="AP14" i="9"/>
  <c r="AR14" i="9"/>
  <c r="AS14" i="9"/>
  <c r="AT14" i="9"/>
  <c r="AU14" i="9"/>
  <c r="AW14" i="9"/>
  <c r="AX14" i="9"/>
  <c r="AY14" i="9"/>
  <c r="AZ14" i="9"/>
  <c r="BA14" i="9"/>
  <c r="BT14" i="9"/>
  <c r="BV14" i="9"/>
  <c r="BX14" i="9"/>
  <c r="BY14" i="9"/>
  <c r="BZ14" i="9"/>
  <c r="CA14" i="9"/>
  <c r="CB14" i="9"/>
  <c r="CC14" i="9"/>
  <c r="CD14" i="9"/>
  <c r="CE14" i="9"/>
  <c r="CF14" i="9"/>
  <c r="CG14" i="9"/>
  <c r="CH14" i="9"/>
  <c r="CI14" i="9"/>
  <c r="CJ14" i="9"/>
  <c r="CK14" i="9"/>
  <c r="CL14" i="9"/>
  <c r="CN14" i="9"/>
  <c r="CO14" i="9"/>
  <c r="CQ14" i="9"/>
  <c r="CR14" i="9"/>
  <c r="CS14" i="9"/>
  <c r="CT14" i="9"/>
  <c r="CU14" i="9"/>
  <c r="CV14" i="9"/>
  <c r="CW14" i="9"/>
  <c r="DA14" i="9"/>
  <c r="A15" i="9"/>
  <c r="E15" i="9"/>
  <c r="F15" i="9"/>
  <c r="G15" i="9"/>
  <c r="H15" i="9"/>
  <c r="I15" i="9"/>
  <c r="J15" i="9"/>
  <c r="K15" i="9"/>
  <c r="L15" i="9"/>
  <c r="M15" i="9"/>
  <c r="R15" i="9"/>
  <c r="S15" i="9"/>
  <c r="T15" i="9"/>
  <c r="U15" i="9"/>
  <c r="V15" i="9"/>
  <c r="X15" i="9"/>
  <c r="Y15" i="9"/>
  <c r="AB15" i="9"/>
  <c r="AC15" i="9"/>
  <c r="AD15" i="9"/>
  <c r="AF15" i="9"/>
  <c r="AG15" i="9"/>
  <c r="AH15" i="9"/>
  <c r="AL15" i="9"/>
  <c r="AM15" i="9"/>
  <c r="AN15" i="9"/>
  <c r="AO15" i="9"/>
  <c r="AP15" i="9"/>
  <c r="AQ15" i="9"/>
  <c r="AR15" i="9"/>
  <c r="AS15" i="9"/>
  <c r="AT15" i="9"/>
  <c r="AU15" i="9"/>
  <c r="AW15" i="9"/>
  <c r="AX15" i="9"/>
  <c r="AY15" i="9"/>
  <c r="AZ15" i="9"/>
  <c r="BA15" i="9"/>
  <c r="BT15" i="9"/>
  <c r="BV15" i="9"/>
  <c r="BX15" i="9"/>
  <c r="BY15" i="9"/>
  <c r="BZ15" i="9"/>
  <c r="CA15" i="9"/>
  <c r="CB15" i="9"/>
  <c r="CC15" i="9"/>
  <c r="CD15" i="9"/>
  <c r="CE15" i="9"/>
  <c r="CF15" i="9"/>
  <c r="CG15" i="9"/>
  <c r="CH15" i="9"/>
  <c r="CI15" i="9"/>
  <c r="CJ15" i="9"/>
  <c r="CK15" i="9"/>
  <c r="CL15" i="9"/>
  <c r="CN15" i="9"/>
  <c r="CO15" i="9"/>
  <c r="CQ15" i="9"/>
  <c r="CR15" i="9"/>
  <c r="CS15" i="9"/>
  <c r="CT15" i="9"/>
  <c r="CU15" i="9"/>
  <c r="CV15" i="9"/>
  <c r="CW15" i="9"/>
  <c r="DA15" i="9"/>
  <c r="A16" i="9"/>
  <c r="E16" i="9"/>
  <c r="F16" i="9"/>
  <c r="G16" i="9"/>
  <c r="H16" i="9"/>
  <c r="I16" i="9"/>
  <c r="J16" i="9"/>
  <c r="K16" i="9"/>
  <c r="L16" i="9"/>
  <c r="M16" i="9"/>
  <c r="O16" i="9"/>
  <c r="P16" i="9"/>
  <c r="Q16" i="9"/>
  <c r="R16" i="9"/>
  <c r="S16" i="9"/>
  <c r="T16" i="9"/>
  <c r="U16" i="9"/>
  <c r="V16" i="9"/>
  <c r="X16" i="9"/>
  <c r="Y16" i="9"/>
  <c r="AB16" i="9"/>
  <c r="AC16" i="9"/>
  <c r="AD16" i="9"/>
  <c r="AF16" i="9"/>
  <c r="AG16" i="9"/>
  <c r="AH16" i="9"/>
  <c r="AJ16" i="9"/>
  <c r="AK16" i="9"/>
  <c r="AL16" i="9"/>
  <c r="AM16" i="9"/>
  <c r="AN16" i="9"/>
  <c r="AO16" i="9"/>
  <c r="AP16" i="9"/>
  <c r="AQ16" i="9"/>
  <c r="AR16" i="9"/>
  <c r="AS16" i="9"/>
  <c r="AT16" i="9"/>
  <c r="AU16" i="9"/>
  <c r="AV16" i="9"/>
  <c r="AW16" i="9"/>
  <c r="AX16" i="9"/>
  <c r="AY16" i="9"/>
  <c r="AZ16" i="9"/>
  <c r="BA16" i="9"/>
  <c r="BV16" i="9"/>
  <c r="BX16" i="9"/>
  <c r="BY16" i="9"/>
  <c r="BZ16" i="9"/>
  <c r="CA16" i="9"/>
  <c r="CB16" i="9"/>
  <c r="CC16" i="9"/>
  <c r="CD16" i="9"/>
  <c r="CE16" i="9"/>
  <c r="CF16" i="9"/>
  <c r="CG16" i="9"/>
  <c r="CH16" i="9"/>
  <c r="CI16" i="9"/>
  <c r="CJ16" i="9"/>
  <c r="CK16" i="9"/>
  <c r="CL16" i="9"/>
  <c r="CN16" i="9"/>
  <c r="CO16" i="9"/>
  <c r="CQ16" i="9"/>
  <c r="CR16" i="9"/>
  <c r="CS16" i="9"/>
  <c r="CT16" i="9"/>
  <c r="CU16" i="9"/>
  <c r="CV16" i="9"/>
  <c r="CW16" i="9"/>
  <c r="DA16" i="9"/>
  <c r="A17" i="9"/>
  <c r="E17" i="9"/>
  <c r="F17" i="9"/>
  <c r="G17" i="9"/>
  <c r="H17" i="9"/>
  <c r="I17" i="9"/>
  <c r="J17" i="9"/>
  <c r="K17" i="9"/>
  <c r="L17" i="9"/>
  <c r="M17" i="9"/>
  <c r="R17" i="9"/>
  <c r="S17" i="9"/>
  <c r="T17" i="9"/>
  <c r="U17" i="9"/>
  <c r="V17" i="9"/>
  <c r="X17" i="9"/>
  <c r="Y17" i="9"/>
  <c r="AB17" i="9"/>
  <c r="AC17" i="9"/>
  <c r="AD17" i="9"/>
  <c r="AF17" i="9"/>
  <c r="AG17" i="9"/>
  <c r="AH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K17" i="9"/>
  <c r="BL17" i="9"/>
  <c r="BM17" i="9"/>
  <c r="BN17" i="9"/>
  <c r="BO17" i="9"/>
  <c r="BP17" i="9"/>
  <c r="BQ17" i="9"/>
  <c r="BT17" i="9"/>
  <c r="BV17" i="9"/>
  <c r="BX17" i="9"/>
  <c r="BY17" i="9"/>
  <c r="BZ17" i="9"/>
  <c r="CA17" i="9"/>
  <c r="CB17" i="9"/>
  <c r="CC17" i="9"/>
  <c r="CD17" i="9"/>
  <c r="CE17" i="9"/>
  <c r="CF17" i="9"/>
  <c r="CG17" i="9"/>
  <c r="CH17" i="9"/>
  <c r="CI17" i="9"/>
  <c r="CJ17" i="9"/>
  <c r="CK17" i="9"/>
  <c r="CL17" i="9"/>
  <c r="CN17" i="9"/>
  <c r="CO17" i="9"/>
  <c r="CQ17" i="9"/>
  <c r="CR17" i="9"/>
  <c r="CS17" i="9"/>
  <c r="CT17" i="9"/>
  <c r="CU17" i="9"/>
  <c r="CV17" i="9"/>
  <c r="CW17" i="9"/>
  <c r="DA17" i="9"/>
  <c r="A18" i="9"/>
  <c r="E18" i="9"/>
  <c r="F18" i="9"/>
  <c r="G18" i="9"/>
  <c r="H18" i="9"/>
  <c r="I18" i="9"/>
  <c r="J18" i="9"/>
  <c r="K18" i="9"/>
  <c r="L18" i="9"/>
  <c r="M18" i="9"/>
  <c r="R18" i="9"/>
  <c r="S18" i="9"/>
  <c r="T18" i="9"/>
  <c r="U18" i="9"/>
  <c r="V18" i="9"/>
  <c r="X18" i="9"/>
  <c r="Y18" i="9"/>
  <c r="AB18" i="9"/>
  <c r="AC18" i="9"/>
  <c r="AD18" i="9"/>
  <c r="AF18" i="9"/>
  <c r="AG18" i="9"/>
  <c r="AH18" i="9"/>
  <c r="AL18" i="9"/>
  <c r="AM18" i="9"/>
  <c r="AN18" i="9"/>
  <c r="AO18" i="9"/>
  <c r="AP18" i="9"/>
  <c r="AQ18" i="9"/>
  <c r="AR18" i="9"/>
  <c r="AS18" i="9"/>
  <c r="AT18" i="9"/>
  <c r="AU18" i="9"/>
  <c r="AV18" i="9"/>
  <c r="AW18" i="9"/>
  <c r="AX18" i="9"/>
  <c r="AY18" i="9"/>
  <c r="AZ18" i="9"/>
  <c r="BA18" i="9"/>
  <c r="BB18" i="9"/>
  <c r="BC18" i="9"/>
  <c r="BD18" i="9"/>
  <c r="BE18" i="9"/>
  <c r="BF18" i="9"/>
  <c r="BG18" i="9"/>
  <c r="BH18" i="9"/>
  <c r="BI18" i="9"/>
  <c r="BK18" i="9"/>
  <c r="BL18" i="9"/>
  <c r="BM18" i="9"/>
  <c r="BN18" i="9"/>
  <c r="BO18" i="9"/>
  <c r="BP18" i="9"/>
  <c r="BQ18" i="9"/>
  <c r="BT18" i="9"/>
  <c r="BV18" i="9"/>
  <c r="BX18" i="9"/>
  <c r="BY18" i="9"/>
  <c r="BZ18" i="9"/>
  <c r="CA18" i="9"/>
  <c r="CB18" i="9"/>
  <c r="CC18" i="9"/>
  <c r="CD18" i="9"/>
  <c r="CE18" i="9"/>
  <c r="CF18" i="9"/>
  <c r="CG18" i="9"/>
  <c r="CH18" i="9"/>
  <c r="CI18" i="9"/>
  <c r="CJ18" i="9"/>
  <c r="CK18" i="9"/>
  <c r="CL18" i="9"/>
  <c r="CM18" i="9"/>
  <c r="CN18" i="9"/>
  <c r="CO18" i="9"/>
  <c r="CQ18" i="9"/>
  <c r="CR18" i="9"/>
  <c r="CS18" i="9"/>
  <c r="CT18" i="9"/>
  <c r="CU18" i="9"/>
  <c r="CV18" i="9"/>
  <c r="CW18" i="9"/>
  <c r="DA18" i="9"/>
  <c r="A19" i="9"/>
  <c r="E19" i="9"/>
  <c r="F19" i="9"/>
  <c r="G19" i="9"/>
  <c r="H19" i="9"/>
  <c r="I19" i="9"/>
  <c r="J19" i="9"/>
  <c r="K19" i="9"/>
  <c r="L19" i="9"/>
  <c r="M19" i="9"/>
  <c r="R19" i="9"/>
  <c r="S19" i="9"/>
  <c r="T19" i="9"/>
  <c r="U19" i="9"/>
  <c r="V19" i="9"/>
  <c r="X19" i="9"/>
  <c r="Y19" i="9"/>
  <c r="AB19" i="9"/>
  <c r="AC19" i="9"/>
  <c r="AD19" i="9"/>
  <c r="AF19" i="9"/>
  <c r="AG19" i="9"/>
  <c r="AH19" i="9"/>
  <c r="AL19" i="9"/>
  <c r="AM19" i="9"/>
  <c r="AN19" i="9"/>
  <c r="AO19" i="9"/>
  <c r="AP19" i="9"/>
  <c r="AQ19" i="9"/>
  <c r="AR19" i="9"/>
  <c r="AS19" i="9"/>
  <c r="AT19" i="9"/>
  <c r="AU19" i="9"/>
  <c r="AV19" i="9"/>
  <c r="AX19" i="9"/>
  <c r="AY19" i="9"/>
  <c r="AZ19" i="9"/>
  <c r="BA19" i="9"/>
  <c r="BB19" i="9"/>
  <c r="BC19" i="9"/>
  <c r="BD19" i="9"/>
  <c r="BE19" i="9"/>
  <c r="BF19" i="9"/>
  <c r="BG19" i="9"/>
  <c r="BH19" i="9"/>
  <c r="BI19" i="9"/>
  <c r="BK19" i="9"/>
  <c r="BL19" i="9"/>
  <c r="BM19" i="9"/>
  <c r="BN19" i="9"/>
  <c r="BO19" i="9"/>
  <c r="BP19" i="9"/>
  <c r="BQ19" i="9"/>
  <c r="BT19" i="9"/>
  <c r="BV19" i="9"/>
  <c r="BX19" i="9"/>
  <c r="BY19" i="9"/>
  <c r="BZ19" i="9"/>
  <c r="CA19" i="9"/>
  <c r="CB19" i="9"/>
  <c r="CC19" i="9"/>
  <c r="CD19" i="9"/>
  <c r="CE19" i="9"/>
  <c r="CF19" i="9"/>
  <c r="CG19" i="9"/>
  <c r="CH19" i="9"/>
  <c r="CI19" i="9"/>
  <c r="CJ19" i="9"/>
  <c r="CK19" i="9"/>
  <c r="CL19" i="9"/>
  <c r="CN19" i="9"/>
  <c r="CO19" i="9"/>
  <c r="CQ19" i="9"/>
  <c r="CR19" i="9"/>
  <c r="CS19" i="9"/>
  <c r="CT19" i="9"/>
  <c r="CU19" i="9"/>
  <c r="CV19" i="9"/>
  <c r="CW19" i="9"/>
  <c r="CX19" i="9"/>
  <c r="CZ19" i="9"/>
  <c r="DA19" i="9"/>
  <c r="DB19" i="9"/>
  <c r="DC19" i="9"/>
  <c r="DD19" i="9"/>
  <c r="A20" i="9"/>
  <c r="E20" i="9"/>
  <c r="F20" i="9"/>
  <c r="G20" i="9"/>
  <c r="H20" i="9"/>
  <c r="I20" i="9"/>
  <c r="J20" i="9"/>
  <c r="K20" i="9"/>
  <c r="L20" i="9"/>
  <c r="M20" i="9"/>
  <c r="R20" i="9"/>
  <c r="S20" i="9"/>
  <c r="T20" i="9"/>
  <c r="U20" i="9"/>
  <c r="V20" i="9"/>
  <c r="X20" i="9"/>
  <c r="Y20" i="9"/>
  <c r="AB20" i="9"/>
  <c r="AC20" i="9"/>
  <c r="AD20" i="9"/>
  <c r="AF20" i="9"/>
  <c r="AG20" i="9"/>
  <c r="AH20" i="9"/>
  <c r="AL20" i="9"/>
  <c r="AM20" i="9"/>
  <c r="AN20" i="9"/>
  <c r="AO20" i="9"/>
  <c r="AP20" i="9"/>
  <c r="AQ20" i="9"/>
  <c r="AR20" i="9"/>
  <c r="AS20" i="9"/>
  <c r="AT20" i="9"/>
  <c r="AU20" i="9"/>
  <c r="AV20" i="9"/>
  <c r="AW20" i="9"/>
  <c r="AX20" i="9"/>
  <c r="AY20" i="9"/>
  <c r="AZ20" i="9"/>
  <c r="BA20" i="9"/>
  <c r="BB20" i="9"/>
  <c r="BC20" i="9"/>
  <c r="BD20" i="9"/>
  <c r="BE20" i="9"/>
  <c r="BF20" i="9"/>
  <c r="BG20" i="9"/>
  <c r="BH20" i="9"/>
  <c r="BI20" i="9"/>
  <c r="BK20" i="9"/>
  <c r="BL20" i="9"/>
  <c r="BM20" i="9"/>
  <c r="BN20" i="9"/>
  <c r="BO20" i="9"/>
  <c r="BP20" i="9"/>
  <c r="BQ20" i="9"/>
  <c r="BT20" i="9"/>
  <c r="BV20" i="9"/>
  <c r="BX20" i="9"/>
  <c r="BY20" i="9"/>
  <c r="BZ20" i="9"/>
  <c r="CA20" i="9"/>
  <c r="CB20" i="9"/>
  <c r="CC20" i="9"/>
  <c r="CD20" i="9"/>
  <c r="CE20" i="9"/>
  <c r="CF20" i="9"/>
  <c r="CG20" i="9"/>
  <c r="CH20" i="9"/>
  <c r="CI20" i="9"/>
  <c r="CJ20" i="9"/>
  <c r="CK20" i="9"/>
  <c r="CL20" i="9"/>
  <c r="CN20" i="9"/>
  <c r="CO20" i="9"/>
  <c r="CQ20" i="9"/>
  <c r="CR20" i="9"/>
  <c r="CS20" i="9"/>
  <c r="CT20" i="9"/>
  <c r="CU20" i="9"/>
  <c r="CV20" i="9"/>
  <c r="CW20" i="9"/>
  <c r="CX20" i="9"/>
  <c r="CZ20" i="9"/>
  <c r="DA20" i="9"/>
  <c r="DB20" i="9"/>
  <c r="DC20" i="9"/>
  <c r="DD20" i="9"/>
  <c r="A21" i="9"/>
  <c r="C21" i="9"/>
  <c r="E21" i="9"/>
  <c r="F21" i="9"/>
  <c r="G21" i="9"/>
  <c r="H21" i="9"/>
  <c r="I21" i="9"/>
  <c r="J21" i="9"/>
  <c r="K21" i="9"/>
  <c r="L21" i="9"/>
  <c r="M21" i="9"/>
  <c r="R21" i="9"/>
  <c r="S21" i="9"/>
  <c r="T21" i="9"/>
  <c r="U21" i="9"/>
  <c r="V21" i="9"/>
  <c r="X21" i="9"/>
  <c r="Y21" i="9"/>
  <c r="AB21" i="9"/>
  <c r="AC21" i="9"/>
  <c r="AD21" i="9"/>
  <c r="AF21" i="9"/>
  <c r="AG21" i="9"/>
  <c r="AH21" i="9"/>
  <c r="AL21" i="9"/>
  <c r="AM21" i="9"/>
  <c r="AN21" i="9"/>
  <c r="AO21" i="9"/>
  <c r="AP21" i="9"/>
  <c r="AQ21" i="9"/>
  <c r="AR21" i="9"/>
  <c r="AS21" i="9"/>
  <c r="AT21" i="9"/>
  <c r="AU21" i="9"/>
  <c r="AV21" i="9"/>
  <c r="AW21" i="9"/>
  <c r="AX21" i="9"/>
  <c r="AY21" i="9"/>
  <c r="AZ21" i="9"/>
  <c r="BA21" i="9"/>
  <c r="BB21" i="9"/>
  <c r="BC21" i="9"/>
  <c r="BD21" i="9"/>
  <c r="BE21" i="9"/>
  <c r="BF21" i="9"/>
  <c r="BG21" i="9"/>
  <c r="BH21" i="9"/>
  <c r="BI21" i="9"/>
  <c r="BK21" i="9"/>
  <c r="BL21" i="9"/>
  <c r="BM21" i="9"/>
  <c r="BN21" i="9"/>
  <c r="BO21" i="9"/>
  <c r="BP21" i="9"/>
  <c r="BQ21" i="9"/>
  <c r="BT21" i="9"/>
  <c r="BV21" i="9"/>
  <c r="BX21" i="9"/>
  <c r="BY21" i="9"/>
  <c r="BZ21" i="9"/>
  <c r="CA21" i="9"/>
  <c r="CB21" i="9"/>
  <c r="CC21" i="9"/>
  <c r="CD21" i="9"/>
  <c r="CE21" i="9"/>
  <c r="CF21" i="9"/>
  <c r="CG21" i="9"/>
  <c r="CH21" i="9"/>
  <c r="CI21" i="9"/>
  <c r="CJ21" i="9"/>
  <c r="CK21" i="9"/>
  <c r="CL21" i="9"/>
  <c r="CN21" i="9"/>
  <c r="CO21" i="9"/>
  <c r="CQ21" i="9"/>
  <c r="CR21" i="9"/>
  <c r="CS21" i="9"/>
  <c r="CT21" i="9"/>
  <c r="CU21" i="9"/>
  <c r="CV21" i="9"/>
  <c r="CW21" i="9"/>
  <c r="CX21" i="9"/>
  <c r="CZ21" i="9"/>
  <c r="DA21" i="9"/>
  <c r="DB21" i="9"/>
  <c r="DC21" i="9"/>
  <c r="DD21" i="9"/>
  <c r="A22" i="9"/>
  <c r="R22" i="9"/>
  <c r="S22" i="9"/>
  <c r="T22" i="9"/>
  <c r="U22" i="9"/>
  <c r="V22" i="9"/>
  <c r="X22" i="9"/>
  <c r="Y22" i="9"/>
  <c r="AB22" i="9"/>
  <c r="AC22" i="9"/>
  <c r="AD22" i="9"/>
  <c r="AF22" i="9"/>
  <c r="AG22" i="9"/>
  <c r="AH22" i="9"/>
  <c r="AL22" i="9"/>
  <c r="AM22" i="9"/>
  <c r="AN22" i="9"/>
  <c r="AO22" i="9"/>
  <c r="AP22" i="9"/>
  <c r="AQ22" i="9"/>
  <c r="AR22" i="9"/>
  <c r="AS22" i="9"/>
  <c r="AT22" i="9"/>
  <c r="AU22" i="9"/>
  <c r="AV22" i="9"/>
  <c r="AW22" i="9"/>
  <c r="AX22" i="9"/>
  <c r="AY22" i="9"/>
  <c r="AZ22" i="9"/>
  <c r="BA22" i="9"/>
  <c r="BB22" i="9"/>
  <c r="BC22" i="9"/>
  <c r="BD22" i="9"/>
  <c r="BE22" i="9"/>
  <c r="BF22" i="9"/>
  <c r="BG22" i="9"/>
  <c r="BH22" i="9"/>
  <c r="BI22" i="9"/>
  <c r="BK22" i="9"/>
  <c r="BL22" i="9"/>
  <c r="BM22" i="9"/>
  <c r="BN22" i="9"/>
  <c r="BO22" i="9"/>
  <c r="BP22" i="9"/>
  <c r="BQ22" i="9"/>
  <c r="BT22" i="9"/>
  <c r="BV22" i="9"/>
  <c r="BX22" i="9"/>
  <c r="BY22" i="9"/>
  <c r="BZ22" i="9"/>
  <c r="CA22" i="9"/>
  <c r="CB22" i="9"/>
  <c r="CC22" i="9"/>
  <c r="CD22" i="9"/>
  <c r="CE22" i="9"/>
  <c r="CF22" i="9"/>
  <c r="CG22" i="9"/>
  <c r="CH22" i="9"/>
  <c r="CI22" i="9"/>
  <c r="CJ22" i="9"/>
  <c r="CK22" i="9"/>
  <c r="CL22" i="9"/>
  <c r="CN22" i="9"/>
  <c r="CO22" i="9"/>
  <c r="CQ22" i="9"/>
  <c r="CR22" i="9"/>
  <c r="CS22" i="9"/>
  <c r="CT22" i="9"/>
  <c r="CU22" i="9"/>
  <c r="CV22" i="9"/>
  <c r="CW22" i="9"/>
  <c r="CX22" i="9"/>
  <c r="CZ22" i="9"/>
  <c r="DB22" i="9"/>
  <c r="DC22" i="9"/>
  <c r="DD22" i="9"/>
  <c r="A23" i="9"/>
  <c r="R23" i="9"/>
  <c r="S23" i="9"/>
  <c r="T23" i="9"/>
  <c r="U23" i="9"/>
  <c r="V23" i="9"/>
  <c r="X23" i="9"/>
  <c r="Y23" i="9"/>
  <c r="AB23" i="9"/>
  <c r="AC23" i="9"/>
  <c r="AD23" i="9"/>
  <c r="AF23" i="9"/>
  <c r="AG23" i="9"/>
  <c r="AH23" i="9"/>
  <c r="AL23" i="9"/>
  <c r="AM23" i="9"/>
  <c r="AN23" i="9"/>
  <c r="AO23" i="9"/>
  <c r="AP23" i="9"/>
  <c r="AQ23" i="9"/>
  <c r="AR23" i="9"/>
  <c r="AS23" i="9"/>
  <c r="AT23" i="9"/>
  <c r="AU23" i="9"/>
  <c r="AV23" i="9"/>
  <c r="AW23" i="9"/>
  <c r="AX23" i="9"/>
  <c r="AY23" i="9"/>
  <c r="AZ23" i="9"/>
  <c r="BA23" i="9"/>
  <c r="BB23" i="9"/>
  <c r="BC23" i="9"/>
  <c r="BD23" i="9"/>
  <c r="BE23" i="9"/>
  <c r="BF23" i="9"/>
  <c r="BG23" i="9"/>
  <c r="BH23" i="9"/>
  <c r="BI23" i="9"/>
  <c r="BK23" i="9"/>
  <c r="BL23" i="9"/>
  <c r="BM23" i="9"/>
  <c r="BN23" i="9"/>
  <c r="BO23" i="9"/>
  <c r="BP23" i="9"/>
  <c r="BQ23" i="9"/>
  <c r="BT23" i="9"/>
  <c r="BV23" i="9"/>
  <c r="BX23" i="9"/>
  <c r="BY23" i="9"/>
  <c r="BZ23" i="9"/>
  <c r="CA23" i="9"/>
  <c r="CB23" i="9"/>
  <c r="CC23" i="9"/>
  <c r="CD23" i="9"/>
  <c r="CE23" i="9"/>
  <c r="CF23" i="9"/>
  <c r="CG23" i="9"/>
  <c r="CH23" i="9"/>
  <c r="CI23" i="9"/>
  <c r="CJ23" i="9"/>
  <c r="CK23" i="9"/>
  <c r="CL23" i="9"/>
  <c r="CN23" i="9"/>
  <c r="CO23" i="9"/>
  <c r="CQ23" i="9"/>
  <c r="CR23" i="9"/>
  <c r="CS23" i="9"/>
  <c r="CT23" i="9"/>
  <c r="CU23" i="9"/>
  <c r="CV23" i="9"/>
  <c r="CW23" i="9"/>
  <c r="CX23" i="9"/>
  <c r="CZ23" i="9"/>
  <c r="DB23" i="9"/>
  <c r="DC23" i="9"/>
  <c r="DD23" i="9"/>
  <c r="A24" i="9"/>
  <c r="R24" i="9"/>
  <c r="S24" i="9"/>
  <c r="T24" i="9"/>
  <c r="U24" i="9"/>
  <c r="V24" i="9"/>
  <c r="X24" i="9"/>
  <c r="Y24" i="9"/>
  <c r="AB24" i="9"/>
  <c r="AC24" i="9"/>
  <c r="AD24" i="9"/>
  <c r="AF24" i="9"/>
  <c r="AG24" i="9"/>
  <c r="AH24" i="9"/>
  <c r="AL24" i="9"/>
  <c r="AM24" i="9"/>
  <c r="AN24" i="9"/>
  <c r="AO24" i="9"/>
  <c r="AP24" i="9"/>
  <c r="AQ24" i="9"/>
  <c r="AR24" i="9"/>
  <c r="AS24" i="9"/>
  <c r="AT24" i="9"/>
  <c r="AU24" i="9"/>
  <c r="AV24" i="9"/>
  <c r="AW24" i="9"/>
  <c r="AX24" i="9"/>
  <c r="AY24" i="9"/>
  <c r="AZ24" i="9"/>
  <c r="BA24" i="9"/>
  <c r="BB24" i="9"/>
  <c r="BC24" i="9"/>
  <c r="BD24" i="9"/>
  <c r="BE24" i="9"/>
  <c r="BF24" i="9"/>
  <c r="BG24" i="9"/>
  <c r="BH24" i="9"/>
  <c r="BI24" i="9"/>
  <c r="BK24" i="9"/>
  <c r="BL24" i="9"/>
  <c r="BM24" i="9"/>
  <c r="BN24" i="9"/>
  <c r="BO24" i="9"/>
  <c r="BP24" i="9"/>
  <c r="BQ24" i="9"/>
  <c r="BT24" i="9"/>
  <c r="BV24" i="9"/>
  <c r="BX24" i="9"/>
  <c r="BY24" i="9"/>
  <c r="BZ24" i="9"/>
  <c r="CA24" i="9"/>
  <c r="CB24" i="9"/>
  <c r="CC24" i="9"/>
  <c r="CD24" i="9"/>
  <c r="CE24" i="9"/>
  <c r="CF24" i="9"/>
  <c r="CG24" i="9"/>
  <c r="CH24" i="9"/>
  <c r="CI24" i="9"/>
  <c r="CJ24" i="9"/>
  <c r="CK24" i="9"/>
  <c r="CL24" i="9"/>
  <c r="CN24" i="9"/>
  <c r="CO24" i="9"/>
  <c r="CQ24" i="9"/>
  <c r="CR24" i="9"/>
  <c r="CS24" i="9"/>
  <c r="CT24" i="9"/>
  <c r="CU24" i="9"/>
  <c r="CV24" i="9"/>
  <c r="CW24" i="9"/>
  <c r="CX24" i="9"/>
  <c r="CZ24" i="9"/>
  <c r="DB24" i="9"/>
  <c r="DC24" i="9"/>
  <c r="DD24" i="9"/>
  <c r="A25" i="9"/>
  <c r="R25" i="9"/>
  <c r="S25" i="9"/>
  <c r="T25" i="9"/>
  <c r="U25" i="9"/>
  <c r="V25" i="9"/>
  <c r="X25" i="9"/>
  <c r="Y25" i="9"/>
  <c r="AB25" i="9"/>
  <c r="AC25" i="9"/>
  <c r="AD25" i="9"/>
  <c r="AF25" i="9"/>
  <c r="AH25" i="9"/>
  <c r="AL25" i="9"/>
  <c r="AM25" i="9"/>
  <c r="AO25" i="9"/>
  <c r="AP25" i="9"/>
  <c r="AR25" i="9"/>
  <c r="AT25" i="9"/>
  <c r="AU25" i="9"/>
  <c r="AV25" i="9"/>
  <c r="AY25" i="9"/>
  <c r="AZ25" i="9"/>
  <c r="BA25" i="9"/>
  <c r="BB25" i="9"/>
  <c r="BC25" i="9"/>
  <c r="BD25" i="9"/>
  <c r="BE25" i="9"/>
  <c r="BF25" i="9"/>
  <c r="BG25" i="9"/>
  <c r="BH25" i="9"/>
  <c r="BI25" i="9"/>
  <c r="BK25" i="9"/>
  <c r="BL25" i="9"/>
  <c r="BM25" i="9"/>
  <c r="BN25" i="9"/>
  <c r="BO25" i="9"/>
  <c r="BP25" i="9"/>
  <c r="BQ25" i="9"/>
  <c r="BT25" i="9"/>
  <c r="BV25" i="9"/>
  <c r="BX25" i="9"/>
  <c r="BY25" i="9"/>
  <c r="BZ25" i="9"/>
  <c r="CA25" i="9"/>
  <c r="CB25" i="9"/>
  <c r="CC25" i="9"/>
  <c r="CD25" i="9"/>
  <c r="CE25" i="9"/>
  <c r="CF25" i="9"/>
  <c r="CG25" i="9"/>
  <c r="CH25" i="9"/>
  <c r="CI25" i="9"/>
  <c r="CJ25" i="9"/>
  <c r="CK25" i="9"/>
  <c r="CL25" i="9"/>
  <c r="CN25" i="9"/>
  <c r="CO25" i="9"/>
  <c r="CQ25" i="9"/>
  <c r="CR25" i="9"/>
  <c r="CS25" i="9"/>
  <c r="CT25" i="9"/>
  <c r="CU25" i="9"/>
  <c r="CV25" i="9"/>
  <c r="CW25" i="9"/>
  <c r="CX25" i="9"/>
  <c r="CZ25" i="9"/>
  <c r="DB25" i="9"/>
  <c r="DC25" i="9"/>
  <c r="DD25" i="9"/>
  <c r="A26" i="9"/>
  <c r="R26" i="9"/>
  <c r="S26" i="9"/>
  <c r="T26" i="9"/>
  <c r="U26" i="9"/>
  <c r="V26" i="9"/>
  <c r="X26" i="9"/>
  <c r="Y26" i="9"/>
  <c r="AB26" i="9"/>
  <c r="AC26" i="9"/>
  <c r="AD26" i="9"/>
  <c r="AF26" i="9"/>
  <c r="AH26" i="9"/>
  <c r="AL26" i="9"/>
  <c r="AM26" i="9"/>
  <c r="AO26" i="9"/>
  <c r="AP26" i="9"/>
  <c r="AR26" i="9"/>
  <c r="AT26" i="9"/>
  <c r="AU26" i="9"/>
  <c r="AV26" i="9"/>
  <c r="AW26" i="9"/>
  <c r="AX26" i="9"/>
  <c r="AY26" i="9"/>
  <c r="AZ26" i="9"/>
  <c r="BA26" i="9"/>
  <c r="BB26" i="9"/>
  <c r="BC26" i="9"/>
  <c r="BD26" i="9"/>
  <c r="BE26" i="9"/>
  <c r="BF26" i="9"/>
  <c r="BG26" i="9"/>
  <c r="BH26" i="9"/>
  <c r="BI26" i="9"/>
  <c r="BK26" i="9"/>
  <c r="BL26" i="9"/>
  <c r="BM26" i="9"/>
  <c r="BN26" i="9"/>
  <c r="BO26" i="9"/>
  <c r="BP26" i="9"/>
  <c r="BQ26" i="9"/>
  <c r="BT26" i="9"/>
  <c r="BV26" i="9"/>
  <c r="BX26" i="9"/>
  <c r="BY26" i="9"/>
  <c r="BZ26" i="9"/>
  <c r="CA26" i="9"/>
  <c r="CB26" i="9"/>
  <c r="CC26" i="9"/>
  <c r="CD26" i="9"/>
  <c r="CE26" i="9"/>
  <c r="CF26" i="9"/>
  <c r="CG26" i="9"/>
  <c r="CH26" i="9"/>
  <c r="CI26" i="9"/>
  <c r="CJ26" i="9"/>
  <c r="CK26" i="9"/>
  <c r="CL26" i="9"/>
  <c r="CN26" i="9"/>
  <c r="CO26" i="9"/>
  <c r="CQ26" i="9"/>
  <c r="CR26" i="9"/>
  <c r="CS26" i="9"/>
  <c r="CT26" i="9"/>
  <c r="CU26" i="9"/>
  <c r="CV26" i="9"/>
  <c r="CW26" i="9"/>
  <c r="CX26" i="9"/>
  <c r="CZ26" i="9"/>
  <c r="DB26" i="9"/>
  <c r="DC26" i="9"/>
  <c r="DD26" i="9"/>
  <c r="A27" i="9"/>
  <c r="R27" i="9"/>
  <c r="S27" i="9"/>
  <c r="T27" i="9"/>
  <c r="U27" i="9"/>
  <c r="V27" i="9"/>
  <c r="X27" i="9"/>
  <c r="Y27" i="9"/>
  <c r="AB27" i="9"/>
  <c r="AC27" i="9"/>
  <c r="AD27" i="9"/>
  <c r="AF27" i="9"/>
  <c r="AH27" i="9"/>
  <c r="AL27" i="9"/>
  <c r="AM27" i="9"/>
  <c r="AO27" i="9"/>
  <c r="AP27" i="9"/>
  <c r="AR27" i="9"/>
  <c r="AT27" i="9"/>
  <c r="AU27" i="9"/>
  <c r="AV27" i="9"/>
  <c r="AW27" i="9"/>
  <c r="AX27" i="9"/>
  <c r="AY27" i="9"/>
  <c r="AZ27" i="9"/>
  <c r="BA27" i="9"/>
  <c r="BB27" i="9"/>
  <c r="BC27" i="9"/>
  <c r="BD27" i="9"/>
  <c r="BE27" i="9"/>
  <c r="BF27" i="9"/>
  <c r="BG27" i="9"/>
  <c r="BH27" i="9"/>
  <c r="BI27" i="9"/>
  <c r="BK27" i="9"/>
  <c r="BL27" i="9"/>
  <c r="BM27" i="9"/>
  <c r="BN27" i="9"/>
  <c r="BO27" i="9"/>
  <c r="BP27" i="9"/>
  <c r="BQ27" i="9"/>
  <c r="BT27" i="9"/>
  <c r="BV27" i="9"/>
  <c r="BX27" i="9"/>
  <c r="BY27" i="9"/>
  <c r="BZ27" i="9"/>
  <c r="CA27" i="9"/>
  <c r="CB27" i="9"/>
  <c r="CC27" i="9"/>
  <c r="CD27" i="9"/>
  <c r="CE27" i="9"/>
  <c r="CF27" i="9"/>
  <c r="CG27" i="9"/>
  <c r="CH27" i="9"/>
  <c r="CI27" i="9"/>
  <c r="CJ27" i="9"/>
  <c r="CK27" i="9"/>
  <c r="CL27" i="9"/>
  <c r="CN27" i="9"/>
  <c r="CO27" i="9"/>
  <c r="CQ27" i="9"/>
  <c r="CR27" i="9"/>
  <c r="CS27" i="9"/>
  <c r="CT27" i="9"/>
  <c r="CU27" i="9"/>
  <c r="CV27" i="9"/>
  <c r="CW27" i="9"/>
  <c r="CX27" i="9"/>
  <c r="CZ27" i="9"/>
  <c r="DB27" i="9"/>
  <c r="DC27" i="9"/>
  <c r="DD27" i="9"/>
  <c r="A28" i="9"/>
  <c r="R28" i="9"/>
  <c r="S28" i="9"/>
  <c r="T28" i="9"/>
  <c r="U28" i="9"/>
  <c r="V28" i="9"/>
  <c r="X28" i="9"/>
  <c r="Y28" i="9"/>
  <c r="AB28" i="9"/>
  <c r="AC28" i="9"/>
  <c r="AD28" i="9"/>
  <c r="AF28" i="9"/>
  <c r="AH28" i="9"/>
  <c r="AL28" i="9"/>
  <c r="AM28" i="9"/>
  <c r="AO28" i="9"/>
  <c r="AP28" i="9"/>
  <c r="AR28" i="9"/>
  <c r="AT28" i="9"/>
  <c r="AU28" i="9"/>
  <c r="AV28" i="9"/>
  <c r="AW28" i="9"/>
  <c r="AX28" i="9"/>
  <c r="AY28" i="9"/>
  <c r="AZ28" i="9"/>
  <c r="BA28" i="9"/>
  <c r="BB28" i="9"/>
  <c r="BC28" i="9"/>
  <c r="BD28" i="9"/>
  <c r="BE28" i="9"/>
  <c r="BF28" i="9"/>
  <c r="BG28" i="9"/>
  <c r="BH28" i="9"/>
  <c r="BI28" i="9"/>
  <c r="BK28" i="9"/>
  <c r="BL28" i="9"/>
  <c r="BM28" i="9"/>
  <c r="BN28" i="9"/>
  <c r="BO28" i="9"/>
  <c r="BP28" i="9"/>
  <c r="BQ28" i="9"/>
  <c r="BT28" i="9"/>
  <c r="BV28" i="9"/>
  <c r="BX28" i="9"/>
  <c r="BY28" i="9"/>
  <c r="BZ28" i="9"/>
  <c r="CA28" i="9"/>
  <c r="CB28" i="9"/>
  <c r="CC28" i="9"/>
  <c r="CD28" i="9"/>
  <c r="CE28" i="9"/>
  <c r="CF28" i="9"/>
  <c r="CG28" i="9"/>
  <c r="CH28" i="9"/>
  <c r="CI28" i="9"/>
  <c r="CJ28" i="9"/>
  <c r="CK28" i="9"/>
  <c r="CL28" i="9"/>
  <c r="CN28" i="9"/>
  <c r="CO28" i="9"/>
  <c r="CQ28" i="9"/>
  <c r="CR28" i="9"/>
  <c r="CS28" i="9"/>
  <c r="CT28" i="9"/>
  <c r="CU28" i="9"/>
  <c r="CV28" i="9"/>
  <c r="CW28" i="9"/>
  <c r="CX28" i="9"/>
  <c r="CZ28" i="9"/>
  <c r="DB28" i="9"/>
  <c r="DC28" i="9"/>
  <c r="DD28" i="9"/>
  <c r="A29" i="9"/>
  <c r="R29" i="9"/>
  <c r="S29" i="9"/>
  <c r="T29" i="9"/>
  <c r="U29" i="9"/>
  <c r="V29" i="9"/>
  <c r="X29" i="9"/>
  <c r="Y29" i="9"/>
  <c r="AB29" i="9"/>
  <c r="AC29" i="9"/>
  <c r="AD29" i="9"/>
  <c r="AF29" i="9"/>
  <c r="AH29" i="9"/>
  <c r="AL29" i="9"/>
  <c r="AM29" i="9"/>
  <c r="AO29" i="9"/>
  <c r="AP29" i="9"/>
  <c r="AR29" i="9"/>
  <c r="AT29" i="9"/>
  <c r="AU29" i="9"/>
  <c r="AV29" i="9"/>
  <c r="AW29" i="9"/>
  <c r="AX29" i="9"/>
  <c r="AY29" i="9"/>
  <c r="AZ29" i="9"/>
  <c r="BA29" i="9"/>
  <c r="BB29" i="9"/>
  <c r="BC29" i="9"/>
  <c r="BD29" i="9"/>
  <c r="BE29" i="9"/>
  <c r="BF29" i="9"/>
  <c r="BG29" i="9"/>
  <c r="BH29" i="9"/>
  <c r="BI29" i="9"/>
  <c r="BK29" i="9"/>
  <c r="BL29" i="9"/>
  <c r="BM29" i="9"/>
  <c r="BN29" i="9"/>
  <c r="BO29" i="9"/>
  <c r="BP29" i="9"/>
  <c r="BQ29" i="9"/>
  <c r="BT29" i="9"/>
  <c r="BV29" i="9"/>
  <c r="BX29" i="9"/>
  <c r="BY29" i="9"/>
  <c r="BZ29" i="9"/>
  <c r="CA29" i="9"/>
  <c r="CB29" i="9"/>
  <c r="CC29" i="9"/>
  <c r="CD29" i="9"/>
  <c r="CE29" i="9"/>
  <c r="CF29" i="9"/>
  <c r="CG29" i="9"/>
  <c r="CH29" i="9"/>
  <c r="CI29" i="9"/>
  <c r="CJ29" i="9"/>
  <c r="CK29" i="9"/>
  <c r="CL29" i="9"/>
  <c r="CN29" i="9"/>
  <c r="CO29" i="9"/>
  <c r="CQ29" i="9"/>
  <c r="CR29" i="9"/>
  <c r="CS29" i="9"/>
  <c r="CT29" i="9"/>
  <c r="CU29" i="9"/>
  <c r="CV29" i="9"/>
  <c r="CW29" i="9"/>
  <c r="CX29" i="9"/>
  <c r="CZ29" i="9"/>
  <c r="DB29" i="9"/>
  <c r="DC29" i="9"/>
  <c r="DD29" i="9"/>
  <c r="A30" i="9"/>
  <c r="R30" i="9"/>
  <c r="S30" i="9"/>
  <c r="T30" i="9"/>
  <c r="U30" i="9"/>
  <c r="V30" i="9"/>
  <c r="X30" i="9"/>
  <c r="Y30" i="9"/>
  <c r="AB30" i="9"/>
  <c r="AC30" i="9"/>
  <c r="AD30" i="9"/>
  <c r="AF30" i="9"/>
  <c r="AH30" i="9"/>
  <c r="AL30" i="9"/>
  <c r="AM30" i="9"/>
  <c r="AO30" i="9"/>
  <c r="AP30" i="9"/>
  <c r="AR30" i="9"/>
  <c r="AT30" i="9"/>
  <c r="AU30" i="9"/>
  <c r="AV30" i="9"/>
  <c r="AW30" i="9"/>
  <c r="AX30" i="9"/>
  <c r="AY30" i="9"/>
  <c r="AZ30" i="9"/>
  <c r="BA30" i="9"/>
  <c r="BB30" i="9"/>
  <c r="BC30" i="9"/>
  <c r="BD30" i="9"/>
  <c r="BE30" i="9"/>
  <c r="BF30" i="9"/>
  <c r="BG30" i="9"/>
  <c r="BH30" i="9"/>
  <c r="BI30" i="9"/>
  <c r="BK30" i="9"/>
  <c r="BL30" i="9"/>
  <c r="BM30" i="9"/>
  <c r="BN30" i="9"/>
  <c r="BO30" i="9"/>
  <c r="BP30" i="9"/>
  <c r="BQ30" i="9"/>
  <c r="BT30" i="9"/>
  <c r="BV30" i="9"/>
  <c r="BX30" i="9"/>
  <c r="BY30" i="9"/>
  <c r="BZ30" i="9"/>
  <c r="CA30" i="9"/>
  <c r="CB30" i="9"/>
  <c r="CC30" i="9"/>
  <c r="CD30" i="9"/>
  <c r="CE30" i="9"/>
  <c r="CF30" i="9"/>
  <c r="CG30" i="9"/>
  <c r="CH30" i="9"/>
  <c r="CI30" i="9"/>
  <c r="CJ30" i="9"/>
  <c r="CK30" i="9"/>
  <c r="CL30" i="9"/>
  <c r="CM30" i="9"/>
  <c r="CN30" i="9"/>
  <c r="CO30" i="9"/>
  <c r="CQ30" i="9"/>
  <c r="CR30" i="9"/>
  <c r="CS30" i="9"/>
  <c r="CT30" i="9"/>
  <c r="CU30" i="9"/>
  <c r="CV30" i="9"/>
  <c r="CW30" i="9"/>
  <c r="CX30" i="9"/>
  <c r="CZ30" i="9"/>
  <c r="DB30" i="9"/>
  <c r="DC30" i="9"/>
  <c r="DD30" i="9"/>
  <c r="A31" i="9"/>
  <c r="R31" i="9"/>
  <c r="S31" i="9"/>
  <c r="T31" i="9"/>
  <c r="U31" i="9"/>
  <c r="V31" i="9"/>
  <c r="X31" i="9"/>
  <c r="Y31" i="9"/>
  <c r="AB31" i="9"/>
  <c r="AC31" i="9"/>
  <c r="AD31" i="9"/>
  <c r="AF31" i="9"/>
  <c r="AH31" i="9"/>
  <c r="AL31" i="9"/>
  <c r="AM31" i="9"/>
  <c r="AO31" i="9"/>
  <c r="AP31" i="9"/>
  <c r="AR31" i="9"/>
  <c r="AT31" i="9"/>
  <c r="AU31" i="9"/>
  <c r="AV31" i="9"/>
  <c r="AX31" i="9"/>
  <c r="AY31" i="9"/>
  <c r="AZ31" i="9"/>
  <c r="BA31" i="9"/>
  <c r="BB31" i="9"/>
  <c r="BD31" i="9"/>
  <c r="BE31" i="9"/>
  <c r="BF31" i="9"/>
  <c r="BG31" i="9"/>
  <c r="BH31" i="9"/>
  <c r="BI31" i="9"/>
  <c r="BK31" i="9"/>
  <c r="BL31" i="9"/>
  <c r="BM31" i="9"/>
  <c r="BN31" i="9"/>
  <c r="BO31" i="9"/>
  <c r="BP31" i="9"/>
  <c r="BQ31" i="9"/>
  <c r="BT31" i="9"/>
  <c r="BV31" i="9"/>
  <c r="BX31" i="9"/>
  <c r="BY31" i="9"/>
  <c r="BZ31" i="9"/>
  <c r="CA31" i="9"/>
  <c r="CB31" i="9"/>
  <c r="CC31" i="9"/>
  <c r="CD31" i="9"/>
  <c r="CE31" i="9"/>
  <c r="CF31" i="9"/>
  <c r="CG31" i="9"/>
  <c r="CH31" i="9"/>
  <c r="CI31" i="9"/>
  <c r="CJ31" i="9"/>
  <c r="CK31" i="9"/>
  <c r="CL31" i="9"/>
  <c r="CN31" i="9"/>
  <c r="CO31" i="9"/>
  <c r="CQ31" i="9"/>
  <c r="CR31" i="9"/>
  <c r="CS31" i="9"/>
  <c r="CT31" i="9"/>
  <c r="CU31" i="9"/>
  <c r="CV31" i="9"/>
  <c r="CW31" i="9"/>
  <c r="CX31" i="9"/>
  <c r="CZ31" i="9"/>
  <c r="DB31" i="9"/>
  <c r="DC31" i="9"/>
  <c r="DD31" i="9"/>
  <c r="A32" i="9"/>
  <c r="R32" i="9"/>
  <c r="S32" i="9"/>
  <c r="T32" i="9"/>
  <c r="U32" i="9"/>
  <c r="V32" i="9"/>
  <c r="X32" i="9"/>
  <c r="Y32" i="9"/>
  <c r="AB32" i="9"/>
  <c r="AC32" i="9"/>
  <c r="AD32" i="9"/>
  <c r="AF32" i="9"/>
  <c r="AH32" i="9"/>
  <c r="AL32" i="9"/>
  <c r="AM32" i="9"/>
  <c r="AO32" i="9"/>
  <c r="AP32" i="9"/>
  <c r="AR32" i="9"/>
  <c r="AT32" i="9"/>
  <c r="AU32" i="9"/>
  <c r="AV32" i="9"/>
  <c r="AW32" i="9"/>
  <c r="AX32" i="9"/>
  <c r="AY32" i="9"/>
  <c r="AZ32" i="9"/>
  <c r="BA32" i="9"/>
  <c r="BB32" i="9"/>
  <c r="BD32" i="9"/>
  <c r="BE32" i="9"/>
  <c r="BF32" i="9"/>
  <c r="BG32" i="9"/>
  <c r="BH32" i="9"/>
  <c r="BI32" i="9"/>
  <c r="BK32" i="9"/>
  <c r="BL32" i="9"/>
  <c r="BM32" i="9"/>
  <c r="BN32" i="9"/>
  <c r="BO32" i="9"/>
  <c r="BP32" i="9"/>
  <c r="BQ32" i="9"/>
  <c r="BT32" i="9"/>
  <c r="BV32" i="9"/>
  <c r="BX32" i="9"/>
  <c r="BY32" i="9"/>
  <c r="BZ32" i="9"/>
  <c r="CA32" i="9"/>
  <c r="CB32" i="9"/>
  <c r="CC32" i="9"/>
  <c r="CD32" i="9"/>
  <c r="CE32" i="9"/>
  <c r="CF32" i="9"/>
  <c r="CG32" i="9"/>
  <c r="CH32" i="9"/>
  <c r="CI32" i="9"/>
  <c r="CJ32" i="9"/>
  <c r="CK32" i="9"/>
  <c r="CL32" i="9"/>
  <c r="CN32" i="9"/>
  <c r="CO32" i="9"/>
  <c r="CQ32" i="9"/>
  <c r="CR32" i="9"/>
  <c r="CS32" i="9"/>
  <c r="CT32" i="9"/>
  <c r="CU32" i="9"/>
  <c r="CV32" i="9"/>
  <c r="CW32" i="9"/>
  <c r="CX32" i="9"/>
  <c r="CZ32" i="9"/>
  <c r="DB32" i="9"/>
  <c r="DC32" i="9"/>
  <c r="DD32" i="9"/>
  <c r="A33" i="9"/>
  <c r="R33" i="9"/>
  <c r="S33" i="9"/>
  <c r="T33" i="9"/>
  <c r="U33" i="9"/>
  <c r="V33" i="9"/>
  <c r="X33" i="9"/>
  <c r="Y33" i="9"/>
  <c r="AB33" i="9"/>
  <c r="AC33" i="9"/>
  <c r="AD33" i="9"/>
  <c r="AF33" i="9"/>
  <c r="AH33" i="9"/>
  <c r="AL33" i="9"/>
  <c r="AM33" i="9"/>
  <c r="AO33" i="9"/>
  <c r="AP33" i="9"/>
  <c r="AR33" i="9"/>
  <c r="AT33" i="9"/>
  <c r="AU33" i="9"/>
  <c r="AV33" i="9"/>
  <c r="AW33" i="9"/>
  <c r="AX33" i="9"/>
  <c r="AY33" i="9"/>
  <c r="AZ33" i="9"/>
  <c r="BA33" i="9"/>
  <c r="BB33" i="9"/>
  <c r="BD33" i="9"/>
  <c r="BE33" i="9"/>
  <c r="BF33" i="9"/>
  <c r="BG33" i="9"/>
  <c r="BH33" i="9"/>
  <c r="BI33" i="9"/>
  <c r="BK33" i="9"/>
  <c r="BL33" i="9"/>
  <c r="BM33" i="9"/>
  <c r="BN33" i="9"/>
  <c r="BO33" i="9"/>
  <c r="BP33" i="9"/>
  <c r="BQ33" i="9"/>
  <c r="BT33" i="9"/>
  <c r="BV33" i="9"/>
  <c r="BX33" i="9"/>
  <c r="BY33" i="9"/>
  <c r="BZ33" i="9"/>
  <c r="CA33" i="9"/>
  <c r="CB33" i="9"/>
  <c r="CC33" i="9"/>
  <c r="CD33" i="9"/>
  <c r="CE33" i="9"/>
  <c r="CF33" i="9"/>
  <c r="CG33" i="9"/>
  <c r="CH33" i="9"/>
  <c r="CI33" i="9"/>
  <c r="CJ33" i="9"/>
  <c r="CK33" i="9"/>
  <c r="CL33" i="9"/>
  <c r="CN33" i="9"/>
  <c r="CO33" i="9"/>
  <c r="CQ33" i="9"/>
  <c r="CR33" i="9"/>
  <c r="CS33" i="9"/>
  <c r="CT33" i="9"/>
  <c r="CU33" i="9"/>
  <c r="CV33" i="9"/>
  <c r="CW33" i="9"/>
  <c r="CX33" i="9"/>
  <c r="CZ33" i="9"/>
  <c r="DB33" i="9"/>
  <c r="DC33" i="9"/>
  <c r="DD33" i="9"/>
  <c r="A34" i="9"/>
  <c r="R34" i="9"/>
  <c r="S34" i="9"/>
  <c r="T34" i="9"/>
  <c r="U34" i="9"/>
  <c r="V34" i="9"/>
  <c r="X34" i="9"/>
  <c r="Y34" i="9"/>
  <c r="AB34" i="9"/>
  <c r="AC34" i="9"/>
  <c r="AD34" i="9"/>
  <c r="AF34" i="9"/>
  <c r="AH34" i="9"/>
  <c r="AL34" i="9"/>
  <c r="AM34" i="9"/>
  <c r="AO34" i="9"/>
  <c r="AP34" i="9"/>
  <c r="AR34" i="9"/>
  <c r="AT34" i="9"/>
  <c r="AU34" i="9"/>
  <c r="AV34" i="9"/>
  <c r="AW34" i="9"/>
  <c r="AX34" i="9"/>
  <c r="AY34" i="9"/>
  <c r="AZ34" i="9"/>
  <c r="BA34" i="9"/>
  <c r="BB34" i="9"/>
  <c r="BD34" i="9"/>
  <c r="BE34" i="9"/>
  <c r="BF34" i="9"/>
  <c r="BG34" i="9"/>
  <c r="BH34" i="9"/>
  <c r="BI34" i="9"/>
  <c r="BK34" i="9"/>
  <c r="BL34" i="9"/>
  <c r="BM34" i="9"/>
  <c r="BN34" i="9"/>
  <c r="BO34" i="9"/>
  <c r="BP34" i="9"/>
  <c r="BQ34" i="9"/>
  <c r="BT34" i="9"/>
  <c r="BV34" i="9"/>
  <c r="BX34" i="9"/>
  <c r="BY34" i="9"/>
  <c r="BZ34" i="9"/>
  <c r="CA34" i="9"/>
  <c r="CB34" i="9"/>
  <c r="CC34" i="9"/>
  <c r="CD34" i="9"/>
  <c r="CE34" i="9"/>
  <c r="CF34" i="9"/>
  <c r="CG34" i="9"/>
  <c r="CH34" i="9"/>
  <c r="CI34" i="9"/>
  <c r="CJ34" i="9"/>
  <c r="CK34" i="9"/>
  <c r="CL34" i="9"/>
  <c r="CN34" i="9"/>
  <c r="CO34" i="9"/>
  <c r="CQ34" i="9"/>
  <c r="CR34" i="9"/>
  <c r="CS34" i="9"/>
  <c r="CT34" i="9"/>
  <c r="CU34" i="9"/>
  <c r="CV34" i="9"/>
  <c r="CW34" i="9"/>
  <c r="CX34" i="9"/>
  <c r="CZ34" i="9"/>
  <c r="DB34" i="9"/>
  <c r="DC34" i="9"/>
  <c r="DD34" i="9"/>
  <c r="A35" i="9"/>
  <c r="R35" i="9"/>
  <c r="S35" i="9"/>
  <c r="T35" i="9"/>
  <c r="U35" i="9"/>
  <c r="V35" i="9"/>
  <c r="X35" i="9"/>
  <c r="Y35" i="9"/>
  <c r="AB35" i="9"/>
  <c r="AC35" i="9"/>
  <c r="AD35" i="9"/>
  <c r="AF35" i="9"/>
  <c r="AH35" i="9"/>
  <c r="AL35" i="9"/>
  <c r="AM35" i="9"/>
  <c r="AO35" i="9"/>
  <c r="AP35" i="9"/>
  <c r="AR35" i="9"/>
  <c r="AT35" i="9"/>
  <c r="AU35" i="9"/>
  <c r="AV35" i="9"/>
  <c r="AW35" i="9"/>
  <c r="AX35" i="9"/>
  <c r="AY35" i="9"/>
  <c r="AZ35" i="9"/>
  <c r="BA35" i="9"/>
  <c r="BB35" i="9"/>
  <c r="BD35" i="9"/>
  <c r="BE35" i="9"/>
  <c r="BF35" i="9"/>
  <c r="BG35" i="9"/>
  <c r="BH35" i="9"/>
  <c r="BI35" i="9"/>
  <c r="BK35" i="9"/>
  <c r="BL35" i="9"/>
  <c r="BM35" i="9"/>
  <c r="BN35" i="9"/>
  <c r="BO35" i="9"/>
  <c r="BP35" i="9"/>
  <c r="BQ35" i="9"/>
  <c r="BT35" i="9"/>
  <c r="BV35" i="9"/>
  <c r="BX35" i="9"/>
  <c r="BY35" i="9"/>
  <c r="BZ35" i="9"/>
  <c r="CA35" i="9"/>
  <c r="CB35" i="9"/>
  <c r="CC35" i="9"/>
  <c r="CD35" i="9"/>
  <c r="CE35" i="9"/>
  <c r="CF35" i="9"/>
  <c r="CG35" i="9"/>
  <c r="CH35" i="9"/>
  <c r="CI35" i="9"/>
  <c r="CJ35" i="9"/>
  <c r="CK35" i="9"/>
  <c r="CL35" i="9"/>
  <c r="CN35" i="9"/>
  <c r="CO35" i="9"/>
  <c r="CQ35" i="9"/>
  <c r="CR35" i="9"/>
  <c r="CS35" i="9"/>
  <c r="CT35" i="9"/>
  <c r="CU35" i="9"/>
  <c r="CV35" i="9"/>
  <c r="CW35" i="9"/>
  <c r="CX35" i="9"/>
  <c r="CZ35" i="9"/>
  <c r="DB35" i="9"/>
  <c r="DC35" i="9"/>
  <c r="DD35" i="9"/>
  <c r="A36" i="9"/>
  <c r="R36" i="9"/>
  <c r="S36" i="9"/>
  <c r="T36" i="9"/>
  <c r="U36" i="9"/>
  <c r="V36" i="9"/>
  <c r="X36" i="9"/>
  <c r="Y36" i="9"/>
  <c r="AB36" i="9"/>
  <c r="AC36" i="9"/>
  <c r="AD36" i="9"/>
  <c r="AF36" i="9"/>
  <c r="AH36" i="9"/>
  <c r="AL36" i="9"/>
  <c r="AM36" i="9"/>
  <c r="AO36" i="9"/>
  <c r="AP36" i="9"/>
  <c r="AR36" i="9"/>
  <c r="AT36" i="9"/>
  <c r="AU36" i="9"/>
  <c r="AV36" i="9"/>
  <c r="AW36" i="9"/>
  <c r="AX36" i="9"/>
  <c r="AY36" i="9"/>
  <c r="AZ36" i="9"/>
  <c r="BA36" i="9"/>
  <c r="BB36" i="9"/>
  <c r="BD36" i="9"/>
  <c r="BE36" i="9"/>
  <c r="BF36" i="9"/>
  <c r="BG36" i="9"/>
  <c r="BH36" i="9"/>
  <c r="BI36" i="9"/>
  <c r="BK36" i="9"/>
  <c r="BL36" i="9"/>
  <c r="BM36" i="9"/>
  <c r="BN36" i="9"/>
  <c r="BO36" i="9"/>
  <c r="BP36" i="9"/>
  <c r="BQ36" i="9"/>
  <c r="BT36" i="9"/>
  <c r="BV36" i="9"/>
  <c r="BX36" i="9"/>
  <c r="BY36" i="9"/>
  <c r="BZ36" i="9"/>
  <c r="CA36" i="9"/>
  <c r="CB36" i="9"/>
  <c r="CC36" i="9"/>
  <c r="CD36" i="9"/>
  <c r="CE36" i="9"/>
  <c r="CF36" i="9"/>
  <c r="CG36" i="9"/>
  <c r="CH36" i="9"/>
  <c r="CI36" i="9"/>
  <c r="CJ36" i="9"/>
  <c r="CK36" i="9"/>
  <c r="CL36" i="9"/>
  <c r="CN36" i="9"/>
  <c r="CO36" i="9"/>
  <c r="CQ36" i="9"/>
  <c r="CR36" i="9"/>
  <c r="CS36" i="9"/>
  <c r="CT36" i="9"/>
  <c r="CU36" i="9"/>
  <c r="CV36" i="9"/>
  <c r="CW36" i="9"/>
  <c r="CX36" i="9"/>
  <c r="CZ36" i="9"/>
  <c r="DB36" i="9"/>
  <c r="DC36" i="9"/>
  <c r="DD36" i="9"/>
  <c r="A37" i="9"/>
  <c r="R37" i="9"/>
  <c r="S37" i="9"/>
  <c r="T37" i="9"/>
  <c r="U37" i="9"/>
  <c r="V37" i="9"/>
  <c r="X37" i="9"/>
  <c r="Y37" i="9"/>
  <c r="AB37" i="9"/>
  <c r="AC37" i="9"/>
  <c r="AD37" i="9"/>
  <c r="AF37" i="9"/>
  <c r="AH37" i="9"/>
  <c r="AL37" i="9"/>
  <c r="AM37" i="9"/>
  <c r="AO37" i="9"/>
  <c r="AP37" i="9"/>
  <c r="AR37" i="9"/>
  <c r="AT37" i="9"/>
  <c r="AU37" i="9"/>
  <c r="AV37" i="9"/>
  <c r="AW37" i="9"/>
  <c r="AX37" i="9"/>
  <c r="AY37" i="9"/>
  <c r="AZ37" i="9"/>
  <c r="BA37" i="9"/>
  <c r="BB37" i="9"/>
  <c r="BD37" i="9"/>
  <c r="BE37" i="9"/>
  <c r="BF37" i="9"/>
  <c r="BG37" i="9"/>
  <c r="BH37" i="9"/>
  <c r="BI37" i="9"/>
  <c r="BK37" i="9"/>
  <c r="BL37" i="9"/>
  <c r="BM37" i="9"/>
  <c r="BN37" i="9"/>
  <c r="BO37" i="9"/>
  <c r="BP37" i="9"/>
  <c r="BQ37" i="9"/>
  <c r="CA37" i="9"/>
  <c r="CB37" i="9"/>
  <c r="CC37" i="9"/>
  <c r="CD37" i="9"/>
  <c r="CE37" i="9"/>
  <c r="CF37" i="9"/>
  <c r="CG37" i="9"/>
  <c r="CH37" i="9"/>
  <c r="CI37" i="9"/>
  <c r="CJ37" i="9"/>
  <c r="CK37" i="9"/>
  <c r="CL37" i="9"/>
  <c r="CN37" i="9"/>
  <c r="CO37" i="9"/>
  <c r="CQ37" i="9"/>
  <c r="CR37" i="9"/>
  <c r="CS37" i="9"/>
  <c r="CT37" i="9"/>
  <c r="CU37" i="9"/>
  <c r="CV37" i="9"/>
  <c r="CW37" i="9"/>
  <c r="CX37" i="9"/>
  <c r="CZ37" i="9"/>
  <c r="DB37" i="9"/>
  <c r="DC37" i="9"/>
  <c r="A38" i="9"/>
  <c r="R38" i="9"/>
  <c r="S38" i="9"/>
  <c r="T38" i="9"/>
  <c r="U38" i="9"/>
  <c r="V38" i="9"/>
  <c r="X38" i="9"/>
  <c r="Y38" i="9"/>
  <c r="AB38" i="9"/>
  <c r="AC38" i="9"/>
  <c r="AD38" i="9"/>
  <c r="AF38" i="9"/>
  <c r="AH38" i="9"/>
  <c r="AL38" i="9"/>
  <c r="AM38" i="9"/>
  <c r="AO38" i="9"/>
  <c r="AP38" i="9"/>
  <c r="AR38" i="9"/>
  <c r="AT38" i="9"/>
  <c r="AU38" i="9"/>
  <c r="AV38" i="9"/>
  <c r="AW38" i="9"/>
  <c r="AX38" i="9"/>
  <c r="AY38" i="9"/>
  <c r="AZ38" i="9"/>
  <c r="BA38" i="9"/>
  <c r="BB38" i="9"/>
  <c r="BD38" i="9"/>
  <c r="BE38" i="9"/>
  <c r="BF38" i="9"/>
  <c r="BG38" i="9"/>
  <c r="BH38" i="9"/>
  <c r="BI38" i="9"/>
  <c r="BK38" i="9"/>
  <c r="BL38" i="9"/>
  <c r="BM38" i="9"/>
  <c r="BN38" i="9"/>
  <c r="BO38" i="9"/>
  <c r="BP38" i="9"/>
  <c r="BQ38" i="9"/>
  <c r="CA38" i="9"/>
  <c r="CB38" i="9"/>
  <c r="CC38" i="9"/>
  <c r="CD38" i="9"/>
  <c r="CE38" i="9"/>
  <c r="CF38" i="9"/>
  <c r="CG38" i="9"/>
  <c r="CH38" i="9"/>
  <c r="CI38" i="9"/>
  <c r="CJ38" i="9"/>
  <c r="CK38" i="9"/>
  <c r="CL38" i="9"/>
  <c r="CN38" i="9"/>
  <c r="CO38" i="9"/>
  <c r="CQ38" i="9"/>
  <c r="CR38" i="9"/>
  <c r="CS38" i="9"/>
  <c r="CT38" i="9"/>
  <c r="CU38" i="9"/>
  <c r="CV38" i="9"/>
  <c r="CW38" i="9"/>
  <c r="CX38" i="9"/>
  <c r="CZ38" i="9"/>
  <c r="DB38" i="9"/>
  <c r="DC38" i="9"/>
  <c r="A39" i="9"/>
  <c r="R39" i="9"/>
  <c r="S39" i="9"/>
  <c r="T39" i="9"/>
  <c r="U39" i="9"/>
  <c r="V39" i="9"/>
  <c r="X39" i="9"/>
  <c r="Y39" i="9"/>
  <c r="AB39" i="9"/>
  <c r="AC39" i="9"/>
  <c r="AD39" i="9"/>
  <c r="AF39" i="9"/>
  <c r="AH39" i="9"/>
  <c r="AL39" i="9"/>
  <c r="AM39" i="9"/>
  <c r="AO39" i="9"/>
  <c r="AP39" i="9"/>
  <c r="AR39" i="9"/>
  <c r="AT39" i="9"/>
  <c r="AU39" i="9"/>
  <c r="AV39" i="9"/>
  <c r="AW39" i="9"/>
  <c r="AX39" i="9"/>
  <c r="AY39" i="9"/>
  <c r="AZ39" i="9"/>
  <c r="BA39" i="9"/>
  <c r="BB39" i="9"/>
  <c r="BD39" i="9"/>
  <c r="BE39" i="9"/>
  <c r="BF39" i="9"/>
  <c r="BG39" i="9"/>
  <c r="BH39" i="9"/>
  <c r="BI39" i="9"/>
  <c r="BK39" i="9"/>
  <c r="BL39" i="9"/>
  <c r="BM39" i="9"/>
  <c r="BN39" i="9"/>
  <c r="BO39" i="9"/>
  <c r="BP39" i="9"/>
  <c r="BQ39" i="9"/>
  <c r="CA39" i="9"/>
  <c r="CB39" i="9"/>
  <c r="CC39" i="9"/>
  <c r="CD39" i="9"/>
  <c r="CE39" i="9"/>
  <c r="CF39" i="9"/>
  <c r="CG39" i="9"/>
  <c r="CH39" i="9"/>
  <c r="CI39" i="9"/>
  <c r="CJ39" i="9"/>
  <c r="CK39" i="9"/>
  <c r="CL39" i="9"/>
  <c r="CN39" i="9"/>
  <c r="CO39" i="9"/>
  <c r="CQ39" i="9"/>
  <c r="CR39" i="9"/>
  <c r="CS39" i="9"/>
  <c r="CT39" i="9"/>
  <c r="CU39" i="9"/>
  <c r="CV39" i="9"/>
  <c r="CW39" i="9"/>
  <c r="CX39" i="9"/>
  <c r="CZ39" i="9"/>
  <c r="DB39" i="9"/>
  <c r="DC39" i="9"/>
  <c r="A40" i="9"/>
  <c r="R40" i="9"/>
  <c r="S40" i="9"/>
  <c r="T40" i="9"/>
  <c r="U40" i="9"/>
  <c r="V40" i="9"/>
  <c r="X40" i="9"/>
  <c r="Y40" i="9"/>
  <c r="AB40" i="9"/>
  <c r="AC40" i="9"/>
  <c r="AD40" i="9"/>
  <c r="AF40" i="9"/>
  <c r="AH40" i="9"/>
  <c r="AL40" i="9"/>
  <c r="AM40" i="9"/>
  <c r="AO40" i="9"/>
  <c r="AP40" i="9"/>
  <c r="AR40" i="9"/>
  <c r="AT40" i="9"/>
  <c r="AU40" i="9"/>
  <c r="AW40" i="9"/>
  <c r="AX40" i="9"/>
  <c r="AY40" i="9"/>
  <c r="AZ40" i="9"/>
  <c r="BA40" i="9"/>
  <c r="BB40" i="9"/>
  <c r="BD40" i="9"/>
  <c r="BE40" i="9"/>
  <c r="BF40" i="9"/>
  <c r="BG40" i="9"/>
  <c r="BH40" i="9"/>
  <c r="BI40" i="9"/>
  <c r="BK40" i="9"/>
  <c r="BL40" i="9"/>
  <c r="BM40" i="9"/>
  <c r="BN40" i="9"/>
  <c r="BO40" i="9"/>
  <c r="BP40" i="9"/>
  <c r="BQ40" i="9"/>
  <c r="CA40" i="9"/>
  <c r="CB40" i="9"/>
  <c r="CC40" i="9"/>
  <c r="CD40" i="9"/>
  <c r="CE40" i="9"/>
  <c r="CF40" i="9"/>
  <c r="CG40" i="9"/>
  <c r="CH40" i="9"/>
  <c r="CI40" i="9"/>
  <c r="CJ40" i="9"/>
  <c r="CK40" i="9"/>
  <c r="CL40" i="9"/>
  <c r="CN40" i="9"/>
  <c r="CO40" i="9"/>
  <c r="CQ40" i="9"/>
  <c r="CR40" i="9"/>
  <c r="CS40" i="9"/>
  <c r="CT40" i="9"/>
  <c r="CU40" i="9"/>
  <c r="CV40" i="9"/>
  <c r="CW40" i="9"/>
  <c r="CX40" i="9"/>
  <c r="CZ40" i="9"/>
  <c r="DB40" i="9"/>
  <c r="DC40" i="9"/>
  <c r="A41" i="9"/>
  <c r="R41" i="9"/>
  <c r="S41" i="9"/>
  <c r="T41" i="9"/>
  <c r="U41" i="9"/>
  <c r="V41" i="9"/>
  <c r="X41" i="9"/>
  <c r="Y41" i="9"/>
  <c r="AB41" i="9"/>
  <c r="AC41" i="9"/>
  <c r="AD41" i="9"/>
  <c r="AF41" i="9"/>
  <c r="AH41" i="9"/>
  <c r="AL41" i="9"/>
  <c r="AM41" i="9"/>
  <c r="AO41" i="9"/>
  <c r="AP41" i="9"/>
  <c r="AR41" i="9"/>
  <c r="AT41" i="9"/>
  <c r="AU41" i="9"/>
  <c r="AW41" i="9"/>
  <c r="AX41" i="9"/>
  <c r="AY41" i="9"/>
  <c r="AZ41" i="9"/>
  <c r="BA41" i="9"/>
  <c r="BB41" i="9"/>
  <c r="BD41" i="9"/>
  <c r="BE41" i="9"/>
  <c r="BF41" i="9"/>
  <c r="BG41" i="9"/>
  <c r="BH41" i="9"/>
  <c r="BI41" i="9"/>
  <c r="BK41" i="9"/>
  <c r="BL41" i="9"/>
  <c r="BM41" i="9"/>
  <c r="BN41" i="9"/>
  <c r="BO41" i="9"/>
  <c r="BP41" i="9"/>
  <c r="BQ41" i="9"/>
  <c r="CA41" i="9"/>
  <c r="CB41" i="9"/>
  <c r="CC41" i="9"/>
  <c r="CD41" i="9"/>
  <c r="CE41" i="9"/>
  <c r="CF41" i="9"/>
  <c r="CG41" i="9"/>
  <c r="CH41" i="9"/>
  <c r="CI41" i="9"/>
  <c r="CJ41" i="9"/>
  <c r="CK41" i="9"/>
  <c r="CL41" i="9"/>
  <c r="CN41" i="9"/>
  <c r="CO41" i="9"/>
  <c r="CQ41" i="9"/>
  <c r="CR41" i="9"/>
  <c r="CS41" i="9"/>
  <c r="CT41" i="9"/>
  <c r="CU41" i="9"/>
  <c r="CV41" i="9"/>
  <c r="CW41" i="9"/>
  <c r="CX41" i="9"/>
  <c r="CZ41" i="9"/>
  <c r="DB41" i="9"/>
  <c r="DC41" i="9"/>
  <c r="A42" i="9"/>
  <c r="R42" i="9"/>
  <c r="S42" i="9"/>
  <c r="T42" i="9"/>
  <c r="U42" i="9"/>
  <c r="V42" i="9"/>
  <c r="X42" i="9"/>
  <c r="Y42" i="9"/>
  <c r="AB42" i="9"/>
  <c r="AC42" i="9"/>
  <c r="AD42" i="9"/>
  <c r="AF42" i="9"/>
  <c r="AH42" i="9"/>
  <c r="AL42" i="9"/>
  <c r="AM42" i="9"/>
  <c r="AO42" i="9"/>
  <c r="AP42" i="9"/>
  <c r="AR42" i="9"/>
  <c r="AT42" i="9"/>
  <c r="AU42" i="9"/>
  <c r="AW42" i="9"/>
  <c r="AX42" i="9"/>
  <c r="AY42" i="9"/>
  <c r="AZ42" i="9"/>
  <c r="BA42" i="9"/>
  <c r="BB42" i="9"/>
  <c r="BD42" i="9"/>
  <c r="BE42" i="9"/>
  <c r="BF42" i="9"/>
  <c r="BG42" i="9"/>
  <c r="BH42" i="9"/>
  <c r="BI42" i="9"/>
  <c r="BK42" i="9"/>
  <c r="BL42" i="9"/>
  <c r="BM42" i="9"/>
  <c r="BN42" i="9"/>
  <c r="BO42" i="9"/>
  <c r="BP42" i="9"/>
  <c r="BQ42" i="9"/>
  <c r="CA42" i="9"/>
  <c r="CB42" i="9"/>
  <c r="CC42" i="9"/>
  <c r="CD42" i="9"/>
  <c r="CE42" i="9"/>
  <c r="CF42" i="9"/>
  <c r="CG42" i="9"/>
  <c r="CH42" i="9"/>
  <c r="CI42" i="9"/>
  <c r="CJ42" i="9"/>
  <c r="CK42" i="9"/>
  <c r="CL42" i="9"/>
  <c r="CM42" i="9"/>
  <c r="CN42" i="9"/>
  <c r="CO42" i="9"/>
  <c r="CQ42" i="9"/>
  <c r="CR42" i="9"/>
  <c r="CS42" i="9"/>
  <c r="CT42" i="9"/>
  <c r="CU42" i="9"/>
  <c r="CV42" i="9"/>
  <c r="CW42" i="9"/>
  <c r="CX42" i="9"/>
  <c r="CZ42" i="9"/>
  <c r="DB42" i="9"/>
  <c r="DC42" i="9"/>
  <c r="A43" i="9"/>
  <c r="R43" i="9"/>
  <c r="S43" i="9"/>
  <c r="T43" i="9"/>
  <c r="U43" i="9"/>
  <c r="V43" i="9"/>
  <c r="X43" i="9"/>
  <c r="Y43" i="9"/>
  <c r="AB43" i="9"/>
  <c r="AC43" i="9"/>
  <c r="AD43" i="9"/>
  <c r="AF43" i="9"/>
  <c r="AH43" i="9"/>
  <c r="AL43" i="9"/>
  <c r="AM43" i="9"/>
  <c r="AO43" i="9"/>
  <c r="AP43" i="9"/>
  <c r="AR43" i="9"/>
  <c r="AT43" i="9"/>
  <c r="AU43" i="9"/>
  <c r="AX43" i="9"/>
  <c r="AY43" i="9"/>
  <c r="AZ43" i="9"/>
  <c r="BA43" i="9"/>
  <c r="BB43" i="9"/>
  <c r="BD43" i="9"/>
  <c r="BE43" i="9"/>
  <c r="BF43" i="9"/>
  <c r="BG43" i="9"/>
  <c r="BH43" i="9"/>
  <c r="BI43" i="9"/>
  <c r="BK43" i="9"/>
  <c r="BL43" i="9"/>
  <c r="BM43" i="9"/>
  <c r="BN43" i="9"/>
  <c r="BO43" i="9"/>
  <c r="BP43" i="9"/>
  <c r="BQ43" i="9"/>
  <c r="CA43" i="9"/>
  <c r="CB43" i="9"/>
  <c r="CC43" i="9"/>
  <c r="CD43" i="9"/>
  <c r="CE43" i="9"/>
  <c r="CF43" i="9"/>
  <c r="CG43" i="9"/>
  <c r="CH43" i="9"/>
  <c r="CI43" i="9"/>
  <c r="CJ43" i="9"/>
  <c r="CK43" i="9"/>
  <c r="CL43" i="9"/>
  <c r="CN43" i="9"/>
  <c r="CQ43" i="9"/>
  <c r="CR43" i="9"/>
  <c r="CS43" i="9"/>
  <c r="CT43" i="9"/>
  <c r="CU43" i="9"/>
  <c r="CV43" i="9"/>
  <c r="CW43" i="9"/>
  <c r="CX43" i="9"/>
  <c r="CZ43" i="9"/>
  <c r="DB43" i="9"/>
  <c r="DC43" i="9"/>
  <c r="A44" i="9"/>
  <c r="R44" i="9"/>
  <c r="S44" i="9"/>
  <c r="T44" i="9"/>
  <c r="U44" i="9"/>
  <c r="V44" i="9"/>
  <c r="X44" i="9"/>
  <c r="Y44" i="9"/>
  <c r="AB44" i="9"/>
  <c r="AC44" i="9"/>
  <c r="AD44" i="9"/>
  <c r="AF44" i="9"/>
  <c r="AH44" i="9"/>
  <c r="AL44" i="9"/>
  <c r="AM44" i="9"/>
  <c r="AO44" i="9"/>
  <c r="AP44" i="9"/>
  <c r="AR44" i="9"/>
  <c r="AT44" i="9"/>
  <c r="AU44" i="9"/>
  <c r="AW44" i="9"/>
  <c r="AX44" i="9"/>
  <c r="AY44" i="9"/>
  <c r="AZ44" i="9"/>
  <c r="BA44" i="9"/>
  <c r="BB44" i="9"/>
  <c r="BD44" i="9"/>
  <c r="BE44" i="9"/>
  <c r="BF44" i="9"/>
  <c r="BG44" i="9"/>
  <c r="BH44" i="9"/>
  <c r="BI44" i="9"/>
  <c r="BK44" i="9"/>
  <c r="BL44" i="9"/>
  <c r="BM44" i="9"/>
  <c r="BN44" i="9"/>
  <c r="BO44" i="9"/>
  <c r="BP44" i="9"/>
  <c r="BQ44" i="9"/>
  <c r="CA44" i="9"/>
  <c r="CB44" i="9"/>
  <c r="CC44" i="9"/>
  <c r="CD44" i="9"/>
  <c r="CE44" i="9"/>
  <c r="CF44" i="9"/>
  <c r="CG44" i="9"/>
  <c r="CH44" i="9"/>
  <c r="CI44" i="9"/>
  <c r="CJ44" i="9"/>
  <c r="CK44" i="9"/>
  <c r="CL44" i="9"/>
  <c r="CN44" i="9"/>
  <c r="CQ44" i="9"/>
  <c r="CR44" i="9"/>
  <c r="CS44" i="9"/>
  <c r="CT44" i="9"/>
  <c r="CU44" i="9"/>
  <c r="CV44" i="9"/>
  <c r="CW44" i="9"/>
  <c r="CX44" i="9"/>
  <c r="CZ44" i="9"/>
  <c r="DB44" i="9"/>
  <c r="DC44" i="9"/>
  <c r="A45" i="9"/>
  <c r="R45" i="9"/>
  <c r="S45" i="9"/>
  <c r="T45" i="9"/>
  <c r="U45" i="9"/>
  <c r="V45" i="9"/>
  <c r="X45" i="9"/>
  <c r="Y45" i="9"/>
  <c r="AB45" i="9"/>
  <c r="AC45" i="9"/>
  <c r="AD45" i="9"/>
  <c r="AF45" i="9"/>
  <c r="AH45" i="9"/>
  <c r="AL45" i="9"/>
  <c r="AM45" i="9"/>
  <c r="AO45" i="9"/>
  <c r="AP45" i="9"/>
  <c r="AR45" i="9"/>
  <c r="AT45" i="9"/>
  <c r="AU45" i="9"/>
  <c r="AW45" i="9"/>
  <c r="AX45" i="9"/>
  <c r="AY45" i="9"/>
  <c r="AZ45" i="9"/>
  <c r="BA45" i="9"/>
  <c r="BB45" i="9"/>
  <c r="BD45" i="9"/>
  <c r="BE45" i="9"/>
  <c r="BF45" i="9"/>
  <c r="BG45" i="9"/>
  <c r="BH45" i="9"/>
  <c r="BI45" i="9"/>
  <c r="BK45" i="9"/>
  <c r="BL45" i="9"/>
  <c r="BM45" i="9"/>
  <c r="BN45" i="9"/>
  <c r="BO45" i="9"/>
  <c r="BP45" i="9"/>
  <c r="BQ45" i="9"/>
  <c r="CA45" i="9"/>
  <c r="CB45" i="9"/>
  <c r="CC45" i="9"/>
  <c r="CD45" i="9"/>
  <c r="CE45" i="9"/>
  <c r="CF45" i="9"/>
  <c r="CG45" i="9"/>
  <c r="CH45" i="9"/>
  <c r="CI45" i="9"/>
  <c r="CJ45" i="9"/>
  <c r="CK45" i="9"/>
  <c r="CL45" i="9"/>
  <c r="CN45" i="9"/>
  <c r="CQ45" i="9"/>
  <c r="CR45" i="9"/>
  <c r="CS45" i="9"/>
  <c r="CT45" i="9"/>
  <c r="CU45" i="9"/>
  <c r="CV45" i="9"/>
  <c r="CW45" i="9"/>
  <c r="CX45" i="9"/>
  <c r="CZ45" i="9"/>
  <c r="DB45" i="9"/>
  <c r="DC45" i="9"/>
  <c r="A46" i="9"/>
  <c r="R46" i="9"/>
  <c r="S46" i="9"/>
  <c r="T46" i="9"/>
  <c r="U46" i="9"/>
  <c r="V46" i="9"/>
  <c r="X46" i="9"/>
  <c r="Y46" i="9"/>
  <c r="AB46" i="9"/>
  <c r="AC46" i="9"/>
  <c r="AD46" i="9"/>
  <c r="AF46" i="9"/>
  <c r="AH46" i="9"/>
  <c r="AL46" i="9"/>
  <c r="AM46" i="9"/>
  <c r="AO46" i="9"/>
  <c r="AP46" i="9"/>
  <c r="AR46" i="9"/>
  <c r="AT46" i="9"/>
  <c r="AU46" i="9"/>
  <c r="AW46" i="9"/>
  <c r="AX46" i="9"/>
  <c r="AY46" i="9"/>
  <c r="AZ46" i="9"/>
  <c r="BA46" i="9"/>
  <c r="BB46" i="9"/>
  <c r="BD46" i="9"/>
  <c r="BE46" i="9"/>
  <c r="BF46" i="9"/>
  <c r="BG46" i="9"/>
  <c r="BH46" i="9"/>
  <c r="BI46" i="9"/>
  <c r="BK46" i="9"/>
  <c r="BL46" i="9"/>
  <c r="BM46" i="9"/>
  <c r="BN46" i="9"/>
  <c r="BO46" i="9"/>
  <c r="BP46" i="9"/>
  <c r="BQ46" i="9"/>
  <c r="CA46" i="9"/>
  <c r="CB46" i="9"/>
  <c r="CC46" i="9"/>
  <c r="CD46" i="9"/>
  <c r="CE46" i="9"/>
  <c r="CF46" i="9"/>
  <c r="CG46" i="9"/>
  <c r="CH46" i="9"/>
  <c r="CI46" i="9"/>
  <c r="CJ46" i="9"/>
  <c r="CK46" i="9"/>
  <c r="CL46" i="9"/>
  <c r="CN46" i="9"/>
  <c r="CQ46" i="9"/>
  <c r="CR46" i="9"/>
  <c r="CS46" i="9"/>
  <c r="CT46" i="9"/>
  <c r="CU46" i="9"/>
  <c r="CV46" i="9"/>
  <c r="CW46" i="9"/>
  <c r="CX46" i="9"/>
  <c r="CZ46" i="9"/>
  <c r="DB46" i="9"/>
  <c r="DC46" i="9"/>
  <c r="A47" i="9"/>
  <c r="R47" i="9"/>
  <c r="S47" i="9"/>
  <c r="T47" i="9"/>
  <c r="U47" i="9"/>
  <c r="V47" i="9"/>
  <c r="X47" i="9"/>
  <c r="Y47" i="9"/>
  <c r="AB47" i="9"/>
  <c r="AC47" i="9"/>
  <c r="AD47" i="9"/>
  <c r="AF47" i="9"/>
  <c r="AH47" i="9"/>
  <c r="AL47" i="9"/>
  <c r="AM47" i="9"/>
  <c r="AO47" i="9"/>
  <c r="AP47" i="9"/>
  <c r="AR47" i="9"/>
  <c r="AT47" i="9"/>
  <c r="AU47" i="9"/>
  <c r="AW47" i="9"/>
  <c r="AX47" i="9"/>
  <c r="AY47" i="9"/>
  <c r="AZ47" i="9"/>
  <c r="BA47" i="9"/>
  <c r="BB47" i="9"/>
  <c r="BD47" i="9"/>
  <c r="BE47" i="9"/>
  <c r="BF47" i="9"/>
  <c r="BG47" i="9"/>
  <c r="BH47" i="9"/>
  <c r="BI47" i="9"/>
  <c r="BK47" i="9"/>
  <c r="BL47" i="9"/>
  <c r="BM47" i="9"/>
  <c r="BN47" i="9"/>
  <c r="BO47" i="9"/>
  <c r="BP47" i="9"/>
  <c r="BQ47" i="9"/>
  <c r="CA47" i="9"/>
  <c r="CB47" i="9"/>
  <c r="CC47" i="9"/>
  <c r="CD47" i="9"/>
  <c r="CE47" i="9"/>
  <c r="CF47" i="9"/>
  <c r="CG47" i="9"/>
  <c r="CH47" i="9"/>
  <c r="CI47" i="9"/>
  <c r="CJ47" i="9"/>
  <c r="CK47" i="9"/>
  <c r="CL47" i="9"/>
  <c r="CN47" i="9"/>
  <c r="CQ47" i="9"/>
  <c r="CR47" i="9"/>
  <c r="CS47" i="9"/>
  <c r="CT47" i="9"/>
  <c r="CU47" i="9"/>
  <c r="CV47" i="9"/>
  <c r="CW47" i="9"/>
  <c r="CX47" i="9"/>
  <c r="CZ47" i="9"/>
  <c r="DB47" i="9"/>
  <c r="DC47" i="9"/>
  <c r="A48" i="9"/>
  <c r="R48" i="9"/>
  <c r="S48" i="9"/>
  <c r="T48" i="9"/>
  <c r="U48" i="9"/>
  <c r="V48" i="9"/>
  <c r="X48" i="9"/>
  <c r="Y48" i="9"/>
  <c r="AB48" i="9"/>
  <c r="AC48" i="9"/>
  <c r="AD48" i="9"/>
  <c r="AF48" i="9"/>
  <c r="AH48" i="9"/>
  <c r="AL48" i="9"/>
  <c r="AM48" i="9"/>
  <c r="AO48" i="9"/>
  <c r="AP48" i="9"/>
  <c r="AR48" i="9"/>
  <c r="AT48" i="9"/>
  <c r="AU48" i="9"/>
  <c r="AW48" i="9"/>
  <c r="AX48" i="9"/>
  <c r="AY48" i="9"/>
  <c r="AZ48" i="9"/>
  <c r="BA48" i="9"/>
  <c r="BB48" i="9"/>
  <c r="BD48" i="9"/>
  <c r="BE48" i="9"/>
  <c r="BF48" i="9"/>
  <c r="BG48" i="9"/>
  <c r="BH48" i="9"/>
  <c r="BI48" i="9"/>
  <c r="BK48" i="9"/>
  <c r="BL48" i="9"/>
  <c r="BM48" i="9"/>
  <c r="BN48" i="9"/>
  <c r="BO48" i="9"/>
  <c r="BP48" i="9"/>
  <c r="BQ48" i="9"/>
  <c r="CA48" i="9"/>
  <c r="CB48" i="9"/>
  <c r="CC48" i="9"/>
  <c r="CD48" i="9"/>
  <c r="CE48" i="9"/>
  <c r="CF48" i="9"/>
  <c r="CG48" i="9"/>
  <c r="CH48" i="9"/>
  <c r="CI48" i="9"/>
  <c r="CJ48" i="9"/>
  <c r="CK48" i="9"/>
  <c r="CL48" i="9"/>
  <c r="CN48" i="9"/>
  <c r="CQ48" i="9"/>
  <c r="CR48" i="9"/>
  <c r="CT48" i="9"/>
  <c r="CU48" i="9"/>
  <c r="CV48" i="9"/>
  <c r="CW48" i="9"/>
  <c r="CX48" i="9"/>
  <c r="CZ48" i="9"/>
  <c r="DB48" i="9"/>
  <c r="DC48" i="9"/>
  <c r="A49" i="9"/>
  <c r="R49" i="9"/>
  <c r="S49" i="9"/>
  <c r="T49" i="9"/>
  <c r="U49" i="9"/>
  <c r="V49" i="9"/>
  <c r="X49" i="9"/>
  <c r="Y49" i="9"/>
  <c r="AB49" i="9"/>
  <c r="AC49" i="9"/>
  <c r="AD49" i="9"/>
  <c r="AF49" i="9"/>
  <c r="AH49" i="9"/>
  <c r="AL49" i="9"/>
  <c r="AM49" i="9"/>
  <c r="AO49" i="9"/>
  <c r="AP49" i="9"/>
  <c r="AR49" i="9"/>
  <c r="AT49" i="9"/>
  <c r="AU49" i="9"/>
  <c r="AW49" i="9"/>
  <c r="AX49" i="9"/>
  <c r="AY49" i="9"/>
  <c r="AZ49" i="9"/>
  <c r="BA49" i="9"/>
  <c r="BB49" i="9"/>
  <c r="BD49" i="9"/>
  <c r="BE49" i="9"/>
  <c r="BF49" i="9"/>
  <c r="BG49" i="9"/>
  <c r="BH49" i="9"/>
  <c r="BI49" i="9"/>
  <c r="BK49" i="9"/>
  <c r="BL49" i="9"/>
  <c r="BM49" i="9"/>
  <c r="BN49" i="9"/>
  <c r="BO49" i="9"/>
  <c r="BP49" i="9"/>
  <c r="BQ49" i="9"/>
  <c r="CA49" i="9"/>
  <c r="CB49" i="9"/>
  <c r="CC49" i="9"/>
  <c r="CD49" i="9"/>
  <c r="CE49" i="9"/>
  <c r="CF49" i="9"/>
  <c r="CG49" i="9"/>
  <c r="CH49" i="9"/>
  <c r="CI49" i="9"/>
  <c r="CJ49" i="9"/>
  <c r="CK49" i="9"/>
  <c r="CL49" i="9"/>
  <c r="CN49" i="9"/>
  <c r="CQ49" i="9"/>
  <c r="CR49" i="9"/>
  <c r="CT49" i="9"/>
  <c r="CU49" i="9"/>
  <c r="CV49" i="9"/>
  <c r="CW49" i="9"/>
  <c r="CX49" i="9"/>
  <c r="CZ49" i="9"/>
  <c r="DB49" i="9"/>
  <c r="DC49" i="9"/>
  <c r="A50" i="9"/>
  <c r="R50" i="9"/>
  <c r="S50" i="9"/>
  <c r="T50" i="9"/>
  <c r="U50" i="9"/>
  <c r="V50" i="9"/>
  <c r="X50" i="9"/>
  <c r="Y50" i="9"/>
  <c r="AB50" i="9"/>
  <c r="AC50" i="9"/>
  <c r="AD50" i="9"/>
  <c r="AF50" i="9"/>
  <c r="AH50" i="9"/>
  <c r="AL50" i="9"/>
  <c r="AM50" i="9"/>
  <c r="AO50" i="9"/>
  <c r="AP50" i="9"/>
  <c r="AR50" i="9"/>
  <c r="AT50" i="9"/>
  <c r="AU50" i="9"/>
  <c r="AW50" i="9"/>
  <c r="AX50" i="9"/>
  <c r="AY50" i="9"/>
  <c r="AZ50" i="9"/>
  <c r="BA50" i="9"/>
  <c r="BB50" i="9"/>
  <c r="BD50" i="9"/>
  <c r="BE50" i="9"/>
  <c r="BF50" i="9"/>
  <c r="BG50" i="9"/>
  <c r="BH50" i="9"/>
  <c r="BI50" i="9"/>
  <c r="BK50" i="9"/>
  <c r="BL50" i="9"/>
  <c r="BM50" i="9"/>
  <c r="BN50" i="9"/>
  <c r="BO50" i="9"/>
  <c r="BP50" i="9"/>
  <c r="BQ50" i="9"/>
  <c r="CA50" i="9"/>
  <c r="CB50" i="9"/>
  <c r="CC50" i="9"/>
  <c r="CD50" i="9"/>
  <c r="CE50" i="9"/>
  <c r="CF50" i="9"/>
  <c r="CG50" i="9"/>
  <c r="CH50" i="9"/>
  <c r="CI50" i="9"/>
  <c r="CJ50" i="9"/>
  <c r="CK50" i="9"/>
  <c r="CL50" i="9"/>
  <c r="CN50" i="9"/>
  <c r="CQ50" i="9"/>
  <c r="CR50" i="9"/>
  <c r="CT50" i="9"/>
  <c r="CU50" i="9"/>
  <c r="CV50" i="9"/>
  <c r="CW50" i="9"/>
  <c r="CX50" i="9"/>
  <c r="CZ50" i="9"/>
  <c r="DB50" i="9"/>
  <c r="DC50" i="9"/>
  <c r="A51" i="9"/>
  <c r="R51" i="9"/>
  <c r="S51" i="9"/>
  <c r="T51" i="9"/>
  <c r="U51" i="9"/>
  <c r="V51" i="9"/>
  <c r="X51" i="9"/>
  <c r="Y51" i="9"/>
  <c r="AB51" i="9"/>
  <c r="AC51" i="9"/>
  <c r="AD51" i="9"/>
  <c r="AF51" i="9"/>
  <c r="AH51" i="9"/>
  <c r="AL51" i="9"/>
  <c r="AM51" i="9"/>
  <c r="AO51" i="9"/>
  <c r="AP51" i="9"/>
  <c r="AR51" i="9"/>
  <c r="AT51" i="9"/>
  <c r="AU51" i="9"/>
  <c r="AW51" i="9"/>
  <c r="AX51" i="9"/>
  <c r="AY51" i="9"/>
  <c r="AZ51" i="9"/>
  <c r="BA51" i="9"/>
  <c r="BB51" i="9"/>
  <c r="BD51" i="9"/>
  <c r="BE51" i="9"/>
  <c r="BF51" i="9"/>
  <c r="BG51" i="9"/>
  <c r="BH51" i="9"/>
  <c r="BI51" i="9"/>
  <c r="BK51" i="9"/>
  <c r="BL51" i="9"/>
  <c r="BM51" i="9"/>
  <c r="BN51" i="9"/>
  <c r="BO51" i="9"/>
  <c r="BP51" i="9"/>
  <c r="BQ51" i="9"/>
  <c r="CA51" i="9"/>
  <c r="CB51" i="9"/>
  <c r="CC51" i="9"/>
  <c r="CD51" i="9"/>
  <c r="CE51" i="9"/>
  <c r="CF51" i="9"/>
  <c r="CG51" i="9"/>
  <c r="CH51" i="9"/>
  <c r="CI51" i="9"/>
  <c r="CJ51" i="9"/>
  <c r="CK51" i="9"/>
  <c r="CL51" i="9"/>
  <c r="CN51" i="9"/>
  <c r="CQ51" i="9"/>
  <c r="CR51" i="9"/>
  <c r="CT51" i="9"/>
  <c r="CU51" i="9"/>
  <c r="CV51" i="9"/>
  <c r="CW51" i="9"/>
  <c r="CX51" i="9"/>
  <c r="CZ51" i="9"/>
  <c r="DB51" i="9"/>
  <c r="DC51" i="9"/>
  <c r="A52" i="9"/>
  <c r="R52" i="9"/>
  <c r="S52" i="9"/>
  <c r="T52" i="9"/>
  <c r="U52" i="9"/>
  <c r="V52" i="9"/>
  <c r="X52" i="9"/>
  <c r="Y52" i="9"/>
  <c r="AB52" i="9"/>
  <c r="AC52" i="9"/>
  <c r="AD52" i="9"/>
  <c r="AF52" i="9"/>
  <c r="AH52" i="9"/>
  <c r="AL52" i="9"/>
  <c r="AM52" i="9"/>
  <c r="AO52" i="9"/>
  <c r="AP52" i="9"/>
  <c r="AR52" i="9"/>
  <c r="AT52" i="9"/>
  <c r="AU52" i="9"/>
  <c r="AW52" i="9"/>
  <c r="AX52" i="9"/>
  <c r="AY52" i="9"/>
  <c r="AZ52" i="9"/>
  <c r="BA52" i="9"/>
  <c r="BB52" i="9"/>
  <c r="BD52" i="9"/>
  <c r="BE52" i="9"/>
  <c r="BF52" i="9"/>
  <c r="BG52" i="9"/>
  <c r="BH52" i="9"/>
  <c r="BI52" i="9"/>
  <c r="BK52" i="9"/>
  <c r="BL52" i="9"/>
  <c r="BM52" i="9"/>
  <c r="BN52" i="9"/>
  <c r="BO52" i="9"/>
  <c r="BP52" i="9"/>
  <c r="BQ52" i="9"/>
  <c r="CA52" i="9"/>
  <c r="CB52" i="9"/>
  <c r="CC52" i="9"/>
  <c r="CD52" i="9"/>
  <c r="CE52" i="9"/>
  <c r="CF52" i="9"/>
  <c r="CG52" i="9"/>
  <c r="CH52" i="9"/>
  <c r="CI52" i="9"/>
  <c r="CJ52" i="9"/>
  <c r="CK52" i="9"/>
  <c r="CL52" i="9"/>
  <c r="CN52" i="9"/>
  <c r="CQ52" i="9"/>
  <c r="CR52" i="9"/>
  <c r="CT52" i="9"/>
  <c r="CU52" i="9"/>
  <c r="CV52" i="9"/>
  <c r="CW52" i="9"/>
  <c r="CX52" i="9"/>
  <c r="CZ52" i="9"/>
  <c r="DB52" i="9"/>
  <c r="DC52" i="9"/>
  <c r="A53" i="9"/>
  <c r="R53" i="9"/>
  <c r="S53" i="9"/>
  <c r="T53" i="9"/>
  <c r="U53" i="9"/>
  <c r="V53" i="9"/>
  <c r="X53" i="9"/>
  <c r="Y53" i="9"/>
  <c r="AB53" i="9"/>
  <c r="AC53" i="9"/>
  <c r="AD53" i="9"/>
  <c r="AF53" i="9"/>
  <c r="AH53" i="9"/>
  <c r="AL53" i="9"/>
  <c r="AM53" i="9"/>
  <c r="AO53" i="9"/>
  <c r="AP53" i="9"/>
  <c r="AR53" i="9"/>
  <c r="AT53" i="9"/>
  <c r="AU53" i="9"/>
  <c r="AW53" i="9"/>
  <c r="AX53" i="9"/>
  <c r="AY53" i="9"/>
  <c r="AZ53" i="9"/>
  <c r="BA53" i="9"/>
  <c r="BB53" i="9"/>
  <c r="BD53" i="9"/>
  <c r="BE53" i="9"/>
  <c r="BF53" i="9"/>
  <c r="BG53" i="9"/>
  <c r="BH53" i="9"/>
  <c r="BI53" i="9"/>
  <c r="BK53" i="9"/>
  <c r="BL53" i="9"/>
  <c r="BM53" i="9"/>
  <c r="BN53" i="9"/>
  <c r="BO53" i="9"/>
  <c r="BP53" i="9"/>
  <c r="BQ53" i="9"/>
  <c r="CA53" i="9"/>
  <c r="CB53" i="9"/>
  <c r="CC53" i="9"/>
  <c r="CD53" i="9"/>
  <c r="CE53" i="9"/>
  <c r="CF53" i="9"/>
  <c r="CG53" i="9"/>
  <c r="CH53" i="9"/>
  <c r="CI53" i="9"/>
  <c r="CJ53" i="9"/>
  <c r="CK53" i="9"/>
  <c r="CL53" i="9"/>
  <c r="CN53" i="9"/>
  <c r="CQ53" i="9"/>
  <c r="CR53" i="9"/>
  <c r="CT53" i="9"/>
  <c r="CU53" i="9"/>
  <c r="CV53" i="9"/>
  <c r="CW53" i="9"/>
  <c r="CX53" i="9"/>
  <c r="CZ53" i="9"/>
  <c r="DB53" i="9"/>
  <c r="DC53" i="9"/>
  <c r="A54" i="9"/>
  <c r="R54" i="9"/>
  <c r="S54" i="9"/>
  <c r="T54" i="9"/>
  <c r="U54" i="9"/>
  <c r="V54" i="9"/>
  <c r="X54" i="9"/>
  <c r="Y54" i="9"/>
  <c r="AB54" i="9"/>
  <c r="AC54" i="9"/>
  <c r="AD54" i="9"/>
  <c r="AF54" i="9"/>
  <c r="AH54" i="9"/>
  <c r="AL54" i="9"/>
  <c r="AM54" i="9"/>
  <c r="AO54" i="9"/>
  <c r="AP54" i="9"/>
  <c r="AR54" i="9"/>
  <c r="AT54" i="9"/>
  <c r="AU54" i="9"/>
  <c r="AW54" i="9"/>
  <c r="AX54" i="9"/>
  <c r="AY54" i="9"/>
  <c r="AZ54" i="9"/>
  <c r="BA54" i="9"/>
  <c r="BB54" i="9"/>
  <c r="BD54" i="9"/>
  <c r="BE54" i="9"/>
  <c r="BF54" i="9"/>
  <c r="BG54" i="9"/>
  <c r="BH54" i="9"/>
  <c r="BI54" i="9"/>
  <c r="BK54" i="9"/>
  <c r="BL54" i="9"/>
  <c r="BM54" i="9"/>
  <c r="BN54" i="9"/>
  <c r="BO54" i="9"/>
  <c r="BP54" i="9"/>
  <c r="BQ54" i="9"/>
  <c r="CA54" i="9"/>
  <c r="CB54" i="9"/>
  <c r="CC54" i="9"/>
  <c r="CD54" i="9"/>
  <c r="CE54" i="9"/>
  <c r="CF54" i="9"/>
  <c r="CG54" i="9"/>
  <c r="CH54" i="9"/>
  <c r="CI54" i="9"/>
  <c r="CJ54" i="9"/>
  <c r="CK54" i="9"/>
  <c r="CL54" i="9"/>
  <c r="CM54" i="9"/>
  <c r="CN54" i="9"/>
  <c r="CQ54" i="9"/>
  <c r="CR54" i="9"/>
  <c r="CT54" i="9"/>
  <c r="CU54" i="9"/>
  <c r="CV54" i="9"/>
  <c r="CW54" i="9"/>
  <c r="CX54" i="9"/>
  <c r="CZ54" i="9"/>
  <c r="DB54" i="9"/>
  <c r="DC54" i="9"/>
  <c r="A55" i="9"/>
  <c r="R55" i="9"/>
  <c r="S55" i="9"/>
  <c r="T55" i="9"/>
  <c r="U55" i="9"/>
  <c r="V55" i="9"/>
  <c r="X55" i="9"/>
  <c r="Y55" i="9"/>
  <c r="AB55" i="9"/>
  <c r="AC55" i="9"/>
  <c r="AD55" i="9"/>
  <c r="AF55" i="9"/>
  <c r="AH55" i="9"/>
  <c r="AL55" i="9"/>
  <c r="AM55" i="9"/>
  <c r="AO55" i="9"/>
  <c r="AP55" i="9"/>
  <c r="AR55" i="9"/>
  <c r="AT55" i="9"/>
  <c r="AU55" i="9"/>
  <c r="AX55" i="9"/>
  <c r="AY55" i="9"/>
  <c r="AZ55" i="9"/>
  <c r="BA55" i="9"/>
  <c r="BB55" i="9"/>
  <c r="BD55" i="9"/>
  <c r="BE55" i="9"/>
  <c r="BF55" i="9"/>
  <c r="BG55" i="9"/>
  <c r="BH55" i="9"/>
  <c r="BI55" i="9"/>
  <c r="BK55" i="9"/>
  <c r="BL55" i="9"/>
  <c r="BM55" i="9"/>
  <c r="BN55" i="9"/>
  <c r="BO55" i="9"/>
  <c r="BP55" i="9"/>
  <c r="BQ55" i="9"/>
  <c r="CA55" i="9"/>
  <c r="CB55" i="9"/>
  <c r="CC55" i="9"/>
  <c r="CD55" i="9"/>
  <c r="CE55" i="9"/>
  <c r="CF55" i="9"/>
  <c r="CG55" i="9"/>
  <c r="CH55" i="9"/>
  <c r="CI55" i="9"/>
  <c r="CJ55" i="9"/>
  <c r="CK55" i="9"/>
  <c r="CL55" i="9"/>
  <c r="CN55" i="9"/>
  <c r="CQ55" i="9"/>
  <c r="CR55" i="9"/>
  <c r="CT55" i="9"/>
  <c r="CU55" i="9"/>
  <c r="CV55" i="9"/>
  <c r="CW55" i="9"/>
  <c r="CX55" i="9"/>
  <c r="CZ55" i="9"/>
  <c r="DB55" i="9"/>
  <c r="DC55" i="9"/>
  <c r="A56" i="9"/>
  <c r="R56" i="9"/>
  <c r="S56" i="9"/>
  <c r="T56" i="9"/>
  <c r="U56" i="9"/>
  <c r="V56" i="9"/>
  <c r="X56" i="9"/>
  <c r="Y56" i="9"/>
  <c r="AB56" i="9"/>
  <c r="AC56" i="9"/>
  <c r="AD56" i="9"/>
  <c r="AF56" i="9"/>
  <c r="AH56" i="9"/>
  <c r="AL56" i="9"/>
  <c r="AM56" i="9"/>
  <c r="AO56" i="9"/>
  <c r="AP56" i="9"/>
  <c r="AR56" i="9"/>
  <c r="AT56" i="9"/>
  <c r="AU56" i="9"/>
  <c r="AW56" i="9"/>
  <c r="AX56" i="9"/>
  <c r="AY56" i="9"/>
  <c r="AZ56" i="9"/>
  <c r="BA56" i="9"/>
  <c r="BB56" i="9"/>
  <c r="BD56" i="9"/>
  <c r="BE56" i="9"/>
  <c r="BF56" i="9"/>
  <c r="BG56" i="9"/>
  <c r="BH56" i="9"/>
  <c r="BI56" i="9"/>
  <c r="BK56" i="9"/>
  <c r="BL56" i="9"/>
  <c r="BM56" i="9"/>
  <c r="BN56" i="9"/>
  <c r="BO56" i="9"/>
  <c r="BP56" i="9"/>
  <c r="BQ56" i="9"/>
  <c r="CA56" i="9"/>
  <c r="CB56" i="9"/>
  <c r="CC56" i="9"/>
  <c r="CD56" i="9"/>
  <c r="CE56" i="9"/>
  <c r="CF56" i="9"/>
  <c r="CG56" i="9"/>
  <c r="CH56" i="9"/>
  <c r="CI56" i="9"/>
  <c r="CJ56" i="9"/>
  <c r="CK56" i="9"/>
  <c r="CL56" i="9"/>
  <c r="CN56" i="9"/>
  <c r="CQ56" i="9"/>
  <c r="CR56" i="9"/>
  <c r="CT56" i="9"/>
  <c r="CU56" i="9"/>
  <c r="CV56" i="9"/>
  <c r="CW56" i="9"/>
  <c r="CX56" i="9"/>
  <c r="CZ56" i="9"/>
  <c r="DB56" i="9"/>
  <c r="DC56" i="9"/>
  <c r="A57" i="9"/>
  <c r="R57" i="9"/>
  <c r="S57" i="9"/>
  <c r="T57" i="9"/>
  <c r="U57" i="9"/>
  <c r="V57" i="9"/>
  <c r="X57" i="9"/>
  <c r="Y57" i="9"/>
  <c r="AB57" i="9"/>
  <c r="AC57" i="9"/>
  <c r="AD57" i="9"/>
  <c r="AF57" i="9"/>
  <c r="AH57" i="9"/>
  <c r="AL57" i="9"/>
  <c r="AM57" i="9"/>
  <c r="AO57" i="9"/>
  <c r="AP57" i="9"/>
  <c r="AR57" i="9"/>
  <c r="AT57" i="9"/>
  <c r="AU57" i="9"/>
  <c r="AW57" i="9"/>
  <c r="AX57" i="9"/>
  <c r="AY57" i="9"/>
  <c r="AZ57" i="9"/>
  <c r="BA57" i="9"/>
  <c r="BB57" i="9"/>
  <c r="BD57" i="9"/>
  <c r="BE57" i="9"/>
  <c r="BF57" i="9"/>
  <c r="BG57" i="9"/>
  <c r="BH57" i="9"/>
  <c r="BI57" i="9"/>
  <c r="BK57" i="9"/>
  <c r="BL57" i="9"/>
  <c r="BM57" i="9"/>
  <c r="BN57" i="9"/>
  <c r="BO57" i="9"/>
  <c r="BP57" i="9"/>
  <c r="BQ57" i="9"/>
  <c r="CA57" i="9"/>
  <c r="CB57" i="9"/>
  <c r="CC57" i="9"/>
  <c r="CD57" i="9"/>
  <c r="CE57" i="9"/>
  <c r="CF57" i="9"/>
  <c r="CG57" i="9"/>
  <c r="CH57" i="9"/>
  <c r="CI57" i="9"/>
  <c r="CJ57" i="9"/>
  <c r="CK57" i="9"/>
  <c r="CL57" i="9"/>
  <c r="CN57" i="9"/>
  <c r="CQ57" i="9"/>
  <c r="CR57" i="9"/>
  <c r="CT57" i="9"/>
  <c r="CU57" i="9"/>
  <c r="CV57" i="9"/>
  <c r="CW57" i="9"/>
  <c r="CX57" i="9"/>
  <c r="CZ57" i="9"/>
  <c r="DB57" i="9"/>
  <c r="DC57" i="9"/>
  <c r="A58" i="9"/>
  <c r="R58" i="9"/>
  <c r="S58" i="9"/>
  <c r="T58" i="9"/>
  <c r="U58" i="9"/>
  <c r="V58" i="9"/>
  <c r="X58" i="9"/>
  <c r="Y58" i="9"/>
  <c r="AB58" i="9"/>
  <c r="AC58" i="9"/>
  <c r="AD58" i="9"/>
  <c r="AF58" i="9"/>
  <c r="AH58" i="9"/>
  <c r="AL58" i="9"/>
  <c r="AM58" i="9"/>
  <c r="AO58" i="9"/>
  <c r="AP58" i="9"/>
  <c r="AR58" i="9"/>
  <c r="AT58" i="9"/>
  <c r="AU58" i="9"/>
  <c r="AW58" i="9"/>
  <c r="AX58" i="9"/>
  <c r="AY58" i="9"/>
  <c r="AZ58" i="9"/>
  <c r="BA58" i="9"/>
  <c r="BB58" i="9"/>
  <c r="BD58" i="9"/>
  <c r="BE58" i="9"/>
  <c r="BF58" i="9"/>
  <c r="BG58" i="9"/>
  <c r="BH58" i="9"/>
  <c r="BI58" i="9"/>
  <c r="BK58" i="9"/>
  <c r="BL58" i="9"/>
  <c r="BM58" i="9"/>
  <c r="BN58" i="9"/>
  <c r="BO58" i="9"/>
  <c r="BP58" i="9"/>
  <c r="BQ58" i="9"/>
  <c r="CA58" i="9"/>
  <c r="CB58" i="9"/>
  <c r="CC58" i="9"/>
  <c r="CD58" i="9"/>
  <c r="CE58" i="9"/>
  <c r="CF58" i="9"/>
  <c r="CG58" i="9"/>
  <c r="CH58" i="9"/>
  <c r="CI58" i="9"/>
  <c r="CJ58" i="9"/>
  <c r="CK58" i="9"/>
  <c r="CL58" i="9"/>
  <c r="CN58" i="9"/>
  <c r="CQ58" i="9"/>
  <c r="CR58" i="9"/>
  <c r="CT58" i="9"/>
  <c r="CU58" i="9"/>
  <c r="CV58" i="9"/>
  <c r="CW58" i="9"/>
  <c r="CX58" i="9"/>
  <c r="CZ58" i="9"/>
  <c r="DB58" i="9"/>
  <c r="DC58" i="9"/>
  <c r="A59" i="9"/>
  <c r="R59" i="9"/>
  <c r="S59" i="9"/>
  <c r="T59" i="9"/>
  <c r="U59" i="9"/>
  <c r="V59" i="9"/>
  <c r="X59" i="9"/>
  <c r="Y59" i="9"/>
  <c r="AB59" i="9"/>
  <c r="AC59" i="9"/>
  <c r="AD59" i="9"/>
  <c r="AF59" i="9"/>
  <c r="AH59" i="9"/>
  <c r="AL59" i="9"/>
  <c r="AM59" i="9"/>
  <c r="AO59" i="9"/>
  <c r="AP59" i="9"/>
  <c r="AR59" i="9"/>
  <c r="AT59" i="9"/>
  <c r="AU59" i="9"/>
  <c r="AW59" i="9"/>
  <c r="AX59" i="9"/>
  <c r="AY59" i="9"/>
  <c r="AZ59" i="9"/>
  <c r="BA59" i="9"/>
  <c r="BB59" i="9"/>
  <c r="BD59" i="9"/>
  <c r="BE59" i="9"/>
  <c r="BF59" i="9"/>
  <c r="BG59" i="9"/>
  <c r="BH59" i="9"/>
  <c r="BI59" i="9"/>
  <c r="BK59" i="9"/>
  <c r="BL59" i="9"/>
  <c r="BM59" i="9"/>
  <c r="BN59" i="9"/>
  <c r="BO59" i="9"/>
  <c r="BP59" i="9"/>
  <c r="BQ59" i="9"/>
  <c r="CA59" i="9"/>
  <c r="CB59" i="9"/>
  <c r="CC59" i="9"/>
  <c r="CD59" i="9"/>
  <c r="CE59" i="9"/>
  <c r="CF59" i="9"/>
  <c r="CG59" i="9"/>
  <c r="CH59" i="9"/>
  <c r="CI59" i="9"/>
  <c r="CJ59" i="9"/>
  <c r="CK59" i="9"/>
  <c r="CL59" i="9"/>
  <c r="CN59" i="9"/>
  <c r="CQ59" i="9"/>
  <c r="CR59" i="9"/>
  <c r="CT59" i="9"/>
  <c r="CU59" i="9"/>
  <c r="CV59" i="9"/>
  <c r="CW59" i="9"/>
  <c r="CX59" i="9"/>
  <c r="CZ59" i="9"/>
  <c r="DB59" i="9"/>
  <c r="DC59" i="9"/>
  <c r="A60" i="9"/>
  <c r="R60" i="9"/>
  <c r="S60" i="9"/>
  <c r="T60" i="9"/>
  <c r="U60" i="9"/>
  <c r="V60" i="9"/>
  <c r="X60" i="9"/>
  <c r="Y60" i="9"/>
  <c r="AB60" i="9"/>
  <c r="AC60" i="9"/>
  <c r="AD60" i="9"/>
  <c r="AF60" i="9"/>
  <c r="AH60" i="9"/>
  <c r="AL60" i="9"/>
  <c r="AM60" i="9"/>
  <c r="AO60" i="9"/>
  <c r="AP60" i="9"/>
  <c r="AR60" i="9"/>
  <c r="AT60" i="9"/>
  <c r="AU60" i="9"/>
  <c r="AW60" i="9"/>
  <c r="AX60" i="9"/>
  <c r="AY60" i="9"/>
  <c r="AZ60" i="9"/>
  <c r="BA60" i="9"/>
  <c r="BB60" i="9"/>
  <c r="BD60" i="9"/>
  <c r="BE60" i="9"/>
  <c r="BF60" i="9"/>
  <c r="BG60" i="9"/>
  <c r="BH60" i="9"/>
  <c r="BI60" i="9"/>
  <c r="BK60" i="9"/>
  <c r="BL60" i="9"/>
  <c r="BM60" i="9"/>
  <c r="BN60" i="9"/>
  <c r="BO60" i="9"/>
  <c r="BP60" i="9"/>
  <c r="BQ60" i="9"/>
  <c r="CA60" i="9"/>
  <c r="CB60" i="9"/>
  <c r="CC60" i="9"/>
  <c r="CD60" i="9"/>
  <c r="CE60" i="9"/>
  <c r="CF60" i="9"/>
  <c r="CG60" i="9"/>
  <c r="CH60" i="9"/>
  <c r="CI60" i="9"/>
  <c r="CJ60" i="9"/>
  <c r="CK60" i="9"/>
  <c r="CL60" i="9"/>
  <c r="CN60" i="9"/>
  <c r="CQ60" i="9"/>
  <c r="CR60" i="9"/>
  <c r="CT60" i="9"/>
  <c r="CU60" i="9"/>
  <c r="CV60" i="9"/>
  <c r="CW60" i="9"/>
  <c r="CX60" i="9"/>
  <c r="CZ60" i="9"/>
  <c r="DB60" i="9"/>
  <c r="DC60" i="9"/>
  <c r="A61" i="9"/>
  <c r="R61" i="9"/>
  <c r="S61" i="9"/>
  <c r="T61" i="9"/>
  <c r="U61" i="9"/>
  <c r="V61" i="9"/>
  <c r="X61" i="9"/>
  <c r="Y61" i="9"/>
  <c r="AB61" i="9"/>
  <c r="AC61" i="9"/>
  <c r="AD61" i="9"/>
  <c r="AF61" i="9"/>
  <c r="AH61" i="9"/>
  <c r="AL61" i="9"/>
  <c r="AM61" i="9"/>
  <c r="AO61" i="9"/>
  <c r="AP61" i="9"/>
  <c r="AR61" i="9"/>
  <c r="AT61" i="9"/>
  <c r="AU61" i="9"/>
  <c r="AW61" i="9"/>
  <c r="AX61" i="9"/>
  <c r="AY61" i="9"/>
  <c r="AZ61" i="9"/>
  <c r="BA61" i="9"/>
  <c r="BB61" i="9"/>
  <c r="BD61" i="9"/>
  <c r="BE61" i="9"/>
  <c r="BF61" i="9"/>
  <c r="BG61" i="9"/>
  <c r="BH61" i="9"/>
  <c r="BI61" i="9"/>
  <c r="BK61" i="9"/>
  <c r="BL61" i="9"/>
  <c r="BM61" i="9"/>
  <c r="BN61" i="9"/>
  <c r="BO61" i="9"/>
  <c r="BP61" i="9"/>
  <c r="BQ61" i="9"/>
  <c r="CA61" i="9"/>
  <c r="CB61" i="9"/>
  <c r="CC61" i="9"/>
  <c r="CD61" i="9"/>
  <c r="CE61" i="9"/>
  <c r="CF61" i="9"/>
  <c r="CG61" i="9"/>
  <c r="CH61" i="9"/>
  <c r="CI61" i="9"/>
  <c r="CJ61" i="9"/>
  <c r="CK61" i="9"/>
  <c r="CL61" i="9"/>
  <c r="CN61" i="9"/>
  <c r="CQ61" i="9"/>
  <c r="CR61" i="9"/>
  <c r="CT61" i="9"/>
  <c r="CU61" i="9"/>
  <c r="CV61" i="9"/>
  <c r="CW61" i="9"/>
  <c r="CX61" i="9"/>
  <c r="CZ61" i="9"/>
  <c r="DB61" i="9"/>
  <c r="DC61" i="9"/>
  <c r="A62" i="9"/>
  <c r="R62" i="9"/>
  <c r="S62" i="9"/>
  <c r="T62" i="9"/>
  <c r="U62" i="9"/>
  <c r="V62" i="9"/>
  <c r="X62" i="9"/>
  <c r="Y62" i="9"/>
  <c r="AB62" i="9"/>
  <c r="AC62" i="9"/>
  <c r="AD62" i="9"/>
  <c r="AF62" i="9"/>
  <c r="AH62" i="9"/>
  <c r="AL62" i="9"/>
  <c r="AM62" i="9"/>
  <c r="AO62" i="9"/>
  <c r="AP62" i="9"/>
  <c r="AR62" i="9"/>
  <c r="AT62" i="9"/>
  <c r="AU62" i="9"/>
  <c r="AW62" i="9"/>
  <c r="AX62" i="9"/>
  <c r="AY62" i="9"/>
  <c r="AZ62" i="9"/>
  <c r="BA62" i="9"/>
  <c r="BB62" i="9"/>
  <c r="BD62" i="9"/>
  <c r="BE62" i="9"/>
  <c r="BF62" i="9"/>
  <c r="BG62" i="9"/>
  <c r="BH62" i="9"/>
  <c r="BI62" i="9"/>
  <c r="BK62" i="9"/>
  <c r="BL62" i="9"/>
  <c r="BM62" i="9"/>
  <c r="BN62" i="9"/>
  <c r="BO62" i="9"/>
  <c r="BP62" i="9"/>
  <c r="BQ62" i="9"/>
  <c r="CA62" i="9"/>
  <c r="CB62" i="9"/>
  <c r="CC62" i="9"/>
  <c r="CD62" i="9"/>
  <c r="CE62" i="9"/>
  <c r="CF62" i="9"/>
  <c r="CG62" i="9"/>
  <c r="CH62" i="9"/>
  <c r="CI62" i="9"/>
  <c r="CJ62" i="9"/>
  <c r="CK62" i="9"/>
  <c r="CL62" i="9"/>
  <c r="CN62" i="9"/>
  <c r="CQ62" i="9"/>
  <c r="CR62" i="9"/>
  <c r="CT62" i="9"/>
  <c r="CU62" i="9"/>
  <c r="CV62" i="9"/>
  <c r="CW62" i="9"/>
  <c r="CX62" i="9"/>
  <c r="CZ62" i="9"/>
  <c r="DB62" i="9"/>
  <c r="DC62" i="9"/>
  <c r="A63" i="9"/>
  <c r="R63" i="9"/>
  <c r="S63" i="9"/>
  <c r="T63" i="9"/>
  <c r="U63" i="9"/>
  <c r="V63" i="9"/>
  <c r="X63" i="9"/>
  <c r="Y63" i="9"/>
  <c r="AB63" i="9"/>
  <c r="AC63" i="9"/>
  <c r="AD63" i="9"/>
  <c r="AF63" i="9"/>
  <c r="AH63" i="9"/>
  <c r="AL63" i="9"/>
  <c r="AM63" i="9"/>
  <c r="AO63" i="9"/>
  <c r="AP63" i="9"/>
  <c r="AR63" i="9"/>
  <c r="AT63" i="9"/>
  <c r="AU63" i="9"/>
  <c r="AW63" i="9"/>
  <c r="AX63" i="9"/>
  <c r="AY63" i="9"/>
  <c r="AZ63" i="9"/>
  <c r="BA63" i="9"/>
  <c r="BB63" i="9"/>
  <c r="BD63" i="9"/>
  <c r="BE63" i="9"/>
  <c r="BF63" i="9"/>
  <c r="BG63" i="9"/>
  <c r="BH63" i="9"/>
  <c r="BI63" i="9"/>
  <c r="BK63" i="9"/>
  <c r="BL63" i="9"/>
  <c r="BM63" i="9"/>
  <c r="BN63" i="9"/>
  <c r="BO63" i="9"/>
  <c r="BP63" i="9"/>
  <c r="BQ63" i="9"/>
  <c r="CA63" i="9"/>
  <c r="CB63" i="9"/>
  <c r="CC63" i="9"/>
  <c r="CD63" i="9"/>
  <c r="CE63" i="9"/>
  <c r="CF63" i="9"/>
  <c r="CG63" i="9"/>
  <c r="CH63" i="9"/>
  <c r="CI63" i="9"/>
  <c r="CJ63" i="9"/>
  <c r="CK63" i="9"/>
  <c r="CL63" i="9"/>
  <c r="CN63" i="9"/>
  <c r="CQ63" i="9"/>
  <c r="CR63" i="9"/>
  <c r="CT63" i="9"/>
  <c r="CU63" i="9"/>
  <c r="CV63" i="9"/>
  <c r="CW63" i="9"/>
  <c r="CX63" i="9"/>
  <c r="CZ63" i="9"/>
  <c r="DB63" i="9"/>
  <c r="DC63" i="9"/>
  <c r="A64" i="9"/>
  <c r="R64" i="9"/>
  <c r="S64" i="9"/>
  <c r="T64" i="9"/>
  <c r="U64" i="9"/>
  <c r="V64" i="9"/>
  <c r="X64" i="9"/>
  <c r="Y64" i="9"/>
  <c r="AB64" i="9"/>
  <c r="AC64" i="9"/>
  <c r="AD64" i="9"/>
  <c r="AF64" i="9"/>
  <c r="AH64" i="9"/>
  <c r="AL64" i="9"/>
  <c r="AM64" i="9"/>
  <c r="AO64" i="9"/>
  <c r="AP64" i="9"/>
  <c r="AR64" i="9"/>
  <c r="AT64" i="9"/>
  <c r="AU64" i="9"/>
  <c r="AW64" i="9"/>
  <c r="AX64" i="9"/>
  <c r="AY64" i="9"/>
  <c r="AZ64" i="9"/>
  <c r="BA64" i="9"/>
  <c r="BB64" i="9"/>
  <c r="BD64" i="9"/>
  <c r="BE64" i="9"/>
  <c r="BF64" i="9"/>
  <c r="BG64" i="9"/>
  <c r="BH64" i="9"/>
  <c r="BI64" i="9"/>
  <c r="BK64" i="9"/>
  <c r="BL64" i="9"/>
  <c r="BM64" i="9"/>
  <c r="BN64" i="9"/>
  <c r="BO64" i="9"/>
  <c r="BP64" i="9"/>
  <c r="BQ64" i="9"/>
  <c r="CA64" i="9"/>
  <c r="CB64" i="9"/>
  <c r="CC64" i="9"/>
  <c r="CD64" i="9"/>
  <c r="CE64" i="9"/>
  <c r="CF64" i="9"/>
  <c r="CG64" i="9"/>
  <c r="CH64" i="9"/>
  <c r="CI64" i="9"/>
  <c r="CJ64" i="9"/>
  <c r="CK64" i="9"/>
  <c r="CL64" i="9"/>
  <c r="CN64" i="9"/>
  <c r="CQ64" i="9"/>
  <c r="CR64" i="9"/>
  <c r="CT64" i="9"/>
  <c r="CU64" i="9"/>
  <c r="CV64" i="9"/>
  <c r="CW64" i="9"/>
  <c r="CX64" i="9"/>
  <c r="CZ64" i="9"/>
  <c r="DB64" i="9"/>
  <c r="DC64" i="9"/>
  <c r="A65" i="9"/>
  <c r="R65" i="9"/>
  <c r="S65" i="9"/>
  <c r="T65" i="9"/>
  <c r="U65" i="9"/>
  <c r="V65" i="9"/>
  <c r="AF65" i="9"/>
  <c r="AH65" i="9"/>
  <c r="AL65" i="9"/>
  <c r="AM65" i="9"/>
  <c r="AO65" i="9"/>
  <c r="AP65" i="9"/>
  <c r="AR65" i="9"/>
  <c r="AT65" i="9"/>
  <c r="AU65" i="9"/>
  <c r="AW65" i="9"/>
  <c r="AX65" i="9"/>
  <c r="AY65" i="9"/>
  <c r="AZ65" i="9"/>
  <c r="BA65" i="9"/>
  <c r="BB65" i="9"/>
  <c r="BD65" i="9"/>
  <c r="BE65" i="9"/>
  <c r="BF65" i="9"/>
  <c r="BG65" i="9"/>
  <c r="BH65" i="9"/>
  <c r="BI65" i="9"/>
  <c r="BK65" i="9"/>
  <c r="BL65" i="9"/>
  <c r="BM65" i="9"/>
  <c r="BN65" i="9"/>
  <c r="BO65" i="9"/>
  <c r="BP65" i="9"/>
  <c r="BQ65" i="9"/>
  <c r="CA65" i="9"/>
  <c r="CB65" i="9"/>
  <c r="CC65" i="9"/>
  <c r="CD65" i="9"/>
  <c r="CE65" i="9"/>
  <c r="CF65" i="9"/>
  <c r="CG65" i="9"/>
  <c r="CH65" i="9"/>
  <c r="CI65" i="9"/>
  <c r="CJ65" i="9"/>
  <c r="CK65" i="9"/>
  <c r="CL65" i="9"/>
  <c r="CN65" i="9"/>
  <c r="CQ65" i="9"/>
  <c r="CR65" i="9"/>
  <c r="CT65" i="9"/>
  <c r="CU65" i="9"/>
  <c r="CV65" i="9"/>
  <c r="CW65" i="9"/>
  <c r="CX65" i="9"/>
  <c r="CZ65" i="9"/>
  <c r="DB65" i="9"/>
  <c r="A66" i="9"/>
  <c r="R66" i="9"/>
  <c r="S66" i="9"/>
  <c r="T66" i="9"/>
  <c r="U66" i="9"/>
  <c r="V66" i="9"/>
  <c r="AF66" i="9"/>
  <c r="AH66" i="9"/>
  <c r="AL66" i="9"/>
  <c r="AM66" i="9"/>
  <c r="AO66" i="9"/>
  <c r="AP66" i="9"/>
  <c r="AR66" i="9"/>
  <c r="AT66" i="9"/>
  <c r="AU66" i="9"/>
  <c r="AW66" i="9"/>
  <c r="AX66" i="9"/>
  <c r="AY66" i="9"/>
  <c r="AZ66" i="9"/>
  <c r="BA66" i="9"/>
  <c r="BB66" i="9"/>
  <c r="BD66" i="9"/>
  <c r="BE66" i="9"/>
  <c r="BF66" i="9"/>
  <c r="BG66" i="9"/>
  <c r="BH66" i="9"/>
  <c r="BI66" i="9"/>
  <c r="BK66" i="9"/>
  <c r="BL66" i="9"/>
  <c r="BM66" i="9"/>
  <c r="BN66" i="9"/>
  <c r="BO66" i="9"/>
  <c r="BP66" i="9"/>
  <c r="BQ66" i="9"/>
  <c r="CA66" i="9"/>
  <c r="CB66" i="9"/>
  <c r="CC66" i="9"/>
  <c r="CD66" i="9"/>
  <c r="CE66" i="9"/>
  <c r="CF66" i="9"/>
  <c r="CG66" i="9"/>
  <c r="CH66" i="9"/>
  <c r="CI66" i="9"/>
  <c r="CJ66" i="9"/>
  <c r="CK66" i="9"/>
  <c r="CL66" i="9"/>
  <c r="CM66" i="9"/>
  <c r="CN66" i="9"/>
  <c r="CQ66" i="9"/>
  <c r="CR66" i="9"/>
  <c r="CT66" i="9"/>
  <c r="CU66" i="9"/>
  <c r="CV66" i="9"/>
  <c r="CW66" i="9"/>
  <c r="CX66" i="9"/>
  <c r="CZ66" i="9"/>
  <c r="DB66" i="9"/>
  <c r="A67" i="9"/>
  <c r="R67" i="9"/>
  <c r="S67" i="9"/>
  <c r="T67" i="9"/>
  <c r="U67" i="9"/>
  <c r="V67" i="9"/>
  <c r="AF67" i="9"/>
  <c r="AH67" i="9"/>
  <c r="AL67" i="9"/>
  <c r="AM67" i="9"/>
  <c r="AO67" i="9"/>
  <c r="AP67" i="9"/>
  <c r="AR67" i="9"/>
  <c r="AT67" i="9"/>
  <c r="AU67" i="9"/>
  <c r="AX67" i="9"/>
  <c r="AY67" i="9"/>
  <c r="AZ67" i="9"/>
  <c r="BA67" i="9"/>
  <c r="BB67" i="9"/>
  <c r="BD67" i="9"/>
  <c r="BE67" i="9"/>
  <c r="BF67" i="9"/>
  <c r="BG67" i="9"/>
  <c r="BH67" i="9"/>
  <c r="BI67" i="9"/>
  <c r="BK67" i="9"/>
  <c r="BL67" i="9"/>
  <c r="BM67" i="9"/>
  <c r="BN67" i="9"/>
  <c r="BO67" i="9"/>
  <c r="BP67" i="9"/>
  <c r="BQ67" i="9"/>
  <c r="CA67" i="9"/>
  <c r="CB67" i="9"/>
  <c r="CC67" i="9"/>
  <c r="CD67" i="9"/>
  <c r="CE67" i="9"/>
  <c r="CF67" i="9"/>
  <c r="CG67" i="9"/>
  <c r="CH67" i="9"/>
  <c r="CI67" i="9"/>
  <c r="CJ67" i="9"/>
  <c r="CK67" i="9"/>
  <c r="CL67" i="9"/>
  <c r="CN67" i="9"/>
  <c r="CQ67" i="9"/>
  <c r="CR67" i="9"/>
  <c r="CT67" i="9"/>
  <c r="CU67" i="9"/>
  <c r="CV67" i="9"/>
  <c r="CW67" i="9"/>
  <c r="CX67" i="9"/>
  <c r="CZ67" i="9"/>
  <c r="DB67" i="9"/>
  <c r="A68" i="9"/>
  <c r="R68" i="9"/>
  <c r="S68" i="9"/>
  <c r="T68" i="9"/>
  <c r="U68" i="9"/>
  <c r="V68" i="9"/>
  <c r="AF68" i="9"/>
  <c r="AH68" i="9"/>
  <c r="AL68" i="9"/>
  <c r="AM68" i="9"/>
  <c r="AO68" i="9"/>
  <c r="AP68" i="9"/>
  <c r="AR68" i="9"/>
  <c r="AT68" i="9"/>
  <c r="AU68" i="9"/>
  <c r="AW68" i="9"/>
  <c r="AX68" i="9"/>
  <c r="AY68" i="9"/>
  <c r="AZ68" i="9"/>
  <c r="BA68" i="9"/>
  <c r="BB68" i="9"/>
  <c r="BD68" i="9"/>
  <c r="BE68" i="9"/>
  <c r="BF68" i="9"/>
  <c r="BG68" i="9"/>
  <c r="BH68" i="9"/>
  <c r="BI68" i="9"/>
  <c r="BK68" i="9"/>
  <c r="BL68" i="9"/>
  <c r="BM68" i="9"/>
  <c r="BN68" i="9"/>
  <c r="BO68" i="9"/>
  <c r="BP68" i="9"/>
  <c r="BQ68" i="9"/>
  <c r="CA68" i="9"/>
  <c r="CB68" i="9"/>
  <c r="CC68" i="9"/>
  <c r="CD68" i="9"/>
  <c r="CE68" i="9"/>
  <c r="CF68" i="9"/>
  <c r="CG68" i="9"/>
  <c r="CH68" i="9"/>
  <c r="CI68" i="9"/>
  <c r="CJ68" i="9"/>
  <c r="CK68" i="9"/>
  <c r="CL68" i="9"/>
  <c r="CN68" i="9"/>
  <c r="CQ68" i="9"/>
  <c r="CR68" i="9"/>
  <c r="CT68" i="9"/>
  <c r="CU68" i="9"/>
  <c r="CV68" i="9"/>
  <c r="CW68" i="9"/>
  <c r="CX68" i="9"/>
  <c r="CZ68" i="9"/>
  <c r="DB68" i="9"/>
  <c r="A69" i="9"/>
  <c r="R69" i="9"/>
  <c r="S69" i="9"/>
  <c r="T69" i="9"/>
  <c r="U69" i="9"/>
  <c r="V69" i="9"/>
  <c r="AF69" i="9"/>
  <c r="AH69" i="9"/>
  <c r="AL69" i="9"/>
  <c r="AM69" i="9"/>
  <c r="AO69" i="9"/>
  <c r="AP69" i="9"/>
  <c r="AR69" i="9"/>
  <c r="AT69" i="9"/>
  <c r="AU69" i="9"/>
  <c r="AW69" i="9"/>
  <c r="AX69" i="9"/>
  <c r="AY69" i="9"/>
  <c r="AZ69" i="9"/>
  <c r="BA69" i="9"/>
  <c r="BB69" i="9"/>
  <c r="BD69" i="9"/>
  <c r="BE69" i="9"/>
  <c r="BF69" i="9"/>
  <c r="BG69" i="9"/>
  <c r="BH69" i="9"/>
  <c r="BI69" i="9"/>
  <c r="BK69" i="9"/>
  <c r="BL69" i="9"/>
  <c r="BM69" i="9"/>
  <c r="BN69" i="9"/>
  <c r="BO69" i="9"/>
  <c r="BP69" i="9"/>
  <c r="BQ69" i="9"/>
  <c r="CA69" i="9"/>
  <c r="CB69" i="9"/>
  <c r="CC69" i="9"/>
  <c r="CD69" i="9"/>
  <c r="CE69" i="9"/>
  <c r="CF69" i="9"/>
  <c r="CG69" i="9"/>
  <c r="CH69" i="9"/>
  <c r="CI69" i="9"/>
  <c r="CJ69" i="9"/>
  <c r="CK69" i="9"/>
  <c r="CL69" i="9"/>
  <c r="CN69" i="9"/>
  <c r="CQ69" i="9"/>
  <c r="CR69" i="9"/>
  <c r="CT69" i="9"/>
  <c r="CU69" i="9"/>
  <c r="CV69" i="9"/>
  <c r="CW69" i="9"/>
  <c r="CX69" i="9"/>
  <c r="CZ69" i="9"/>
  <c r="DB69" i="9"/>
  <c r="A70" i="9"/>
  <c r="R70" i="9"/>
  <c r="S70" i="9"/>
  <c r="T70" i="9"/>
  <c r="U70" i="9"/>
  <c r="V70" i="9"/>
  <c r="AF70" i="9"/>
  <c r="AH70" i="9"/>
  <c r="AL70" i="9"/>
  <c r="AM70" i="9"/>
  <c r="AO70" i="9"/>
  <c r="AP70" i="9"/>
  <c r="AR70" i="9"/>
  <c r="AT70" i="9"/>
  <c r="AU70" i="9"/>
  <c r="AW70" i="9"/>
  <c r="AX70" i="9"/>
  <c r="AY70" i="9"/>
  <c r="AZ70" i="9"/>
  <c r="BA70" i="9"/>
  <c r="BB70" i="9"/>
  <c r="BD70" i="9"/>
  <c r="BE70" i="9"/>
  <c r="BF70" i="9"/>
  <c r="BG70" i="9"/>
  <c r="BH70" i="9"/>
  <c r="BI70" i="9"/>
  <c r="BK70" i="9"/>
  <c r="BL70" i="9"/>
  <c r="BM70" i="9"/>
  <c r="BN70" i="9"/>
  <c r="BO70" i="9"/>
  <c r="BP70" i="9"/>
  <c r="BQ70" i="9"/>
  <c r="CA70" i="9"/>
  <c r="CB70" i="9"/>
  <c r="CC70" i="9"/>
  <c r="CD70" i="9"/>
  <c r="CE70" i="9"/>
  <c r="CF70" i="9"/>
  <c r="CG70" i="9"/>
  <c r="CH70" i="9"/>
  <c r="CI70" i="9"/>
  <c r="CJ70" i="9"/>
  <c r="CK70" i="9"/>
  <c r="CL70" i="9"/>
  <c r="CN70" i="9"/>
  <c r="CQ70" i="9"/>
  <c r="CR70" i="9"/>
  <c r="CT70" i="9"/>
  <c r="CU70" i="9"/>
  <c r="CV70" i="9"/>
  <c r="CW70" i="9"/>
  <c r="CX70" i="9"/>
  <c r="CZ70" i="9"/>
  <c r="DB70" i="9"/>
  <c r="A71" i="9"/>
  <c r="R71" i="9"/>
  <c r="S71" i="9"/>
  <c r="T71" i="9"/>
  <c r="U71" i="9"/>
  <c r="V71" i="9"/>
  <c r="AF71" i="9"/>
  <c r="AH71" i="9"/>
  <c r="AL71" i="9"/>
  <c r="AM71" i="9"/>
  <c r="AO71" i="9"/>
  <c r="AP71" i="9"/>
  <c r="AR71" i="9"/>
  <c r="AT71" i="9"/>
  <c r="AU71" i="9"/>
  <c r="AW71" i="9"/>
  <c r="AX71" i="9"/>
  <c r="AY71" i="9"/>
  <c r="AZ71" i="9"/>
  <c r="BA71" i="9"/>
  <c r="BB71" i="9"/>
  <c r="BD71" i="9"/>
  <c r="BE71" i="9"/>
  <c r="BF71" i="9"/>
  <c r="BG71" i="9"/>
  <c r="BH71" i="9"/>
  <c r="BI71" i="9"/>
  <c r="BK71" i="9"/>
  <c r="BL71" i="9"/>
  <c r="BM71" i="9"/>
  <c r="BN71" i="9"/>
  <c r="BO71" i="9"/>
  <c r="BP71" i="9"/>
  <c r="BQ71" i="9"/>
  <c r="CA71" i="9"/>
  <c r="CB71" i="9"/>
  <c r="CC71" i="9"/>
  <c r="CD71" i="9"/>
  <c r="CE71" i="9"/>
  <c r="CF71" i="9"/>
  <c r="CG71" i="9"/>
  <c r="CH71" i="9"/>
  <c r="CI71" i="9"/>
  <c r="CJ71" i="9"/>
  <c r="CK71" i="9"/>
  <c r="CL71" i="9"/>
  <c r="CN71" i="9"/>
  <c r="CQ71" i="9"/>
  <c r="CR71" i="9"/>
  <c r="CT71" i="9"/>
  <c r="CU71" i="9"/>
  <c r="CV71" i="9"/>
  <c r="CW71" i="9"/>
  <c r="CX71" i="9"/>
  <c r="CZ71" i="9"/>
  <c r="DB71" i="9"/>
  <c r="A72" i="9"/>
  <c r="R72" i="9"/>
  <c r="S72" i="9"/>
  <c r="T72" i="9"/>
  <c r="U72" i="9"/>
  <c r="V72" i="9"/>
  <c r="AF72" i="9"/>
  <c r="AH72" i="9"/>
  <c r="AL72" i="9"/>
  <c r="AM72" i="9"/>
  <c r="AO72" i="9"/>
  <c r="AP72" i="9"/>
  <c r="AR72" i="9"/>
  <c r="AT72" i="9"/>
  <c r="AU72" i="9"/>
  <c r="AW72" i="9"/>
  <c r="AX72" i="9"/>
  <c r="AY72" i="9"/>
  <c r="AZ72" i="9"/>
  <c r="BA72" i="9"/>
  <c r="BB72" i="9"/>
  <c r="BD72" i="9"/>
  <c r="BE72" i="9"/>
  <c r="BF72" i="9"/>
  <c r="BG72" i="9"/>
  <c r="BH72" i="9"/>
  <c r="BI72" i="9"/>
  <c r="BK72" i="9"/>
  <c r="BL72" i="9"/>
  <c r="BM72" i="9"/>
  <c r="BN72" i="9"/>
  <c r="BO72" i="9"/>
  <c r="BP72" i="9"/>
  <c r="BQ72" i="9"/>
  <c r="CA72" i="9"/>
  <c r="CB72" i="9"/>
  <c r="CC72" i="9"/>
  <c r="CD72" i="9"/>
  <c r="CE72" i="9"/>
  <c r="CF72" i="9"/>
  <c r="CG72" i="9"/>
  <c r="CH72" i="9"/>
  <c r="CI72" i="9"/>
  <c r="CJ72" i="9"/>
  <c r="CK72" i="9"/>
  <c r="CL72" i="9"/>
  <c r="CN72" i="9"/>
  <c r="CQ72" i="9"/>
  <c r="CR72" i="9"/>
  <c r="CT72" i="9"/>
  <c r="CU72" i="9"/>
  <c r="CV72" i="9"/>
  <c r="CW72" i="9"/>
  <c r="CX72" i="9"/>
  <c r="CZ72" i="9"/>
  <c r="DB72" i="9"/>
  <c r="A73" i="9"/>
  <c r="R73" i="9"/>
  <c r="S73" i="9"/>
  <c r="T73" i="9"/>
  <c r="U73" i="9"/>
  <c r="V73" i="9"/>
  <c r="AF73" i="9"/>
  <c r="AH73" i="9"/>
  <c r="AL73" i="9"/>
  <c r="AM73" i="9"/>
  <c r="AO73" i="9"/>
  <c r="AP73" i="9"/>
  <c r="AR73" i="9"/>
  <c r="AT73" i="9"/>
  <c r="AU73" i="9"/>
  <c r="AW73" i="9"/>
  <c r="AX73" i="9"/>
  <c r="AY73" i="9"/>
  <c r="AZ73" i="9"/>
  <c r="BA73" i="9"/>
  <c r="BB73" i="9"/>
  <c r="BD73" i="9"/>
  <c r="BE73" i="9"/>
  <c r="BF73" i="9"/>
  <c r="BG73" i="9"/>
  <c r="BH73" i="9"/>
  <c r="BI73" i="9"/>
  <c r="BK73" i="9"/>
  <c r="BL73" i="9"/>
  <c r="BM73" i="9"/>
  <c r="BN73" i="9"/>
  <c r="BO73" i="9"/>
  <c r="BP73" i="9"/>
  <c r="BQ73" i="9"/>
  <c r="CA73" i="9"/>
  <c r="CB73" i="9"/>
  <c r="CC73" i="9"/>
  <c r="CD73" i="9"/>
  <c r="CE73" i="9"/>
  <c r="CF73" i="9"/>
  <c r="CG73" i="9"/>
  <c r="CH73" i="9"/>
  <c r="CI73" i="9"/>
  <c r="CJ73" i="9"/>
  <c r="CK73" i="9"/>
  <c r="CL73" i="9"/>
  <c r="CN73" i="9"/>
  <c r="CQ73" i="9"/>
  <c r="CR73" i="9"/>
  <c r="CT73" i="9"/>
  <c r="CU73" i="9"/>
  <c r="CV73" i="9"/>
  <c r="CW73" i="9"/>
  <c r="CX73" i="9"/>
  <c r="CZ73" i="9"/>
  <c r="DB73" i="9"/>
  <c r="A74" i="9"/>
  <c r="R74" i="9"/>
  <c r="S74" i="9"/>
  <c r="T74" i="9"/>
  <c r="U74" i="9"/>
  <c r="V74" i="9"/>
  <c r="AF74" i="9"/>
  <c r="AH74" i="9"/>
  <c r="AL74" i="9"/>
  <c r="AM74" i="9"/>
  <c r="AO74" i="9"/>
  <c r="AP74" i="9"/>
  <c r="AR74" i="9"/>
  <c r="AT74" i="9"/>
  <c r="AU74" i="9"/>
  <c r="AW74" i="9"/>
  <c r="AX74" i="9"/>
  <c r="AY74" i="9"/>
  <c r="AZ74" i="9"/>
  <c r="BA74" i="9"/>
  <c r="BB74" i="9"/>
  <c r="BD74" i="9"/>
  <c r="BE74" i="9"/>
  <c r="BF74" i="9"/>
  <c r="BG74" i="9"/>
  <c r="BH74" i="9"/>
  <c r="BI74" i="9"/>
  <c r="BK74" i="9"/>
  <c r="BL74" i="9"/>
  <c r="BM74" i="9"/>
  <c r="BN74" i="9"/>
  <c r="BO74" i="9"/>
  <c r="BP74" i="9"/>
  <c r="BQ74" i="9"/>
  <c r="CA74" i="9"/>
  <c r="CB74" i="9"/>
  <c r="CC74" i="9"/>
  <c r="CD74" i="9"/>
  <c r="CE74" i="9"/>
  <c r="CF74" i="9"/>
  <c r="CG74" i="9"/>
  <c r="CH74" i="9"/>
  <c r="CI74" i="9"/>
  <c r="CJ74" i="9"/>
  <c r="CK74" i="9"/>
  <c r="CL74" i="9"/>
  <c r="CN74" i="9"/>
  <c r="CQ74" i="9"/>
  <c r="CR74" i="9"/>
  <c r="CT74" i="9"/>
  <c r="CU74" i="9"/>
  <c r="CV74" i="9"/>
  <c r="CW74" i="9"/>
  <c r="CX74" i="9"/>
  <c r="CZ74" i="9"/>
  <c r="DB74" i="9"/>
  <c r="A75" i="9"/>
  <c r="R75" i="9"/>
  <c r="S75" i="9"/>
  <c r="T75" i="9"/>
  <c r="U75" i="9"/>
  <c r="V75" i="9"/>
  <c r="AF75" i="9"/>
  <c r="AH75" i="9"/>
  <c r="AL75" i="9"/>
  <c r="AM75" i="9"/>
  <c r="AO75" i="9"/>
  <c r="AP75" i="9"/>
  <c r="AR75" i="9"/>
  <c r="AT75" i="9"/>
  <c r="AU75" i="9"/>
  <c r="AW75" i="9"/>
  <c r="AX75" i="9"/>
  <c r="AY75" i="9"/>
  <c r="AZ75" i="9"/>
  <c r="BA75" i="9"/>
  <c r="BB75" i="9"/>
  <c r="BD75" i="9"/>
  <c r="BE75" i="9"/>
  <c r="BF75" i="9"/>
  <c r="BG75" i="9"/>
  <c r="BH75" i="9"/>
  <c r="BI75" i="9"/>
  <c r="BK75" i="9"/>
  <c r="BL75" i="9"/>
  <c r="BM75" i="9"/>
  <c r="BN75" i="9"/>
  <c r="BO75" i="9"/>
  <c r="BP75" i="9"/>
  <c r="BQ75" i="9"/>
  <c r="CA75" i="9"/>
  <c r="CB75" i="9"/>
  <c r="CC75" i="9"/>
  <c r="CD75" i="9"/>
  <c r="CE75" i="9"/>
  <c r="CF75" i="9"/>
  <c r="CG75" i="9"/>
  <c r="CH75" i="9"/>
  <c r="CI75" i="9"/>
  <c r="CJ75" i="9"/>
  <c r="CK75" i="9"/>
  <c r="CL75" i="9"/>
  <c r="CN75" i="9"/>
  <c r="CQ75" i="9"/>
  <c r="CR75" i="9"/>
  <c r="CT75" i="9"/>
  <c r="CU75" i="9"/>
  <c r="CV75" i="9"/>
  <c r="CW75" i="9"/>
  <c r="CX75" i="9"/>
  <c r="CZ75" i="9"/>
  <c r="DB75" i="9"/>
  <c r="A76" i="9"/>
  <c r="R76" i="9"/>
  <c r="S76" i="9"/>
  <c r="T76" i="9"/>
  <c r="U76" i="9"/>
  <c r="V76" i="9"/>
  <c r="AF76" i="9"/>
  <c r="AH76" i="9"/>
  <c r="AL76" i="9"/>
  <c r="AM76" i="9"/>
  <c r="AO76" i="9"/>
  <c r="AP76" i="9"/>
  <c r="AR76" i="9"/>
  <c r="AT76" i="9"/>
  <c r="AU76" i="9"/>
  <c r="AW76" i="9"/>
  <c r="AX76" i="9"/>
  <c r="AY76" i="9"/>
  <c r="AZ76" i="9"/>
  <c r="BA76" i="9"/>
  <c r="BB76" i="9"/>
  <c r="BD76" i="9"/>
  <c r="BE76" i="9"/>
  <c r="BF76" i="9"/>
  <c r="BG76" i="9"/>
  <c r="BH76" i="9"/>
  <c r="BI76" i="9"/>
  <c r="BK76" i="9"/>
  <c r="BL76" i="9"/>
  <c r="BM76" i="9"/>
  <c r="BN76" i="9"/>
  <c r="BO76" i="9"/>
  <c r="BP76" i="9"/>
  <c r="BQ76" i="9"/>
  <c r="CA76" i="9"/>
  <c r="CB76" i="9"/>
  <c r="CC76" i="9"/>
  <c r="CD76" i="9"/>
  <c r="CE76" i="9"/>
  <c r="CF76" i="9"/>
  <c r="CG76" i="9"/>
  <c r="CH76" i="9"/>
  <c r="CI76" i="9"/>
  <c r="CJ76" i="9"/>
  <c r="CK76" i="9"/>
  <c r="CL76" i="9"/>
  <c r="CN76" i="9"/>
  <c r="CQ76" i="9"/>
  <c r="CR76" i="9"/>
  <c r="CT76" i="9"/>
  <c r="CU76" i="9"/>
  <c r="CV76" i="9"/>
  <c r="CW76" i="9"/>
  <c r="CX76" i="9"/>
  <c r="CZ76" i="9"/>
  <c r="DB76" i="9"/>
  <c r="A77" i="9"/>
  <c r="R77" i="9"/>
  <c r="S77" i="9"/>
  <c r="T77" i="9"/>
  <c r="U77" i="9"/>
  <c r="V77" i="9"/>
  <c r="AF77" i="9"/>
  <c r="AH77" i="9"/>
  <c r="AL77" i="9"/>
  <c r="AM77" i="9"/>
  <c r="AO77" i="9"/>
  <c r="AP77" i="9"/>
  <c r="AR77" i="9"/>
  <c r="AT77" i="9"/>
  <c r="AU77" i="9"/>
  <c r="AW77" i="9"/>
  <c r="AX77" i="9"/>
  <c r="AY77" i="9"/>
  <c r="AZ77" i="9"/>
  <c r="BA77" i="9"/>
  <c r="BB77" i="9"/>
  <c r="BD77" i="9"/>
  <c r="BE77" i="9"/>
  <c r="BF77" i="9"/>
  <c r="BG77" i="9"/>
  <c r="BH77" i="9"/>
  <c r="BI77" i="9"/>
  <c r="BK77" i="9"/>
  <c r="BL77" i="9"/>
  <c r="BM77" i="9"/>
  <c r="BN77" i="9"/>
  <c r="BO77" i="9"/>
  <c r="BP77" i="9"/>
  <c r="BQ77" i="9"/>
  <c r="CA77" i="9"/>
  <c r="CB77" i="9"/>
  <c r="CC77" i="9"/>
  <c r="CD77" i="9"/>
  <c r="CE77" i="9"/>
  <c r="CF77" i="9"/>
  <c r="CG77" i="9"/>
  <c r="CH77" i="9"/>
  <c r="CI77" i="9"/>
  <c r="CJ77" i="9"/>
  <c r="CK77" i="9"/>
  <c r="CL77" i="9"/>
  <c r="CN77" i="9"/>
  <c r="CQ77" i="9"/>
  <c r="CR77" i="9"/>
  <c r="CT77" i="9"/>
  <c r="CU77" i="9"/>
  <c r="CV77" i="9"/>
  <c r="CW77" i="9"/>
  <c r="CX77" i="9"/>
  <c r="CZ77" i="9"/>
  <c r="DB77" i="9"/>
  <c r="A78" i="9"/>
  <c r="R78" i="9"/>
  <c r="S78" i="9"/>
  <c r="T78" i="9"/>
  <c r="U78" i="9"/>
  <c r="V78" i="9"/>
  <c r="AF78" i="9"/>
  <c r="AH78" i="9"/>
  <c r="AL78" i="9"/>
  <c r="AM78" i="9"/>
  <c r="AO78" i="9"/>
  <c r="AP78" i="9"/>
  <c r="AR78" i="9"/>
  <c r="AT78" i="9"/>
  <c r="AU78" i="9"/>
  <c r="AW78" i="9"/>
  <c r="AX78" i="9"/>
  <c r="AY78" i="9"/>
  <c r="AZ78" i="9"/>
  <c r="BA78" i="9"/>
  <c r="BB78" i="9"/>
  <c r="BD78" i="9"/>
  <c r="BE78" i="9"/>
  <c r="BF78" i="9"/>
  <c r="BG78" i="9"/>
  <c r="BH78" i="9"/>
  <c r="BI78" i="9"/>
  <c r="BK78" i="9"/>
  <c r="BL78" i="9"/>
  <c r="BM78" i="9"/>
  <c r="BN78" i="9"/>
  <c r="BO78" i="9"/>
  <c r="BP78" i="9"/>
  <c r="BQ78" i="9"/>
  <c r="CA78" i="9"/>
  <c r="CB78" i="9"/>
  <c r="CC78" i="9"/>
  <c r="CD78" i="9"/>
  <c r="CE78" i="9"/>
  <c r="CF78" i="9"/>
  <c r="CG78" i="9"/>
  <c r="CH78" i="9"/>
  <c r="CI78" i="9"/>
  <c r="CJ78" i="9"/>
  <c r="CK78" i="9"/>
  <c r="CL78" i="9"/>
  <c r="CM78" i="9"/>
  <c r="CN78" i="9"/>
  <c r="CQ78" i="9"/>
  <c r="CR78" i="9"/>
  <c r="CT78" i="9"/>
  <c r="CU78" i="9"/>
  <c r="CV78" i="9"/>
  <c r="CW78" i="9"/>
  <c r="CX78" i="9"/>
  <c r="CZ78" i="9"/>
  <c r="DB78" i="9"/>
  <c r="A79" i="9"/>
  <c r="R79" i="9"/>
  <c r="S79" i="9"/>
  <c r="T79" i="9"/>
  <c r="U79" i="9"/>
  <c r="V79" i="9"/>
  <c r="AF79" i="9"/>
  <c r="AH79" i="9"/>
  <c r="AL79" i="9"/>
  <c r="AM79" i="9"/>
  <c r="AO79" i="9"/>
  <c r="AP79" i="9"/>
  <c r="AR79" i="9"/>
  <c r="AT79" i="9"/>
  <c r="AU79" i="9"/>
  <c r="AX79" i="9"/>
  <c r="AY79" i="9"/>
  <c r="AZ79" i="9"/>
  <c r="BA79" i="9"/>
  <c r="BB79" i="9"/>
  <c r="BD79" i="9"/>
  <c r="BE79" i="9"/>
  <c r="BF79" i="9"/>
  <c r="BG79" i="9"/>
  <c r="BH79" i="9"/>
  <c r="BI79" i="9"/>
  <c r="BK79" i="9"/>
  <c r="BL79" i="9"/>
  <c r="BM79" i="9"/>
  <c r="BN79" i="9"/>
  <c r="BO79" i="9"/>
  <c r="BP79" i="9"/>
  <c r="BQ79" i="9"/>
  <c r="CA79" i="9"/>
  <c r="CB79" i="9"/>
  <c r="CC79" i="9"/>
  <c r="CD79" i="9"/>
  <c r="CE79" i="9"/>
  <c r="CF79" i="9"/>
  <c r="CG79" i="9"/>
  <c r="CH79" i="9"/>
  <c r="CI79" i="9"/>
  <c r="CJ79" i="9"/>
  <c r="CK79" i="9"/>
  <c r="CL79" i="9"/>
  <c r="CN79" i="9"/>
  <c r="CQ79" i="9"/>
  <c r="CR79" i="9"/>
  <c r="CT79" i="9"/>
  <c r="CU79" i="9"/>
  <c r="CV79" i="9"/>
  <c r="CW79" i="9"/>
  <c r="DB79" i="9"/>
  <c r="A80" i="9"/>
  <c r="R80" i="9"/>
  <c r="S80" i="9"/>
  <c r="T80" i="9"/>
  <c r="U80" i="9"/>
  <c r="V80" i="9"/>
  <c r="AF80" i="9"/>
  <c r="AH80" i="9"/>
  <c r="AL80" i="9"/>
  <c r="AM80" i="9"/>
  <c r="AO80" i="9"/>
  <c r="AP80" i="9"/>
  <c r="AR80" i="9"/>
  <c r="AT80" i="9"/>
  <c r="AU80" i="9"/>
  <c r="AW80" i="9"/>
  <c r="AX80" i="9"/>
  <c r="AY80" i="9"/>
  <c r="AZ80" i="9"/>
  <c r="BA80" i="9"/>
  <c r="BB80" i="9"/>
  <c r="BD80" i="9"/>
  <c r="BE80" i="9"/>
  <c r="BF80" i="9"/>
  <c r="BG80" i="9"/>
  <c r="BH80" i="9"/>
  <c r="BI80" i="9"/>
  <c r="BK80" i="9"/>
  <c r="BL80" i="9"/>
  <c r="BM80" i="9"/>
  <c r="BN80" i="9"/>
  <c r="BO80" i="9"/>
  <c r="BP80" i="9"/>
  <c r="BQ80" i="9"/>
  <c r="CA80" i="9"/>
  <c r="CB80" i="9"/>
  <c r="CC80" i="9"/>
  <c r="CD80" i="9"/>
  <c r="CE80" i="9"/>
  <c r="CF80" i="9"/>
  <c r="CG80" i="9"/>
  <c r="CH80" i="9"/>
  <c r="CI80" i="9"/>
  <c r="CJ80" i="9"/>
  <c r="CK80" i="9"/>
  <c r="CL80" i="9"/>
  <c r="CN80" i="9"/>
  <c r="CQ80" i="9"/>
  <c r="CR80" i="9"/>
  <c r="CT80" i="9"/>
  <c r="CU80" i="9"/>
  <c r="CV80" i="9"/>
  <c r="CW80" i="9"/>
  <c r="DB80" i="9"/>
  <c r="A81" i="9"/>
  <c r="R81" i="9"/>
  <c r="S81" i="9"/>
  <c r="T81" i="9"/>
  <c r="U81" i="9"/>
  <c r="V81" i="9"/>
  <c r="AF81" i="9"/>
  <c r="AH81" i="9"/>
  <c r="AL81" i="9"/>
  <c r="AM81" i="9"/>
  <c r="AO81" i="9"/>
  <c r="AP81" i="9"/>
  <c r="AR81" i="9"/>
  <c r="AT81" i="9"/>
  <c r="AU81" i="9"/>
  <c r="AW81" i="9"/>
  <c r="AX81" i="9"/>
  <c r="AY81" i="9"/>
  <c r="AZ81" i="9"/>
  <c r="BA81" i="9"/>
  <c r="BB81" i="9"/>
  <c r="BD81" i="9"/>
  <c r="BE81" i="9"/>
  <c r="BF81" i="9"/>
  <c r="BG81" i="9"/>
  <c r="BH81" i="9"/>
  <c r="BI81" i="9"/>
  <c r="BK81" i="9"/>
  <c r="BL81" i="9"/>
  <c r="BM81" i="9"/>
  <c r="BN81" i="9"/>
  <c r="BO81" i="9"/>
  <c r="BP81" i="9"/>
  <c r="BQ81" i="9"/>
  <c r="CA81" i="9"/>
  <c r="CB81" i="9"/>
  <c r="CC81" i="9"/>
  <c r="CD81" i="9"/>
  <c r="CE81" i="9"/>
  <c r="CF81" i="9"/>
  <c r="CG81" i="9"/>
  <c r="CH81" i="9"/>
  <c r="CI81" i="9"/>
  <c r="CJ81" i="9"/>
  <c r="CK81" i="9"/>
  <c r="CL81" i="9"/>
  <c r="CN81" i="9"/>
  <c r="CQ81" i="9"/>
  <c r="CR81" i="9"/>
  <c r="CT81" i="9"/>
  <c r="CU81" i="9"/>
  <c r="CV81" i="9"/>
  <c r="CW81" i="9"/>
  <c r="DB81" i="9"/>
  <c r="A82" i="9"/>
  <c r="R82" i="9"/>
  <c r="S82" i="9"/>
  <c r="T82" i="9"/>
  <c r="U82" i="9"/>
  <c r="V82" i="9"/>
  <c r="AF82" i="9"/>
  <c r="AH82" i="9"/>
  <c r="AL82" i="9"/>
  <c r="AM82" i="9"/>
  <c r="AO82" i="9"/>
  <c r="AP82" i="9"/>
  <c r="AR82" i="9"/>
  <c r="AT82" i="9"/>
  <c r="AU82" i="9"/>
  <c r="AW82" i="9"/>
  <c r="AX82" i="9"/>
  <c r="AY82" i="9"/>
  <c r="AZ82" i="9"/>
  <c r="BA82" i="9"/>
  <c r="BB82" i="9"/>
  <c r="BD82" i="9"/>
  <c r="BE82" i="9"/>
  <c r="BF82" i="9"/>
  <c r="BG82" i="9"/>
  <c r="BH82" i="9"/>
  <c r="BI82" i="9"/>
  <c r="BK82" i="9"/>
  <c r="BL82" i="9"/>
  <c r="BM82" i="9"/>
  <c r="BN82" i="9"/>
  <c r="BO82" i="9"/>
  <c r="BP82" i="9"/>
  <c r="BQ82" i="9"/>
  <c r="CA82" i="9"/>
  <c r="CB82" i="9"/>
  <c r="CC82" i="9"/>
  <c r="CD82" i="9"/>
  <c r="CE82" i="9"/>
  <c r="CF82" i="9"/>
  <c r="CG82" i="9"/>
  <c r="CH82" i="9"/>
  <c r="CI82" i="9"/>
  <c r="CJ82" i="9"/>
  <c r="CK82" i="9"/>
  <c r="CL82" i="9"/>
  <c r="CN82" i="9"/>
  <c r="CQ82" i="9"/>
  <c r="CR82" i="9"/>
  <c r="CT82" i="9"/>
  <c r="CU82" i="9"/>
  <c r="CV82" i="9"/>
  <c r="CW82" i="9"/>
  <c r="DB82" i="9"/>
  <c r="A83" i="9"/>
  <c r="R83" i="9"/>
  <c r="S83" i="9"/>
  <c r="T83" i="9"/>
  <c r="U83" i="9"/>
  <c r="V83" i="9"/>
  <c r="AF83" i="9"/>
  <c r="AH83" i="9"/>
  <c r="AL83" i="9"/>
  <c r="AM83" i="9"/>
  <c r="AO83" i="9"/>
  <c r="AP83" i="9"/>
  <c r="AR83" i="9"/>
  <c r="AT83" i="9"/>
  <c r="AU83" i="9"/>
  <c r="AW83" i="9"/>
  <c r="AX83" i="9"/>
  <c r="AY83" i="9"/>
  <c r="AZ83" i="9"/>
  <c r="BA83" i="9"/>
  <c r="BB83" i="9"/>
  <c r="BD83" i="9"/>
  <c r="BE83" i="9"/>
  <c r="BF83" i="9"/>
  <c r="BG83" i="9"/>
  <c r="BH83" i="9"/>
  <c r="BI83" i="9"/>
  <c r="BK83" i="9"/>
  <c r="BL83" i="9"/>
  <c r="BM83" i="9"/>
  <c r="BN83" i="9"/>
  <c r="BO83" i="9"/>
  <c r="BP83" i="9"/>
  <c r="BQ83" i="9"/>
  <c r="CA83" i="9"/>
  <c r="CB83" i="9"/>
  <c r="CC83" i="9"/>
  <c r="CD83" i="9"/>
  <c r="CE83" i="9"/>
  <c r="CF83" i="9"/>
  <c r="CG83" i="9"/>
  <c r="CH83" i="9"/>
  <c r="CI83" i="9"/>
  <c r="CJ83" i="9"/>
  <c r="CK83" i="9"/>
  <c r="CL83" i="9"/>
  <c r="CN83" i="9"/>
  <c r="CQ83" i="9"/>
  <c r="CR83" i="9"/>
  <c r="CT83" i="9"/>
  <c r="CU83" i="9"/>
  <c r="CV83" i="9"/>
  <c r="CW83" i="9"/>
  <c r="DB83" i="9"/>
  <c r="A84" i="9"/>
  <c r="R84" i="9"/>
  <c r="S84" i="9"/>
  <c r="T84" i="9"/>
  <c r="U84" i="9"/>
  <c r="V84" i="9"/>
  <c r="AF84" i="9"/>
  <c r="AH84" i="9"/>
  <c r="AL84" i="9"/>
  <c r="AM84" i="9"/>
  <c r="AO84" i="9"/>
  <c r="AP84" i="9"/>
  <c r="AR84" i="9"/>
  <c r="AT84" i="9"/>
  <c r="AU84" i="9"/>
  <c r="AW84" i="9"/>
  <c r="AX84" i="9"/>
  <c r="AY84" i="9"/>
  <c r="AZ84" i="9"/>
  <c r="BA84" i="9"/>
  <c r="BB84" i="9"/>
  <c r="BD84" i="9"/>
  <c r="BE84" i="9"/>
  <c r="BF84" i="9"/>
  <c r="BG84" i="9"/>
  <c r="BH84" i="9"/>
  <c r="BI84" i="9"/>
  <c r="BK84" i="9"/>
  <c r="BL84" i="9"/>
  <c r="BM84" i="9"/>
  <c r="BN84" i="9"/>
  <c r="BO84" i="9"/>
  <c r="BP84" i="9"/>
  <c r="BQ84" i="9"/>
  <c r="CA84" i="9"/>
  <c r="CB84" i="9"/>
  <c r="CC84" i="9"/>
  <c r="CD84" i="9"/>
  <c r="CE84" i="9"/>
  <c r="CF84" i="9"/>
  <c r="CG84" i="9"/>
  <c r="CH84" i="9"/>
  <c r="CI84" i="9"/>
  <c r="CJ84" i="9"/>
  <c r="CK84" i="9"/>
  <c r="CL84" i="9"/>
  <c r="CN84" i="9"/>
  <c r="CQ84" i="9"/>
  <c r="CR84" i="9"/>
  <c r="CT84" i="9"/>
  <c r="CU84" i="9"/>
  <c r="CV84" i="9"/>
  <c r="CW84" i="9"/>
  <c r="DB84" i="9"/>
  <c r="A85" i="9"/>
  <c r="S85" i="9"/>
  <c r="T85" i="9"/>
  <c r="U85" i="9"/>
  <c r="V85" i="9"/>
  <c r="AF85" i="9"/>
  <c r="AH85" i="9"/>
  <c r="AL85" i="9"/>
  <c r="AM85" i="9"/>
  <c r="AO85" i="9"/>
  <c r="AP85" i="9"/>
  <c r="AR85" i="9"/>
  <c r="AT85" i="9"/>
  <c r="AU85" i="9"/>
  <c r="AW85" i="9"/>
  <c r="AX85" i="9"/>
  <c r="AY85" i="9"/>
  <c r="AZ85" i="9"/>
  <c r="BA85" i="9"/>
  <c r="BB85" i="9"/>
  <c r="BD85" i="9"/>
  <c r="BE85" i="9"/>
  <c r="BF85" i="9"/>
  <c r="BG85" i="9"/>
  <c r="BH85" i="9"/>
  <c r="BI85" i="9"/>
  <c r="BK85" i="9"/>
  <c r="BL85" i="9"/>
  <c r="BM85" i="9"/>
  <c r="BN85" i="9"/>
  <c r="BO85" i="9"/>
  <c r="BP85" i="9"/>
  <c r="BQ85" i="9"/>
  <c r="CA85" i="9"/>
  <c r="CB85" i="9"/>
  <c r="CC85" i="9"/>
  <c r="CD85" i="9"/>
  <c r="CE85" i="9"/>
  <c r="CF85" i="9"/>
  <c r="CG85" i="9"/>
  <c r="CH85" i="9"/>
  <c r="CI85" i="9"/>
  <c r="CJ85" i="9"/>
  <c r="CK85" i="9"/>
  <c r="CL85" i="9"/>
  <c r="CN85" i="9"/>
  <c r="CQ85" i="9"/>
  <c r="CR85" i="9"/>
  <c r="CT85" i="9"/>
  <c r="CU85" i="9"/>
  <c r="CV85" i="9"/>
  <c r="CW85" i="9"/>
  <c r="DB85" i="9"/>
  <c r="A86" i="9"/>
  <c r="R86" i="9"/>
  <c r="S86" i="9"/>
  <c r="T86" i="9"/>
  <c r="U86" i="9"/>
  <c r="V86" i="9"/>
  <c r="AF86" i="9"/>
  <c r="AH86" i="9"/>
  <c r="AL86" i="9"/>
  <c r="AM86" i="9"/>
  <c r="AO86" i="9"/>
  <c r="AP86" i="9"/>
  <c r="AR86" i="9"/>
  <c r="AT86" i="9"/>
  <c r="AU86" i="9"/>
  <c r="AW86" i="9"/>
  <c r="AX86" i="9"/>
  <c r="AY86" i="9"/>
  <c r="AZ86" i="9"/>
  <c r="BA86" i="9"/>
  <c r="BB86" i="9"/>
  <c r="BD86" i="9"/>
  <c r="BE86" i="9"/>
  <c r="BF86" i="9"/>
  <c r="BG86" i="9"/>
  <c r="BH86" i="9"/>
  <c r="BI86" i="9"/>
  <c r="BK86" i="9"/>
  <c r="BL86" i="9"/>
  <c r="BM86" i="9"/>
  <c r="BN86" i="9"/>
  <c r="BO86" i="9"/>
  <c r="BP86" i="9"/>
  <c r="BQ86" i="9"/>
  <c r="CA86" i="9"/>
  <c r="CB86" i="9"/>
  <c r="CC86" i="9"/>
  <c r="CD86" i="9"/>
  <c r="CE86" i="9"/>
  <c r="CF86" i="9"/>
  <c r="CG86" i="9"/>
  <c r="CH86" i="9"/>
  <c r="CI86" i="9"/>
  <c r="CJ86" i="9"/>
  <c r="CK86" i="9"/>
  <c r="CL86" i="9"/>
  <c r="CN86" i="9"/>
  <c r="CQ86" i="9"/>
  <c r="CR86" i="9"/>
  <c r="CT86" i="9"/>
  <c r="CU86" i="9"/>
  <c r="CV86" i="9"/>
  <c r="CW86" i="9"/>
  <c r="DB86" i="9"/>
  <c r="A87" i="9"/>
  <c r="R87" i="9"/>
  <c r="S87" i="9"/>
  <c r="T87" i="9"/>
  <c r="U87" i="9"/>
  <c r="V87" i="9"/>
  <c r="AF87" i="9"/>
  <c r="AH87" i="9"/>
  <c r="AL87" i="9"/>
  <c r="AM87" i="9"/>
  <c r="AO87" i="9"/>
  <c r="AP87" i="9"/>
  <c r="AR87" i="9"/>
  <c r="AT87" i="9"/>
  <c r="AU87" i="9"/>
  <c r="AW87" i="9"/>
  <c r="AX87" i="9"/>
  <c r="AY87" i="9"/>
  <c r="AZ87" i="9"/>
  <c r="BA87" i="9"/>
  <c r="BB87" i="9"/>
  <c r="BD87" i="9"/>
  <c r="BE87" i="9"/>
  <c r="BF87" i="9"/>
  <c r="BG87" i="9"/>
  <c r="BH87" i="9"/>
  <c r="BI87" i="9"/>
  <c r="BK87" i="9"/>
  <c r="BL87" i="9"/>
  <c r="BM87" i="9"/>
  <c r="BN87" i="9"/>
  <c r="BO87" i="9"/>
  <c r="BP87" i="9"/>
  <c r="BQ87" i="9"/>
  <c r="CA87" i="9"/>
  <c r="CB87" i="9"/>
  <c r="CC87" i="9"/>
  <c r="CD87" i="9"/>
  <c r="CE87" i="9"/>
  <c r="CF87" i="9"/>
  <c r="CG87" i="9"/>
  <c r="CH87" i="9"/>
  <c r="CI87" i="9"/>
  <c r="CJ87" i="9"/>
  <c r="CK87" i="9"/>
  <c r="CL87" i="9"/>
  <c r="CN87" i="9"/>
  <c r="CQ87" i="9"/>
  <c r="CR87" i="9"/>
  <c r="CT87" i="9"/>
  <c r="CU87" i="9"/>
  <c r="CV87" i="9"/>
  <c r="CW87" i="9"/>
  <c r="DB87" i="9"/>
  <c r="A88" i="9"/>
  <c r="R88" i="9"/>
  <c r="S88" i="9"/>
  <c r="T88" i="9"/>
  <c r="U88" i="9"/>
  <c r="V88" i="9"/>
  <c r="AF88" i="9"/>
  <c r="AH88" i="9"/>
  <c r="AL88" i="9"/>
  <c r="AM88" i="9"/>
  <c r="AO88" i="9"/>
  <c r="AP88" i="9"/>
  <c r="AR88" i="9"/>
  <c r="AT88" i="9"/>
  <c r="AU88" i="9"/>
  <c r="AW88" i="9"/>
  <c r="AX88" i="9"/>
  <c r="AY88" i="9"/>
  <c r="AZ88" i="9"/>
  <c r="BA88" i="9"/>
  <c r="BB88" i="9"/>
  <c r="BD88" i="9"/>
  <c r="BE88" i="9"/>
  <c r="BF88" i="9"/>
  <c r="BG88" i="9"/>
  <c r="BH88" i="9"/>
  <c r="BI88" i="9"/>
  <c r="BK88" i="9"/>
  <c r="BL88" i="9"/>
  <c r="BM88" i="9"/>
  <c r="BN88" i="9"/>
  <c r="BO88" i="9"/>
  <c r="BP88" i="9"/>
  <c r="BQ88" i="9"/>
  <c r="CA88" i="9"/>
  <c r="CB88" i="9"/>
  <c r="CC88" i="9"/>
  <c r="CD88" i="9"/>
  <c r="CE88" i="9"/>
  <c r="CF88" i="9"/>
  <c r="CG88" i="9"/>
  <c r="CH88" i="9"/>
  <c r="CI88" i="9"/>
  <c r="CJ88" i="9"/>
  <c r="CK88" i="9"/>
  <c r="CL88" i="9"/>
  <c r="CN88" i="9"/>
  <c r="CQ88" i="9"/>
  <c r="CR88" i="9"/>
  <c r="CT88" i="9"/>
  <c r="CU88" i="9"/>
  <c r="CV88" i="9"/>
  <c r="CW88" i="9"/>
  <c r="DB88" i="9"/>
  <c r="A89" i="9"/>
  <c r="R89" i="9"/>
  <c r="S89" i="9"/>
  <c r="T89" i="9"/>
  <c r="U89" i="9"/>
  <c r="V89" i="9"/>
  <c r="AF89" i="9"/>
  <c r="AH89" i="9"/>
  <c r="AL89" i="9"/>
  <c r="AM89" i="9"/>
  <c r="AO89" i="9"/>
  <c r="AP89" i="9"/>
  <c r="AR89" i="9"/>
  <c r="AT89" i="9"/>
  <c r="AU89" i="9"/>
  <c r="AW89" i="9"/>
  <c r="AX89" i="9"/>
  <c r="AY89" i="9"/>
  <c r="AZ89" i="9"/>
  <c r="BA89" i="9"/>
  <c r="BB89" i="9"/>
  <c r="BD89" i="9"/>
  <c r="BE89" i="9"/>
  <c r="BF89" i="9"/>
  <c r="BG89" i="9"/>
  <c r="BH89" i="9"/>
  <c r="BI89" i="9"/>
  <c r="BK89" i="9"/>
  <c r="BL89" i="9"/>
  <c r="BM89" i="9"/>
  <c r="BN89" i="9"/>
  <c r="BO89" i="9"/>
  <c r="BP89" i="9"/>
  <c r="BQ89" i="9"/>
  <c r="CA89" i="9"/>
  <c r="CB89" i="9"/>
  <c r="CC89" i="9"/>
  <c r="CD89" i="9"/>
  <c r="CE89" i="9"/>
  <c r="CF89" i="9"/>
  <c r="CG89" i="9"/>
  <c r="CH89" i="9"/>
  <c r="CI89" i="9"/>
  <c r="CJ89" i="9"/>
  <c r="CK89" i="9"/>
  <c r="CL89" i="9"/>
  <c r="CN89" i="9"/>
  <c r="CQ89" i="9"/>
  <c r="CR89" i="9"/>
  <c r="CT89" i="9"/>
  <c r="CU89" i="9"/>
  <c r="CV89" i="9"/>
  <c r="CW89" i="9"/>
  <c r="DB89" i="9"/>
  <c r="A90" i="9"/>
  <c r="R90" i="9"/>
  <c r="S90" i="9"/>
  <c r="T90" i="9"/>
  <c r="U90" i="9"/>
  <c r="V90" i="9"/>
  <c r="AF90" i="9"/>
  <c r="AH90" i="9"/>
  <c r="AL90" i="9"/>
  <c r="AM90" i="9"/>
  <c r="AO90" i="9"/>
  <c r="AP90" i="9"/>
  <c r="AR90" i="9"/>
  <c r="AT90" i="9"/>
  <c r="AU90" i="9"/>
  <c r="AW90" i="9"/>
  <c r="AX90" i="9"/>
  <c r="AY90" i="9"/>
  <c r="AZ90" i="9"/>
  <c r="BA90" i="9"/>
  <c r="BB90" i="9"/>
  <c r="BD90" i="9"/>
  <c r="BE90" i="9"/>
  <c r="BF90" i="9"/>
  <c r="BG90" i="9"/>
  <c r="BH90" i="9"/>
  <c r="BI90" i="9"/>
  <c r="BK90" i="9"/>
  <c r="BL90" i="9"/>
  <c r="BM90" i="9"/>
  <c r="BN90" i="9"/>
  <c r="BO90" i="9"/>
  <c r="BP90" i="9"/>
  <c r="BQ90" i="9"/>
  <c r="CA90" i="9"/>
  <c r="CB90" i="9"/>
  <c r="CC90" i="9"/>
  <c r="CD90" i="9"/>
  <c r="CE90" i="9"/>
  <c r="CF90" i="9"/>
  <c r="CG90" i="9"/>
  <c r="CH90" i="9"/>
  <c r="CI90" i="9"/>
  <c r="CJ90" i="9"/>
  <c r="CK90" i="9"/>
  <c r="CL90" i="9"/>
  <c r="CM90" i="9"/>
  <c r="CN90" i="9"/>
  <c r="CQ90" i="9"/>
  <c r="CR90" i="9"/>
  <c r="CT90" i="9"/>
  <c r="CU90" i="9"/>
  <c r="CV90" i="9"/>
  <c r="CW90" i="9"/>
  <c r="DB90" i="9"/>
  <c r="A91" i="9"/>
  <c r="R91" i="9"/>
  <c r="S91" i="9"/>
  <c r="T91" i="9"/>
  <c r="U91" i="9"/>
  <c r="V91" i="9"/>
  <c r="AF91" i="9"/>
  <c r="AH91" i="9"/>
  <c r="AL91" i="9"/>
  <c r="AM91" i="9"/>
  <c r="AO91" i="9"/>
  <c r="AP91" i="9"/>
  <c r="AR91" i="9"/>
  <c r="AT91" i="9"/>
  <c r="AU91" i="9"/>
  <c r="AX91" i="9"/>
  <c r="AY91" i="9"/>
  <c r="AZ91" i="9"/>
  <c r="BA91" i="9"/>
  <c r="BB91" i="9"/>
  <c r="BD91" i="9"/>
  <c r="BE91" i="9"/>
  <c r="BF91" i="9"/>
  <c r="BG91" i="9"/>
  <c r="BH91" i="9"/>
  <c r="BI91" i="9"/>
  <c r="BK91" i="9"/>
  <c r="BL91" i="9"/>
  <c r="BM91" i="9"/>
  <c r="BN91" i="9"/>
  <c r="BO91" i="9"/>
  <c r="BP91" i="9"/>
  <c r="BQ91" i="9"/>
  <c r="CA91" i="9"/>
  <c r="CB91" i="9"/>
  <c r="CC91" i="9"/>
  <c r="CD91" i="9"/>
  <c r="CE91" i="9"/>
  <c r="CF91" i="9"/>
  <c r="CG91" i="9"/>
  <c r="CH91" i="9"/>
  <c r="CI91" i="9"/>
  <c r="CJ91" i="9"/>
  <c r="CK91" i="9"/>
  <c r="CL91" i="9"/>
  <c r="CN91" i="9"/>
  <c r="CQ91" i="9"/>
  <c r="CR91" i="9"/>
  <c r="CT91" i="9"/>
  <c r="CU91" i="9"/>
  <c r="CV91" i="9"/>
  <c r="CW91" i="9"/>
  <c r="DB91" i="9"/>
  <c r="A92" i="9"/>
  <c r="R92" i="9"/>
  <c r="S92" i="9"/>
  <c r="T92" i="9"/>
  <c r="U92" i="9"/>
  <c r="V92" i="9"/>
  <c r="AF92" i="9"/>
  <c r="AH92" i="9"/>
  <c r="AL92" i="9"/>
  <c r="AM92" i="9"/>
  <c r="AO92" i="9"/>
  <c r="AP92" i="9"/>
  <c r="AR92" i="9"/>
  <c r="AT92" i="9"/>
  <c r="AU92" i="9"/>
  <c r="AW92" i="9"/>
  <c r="AX92" i="9"/>
  <c r="AY92" i="9"/>
  <c r="AZ92" i="9"/>
  <c r="BA92" i="9"/>
  <c r="BB92" i="9"/>
  <c r="BD92" i="9"/>
  <c r="BE92" i="9"/>
  <c r="BF92" i="9"/>
  <c r="BG92" i="9"/>
  <c r="BH92" i="9"/>
  <c r="BI92" i="9"/>
  <c r="BK92" i="9"/>
  <c r="BL92" i="9"/>
  <c r="BM92" i="9"/>
  <c r="BN92" i="9"/>
  <c r="BO92" i="9"/>
  <c r="BP92" i="9"/>
  <c r="BQ92" i="9"/>
  <c r="CA92" i="9"/>
  <c r="CB92" i="9"/>
  <c r="CC92" i="9"/>
  <c r="CD92" i="9"/>
  <c r="CE92" i="9"/>
  <c r="CF92" i="9"/>
  <c r="CG92" i="9"/>
  <c r="CH92" i="9"/>
  <c r="CI92" i="9"/>
  <c r="CJ92" i="9"/>
  <c r="CK92" i="9"/>
  <c r="CL92" i="9"/>
  <c r="CN92" i="9"/>
  <c r="CQ92" i="9"/>
  <c r="CR92" i="9"/>
  <c r="CT92" i="9"/>
  <c r="CU92" i="9"/>
  <c r="CV92" i="9"/>
  <c r="CW92" i="9"/>
  <c r="DB92" i="9"/>
  <c r="A93" i="9"/>
  <c r="R93" i="9"/>
  <c r="S93" i="9"/>
  <c r="T93" i="9"/>
  <c r="U93" i="9"/>
  <c r="V93" i="9"/>
  <c r="AF93" i="9"/>
  <c r="AH93" i="9"/>
  <c r="AL93" i="9"/>
  <c r="AM93" i="9"/>
  <c r="AO93" i="9"/>
  <c r="AP93" i="9"/>
  <c r="AR93" i="9"/>
  <c r="AT93" i="9"/>
  <c r="AU93" i="9"/>
  <c r="AW93" i="9"/>
  <c r="AX93" i="9"/>
  <c r="AY93" i="9"/>
  <c r="AZ93" i="9"/>
  <c r="BA93" i="9"/>
  <c r="BB93" i="9"/>
  <c r="BD93" i="9"/>
  <c r="BE93" i="9"/>
  <c r="BF93" i="9"/>
  <c r="BG93" i="9"/>
  <c r="BH93" i="9"/>
  <c r="BI93" i="9"/>
  <c r="BK93" i="9"/>
  <c r="BL93" i="9"/>
  <c r="BM93" i="9"/>
  <c r="BN93" i="9"/>
  <c r="BO93" i="9"/>
  <c r="BP93" i="9"/>
  <c r="BQ93" i="9"/>
  <c r="CA93" i="9"/>
  <c r="CB93" i="9"/>
  <c r="CC93" i="9"/>
  <c r="CD93" i="9"/>
  <c r="CE93" i="9"/>
  <c r="CF93" i="9"/>
  <c r="CG93" i="9"/>
  <c r="CH93" i="9"/>
  <c r="CI93" i="9"/>
  <c r="CJ93" i="9"/>
  <c r="CK93" i="9"/>
  <c r="CL93" i="9"/>
  <c r="CN93" i="9"/>
  <c r="CQ93" i="9"/>
  <c r="CR93" i="9"/>
  <c r="CT93" i="9"/>
  <c r="CU93" i="9"/>
  <c r="CV93" i="9"/>
  <c r="CW93" i="9"/>
  <c r="DB93" i="9"/>
  <c r="A94" i="9"/>
  <c r="R94" i="9"/>
  <c r="S94" i="9"/>
  <c r="T94" i="9"/>
  <c r="U94" i="9"/>
  <c r="V94" i="9"/>
  <c r="AF94" i="9"/>
  <c r="AH94" i="9"/>
  <c r="AL94" i="9"/>
  <c r="AM94" i="9"/>
  <c r="AO94" i="9"/>
  <c r="AP94" i="9"/>
  <c r="AR94" i="9"/>
  <c r="AT94" i="9"/>
  <c r="AU94" i="9"/>
  <c r="AW94" i="9"/>
  <c r="AX94" i="9"/>
  <c r="AY94" i="9"/>
  <c r="AZ94" i="9"/>
  <c r="BA94" i="9"/>
  <c r="BB94" i="9"/>
  <c r="BD94" i="9"/>
  <c r="BE94" i="9"/>
  <c r="BF94" i="9"/>
  <c r="BG94" i="9"/>
  <c r="BH94" i="9"/>
  <c r="BI94" i="9"/>
  <c r="BK94" i="9"/>
  <c r="BL94" i="9"/>
  <c r="BM94" i="9"/>
  <c r="BN94" i="9"/>
  <c r="BO94" i="9"/>
  <c r="BP94" i="9"/>
  <c r="BQ94" i="9"/>
  <c r="CA94" i="9"/>
  <c r="CB94" i="9"/>
  <c r="CC94" i="9"/>
  <c r="CD94" i="9"/>
  <c r="CE94" i="9"/>
  <c r="CF94" i="9"/>
  <c r="CG94" i="9"/>
  <c r="CH94" i="9"/>
  <c r="CI94" i="9"/>
  <c r="CJ94" i="9"/>
  <c r="CK94" i="9"/>
  <c r="CL94" i="9"/>
  <c r="CN94" i="9"/>
  <c r="CQ94" i="9"/>
  <c r="CR94" i="9"/>
  <c r="CT94" i="9"/>
  <c r="CU94" i="9"/>
  <c r="CV94" i="9"/>
  <c r="CW94" i="9"/>
  <c r="DB94" i="9"/>
  <c r="A95" i="9"/>
  <c r="R95" i="9"/>
  <c r="S95" i="9"/>
  <c r="T95" i="9"/>
  <c r="U95" i="9"/>
  <c r="V95" i="9"/>
  <c r="AF95" i="9"/>
  <c r="AH95" i="9"/>
  <c r="AL95" i="9"/>
  <c r="AM95" i="9"/>
  <c r="AO95" i="9"/>
  <c r="AP95" i="9"/>
  <c r="AR95" i="9"/>
  <c r="AT95" i="9"/>
  <c r="AU95" i="9"/>
  <c r="AW95" i="9"/>
  <c r="AX95" i="9"/>
  <c r="AY95" i="9"/>
  <c r="AZ95" i="9"/>
  <c r="BA95" i="9"/>
  <c r="BB95" i="9"/>
  <c r="BD95" i="9"/>
  <c r="BE95" i="9"/>
  <c r="BF95" i="9"/>
  <c r="BG95" i="9"/>
  <c r="BH95" i="9"/>
  <c r="BI95" i="9"/>
  <c r="BK95" i="9"/>
  <c r="BL95" i="9"/>
  <c r="BM95" i="9"/>
  <c r="BN95" i="9"/>
  <c r="BO95" i="9"/>
  <c r="BP95" i="9"/>
  <c r="BQ95" i="9"/>
  <c r="CA95" i="9"/>
  <c r="CB95" i="9"/>
  <c r="CC95" i="9"/>
  <c r="CD95" i="9"/>
  <c r="CE95" i="9"/>
  <c r="CF95" i="9"/>
  <c r="CG95" i="9"/>
  <c r="CH95" i="9"/>
  <c r="CI95" i="9"/>
  <c r="CJ95" i="9"/>
  <c r="CK95" i="9"/>
  <c r="CL95" i="9"/>
  <c r="CN95" i="9"/>
  <c r="CQ95" i="9"/>
  <c r="CR95" i="9"/>
  <c r="CT95" i="9"/>
  <c r="CU95" i="9"/>
  <c r="CV95" i="9"/>
  <c r="CW95" i="9"/>
  <c r="DB95" i="9"/>
  <c r="A96" i="9"/>
  <c r="R96" i="9"/>
  <c r="S96" i="9"/>
  <c r="T96" i="9"/>
  <c r="U96" i="9"/>
  <c r="V96" i="9"/>
  <c r="AF96" i="9"/>
  <c r="AH96" i="9"/>
  <c r="AL96" i="9"/>
  <c r="AM96" i="9"/>
  <c r="AO96" i="9"/>
  <c r="AP96" i="9"/>
  <c r="AR96" i="9"/>
  <c r="AT96" i="9"/>
  <c r="AU96" i="9"/>
  <c r="AW96" i="9"/>
  <c r="AX96" i="9"/>
  <c r="AY96" i="9"/>
  <c r="AZ96" i="9"/>
  <c r="BA96" i="9"/>
  <c r="BB96" i="9"/>
  <c r="BD96" i="9"/>
  <c r="BE96" i="9"/>
  <c r="BF96" i="9"/>
  <c r="BG96" i="9"/>
  <c r="BH96" i="9"/>
  <c r="BI96" i="9"/>
  <c r="BK96" i="9"/>
  <c r="BL96" i="9"/>
  <c r="BM96" i="9"/>
  <c r="BN96" i="9"/>
  <c r="BO96" i="9"/>
  <c r="BP96" i="9"/>
  <c r="BQ96" i="9"/>
  <c r="CA96" i="9"/>
  <c r="CB96" i="9"/>
  <c r="CC96" i="9"/>
  <c r="CD96" i="9"/>
  <c r="CE96" i="9"/>
  <c r="CF96" i="9"/>
  <c r="CG96" i="9"/>
  <c r="CH96" i="9"/>
  <c r="CI96" i="9"/>
  <c r="CJ96" i="9"/>
  <c r="CK96" i="9"/>
  <c r="CL96" i="9"/>
  <c r="CN96" i="9"/>
  <c r="CQ96" i="9"/>
  <c r="CR96" i="9"/>
  <c r="CT96" i="9"/>
  <c r="CU96" i="9"/>
  <c r="CV96" i="9"/>
  <c r="CW96" i="9"/>
  <c r="DB96" i="9"/>
  <c r="A97" i="9"/>
  <c r="R97" i="9"/>
  <c r="S97" i="9"/>
  <c r="T97" i="9"/>
  <c r="U97" i="9"/>
  <c r="V97" i="9"/>
  <c r="AF97" i="9"/>
  <c r="AH97" i="9"/>
  <c r="AL97" i="9"/>
  <c r="AM97" i="9"/>
  <c r="AO97" i="9"/>
  <c r="AP97" i="9"/>
  <c r="AR97" i="9"/>
  <c r="AT97" i="9"/>
  <c r="AU97" i="9"/>
  <c r="AW97" i="9"/>
  <c r="AX97" i="9"/>
  <c r="AY97" i="9"/>
  <c r="AZ97" i="9"/>
  <c r="BA97" i="9"/>
  <c r="BB97" i="9"/>
  <c r="BD97" i="9"/>
  <c r="BE97" i="9"/>
  <c r="BF97" i="9"/>
  <c r="BG97" i="9"/>
  <c r="BH97" i="9"/>
  <c r="BI97" i="9"/>
  <c r="BK97" i="9"/>
  <c r="BL97" i="9"/>
  <c r="BM97" i="9"/>
  <c r="BN97" i="9"/>
  <c r="BO97" i="9"/>
  <c r="BP97" i="9"/>
  <c r="BQ97" i="9"/>
  <c r="CA97" i="9"/>
  <c r="CB97" i="9"/>
  <c r="CC97" i="9"/>
  <c r="CD97" i="9"/>
  <c r="CE97" i="9"/>
  <c r="CF97" i="9"/>
  <c r="CG97" i="9"/>
  <c r="CH97" i="9"/>
  <c r="CI97" i="9"/>
  <c r="CJ97" i="9"/>
  <c r="CK97" i="9"/>
  <c r="CL97" i="9"/>
  <c r="CN97" i="9"/>
  <c r="CQ97" i="9"/>
  <c r="CR97" i="9"/>
  <c r="CT97" i="9"/>
  <c r="CU97" i="9"/>
  <c r="CV97" i="9"/>
  <c r="CW97" i="9"/>
  <c r="DB97" i="9"/>
  <c r="A98" i="9"/>
  <c r="R98" i="9"/>
  <c r="S98" i="9"/>
  <c r="T98" i="9"/>
  <c r="U98" i="9"/>
  <c r="V98" i="9"/>
  <c r="AF98" i="9"/>
  <c r="AH98" i="9"/>
  <c r="AL98" i="9"/>
  <c r="AM98" i="9"/>
  <c r="AO98" i="9"/>
  <c r="AP98" i="9"/>
  <c r="AR98" i="9"/>
  <c r="AT98" i="9"/>
  <c r="AU98" i="9"/>
  <c r="AW98" i="9"/>
  <c r="AX98" i="9"/>
  <c r="AY98" i="9"/>
  <c r="AZ98" i="9"/>
  <c r="BA98" i="9"/>
  <c r="BB98" i="9"/>
  <c r="BD98" i="9"/>
  <c r="BE98" i="9"/>
  <c r="BF98" i="9"/>
  <c r="BG98" i="9"/>
  <c r="BH98" i="9"/>
  <c r="BI98" i="9"/>
  <c r="BK98" i="9"/>
  <c r="BL98" i="9"/>
  <c r="BM98" i="9"/>
  <c r="BN98" i="9"/>
  <c r="BO98" i="9"/>
  <c r="BP98" i="9"/>
  <c r="BQ98" i="9"/>
  <c r="CA98" i="9"/>
  <c r="CB98" i="9"/>
  <c r="CC98" i="9"/>
  <c r="CD98" i="9"/>
  <c r="CE98" i="9"/>
  <c r="CF98" i="9"/>
  <c r="CG98" i="9"/>
  <c r="CH98" i="9"/>
  <c r="CI98" i="9"/>
  <c r="CJ98" i="9"/>
  <c r="CK98" i="9"/>
  <c r="CL98" i="9"/>
  <c r="CN98" i="9"/>
  <c r="CQ98" i="9"/>
  <c r="CR98" i="9"/>
  <c r="CT98" i="9"/>
  <c r="CU98" i="9"/>
  <c r="CV98" i="9"/>
  <c r="CW98" i="9"/>
  <c r="DB98" i="9"/>
  <c r="A99" i="9"/>
  <c r="R99" i="9"/>
  <c r="S99" i="9"/>
  <c r="T99" i="9"/>
  <c r="U99" i="9"/>
  <c r="V99" i="9"/>
  <c r="AF99" i="9"/>
  <c r="AH99" i="9"/>
  <c r="AL99" i="9"/>
  <c r="AM99" i="9"/>
  <c r="AO99" i="9"/>
  <c r="AR99" i="9"/>
  <c r="AT99" i="9"/>
  <c r="AU99" i="9"/>
  <c r="AW99" i="9"/>
  <c r="AX99" i="9"/>
  <c r="AY99" i="9"/>
  <c r="AZ99" i="9"/>
  <c r="BA99" i="9"/>
  <c r="BB99" i="9"/>
  <c r="BD99" i="9"/>
  <c r="BE99" i="9"/>
  <c r="BF99" i="9"/>
  <c r="BG99" i="9"/>
  <c r="BH99" i="9"/>
  <c r="BK99" i="9"/>
  <c r="BL99" i="9"/>
  <c r="BM99" i="9"/>
  <c r="BN99" i="9"/>
  <c r="BO99" i="9"/>
  <c r="BP99" i="9"/>
  <c r="BQ99" i="9"/>
  <c r="CA99" i="9"/>
  <c r="CB99" i="9"/>
  <c r="CC99" i="9"/>
  <c r="CD99" i="9"/>
  <c r="CE99" i="9"/>
  <c r="CF99" i="9"/>
  <c r="CG99" i="9"/>
  <c r="CH99" i="9"/>
  <c r="CI99" i="9"/>
  <c r="CJ99" i="9"/>
  <c r="CK99" i="9"/>
  <c r="CL99" i="9"/>
  <c r="CN99" i="9"/>
  <c r="CQ99" i="9"/>
  <c r="CR99" i="9"/>
  <c r="CT99" i="9"/>
  <c r="CU99" i="9"/>
  <c r="CV99" i="9"/>
  <c r="CW99" i="9"/>
  <c r="DB99" i="9"/>
  <c r="A100" i="9"/>
  <c r="R100" i="9"/>
  <c r="S100" i="9"/>
  <c r="T100" i="9"/>
  <c r="U100" i="9"/>
  <c r="V100" i="9"/>
  <c r="AF100" i="9"/>
  <c r="AH100" i="9"/>
  <c r="AL100" i="9"/>
  <c r="AM100" i="9"/>
  <c r="AO100" i="9"/>
  <c r="AR100" i="9"/>
  <c r="AT100" i="9"/>
  <c r="AU100" i="9"/>
  <c r="AW100" i="9"/>
  <c r="AX100" i="9"/>
  <c r="AY100" i="9"/>
  <c r="AZ100" i="9"/>
  <c r="BA100" i="9"/>
  <c r="BB100" i="9"/>
  <c r="BD100" i="9"/>
  <c r="BE100" i="9"/>
  <c r="BF100" i="9"/>
  <c r="BG100" i="9"/>
  <c r="BH100" i="9"/>
  <c r="BK100" i="9"/>
  <c r="BL100" i="9"/>
  <c r="BM100" i="9"/>
  <c r="BN100" i="9"/>
  <c r="BO100" i="9"/>
  <c r="BP100" i="9"/>
  <c r="BQ100" i="9"/>
  <c r="CA100" i="9"/>
  <c r="CB100" i="9"/>
  <c r="CC100" i="9"/>
  <c r="CD100" i="9"/>
  <c r="CE100" i="9"/>
  <c r="CF100" i="9"/>
  <c r="CG100" i="9"/>
  <c r="CH100" i="9"/>
  <c r="CI100" i="9"/>
  <c r="CJ100" i="9"/>
  <c r="CK100" i="9"/>
  <c r="CL100" i="9"/>
  <c r="CN100" i="9"/>
  <c r="CQ100" i="9"/>
  <c r="CR100" i="9"/>
  <c r="CT100" i="9"/>
  <c r="CU100" i="9"/>
  <c r="CV100" i="9"/>
  <c r="CW100" i="9"/>
  <c r="DB100" i="9"/>
  <c r="A101" i="9"/>
  <c r="R101" i="9"/>
  <c r="S101" i="9"/>
  <c r="T101" i="9"/>
  <c r="U101" i="9"/>
  <c r="V101" i="9"/>
  <c r="AF101" i="9"/>
  <c r="AH101" i="9"/>
  <c r="AL101" i="9"/>
  <c r="AM101" i="9"/>
  <c r="AO101" i="9"/>
  <c r="AR101" i="9"/>
  <c r="AT101" i="9"/>
  <c r="AU101" i="9"/>
  <c r="AW101" i="9"/>
  <c r="AX101" i="9"/>
  <c r="AY101" i="9"/>
  <c r="AZ101" i="9"/>
  <c r="BA101" i="9"/>
  <c r="BB101" i="9"/>
  <c r="BD101" i="9"/>
  <c r="BE101" i="9"/>
  <c r="BF101" i="9"/>
  <c r="BG101" i="9"/>
  <c r="BH101" i="9"/>
  <c r="BK101" i="9"/>
  <c r="BL101" i="9"/>
  <c r="BM101" i="9"/>
  <c r="BN101" i="9"/>
  <c r="BO101" i="9"/>
  <c r="BP101" i="9"/>
  <c r="BQ101" i="9"/>
  <c r="CA101" i="9"/>
  <c r="CB101" i="9"/>
  <c r="CC101" i="9"/>
  <c r="CD101" i="9"/>
  <c r="CE101" i="9"/>
  <c r="CF101" i="9"/>
  <c r="CG101" i="9"/>
  <c r="CH101" i="9"/>
  <c r="CI101" i="9"/>
  <c r="CJ101" i="9"/>
  <c r="CK101" i="9"/>
  <c r="CL101" i="9"/>
  <c r="CN101" i="9"/>
  <c r="CQ101" i="9"/>
  <c r="CR101" i="9"/>
  <c r="CT101" i="9"/>
  <c r="CU101" i="9"/>
  <c r="CV101" i="9"/>
  <c r="CW101" i="9"/>
  <c r="DB101" i="9"/>
  <c r="A102" i="9"/>
  <c r="R102" i="9"/>
  <c r="S102" i="9"/>
  <c r="T102" i="9"/>
  <c r="U102" i="9"/>
  <c r="V102" i="9"/>
  <c r="AF102" i="9"/>
  <c r="AH102" i="9"/>
  <c r="AL102" i="9"/>
  <c r="AM102" i="9"/>
  <c r="AO102" i="9"/>
  <c r="AR102" i="9"/>
  <c r="AT102" i="9"/>
  <c r="AU102" i="9"/>
  <c r="AW102" i="9"/>
  <c r="AX102" i="9"/>
  <c r="AY102" i="9"/>
  <c r="AZ102" i="9"/>
  <c r="BA102" i="9"/>
  <c r="BB102" i="9"/>
  <c r="BD102" i="9"/>
  <c r="BE102" i="9"/>
  <c r="BF102" i="9"/>
  <c r="BG102" i="9"/>
  <c r="BH102" i="9"/>
  <c r="BK102" i="9"/>
  <c r="BL102" i="9"/>
  <c r="BM102" i="9"/>
  <c r="BN102" i="9"/>
  <c r="BO102" i="9"/>
  <c r="BP102" i="9"/>
  <c r="BQ102" i="9"/>
  <c r="CA102" i="9"/>
  <c r="CB102" i="9"/>
  <c r="CC102" i="9"/>
  <c r="CD102" i="9"/>
  <c r="CE102" i="9"/>
  <c r="CF102" i="9"/>
  <c r="CG102" i="9"/>
  <c r="CH102" i="9"/>
  <c r="CI102" i="9"/>
  <c r="CJ102" i="9"/>
  <c r="CK102" i="9"/>
  <c r="CL102" i="9"/>
  <c r="CM102" i="9"/>
  <c r="CN102" i="9"/>
  <c r="CQ102" i="9"/>
  <c r="CR102" i="9"/>
  <c r="CT102" i="9"/>
  <c r="CU102" i="9"/>
  <c r="CV102" i="9"/>
  <c r="CW102" i="9"/>
  <c r="DB102" i="9"/>
  <c r="A103" i="9"/>
  <c r="R103" i="9"/>
  <c r="S103" i="9"/>
  <c r="T103" i="9"/>
  <c r="U103" i="9"/>
  <c r="V103" i="9"/>
  <c r="AF103" i="9"/>
  <c r="AH103" i="9"/>
  <c r="AL103" i="9"/>
  <c r="AM103" i="9"/>
  <c r="AO103" i="9"/>
  <c r="AR103" i="9"/>
  <c r="AT103" i="9"/>
  <c r="AU103" i="9"/>
  <c r="AX103" i="9"/>
  <c r="AY103" i="9"/>
  <c r="AZ103" i="9"/>
  <c r="BA103" i="9"/>
  <c r="BB103" i="9"/>
  <c r="BD103" i="9"/>
  <c r="BE103" i="9"/>
  <c r="BF103" i="9"/>
  <c r="BG103" i="9"/>
  <c r="BH103" i="9"/>
  <c r="BK103" i="9"/>
  <c r="BL103" i="9"/>
  <c r="BM103" i="9"/>
  <c r="BN103" i="9"/>
  <c r="BO103" i="9"/>
  <c r="BP103" i="9"/>
  <c r="BQ103" i="9"/>
  <c r="CA103" i="9"/>
  <c r="CB103" i="9"/>
  <c r="CC103" i="9"/>
  <c r="CD103" i="9"/>
  <c r="CE103" i="9"/>
  <c r="CF103" i="9"/>
  <c r="CG103" i="9"/>
  <c r="CH103" i="9"/>
  <c r="CI103" i="9"/>
  <c r="CJ103" i="9"/>
  <c r="CK103" i="9"/>
  <c r="CL103" i="9"/>
  <c r="CN103" i="9"/>
  <c r="CQ103" i="9"/>
  <c r="CR103" i="9"/>
  <c r="CT103" i="9"/>
  <c r="CU103" i="9"/>
  <c r="CV103" i="9"/>
  <c r="DB103" i="9"/>
  <c r="A104" i="9"/>
  <c r="R104" i="9"/>
  <c r="S104" i="9"/>
  <c r="T104" i="9"/>
  <c r="U104" i="9"/>
  <c r="V104" i="9"/>
  <c r="AF104" i="9"/>
  <c r="AH104" i="9"/>
  <c r="AL104" i="9"/>
  <c r="AM104" i="9"/>
  <c r="AO104" i="9"/>
  <c r="AR104" i="9"/>
  <c r="AT104" i="9"/>
  <c r="AU104" i="9"/>
  <c r="AW104" i="9"/>
  <c r="AX104" i="9"/>
  <c r="AY104" i="9"/>
  <c r="AZ104" i="9"/>
  <c r="BA104" i="9"/>
  <c r="BB104" i="9"/>
  <c r="BD104" i="9"/>
  <c r="BE104" i="9"/>
  <c r="BF104" i="9"/>
  <c r="BG104" i="9"/>
  <c r="BH104" i="9"/>
  <c r="BK104" i="9"/>
  <c r="BL104" i="9"/>
  <c r="BM104" i="9"/>
  <c r="BN104" i="9"/>
  <c r="BO104" i="9"/>
  <c r="BP104" i="9"/>
  <c r="BQ104" i="9"/>
  <c r="CA104" i="9"/>
  <c r="CB104" i="9"/>
  <c r="CC104" i="9"/>
  <c r="CD104" i="9"/>
  <c r="CE104" i="9"/>
  <c r="CF104" i="9"/>
  <c r="CG104" i="9"/>
  <c r="CH104" i="9"/>
  <c r="CI104" i="9"/>
  <c r="CJ104" i="9"/>
  <c r="CK104" i="9"/>
  <c r="CL104" i="9"/>
  <c r="CN104" i="9"/>
  <c r="CQ104" i="9"/>
  <c r="CR104" i="9"/>
  <c r="CT104" i="9"/>
  <c r="CU104" i="9"/>
  <c r="CV104" i="9"/>
  <c r="DB104" i="9"/>
  <c r="A105" i="9"/>
  <c r="R105" i="9"/>
  <c r="S105" i="9"/>
  <c r="T105" i="9"/>
  <c r="U105" i="9"/>
  <c r="V105" i="9"/>
  <c r="AF105" i="9"/>
  <c r="AH105" i="9"/>
  <c r="AL105" i="9"/>
  <c r="AM105" i="9"/>
  <c r="AO105" i="9"/>
  <c r="AR105" i="9"/>
  <c r="AT105" i="9"/>
  <c r="AU105" i="9"/>
  <c r="AW105" i="9"/>
  <c r="AX105" i="9"/>
  <c r="AY105" i="9"/>
  <c r="AZ105" i="9"/>
  <c r="BA105" i="9"/>
  <c r="BB105" i="9"/>
  <c r="BD105" i="9"/>
  <c r="BE105" i="9"/>
  <c r="BF105" i="9"/>
  <c r="BG105" i="9"/>
  <c r="BH105" i="9"/>
  <c r="BK105" i="9"/>
  <c r="BL105" i="9"/>
  <c r="BM105" i="9"/>
  <c r="BN105" i="9"/>
  <c r="BO105" i="9"/>
  <c r="BP105" i="9"/>
  <c r="BQ105" i="9"/>
  <c r="CA105" i="9"/>
  <c r="CB105" i="9"/>
  <c r="CC105" i="9"/>
  <c r="CD105" i="9"/>
  <c r="CE105" i="9"/>
  <c r="CF105" i="9"/>
  <c r="CG105" i="9"/>
  <c r="CH105" i="9"/>
  <c r="CI105" i="9"/>
  <c r="CJ105" i="9"/>
  <c r="CK105" i="9"/>
  <c r="CL105" i="9"/>
  <c r="CN105" i="9"/>
  <c r="CQ105" i="9"/>
  <c r="CR105" i="9"/>
  <c r="CT105" i="9"/>
  <c r="CU105" i="9"/>
  <c r="CV105" i="9"/>
  <c r="DB105" i="9"/>
  <c r="A106" i="9"/>
  <c r="R106" i="9"/>
  <c r="S106" i="9"/>
  <c r="T106" i="9"/>
  <c r="U106" i="9"/>
  <c r="V106" i="9"/>
  <c r="AF106" i="9"/>
  <c r="AH106" i="9"/>
  <c r="AL106" i="9"/>
  <c r="AM106" i="9"/>
  <c r="AO106" i="9"/>
  <c r="AR106" i="9"/>
  <c r="AT106" i="9"/>
  <c r="AU106" i="9"/>
  <c r="AW106" i="9"/>
  <c r="AX106" i="9"/>
  <c r="AY106" i="9"/>
  <c r="AZ106" i="9"/>
  <c r="BA106" i="9"/>
  <c r="BB106" i="9"/>
  <c r="BD106" i="9"/>
  <c r="BE106" i="9"/>
  <c r="BF106" i="9"/>
  <c r="BG106" i="9"/>
  <c r="BH106" i="9"/>
  <c r="BK106" i="9"/>
  <c r="BL106" i="9"/>
  <c r="BM106" i="9"/>
  <c r="BN106" i="9"/>
  <c r="BO106" i="9"/>
  <c r="BP106" i="9"/>
  <c r="BQ106" i="9"/>
  <c r="CA106" i="9"/>
  <c r="CB106" i="9"/>
  <c r="CC106" i="9"/>
  <c r="CD106" i="9"/>
  <c r="CE106" i="9"/>
  <c r="CF106" i="9"/>
  <c r="CG106" i="9"/>
  <c r="CH106" i="9"/>
  <c r="CI106" i="9"/>
  <c r="CJ106" i="9"/>
  <c r="CK106" i="9"/>
  <c r="CL106" i="9"/>
  <c r="CN106" i="9"/>
  <c r="CQ106" i="9"/>
  <c r="CR106" i="9"/>
  <c r="CT106" i="9"/>
  <c r="CU106" i="9"/>
  <c r="CV106" i="9"/>
  <c r="DB106" i="9"/>
  <c r="A107" i="9"/>
  <c r="R107" i="9"/>
  <c r="S107" i="9"/>
  <c r="T107" i="9"/>
  <c r="U107" i="9"/>
  <c r="V107" i="9"/>
  <c r="AF107" i="9"/>
  <c r="AH107" i="9"/>
  <c r="AL107" i="9"/>
  <c r="AM107" i="9"/>
  <c r="AO107" i="9"/>
  <c r="AR107" i="9"/>
  <c r="AT107" i="9"/>
  <c r="AU107" i="9"/>
  <c r="AW107" i="9"/>
  <c r="AX107" i="9"/>
  <c r="AY107" i="9"/>
  <c r="AZ107" i="9"/>
  <c r="BA107" i="9"/>
  <c r="BB107" i="9"/>
  <c r="BD107" i="9"/>
  <c r="BE107" i="9"/>
  <c r="BF107" i="9"/>
  <c r="BG107" i="9"/>
  <c r="BH107" i="9"/>
  <c r="BK107" i="9"/>
  <c r="BL107" i="9"/>
  <c r="BM107" i="9"/>
  <c r="BN107" i="9"/>
  <c r="BO107" i="9"/>
  <c r="BP107" i="9"/>
  <c r="BQ107" i="9"/>
  <c r="CA107" i="9"/>
  <c r="CB107" i="9"/>
  <c r="CC107" i="9"/>
  <c r="CD107" i="9"/>
  <c r="CE107" i="9"/>
  <c r="CF107" i="9"/>
  <c r="CG107" i="9"/>
  <c r="CH107" i="9"/>
  <c r="CI107" i="9"/>
  <c r="CJ107" i="9"/>
  <c r="CK107" i="9"/>
  <c r="CL107" i="9"/>
  <c r="CN107" i="9"/>
  <c r="CQ107" i="9"/>
  <c r="CR107" i="9"/>
  <c r="CT107" i="9"/>
  <c r="CU107" i="9"/>
  <c r="CV107" i="9"/>
  <c r="DB107" i="9"/>
  <c r="A108" i="9"/>
  <c r="R108" i="9"/>
  <c r="S108" i="9"/>
  <c r="T108" i="9"/>
  <c r="U108" i="9"/>
  <c r="V108" i="9"/>
  <c r="AF108" i="9"/>
  <c r="AH108" i="9"/>
  <c r="AL108" i="9"/>
  <c r="AM108" i="9"/>
  <c r="AO108" i="9"/>
  <c r="AR108" i="9"/>
  <c r="AT108" i="9"/>
  <c r="AU108" i="9"/>
  <c r="AW108" i="9"/>
  <c r="AX108" i="9"/>
  <c r="AY108" i="9"/>
  <c r="AZ108" i="9"/>
  <c r="BA108" i="9"/>
  <c r="BB108" i="9"/>
  <c r="BD108" i="9"/>
  <c r="BE108" i="9"/>
  <c r="BF108" i="9"/>
  <c r="BG108" i="9"/>
  <c r="BH108" i="9"/>
  <c r="BK108" i="9"/>
  <c r="BL108" i="9"/>
  <c r="BM108" i="9"/>
  <c r="BN108" i="9"/>
  <c r="BO108" i="9"/>
  <c r="BP108" i="9"/>
  <c r="BQ108" i="9"/>
  <c r="CA108" i="9"/>
  <c r="CB108" i="9"/>
  <c r="CC108" i="9"/>
  <c r="CD108" i="9"/>
  <c r="CE108" i="9"/>
  <c r="CF108" i="9"/>
  <c r="CG108" i="9"/>
  <c r="CH108" i="9"/>
  <c r="CI108" i="9"/>
  <c r="CJ108" i="9"/>
  <c r="CK108" i="9"/>
  <c r="CL108" i="9"/>
  <c r="CN108" i="9"/>
  <c r="CQ108" i="9"/>
  <c r="CR108" i="9"/>
  <c r="CT108" i="9"/>
  <c r="CU108" i="9"/>
  <c r="CV108" i="9"/>
  <c r="DB108" i="9"/>
  <c r="A109" i="9"/>
  <c r="R109" i="9"/>
  <c r="S109" i="9"/>
  <c r="T109" i="9"/>
  <c r="U109" i="9"/>
  <c r="V109" i="9"/>
  <c r="AF109" i="9"/>
  <c r="AH109" i="9"/>
  <c r="AL109" i="9"/>
  <c r="AM109" i="9"/>
  <c r="AO109" i="9"/>
  <c r="AR109" i="9"/>
  <c r="AT109" i="9"/>
  <c r="AU109" i="9"/>
  <c r="AW109" i="9"/>
  <c r="AX109" i="9"/>
  <c r="AY109" i="9"/>
  <c r="AZ109" i="9"/>
  <c r="BA109" i="9"/>
  <c r="BB109" i="9"/>
  <c r="BD109" i="9"/>
  <c r="BE109" i="9"/>
  <c r="BF109" i="9"/>
  <c r="BG109" i="9"/>
  <c r="BH109" i="9"/>
  <c r="BK109" i="9"/>
  <c r="BL109" i="9"/>
  <c r="BM109" i="9"/>
  <c r="BN109" i="9"/>
  <c r="BO109" i="9"/>
  <c r="BP109" i="9"/>
  <c r="BQ109" i="9"/>
  <c r="CA109" i="9"/>
  <c r="CB109" i="9"/>
  <c r="CC109" i="9"/>
  <c r="CD109" i="9"/>
  <c r="CE109" i="9"/>
  <c r="CF109" i="9"/>
  <c r="CG109" i="9"/>
  <c r="CH109" i="9"/>
  <c r="CI109" i="9"/>
  <c r="CJ109" i="9"/>
  <c r="CK109" i="9"/>
  <c r="CL109" i="9"/>
  <c r="CN109" i="9"/>
  <c r="CQ109" i="9"/>
  <c r="CR109" i="9"/>
  <c r="CT109" i="9"/>
  <c r="CU109" i="9"/>
  <c r="CV109" i="9"/>
  <c r="DB109" i="9"/>
  <c r="A110" i="9"/>
  <c r="R110" i="9"/>
  <c r="S110" i="9"/>
  <c r="T110" i="9"/>
  <c r="U110" i="9"/>
  <c r="V110" i="9"/>
  <c r="AF110" i="9"/>
  <c r="AH110" i="9"/>
  <c r="AL110" i="9"/>
  <c r="AM110" i="9"/>
  <c r="AO110" i="9"/>
  <c r="AR110" i="9"/>
  <c r="AT110" i="9"/>
  <c r="AU110" i="9"/>
  <c r="AW110" i="9"/>
  <c r="AX110" i="9"/>
  <c r="AY110" i="9"/>
  <c r="AZ110" i="9"/>
  <c r="BA110" i="9"/>
  <c r="BB110" i="9"/>
  <c r="BD110" i="9"/>
  <c r="BE110" i="9"/>
  <c r="BF110" i="9"/>
  <c r="BG110" i="9"/>
  <c r="BH110" i="9"/>
  <c r="BK110" i="9"/>
  <c r="BL110" i="9"/>
  <c r="BM110" i="9"/>
  <c r="BN110" i="9"/>
  <c r="BO110" i="9"/>
  <c r="BP110" i="9"/>
  <c r="BQ110" i="9"/>
  <c r="CA110" i="9"/>
  <c r="CB110" i="9"/>
  <c r="CC110" i="9"/>
  <c r="CD110" i="9"/>
  <c r="CE110" i="9"/>
  <c r="CF110" i="9"/>
  <c r="CG110" i="9"/>
  <c r="CH110" i="9"/>
  <c r="CI110" i="9"/>
  <c r="CJ110" i="9"/>
  <c r="CK110" i="9"/>
  <c r="CL110" i="9"/>
  <c r="CN110" i="9"/>
  <c r="CQ110" i="9"/>
  <c r="CR110" i="9"/>
  <c r="CT110" i="9"/>
  <c r="CU110" i="9"/>
  <c r="CV110" i="9"/>
  <c r="DB110" i="9"/>
  <c r="A111" i="9"/>
  <c r="R111" i="9"/>
  <c r="S111" i="9"/>
  <c r="T111" i="9"/>
  <c r="U111" i="9"/>
  <c r="V111" i="9"/>
  <c r="AF111" i="9"/>
  <c r="AH111" i="9"/>
  <c r="AL111" i="9"/>
  <c r="AM111" i="9"/>
  <c r="AO111" i="9"/>
  <c r="AR111" i="9"/>
  <c r="AT111" i="9"/>
  <c r="AU111" i="9"/>
  <c r="AW111" i="9"/>
  <c r="AX111" i="9"/>
  <c r="AY111" i="9"/>
  <c r="AZ111" i="9"/>
  <c r="BA111" i="9"/>
  <c r="BB111" i="9"/>
  <c r="BD111" i="9"/>
  <c r="BE111" i="9"/>
  <c r="BF111" i="9"/>
  <c r="BG111" i="9"/>
  <c r="BH111" i="9"/>
  <c r="BK111" i="9"/>
  <c r="BL111" i="9"/>
  <c r="BM111" i="9"/>
  <c r="BN111" i="9"/>
  <c r="BO111" i="9"/>
  <c r="BP111" i="9"/>
  <c r="BQ111" i="9"/>
  <c r="CA111" i="9"/>
  <c r="CB111" i="9"/>
  <c r="CC111" i="9"/>
  <c r="CD111" i="9"/>
  <c r="CE111" i="9"/>
  <c r="CF111" i="9"/>
  <c r="CG111" i="9"/>
  <c r="CH111" i="9"/>
  <c r="CI111" i="9"/>
  <c r="CJ111" i="9"/>
  <c r="CK111" i="9"/>
  <c r="CL111" i="9"/>
  <c r="CN111" i="9"/>
  <c r="CQ111" i="9"/>
  <c r="CR111" i="9"/>
  <c r="CT111" i="9"/>
  <c r="CU111" i="9"/>
  <c r="CV111" i="9"/>
  <c r="DB111" i="9"/>
  <c r="A112" i="9"/>
  <c r="R112" i="9"/>
  <c r="S112" i="9"/>
  <c r="T112" i="9"/>
  <c r="U112" i="9"/>
  <c r="V112" i="9"/>
  <c r="AF112" i="9"/>
  <c r="AH112" i="9"/>
  <c r="AL112" i="9"/>
  <c r="AM112" i="9"/>
  <c r="AO112" i="9"/>
  <c r="AR112" i="9"/>
  <c r="AT112" i="9"/>
  <c r="AU112" i="9"/>
  <c r="AW112" i="9"/>
  <c r="AX112" i="9"/>
  <c r="AY112" i="9"/>
  <c r="AZ112" i="9"/>
  <c r="BA112" i="9"/>
  <c r="BB112" i="9"/>
  <c r="BD112" i="9"/>
  <c r="BE112" i="9"/>
  <c r="BF112" i="9"/>
  <c r="BG112" i="9"/>
  <c r="BH112" i="9"/>
  <c r="BK112" i="9"/>
  <c r="BL112" i="9"/>
  <c r="BM112" i="9"/>
  <c r="BN112" i="9"/>
  <c r="BO112" i="9"/>
  <c r="BP112" i="9"/>
  <c r="BQ112" i="9"/>
  <c r="CA112" i="9"/>
  <c r="CB112" i="9"/>
  <c r="CC112" i="9"/>
  <c r="CD112" i="9"/>
  <c r="CE112" i="9"/>
  <c r="CF112" i="9"/>
  <c r="CG112" i="9"/>
  <c r="CH112" i="9"/>
  <c r="CI112" i="9"/>
  <c r="CJ112" i="9"/>
  <c r="CK112" i="9"/>
  <c r="CL112" i="9"/>
  <c r="CN112" i="9"/>
  <c r="CQ112" i="9"/>
  <c r="CR112" i="9"/>
  <c r="CT112" i="9"/>
  <c r="CU112" i="9"/>
  <c r="CV112" i="9"/>
  <c r="DB112" i="9"/>
  <c r="A113" i="9"/>
  <c r="R113" i="9"/>
  <c r="S113" i="9"/>
  <c r="T113" i="9"/>
  <c r="U113" i="9"/>
  <c r="V113" i="9"/>
  <c r="AF113" i="9"/>
  <c r="AH113" i="9"/>
  <c r="AL113" i="9"/>
  <c r="AM113" i="9"/>
  <c r="AO113" i="9"/>
  <c r="AR113" i="9"/>
  <c r="AT113" i="9"/>
  <c r="AU113" i="9"/>
  <c r="AW113" i="9"/>
  <c r="AX113" i="9"/>
  <c r="AY113" i="9"/>
  <c r="AZ113" i="9"/>
  <c r="BA113" i="9"/>
  <c r="BB113" i="9"/>
  <c r="BD113" i="9"/>
  <c r="BE113" i="9"/>
  <c r="BF113" i="9"/>
  <c r="BG113" i="9"/>
  <c r="BH113" i="9"/>
  <c r="BK113" i="9"/>
  <c r="BL113" i="9"/>
  <c r="BM113" i="9"/>
  <c r="BN113" i="9"/>
  <c r="BO113" i="9"/>
  <c r="BP113" i="9"/>
  <c r="BQ113" i="9"/>
  <c r="CA113" i="9"/>
  <c r="CB113" i="9"/>
  <c r="CC113" i="9"/>
  <c r="CD113" i="9"/>
  <c r="CE113" i="9"/>
  <c r="CF113" i="9"/>
  <c r="CG113" i="9"/>
  <c r="CH113" i="9"/>
  <c r="CI113" i="9"/>
  <c r="CJ113" i="9"/>
  <c r="CK113" i="9"/>
  <c r="CL113" i="9"/>
  <c r="CN113" i="9"/>
  <c r="CQ113" i="9"/>
  <c r="CR113" i="9"/>
  <c r="CT113" i="9"/>
  <c r="CU113" i="9"/>
  <c r="CV113" i="9"/>
  <c r="DB113" i="9"/>
  <c r="A114" i="9"/>
  <c r="R114" i="9"/>
  <c r="S114" i="9"/>
  <c r="T114" i="9"/>
  <c r="U114" i="9"/>
  <c r="V114" i="9"/>
  <c r="AF114" i="9"/>
  <c r="AH114" i="9"/>
  <c r="AL114" i="9"/>
  <c r="AM114" i="9"/>
  <c r="AO114" i="9"/>
  <c r="AR114" i="9"/>
  <c r="AT114" i="9"/>
  <c r="AU114" i="9"/>
  <c r="AW114" i="9"/>
  <c r="AX114" i="9"/>
  <c r="AY114" i="9"/>
  <c r="AZ114" i="9"/>
  <c r="BA114" i="9"/>
  <c r="BB114" i="9"/>
  <c r="BD114" i="9"/>
  <c r="BE114" i="9"/>
  <c r="BF114" i="9"/>
  <c r="BG114" i="9"/>
  <c r="BH114" i="9"/>
  <c r="BK114" i="9"/>
  <c r="BL114" i="9"/>
  <c r="BM114" i="9"/>
  <c r="BN114" i="9"/>
  <c r="BO114" i="9"/>
  <c r="BP114" i="9"/>
  <c r="BQ114" i="9"/>
  <c r="CA114" i="9"/>
  <c r="CB114" i="9"/>
  <c r="CC114" i="9"/>
  <c r="CD114" i="9"/>
  <c r="CE114" i="9"/>
  <c r="CF114" i="9"/>
  <c r="CG114" i="9"/>
  <c r="CH114" i="9"/>
  <c r="CI114" i="9"/>
  <c r="CJ114" i="9"/>
  <c r="CK114" i="9"/>
  <c r="CL114" i="9"/>
  <c r="CM114" i="9"/>
  <c r="CN114" i="9"/>
  <c r="CQ114" i="9"/>
  <c r="CR114" i="9"/>
  <c r="CT114" i="9"/>
  <c r="CU114" i="9"/>
  <c r="CV114" i="9"/>
  <c r="DB114" i="9"/>
  <c r="A115" i="9"/>
  <c r="R115" i="9"/>
  <c r="S115" i="9"/>
  <c r="T115" i="9"/>
  <c r="U115" i="9"/>
  <c r="V115" i="9"/>
  <c r="AF115" i="9"/>
  <c r="AH115" i="9"/>
  <c r="AL115" i="9"/>
  <c r="AM115" i="9"/>
  <c r="AO115" i="9"/>
  <c r="AR115" i="9"/>
  <c r="AT115" i="9"/>
  <c r="AU115" i="9"/>
  <c r="AX115" i="9"/>
  <c r="AY115" i="9"/>
  <c r="AZ115" i="9"/>
  <c r="BA115" i="9"/>
  <c r="BB115" i="9"/>
  <c r="BD115" i="9"/>
  <c r="BE115" i="9"/>
  <c r="BF115" i="9"/>
  <c r="BG115" i="9"/>
  <c r="BH115" i="9"/>
  <c r="BK115" i="9"/>
  <c r="BL115" i="9"/>
  <c r="BM115" i="9"/>
  <c r="BN115" i="9"/>
  <c r="BO115" i="9"/>
  <c r="BP115" i="9"/>
  <c r="BQ115" i="9"/>
  <c r="CA115" i="9"/>
  <c r="CB115" i="9"/>
  <c r="CC115" i="9"/>
  <c r="CD115" i="9"/>
  <c r="CE115" i="9"/>
  <c r="CF115" i="9"/>
  <c r="CG115" i="9"/>
  <c r="CH115" i="9"/>
  <c r="CI115" i="9"/>
  <c r="CJ115" i="9"/>
  <c r="CK115" i="9"/>
  <c r="CL115" i="9"/>
  <c r="CN115" i="9"/>
  <c r="CQ115" i="9"/>
  <c r="CR115" i="9"/>
  <c r="CT115" i="9"/>
  <c r="CU115" i="9"/>
  <c r="CV115" i="9"/>
  <c r="DB115" i="9"/>
  <c r="A116" i="9"/>
  <c r="R116" i="9"/>
  <c r="S116" i="9"/>
  <c r="T116" i="9"/>
  <c r="U116" i="9"/>
  <c r="V116" i="9"/>
  <c r="AF116" i="9"/>
  <c r="AH116" i="9"/>
  <c r="AL116" i="9"/>
  <c r="AM116" i="9"/>
  <c r="AO116" i="9"/>
  <c r="AR116" i="9"/>
  <c r="AT116" i="9"/>
  <c r="AU116" i="9"/>
  <c r="AW116" i="9"/>
  <c r="AX116" i="9"/>
  <c r="AY116" i="9"/>
  <c r="AZ116" i="9"/>
  <c r="BA116" i="9"/>
  <c r="BB116" i="9"/>
  <c r="BD116" i="9"/>
  <c r="BE116" i="9"/>
  <c r="BF116" i="9"/>
  <c r="BG116" i="9"/>
  <c r="BH116" i="9"/>
  <c r="BK116" i="9"/>
  <c r="BL116" i="9"/>
  <c r="BM116" i="9"/>
  <c r="BN116" i="9"/>
  <c r="BO116" i="9"/>
  <c r="BP116" i="9"/>
  <c r="BQ116" i="9"/>
  <c r="CA116" i="9"/>
  <c r="CB116" i="9"/>
  <c r="CC116" i="9"/>
  <c r="CD116" i="9"/>
  <c r="CE116" i="9"/>
  <c r="CF116" i="9"/>
  <c r="CG116" i="9"/>
  <c r="CH116" i="9"/>
  <c r="CI116" i="9"/>
  <c r="CJ116" i="9"/>
  <c r="CK116" i="9"/>
  <c r="CL116" i="9"/>
  <c r="CN116" i="9"/>
  <c r="CQ116" i="9"/>
  <c r="CR116" i="9"/>
  <c r="CT116" i="9"/>
  <c r="CU116" i="9"/>
  <c r="CV116" i="9"/>
  <c r="DB116" i="9"/>
  <c r="A117" i="9"/>
  <c r="R117" i="9"/>
  <c r="S117" i="9"/>
  <c r="T117" i="9"/>
  <c r="U117" i="9"/>
  <c r="V117" i="9"/>
  <c r="AF117" i="9"/>
  <c r="AH117" i="9"/>
  <c r="AL117" i="9"/>
  <c r="AM117" i="9"/>
  <c r="AO117" i="9"/>
  <c r="AR117" i="9"/>
  <c r="AT117" i="9"/>
  <c r="AU117" i="9"/>
  <c r="AW117" i="9"/>
  <c r="AX117" i="9"/>
  <c r="AY117" i="9"/>
  <c r="AZ117" i="9"/>
  <c r="BA117" i="9"/>
  <c r="BB117" i="9"/>
  <c r="BD117" i="9"/>
  <c r="BE117" i="9"/>
  <c r="BF117" i="9"/>
  <c r="BG117" i="9"/>
  <c r="BH117" i="9"/>
  <c r="BK117" i="9"/>
  <c r="BL117" i="9"/>
  <c r="BM117" i="9"/>
  <c r="BN117" i="9"/>
  <c r="BO117" i="9"/>
  <c r="BP117" i="9"/>
  <c r="BQ117" i="9"/>
  <c r="CA117" i="9"/>
  <c r="CB117" i="9"/>
  <c r="CC117" i="9"/>
  <c r="CD117" i="9"/>
  <c r="CE117" i="9"/>
  <c r="CF117" i="9"/>
  <c r="CG117" i="9"/>
  <c r="CH117" i="9"/>
  <c r="CI117" i="9"/>
  <c r="CJ117" i="9"/>
  <c r="CK117" i="9"/>
  <c r="CL117" i="9"/>
  <c r="CN117" i="9"/>
  <c r="CQ117" i="9"/>
  <c r="CR117" i="9"/>
  <c r="CT117" i="9"/>
  <c r="CU117" i="9"/>
  <c r="CV117" i="9"/>
  <c r="DB117" i="9"/>
  <c r="A118" i="9"/>
  <c r="R118" i="9"/>
  <c r="S118" i="9"/>
  <c r="T118" i="9"/>
  <c r="U118" i="9"/>
  <c r="V118" i="9"/>
  <c r="AF118" i="9"/>
  <c r="AH118" i="9"/>
  <c r="AL118" i="9"/>
  <c r="AM118" i="9"/>
  <c r="AO118" i="9"/>
  <c r="AR118" i="9"/>
  <c r="AT118" i="9"/>
  <c r="AU118" i="9"/>
  <c r="AW118" i="9"/>
  <c r="AX118" i="9"/>
  <c r="AY118" i="9"/>
  <c r="AZ118" i="9"/>
  <c r="BA118" i="9"/>
  <c r="BB118" i="9"/>
  <c r="BD118" i="9"/>
  <c r="BE118" i="9"/>
  <c r="BF118" i="9"/>
  <c r="BG118" i="9"/>
  <c r="BH118" i="9"/>
  <c r="BK118" i="9"/>
  <c r="BL118" i="9"/>
  <c r="BM118" i="9"/>
  <c r="BN118" i="9"/>
  <c r="BO118" i="9"/>
  <c r="BP118" i="9"/>
  <c r="BQ118" i="9"/>
  <c r="CA118" i="9"/>
  <c r="CB118" i="9"/>
  <c r="CC118" i="9"/>
  <c r="CD118" i="9"/>
  <c r="CE118" i="9"/>
  <c r="CF118" i="9"/>
  <c r="CG118" i="9"/>
  <c r="CH118" i="9"/>
  <c r="CI118" i="9"/>
  <c r="CJ118" i="9"/>
  <c r="CK118" i="9"/>
  <c r="CL118" i="9"/>
  <c r="CN118" i="9"/>
  <c r="CQ118" i="9"/>
  <c r="CR118" i="9"/>
  <c r="CT118" i="9"/>
  <c r="CU118" i="9"/>
  <c r="CV118" i="9"/>
  <c r="DB118" i="9"/>
  <c r="A119" i="9"/>
  <c r="R119" i="9"/>
  <c r="S119" i="9"/>
  <c r="T119" i="9"/>
  <c r="U119" i="9"/>
  <c r="V119" i="9"/>
  <c r="AF119" i="9"/>
  <c r="AH119" i="9"/>
  <c r="AL119" i="9"/>
  <c r="AM119" i="9"/>
  <c r="AO119" i="9"/>
  <c r="AR119" i="9"/>
  <c r="AT119" i="9"/>
  <c r="AU119" i="9"/>
  <c r="AW119" i="9"/>
  <c r="AX119" i="9"/>
  <c r="AY119" i="9"/>
  <c r="AZ119" i="9"/>
  <c r="BA119" i="9"/>
  <c r="BB119" i="9"/>
  <c r="BD119" i="9"/>
  <c r="BE119" i="9"/>
  <c r="BF119" i="9"/>
  <c r="BG119" i="9"/>
  <c r="BH119" i="9"/>
  <c r="BK119" i="9"/>
  <c r="BL119" i="9"/>
  <c r="BM119" i="9"/>
  <c r="BN119" i="9"/>
  <c r="BO119" i="9"/>
  <c r="BP119" i="9"/>
  <c r="BQ119" i="9"/>
  <c r="CA119" i="9"/>
  <c r="CB119" i="9"/>
  <c r="CC119" i="9"/>
  <c r="CD119" i="9"/>
  <c r="CE119" i="9"/>
  <c r="CF119" i="9"/>
  <c r="CG119" i="9"/>
  <c r="CH119" i="9"/>
  <c r="CI119" i="9"/>
  <c r="CJ119" i="9"/>
  <c r="CK119" i="9"/>
  <c r="CL119" i="9"/>
  <c r="CN119" i="9"/>
  <c r="CQ119" i="9"/>
  <c r="CR119" i="9"/>
  <c r="CT119" i="9"/>
  <c r="CU119" i="9"/>
  <c r="CV119" i="9"/>
  <c r="DB119" i="9"/>
  <c r="A120" i="9"/>
  <c r="R120" i="9"/>
  <c r="S120" i="9"/>
  <c r="T120" i="9"/>
  <c r="U120" i="9"/>
  <c r="V120" i="9"/>
  <c r="AF120" i="9"/>
  <c r="AH120" i="9"/>
  <c r="AL120" i="9"/>
  <c r="AM120" i="9"/>
  <c r="AO120" i="9"/>
  <c r="AR120" i="9"/>
  <c r="AT120" i="9"/>
  <c r="AU120" i="9"/>
  <c r="AW120" i="9"/>
  <c r="AX120" i="9"/>
  <c r="AY120" i="9"/>
  <c r="AZ120" i="9"/>
  <c r="BA120" i="9"/>
  <c r="BB120" i="9"/>
  <c r="BD120" i="9"/>
  <c r="BE120" i="9"/>
  <c r="BF120" i="9"/>
  <c r="BG120" i="9"/>
  <c r="BH120" i="9"/>
  <c r="BK120" i="9"/>
  <c r="BL120" i="9"/>
  <c r="BM120" i="9"/>
  <c r="BN120" i="9"/>
  <c r="BO120" i="9"/>
  <c r="BP120" i="9"/>
  <c r="BQ120" i="9"/>
  <c r="CA120" i="9"/>
  <c r="CB120" i="9"/>
  <c r="CC120" i="9"/>
  <c r="CD120" i="9"/>
  <c r="CE120" i="9"/>
  <c r="CF120" i="9"/>
  <c r="CG120" i="9"/>
  <c r="CH120" i="9"/>
  <c r="CI120" i="9"/>
  <c r="CJ120" i="9"/>
  <c r="CK120" i="9"/>
  <c r="CL120" i="9"/>
  <c r="CN120" i="9"/>
  <c r="CQ120" i="9"/>
  <c r="CR120" i="9"/>
  <c r="CT120" i="9"/>
  <c r="CU120" i="9"/>
  <c r="CV120" i="9"/>
  <c r="DB120" i="9"/>
  <c r="A121" i="9"/>
  <c r="R121" i="9"/>
  <c r="S121" i="9"/>
  <c r="T121" i="9"/>
  <c r="U121" i="9"/>
  <c r="V121" i="9"/>
  <c r="AF121" i="9"/>
  <c r="AH121" i="9"/>
  <c r="AL121" i="9"/>
  <c r="AM121" i="9"/>
  <c r="AO121" i="9"/>
  <c r="AR121" i="9"/>
  <c r="AT121" i="9"/>
  <c r="AU121" i="9"/>
  <c r="AW121" i="9"/>
  <c r="AX121" i="9"/>
  <c r="AY121" i="9"/>
  <c r="AZ121" i="9"/>
  <c r="BA121" i="9"/>
  <c r="BB121" i="9"/>
  <c r="BD121" i="9"/>
  <c r="BE121" i="9"/>
  <c r="BF121" i="9"/>
  <c r="BG121" i="9"/>
  <c r="BH121" i="9"/>
  <c r="BK121" i="9"/>
  <c r="BL121" i="9"/>
  <c r="BM121" i="9"/>
  <c r="BN121" i="9"/>
  <c r="BO121" i="9"/>
  <c r="BP121" i="9"/>
  <c r="BQ121" i="9"/>
  <c r="CA121" i="9"/>
  <c r="CB121" i="9"/>
  <c r="CC121" i="9"/>
  <c r="CD121" i="9"/>
  <c r="CE121" i="9"/>
  <c r="CF121" i="9"/>
  <c r="CG121" i="9"/>
  <c r="CH121" i="9"/>
  <c r="CI121" i="9"/>
  <c r="CJ121" i="9"/>
  <c r="CK121" i="9"/>
  <c r="CL121" i="9"/>
  <c r="CN121" i="9"/>
  <c r="CQ121" i="9"/>
  <c r="CR121" i="9"/>
  <c r="CT121" i="9"/>
  <c r="CU121" i="9"/>
  <c r="CV121" i="9"/>
  <c r="DB121" i="9"/>
  <c r="A122" i="9"/>
  <c r="R122" i="9"/>
  <c r="S122" i="9"/>
  <c r="T122" i="9"/>
  <c r="U122" i="9"/>
  <c r="V122" i="9"/>
  <c r="AF122" i="9"/>
  <c r="AH122" i="9"/>
  <c r="AL122" i="9"/>
  <c r="AM122" i="9"/>
  <c r="AO122" i="9"/>
  <c r="AR122" i="9"/>
  <c r="AT122" i="9"/>
  <c r="AU122" i="9"/>
  <c r="AW122" i="9"/>
  <c r="AX122" i="9"/>
  <c r="AY122" i="9"/>
  <c r="AZ122" i="9"/>
  <c r="BA122" i="9"/>
  <c r="BB122" i="9"/>
  <c r="BD122" i="9"/>
  <c r="BE122" i="9"/>
  <c r="BF122" i="9"/>
  <c r="BG122" i="9"/>
  <c r="BH122" i="9"/>
  <c r="BK122" i="9"/>
  <c r="BL122" i="9"/>
  <c r="BM122" i="9"/>
  <c r="BN122" i="9"/>
  <c r="BO122" i="9"/>
  <c r="BP122" i="9"/>
  <c r="BQ122" i="9"/>
  <c r="CA122" i="9"/>
  <c r="CB122" i="9"/>
  <c r="CC122" i="9"/>
  <c r="CD122" i="9"/>
  <c r="CE122" i="9"/>
  <c r="CF122" i="9"/>
  <c r="CG122" i="9"/>
  <c r="CH122" i="9"/>
  <c r="CI122" i="9"/>
  <c r="CJ122" i="9"/>
  <c r="CK122" i="9"/>
  <c r="CL122" i="9"/>
  <c r="CN122" i="9"/>
  <c r="CQ122" i="9"/>
  <c r="CR122" i="9"/>
  <c r="CT122" i="9"/>
  <c r="CU122" i="9"/>
  <c r="CV122" i="9"/>
  <c r="DB122" i="9"/>
  <c r="A123" i="9"/>
  <c r="R123" i="9"/>
  <c r="S123" i="9"/>
  <c r="T123" i="9"/>
  <c r="U123" i="9"/>
  <c r="V123" i="9"/>
  <c r="AF123" i="9"/>
  <c r="AH123" i="9"/>
  <c r="AL123" i="9"/>
  <c r="AM123" i="9"/>
  <c r="AO123" i="9"/>
  <c r="AR123" i="9"/>
  <c r="AT123" i="9"/>
  <c r="AU123" i="9"/>
  <c r="AW123" i="9"/>
  <c r="AX123" i="9"/>
  <c r="AY123" i="9"/>
  <c r="AZ123" i="9"/>
  <c r="BA123" i="9"/>
  <c r="BB123" i="9"/>
  <c r="BD123" i="9"/>
  <c r="BE123" i="9"/>
  <c r="BF123" i="9"/>
  <c r="BG123" i="9"/>
  <c r="BH123" i="9"/>
  <c r="BK123" i="9"/>
  <c r="BL123" i="9"/>
  <c r="BM123" i="9"/>
  <c r="BN123" i="9"/>
  <c r="BO123" i="9"/>
  <c r="BP123" i="9"/>
  <c r="BQ123" i="9"/>
  <c r="CA123" i="9"/>
  <c r="CB123" i="9"/>
  <c r="CC123" i="9"/>
  <c r="CD123" i="9"/>
  <c r="CE123" i="9"/>
  <c r="CF123" i="9"/>
  <c r="CG123" i="9"/>
  <c r="CH123" i="9"/>
  <c r="CI123" i="9"/>
  <c r="CJ123" i="9"/>
  <c r="CK123" i="9"/>
  <c r="CL123" i="9"/>
  <c r="CN123" i="9"/>
  <c r="CQ123" i="9"/>
  <c r="CR123" i="9"/>
  <c r="CT123" i="9"/>
  <c r="CU123" i="9"/>
  <c r="CV123" i="9"/>
  <c r="DB123" i="9"/>
  <c r="A124" i="9"/>
  <c r="R124" i="9"/>
  <c r="S124" i="9"/>
  <c r="T124" i="9"/>
  <c r="U124" i="9"/>
  <c r="V124" i="9"/>
  <c r="AF124" i="9"/>
  <c r="AH124" i="9"/>
  <c r="AL124" i="9"/>
  <c r="AM124" i="9"/>
  <c r="AO124" i="9"/>
  <c r="AR124" i="9"/>
  <c r="AT124" i="9"/>
  <c r="AU124" i="9"/>
  <c r="AW124" i="9"/>
  <c r="AX124" i="9"/>
  <c r="AY124" i="9"/>
  <c r="AZ124" i="9"/>
  <c r="BA124" i="9"/>
  <c r="BB124" i="9"/>
  <c r="BD124" i="9"/>
  <c r="BE124" i="9"/>
  <c r="BF124" i="9"/>
  <c r="BG124" i="9"/>
  <c r="BH124" i="9"/>
  <c r="BK124" i="9"/>
  <c r="BL124" i="9"/>
  <c r="BM124" i="9"/>
  <c r="BN124" i="9"/>
  <c r="BO124" i="9"/>
  <c r="BP124" i="9"/>
  <c r="BQ124" i="9"/>
  <c r="CA124" i="9"/>
  <c r="CB124" i="9"/>
  <c r="CC124" i="9"/>
  <c r="CD124" i="9"/>
  <c r="CE124" i="9"/>
  <c r="CF124" i="9"/>
  <c r="CG124" i="9"/>
  <c r="CH124" i="9"/>
  <c r="CI124" i="9"/>
  <c r="CJ124" i="9"/>
  <c r="CK124" i="9"/>
  <c r="CL124" i="9"/>
  <c r="CN124" i="9"/>
  <c r="CQ124" i="9"/>
  <c r="CR124" i="9"/>
  <c r="CT124" i="9"/>
  <c r="CU124" i="9"/>
  <c r="CV124" i="9"/>
  <c r="DB124" i="9"/>
  <c r="A125" i="9"/>
  <c r="R125" i="9"/>
  <c r="S125" i="9"/>
  <c r="T125" i="9"/>
  <c r="U125" i="9"/>
  <c r="V125" i="9"/>
  <c r="AF125" i="9"/>
  <c r="AH125" i="9"/>
  <c r="AL125" i="9"/>
  <c r="AM125" i="9"/>
  <c r="AO125" i="9"/>
  <c r="AR125" i="9"/>
  <c r="AT125" i="9"/>
  <c r="AU125" i="9"/>
  <c r="AW125" i="9"/>
  <c r="AX125" i="9"/>
  <c r="AY125" i="9"/>
  <c r="AZ125" i="9"/>
  <c r="BA125" i="9"/>
  <c r="BB125" i="9"/>
  <c r="BD125" i="9"/>
  <c r="BE125" i="9"/>
  <c r="BF125" i="9"/>
  <c r="BG125" i="9"/>
  <c r="BH125" i="9"/>
  <c r="BK125" i="9"/>
  <c r="BL125" i="9"/>
  <c r="BM125" i="9"/>
  <c r="BN125" i="9"/>
  <c r="BO125" i="9"/>
  <c r="BP125" i="9"/>
  <c r="BQ125" i="9"/>
  <c r="CA125" i="9"/>
  <c r="CB125" i="9"/>
  <c r="CC125" i="9"/>
  <c r="CD125" i="9"/>
  <c r="CE125" i="9"/>
  <c r="CF125" i="9"/>
  <c r="CG125" i="9"/>
  <c r="CH125" i="9"/>
  <c r="CI125" i="9"/>
  <c r="CJ125" i="9"/>
  <c r="CK125" i="9"/>
  <c r="CL125" i="9"/>
  <c r="CN125" i="9"/>
  <c r="CQ125" i="9"/>
  <c r="CR125" i="9"/>
  <c r="CT125" i="9"/>
  <c r="CU125" i="9"/>
  <c r="CV125" i="9"/>
  <c r="DB125" i="9"/>
  <c r="A126" i="9"/>
  <c r="R126" i="9"/>
  <c r="S126" i="9"/>
  <c r="T126" i="9"/>
  <c r="U126" i="9"/>
  <c r="V126" i="9"/>
  <c r="AF126" i="9"/>
  <c r="AH126" i="9"/>
  <c r="AL126" i="9"/>
  <c r="AM126" i="9"/>
  <c r="AO126" i="9"/>
  <c r="AR126" i="9"/>
  <c r="AT126" i="9"/>
  <c r="AU126" i="9"/>
  <c r="AW126" i="9"/>
  <c r="AX126" i="9"/>
  <c r="AY126" i="9"/>
  <c r="AZ126" i="9"/>
  <c r="BA126" i="9"/>
  <c r="BB126" i="9"/>
  <c r="BD126" i="9"/>
  <c r="BE126" i="9"/>
  <c r="BF126" i="9"/>
  <c r="BG126" i="9"/>
  <c r="BH126" i="9"/>
  <c r="BK126" i="9"/>
  <c r="BL126" i="9"/>
  <c r="BM126" i="9"/>
  <c r="BN126" i="9"/>
  <c r="BO126" i="9"/>
  <c r="BP126" i="9"/>
  <c r="BQ126" i="9"/>
  <c r="CA126" i="9"/>
  <c r="CB126" i="9"/>
  <c r="CC126" i="9"/>
  <c r="CD126" i="9"/>
  <c r="CE126" i="9"/>
  <c r="CF126" i="9"/>
  <c r="CG126" i="9"/>
  <c r="CH126" i="9"/>
  <c r="CI126" i="9"/>
  <c r="CJ126" i="9"/>
  <c r="CK126" i="9"/>
  <c r="CL126" i="9"/>
  <c r="CM126" i="9"/>
  <c r="CN126" i="9"/>
  <c r="CQ126" i="9"/>
  <c r="CR126" i="9"/>
  <c r="CT126" i="9"/>
  <c r="CU126" i="9"/>
  <c r="CV126" i="9"/>
  <c r="DB126" i="9"/>
  <c r="A127" i="9"/>
  <c r="R127" i="9"/>
  <c r="S127" i="9"/>
  <c r="T127" i="9"/>
  <c r="U127" i="9"/>
  <c r="V127" i="9"/>
  <c r="AF127" i="9"/>
  <c r="AH127" i="9"/>
  <c r="AL127" i="9"/>
  <c r="AM127" i="9"/>
  <c r="AO127" i="9"/>
  <c r="AR127" i="9"/>
  <c r="AT127" i="9"/>
  <c r="AU127" i="9"/>
  <c r="AY127" i="9"/>
  <c r="AZ127" i="9"/>
  <c r="BA127" i="9"/>
  <c r="BB127" i="9"/>
  <c r="BD127" i="9"/>
  <c r="BE127" i="9"/>
  <c r="BF127" i="9"/>
  <c r="BG127" i="9"/>
  <c r="BH127" i="9"/>
  <c r="BK127" i="9"/>
  <c r="BL127" i="9"/>
  <c r="BM127" i="9"/>
  <c r="BN127" i="9"/>
  <c r="BO127" i="9"/>
  <c r="BP127" i="9"/>
  <c r="BQ127" i="9"/>
  <c r="CA127" i="9"/>
  <c r="CB127" i="9"/>
  <c r="CC127" i="9"/>
  <c r="CD127" i="9"/>
  <c r="CE127" i="9"/>
  <c r="CF127" i="9"/>
  <c r="CG127" i="9"/>
  <c r="CH127" i="9"/>
  <c r="CI127" i="9"/>
  <c r="CJ127" i="9"/>
  <c r="CK127" i="9"/>
  <c r="CL127" i="9"/>
  <c r="CN127" i="9"/>
  <c r="CQ127" i="9"/>
  <c r="CR127" i="9"/>
  <c r="CT127" i="9"/>
  <c r="CU127" i="9"/>
  <c r="CV127" i="9"/>
  <c r="DB127" i="9"/>
  <c r="A128" i="9"/>
  <c r="R128" i="9"/>
  <c r="S128" i="9"/>
  <c r="T128" i="9"/>
  <c r="U128" i="9"/>
  <c r="V128" i="9"/>
  <c r="AF128" i="9"/>
  <c r="AH128" i="9"/>
  <c r="AL128" i="9"/>
  <c r="AM128" i="9"/>
  <c r="AO128" i="9"/>
  <c r="AR128" i="9"/>
  <c r="AT128" i="9"/>
  <c r="AU128" i="9"/>
  <c r="AW128" i="9"/>
  <c r="AX128" i="9"/>
  <c r="AY128" i="9"/>
  <c r="AZ128" i="9"/>
  <c r="BA128" i="9"/>
  <c r="BB128" i="9"/>
  <c r="BD128" i="9"/>
  <c r="BE128" i="9"/>
  <c r="BF128" i="9"/>
  <c r="BG128" i="9"/>
  <c r="BH128" i="9"/>
  <c r="BK128" i="9"/>
  <c r="BL128" i="9"/>
  <c r="BM128" i="9"/>
  <c r="BN128" i="9"/>
  <c r="BO128" i="9"/>
  <c r="BP128" i="9"/>
  <c r="BQ128" i="9"/>
  <c r="CA128" i="9"/>
  <c r="CB128" i="9"/>
  <c r="CC128" i="9"/>
  <c r="CD128" i="9"/>
  <c r="CE128" i="9"/>
  <c r="CF128" i="9"/>
  <c r="CG128" i="9"/>
  <c r="CH128" i="9"/>
  <c r="CI128" i="9"/>
  <c r="CJ128" i="9"/>
  <c r="CK128" i="9"/>
  <c r="CL128" i="9"/>
  <c r="CN128" i="9"/>
  <c r="CQ128" i="9"/>
  <c r="CR128" i="9"/>
  <c r="CT128" i="9"/>
  <c r="CU128" i="9"/>
  <c r="CV128" i="9"/>
  <c r="DB128" i="9"/>
  <c r="A129" i="9"/>
  <c r="R129" i="9"/>
  <c r="S129" i="9"/>
  <c r="T129" i="9"/>
  <c r="U129" i="9"/>
  <c r="V129" i="9"/>
  <c r="AF129" i="9"/>
  <c r="AH129" i="9"/>
  <c r="AL129" i="9"/>
  <c r="AM129" i="9"/>
  <c r="AO129" i="9"/>
  <c r="AR129" i="9"/>
  <c r="AT129" i="9"/>
  <c r="AU129" i="9"/>
  <c r="AW129" i="9"/>
  <c r="AX129" i="9"/>
  <c r="AY129" i="9"/>
  <c r="AZ129" i="9"/>
  <c r="BA129" i="9"/>
  <c r="BB129" i="9"/>
  <c r="BD129" i="9"/>
  <c r="BE129" i="9"/>
  <c r="BF129" i="9"/>
  <c r="BG129" i="9"/>
  <c r="BH129" i="9"/>
  <c r="BK129" i="9"/>
  <c r="BL129" i="9"/>
  <c r="BM129" i="9"/>
  <c r="BN129" i="9"/>
  <c r="BO129" i="9"/>
  <c r="BP129" i="9"/>
  <c r="BQ129" i="9"/>
  <c r="CA129" i="9"/>
  <c r="CB129" i="9"/>
  <c r="CC129" i="9"/>
  <c r="CD129" i="9"/>
  <c r="CE129" i="9"/>
  <c r="CF129" i="9"/>
  <c r="CG129" i="9"/>
  <c r="CH129" i="9"/>
  <c r="CI129" i="9"/>
  <c r="CJ129" i="9"/>
  <c r="CK129" i="9"/>
  <c r="CL129" i="9"/>
  <c r="CN129" i="9"/>
  <c r="CQ129" i="9"/>
  <c r="CR129" i="9"/>
  <c r="CT129" i="9"/>
  <c r="CU129" i="9"/>
  <c r="CV129" i="9"/>
  <c r="DB129" i="9"/>
  <c r="A130" i="9"/>
  <c r="R130" i="9"/>
  <c r="S130" i="9"/>
  <c r="T130" i="9"/>
  <c r="U130" i="9"/>
  <c r="V130" i="9"/>
  <c r="AF130" i="9"/>
  <c r="AH130" i="9"/>
  <c r="AL130" i="9"/>
  <c r="AM130" i="9"/>
  <c r="AO130" i="9"/>
  <c r="AR130" i="9"/>
  <c r="AT130" i="9"/>
  <c r="AU130" i="9"/>
  <c r="AW130" i="9"/>
  <c r="AX130" i="9"/>
  <c r="AY130" i="9"/>
  <c r="AZ130" i="9"/>
  <c r="BA130" i="9"/>
  <c r="BB130" i="9"/>
  <c r="BD130" i="9"/>
  <c r="BE130" i="9"/>
  <c r="BF130" i="9"/>
  <c r="BG130" i="9"/>
  <c r="BH130" i="9"/>
  <c r="BK130" i="9"/>
  <c r="BL130" i="9"/>
  <c r="BM130" i="9"/>
  <c r="BN130" i="9"/>
  <c r="BO130" i="9"/>
  <c r="BP130" i="9"/>
  <c r="BQ130" i="9"/>
  <c r="CA130" i="9"/>
  <c r="CB130" i="9"/>
  <c r="CC130" i="9"/>
  <c r="CD130" i="9"/>
  <c r="CE130" i="9"/>
  <c r="CF130" i="9"/>
  <c r="CG130" i="9"/>
  <c r="CH130" i="9"/>
  <c r="CI130" i="9"/>
  <c r="CJ130" i="9"/>
  <c r="CK130" i="9"/>
  <c r="CL130" i="9"/>
  <c r="CN130" i="9"/>
  <c r="CQ130" i="9"/>
  <c r="CR130" i="9"/>
  <c r="CT130" i="9"/>
  <c r="CU130" i="9"/>
  <c r="CV130" i="9"/>
  <c r="DB130" i="9"/>
  <c r="A131" i="9"/>
  <c r="R131" i="9"/>
  <c r="S131" i="9"/>
  <c r="T131" i="9"/>
  <c r="U131" i="9"/>
  <c r="V131" i="9"/>
  <c r="AF131" i="9"/>
  <c r="AH131" i="9"/>
  <c r="AL131" i="9"/>
  <c r="AM131" i="9"/>
  <c r="AO131" i="9"/>
  <c r="AR131" i="9"/>
  <c r="AT131" i="9"/>
  <c r="AU131" i="9"/>
  <c r="AW131" i="9"/>
  <c r="AX131" i="9"/>
  <c r="AY131" i="9"/>
  <c r="AZ131" i="9"/>
  <c r="BA131" i="9"/>
  <c r="BB131" i="9"/>
  <c r="BD131" i="9"/>
  <c r="BE131" i="9"/>
  <c r="BF131" i="9"/>
  <c r="BG131" i="9"/>
  <c r="BH131" i="9"/>
  <c r="BK131" i="9"/>
  <c r="BL131" i="9"/>
  <c r="BM131" i="9"/>
  <c r="BN131" i="9"/>
  <c r="BO131" i="9"/>
  <c r="BP131" i="9"/>
  <c r="BQ131" i="9"/>
  <c r="CA131" i="9"/>
  <c r="CB131" i="9"/>
  <c r="CC131" i="9"/>
  <c r="CD131" i="9"/>
  <c r="CE131" i="9"/>
  <c r="CF131" i="9"/>
  <c r="CG131" i="9"/>
  <c r="CH131" i="9"/>
  <c r="CI131" i="9"/>
  <c r="CJ131" i="9"/>
  <c r="CK131" i="9"/>
  <c r="CL131" i="9"/>
  <c r="CN131" i="9"/>
  <c r="CQ131" i="9"/>
  <c r="CR131" i="9"/>
  <c r="CT131" i="9"/>
  <c r="CU131" i="9"/>
  <c r="CV131" i="9"/>
  <c r="DB131" i="9"/>
  <c r="A132" i="9"/>
  <c r="R132" i="9"/>
  <c r="S132" i="9"/>
  <c r="T132" i="9"/>
  <c r="U132" i="9"/>
  <c r="V132" i="9"/>
  <c r="AF132" i="9"/>
  <c r="AH132" i="9"/>
  <c r="AL132" i="9"/>
  <c r="AM132" i="9"/>
  <c r="AO132" i="9"/>
  <c r="AR132" i="9"/>
  <c r="AT132" i="9"/>
  <c r="AU132" i="9"/>
  <c r="AW132" i="9"/>
  <c r="AX132" i="9"/>
  <c r="AY132" i="9"/>
  <c r="AZ132" i="9"/>
  <c r="BA132" i="9"/>
  <c r="BB132" i="9"/>
  <c r="BD132" i="9"/>
  <c r="BE132" i="9"/>
  <c r="BF132" i="9"/>
  <c r="BG132" i="9"/>
  <c r="BH132" i="9"/>
  <c r="BK132" i="9"/>
  <c r="BL132" i="9"/>
  <c r="BM132" i="9"/>
  <c r="BN132" i="9"/>
  <c r="BO132" i="9"/>
  <c r="BP132" i="9"/>
  <c r="BQ132" i="9"/>
  <c r="CA132" i="9"/>
  <c r="CB132" i="9"/>
  <c r="CC132" i="9"/>
  <c r="CD132" i="9"/>
  <c r="CE132" i="9"/>
  <c r="CF132" i="9"/>
  <c r="CG132" i="9"/>
  <c r="CH132" i="9"/>
  <c r="CI132" i="9"/>
  <c r="CJ132" i="9"/>
  <c r="CK132" i="9"/>
  <c r="CL132" i="9"/>
  <c r="CN132" i="9"/>
  <c r="CQ132" i="9"/>
  <c r="CR132" i="9"/>
  <c r="CT132" i="9"/>
  <c r="CU132" i="9"/>
  <c r="CV132" i="9"/>
  <c r="DB132" i="9"/>
  <c r="A133" i="9"/>
  <c r="R133" i="9"/>
  <c r="S133" i="9"/>
  <c r="T133" i="9"/>
  <c r="U133" i="9"/>
  <c r="V133" i="9"/>
  <c r="AF133" i="9"/>
  <c r="AH133" i="9"/>
  <c r="AL133" i="9"/>
  <c r="AM133" i="9"/>
  <c r="AO133" i="9"/>
  <c r="AR133" i="9"/>
  <c r="AT133" i="9"/>
  <c r="AU133" i="9"/>
  <c r="AW133" i="9"/>
  <c r="AX133" i="9"/>
  <c r="AY133" i="9"/>
  <c r="AZ133" i="9"/>
  <c r="BA133" i="9"/>
  <c r="BB133" i="9"/>
  <c r="BD133" i="9"/>
  <c r="BE133" i="9"/>
  <c r="BF133" i="9"/>
  <c r="BG133" i="9"/>
  <c r="BH133" i="9"/>
  <c r="BK133" i="9"/>
  <c r="BL133" i="9"/>
  <c r="BM133" i="9"/>
  <c r="BN133" i="9"/>
  <c r="BO133" i="9"/>
  <c r="BP133" i="9"/>
  <c r="BQ133" i="9"/>
  <c r="CA133" i="9"/>
  <c r="CB133" i="9"/>
  <c r="CC133" i="9"/>
  <c r="CD133" i="9"/>
  <c r="CE133" i="9"/>
  <c r="CF133" i="9"/>
  <c r="CG133" i="9"/>
  <c r="CH133" i="9"/>
  <c r="CI133" i="9"/>
  <c r="CJ133" i="9"/>
  <c r="CK133" i="9"/>
  <c r="CL133" i="9"/>
  <c r="CN133" i="9"/>
  <c r="CQ133" i="9"/>
  <c r="CR133" i="9"/>
  <c r="CT133" i="9"/>
  <c r="CU133" i="9"/>
  <c r="CV133" i="9"/>
  <c r="DB133" i="9"/>
  <c r="A134" i="9"/>
  <c r="R134" i="9"/>
  <c r="S134" i="9"/>
  <c r="T134" i="9"/>
  <c r="U134" i="9"/>
  <c r="V134" i="9"/>
  <c r="AF134" i="9"/>
  <c r="AH134" i="9"/>
  <c r="AL134" i="9"/>
  <c r="AM134" i="9"/>
  <c r="AO134" i="9"/>
  <c r="AR134" i="9"/>
  <c r="AT134" i="9"/>
  <c r="AU134" i="9"/>
  <c r="AW134" i="9"/>
  <c r="AX134" i="9"/>
  <c r="AY134" i="9"/>
  <c r="AZ134" i="9"/>
  <c r="BA134" i="9"/>
  <c r="BB134" i="9"/>
  <c r="BD134" i="9"/>
  <c r="BE134" i="9"/>
  <c r="BF134" i="9"/>
  <c r="BG134" i="9"/>
  <c r="BH134" i="9"/>
  <c r="BK134" i="9"/>
  <c r="BL134" i="9"/>
  <c r="BM134" i="9"/>
  <c r="BN134" i="9"/>
  <c r="BO134" i="9"/>
  <c r="BP134" i="9"/>
  <c r="BQ134" i="9"/>
  <c r="CA134" i="9"/>
  <c r="CB134" i="9"/>
  <c r="CC134" i="9"/>
  <c r="CD134" i="9"/>
  <c r="CE134" i="9"/>
  <c r="CF134" i="9"/>
  <c r="CG134" i="9"/>
  <c r="CH134" i="9"/>
  <c r="CI134" i="9"/>
  <c r="CJ134" i="9"/>
  <c r="CK134" i="9"/>
  <c r="CL134" i="9"/>
  <c r="CN134" i="9"/>
  <c r="CQ134" i="9"/>
  <c r="CR134" i="9"/>
  <c r="CT134" i="9"/>
  <c r="CU134" i="9"/>
  <c r="CV134" i="9"/>
  <c r="DB134" i="9"/>
  <c r="A135" i="9"/>
  <c r="R135" i="9"/>
  <c r="S135" i="9"/>
  <c r="T135" i="9"/>
  <c r="U135" i="9"/>
  <c r="V135" i="9"/>
  <c r="AF135" i="9"/>
  <c r="AH135" i="9"/>
  <c r="AL135" i="9"/>
  <c r="AM135" i="9"/>
  <c r="AO135" i="9"/>
  <c r="AR135" i="9"/>
  <c r="AT135" i="9"/>
  <c r="AU135" i="9"/>
  <c r="AW135" i="9"/>
  <c r="AX135" i="9"/>
  <c r="AY135" i="9"/>
  <c r="AZ135" i="9"/>
  <c r="BA135" i="9"/>
  <c r="BB135" i="9"/>
  <c r="BD135" i="9"/>
  <c r="BE135" i="9"/>
  <c r="BF135" i="9"/>
  <c r="BG135" i="9"/>
  <c r="BH135" i="9"/>
  <c r="BK135" i="9"/>
  <c r="BL135" i="9"/>
  <c r="BM135" i="9"/>
  <c r="BN135" i="9"/>
  <c r="BO135" i="9"/>
  <c r="BP135" i="9"/>
  <c r="BQ135" i="9"/>
  <c r="CA135" i="9"/>
  <c r="CB135" i="9"/>
  <c r="CC135" i="9"/>
  <c r="CD135" i="9"/>
  <c r="CE135" i="9"/>
  <c r="CF135" i="9"/>
  <c r="CG135" i="9"/>
  <c r="CH135" i="9"/>
  <c r="CI135" i="9"/>
  <c r="CJ135" i="9"/>
  <c r="CK135" i="9"/>
  <c r="CL135" i="9"/>
  <c r="CN135" i="9"/>
  <c r="CQ135" i="9"/>
  <c r="CR135" i="9"/>
  <c r="CT135" i="9"/>
  <c r="CU135" i="9"/>
  <c r="CV135" i="9"/>
  <c r="DB135" i="9"/>
  <c r="A136" i="9"/>
  <c r="R136" i="9"/>
  <c r="S136" i="9"/>
  <c r="T136" i="9"/>
  <c r="U136" i="9"/>
  <c r="V136" i="9"/>
  <c r="AF136" i="9"/>
  <c r="AH136" i="9"/>
  <c r="AL136" i="9"/>
  <c r="AM136" i="9"/>
  <c r="AO136" i="9"/>
  <c r="AR136" i="9"/>
  <c r="AT136" i="9"/>
  <c r="AU136" i="9"/>
  <c r="AW136" i="9"/>
  <c r="AX136" i="9"/>
  <c r="AY136" i="9"/>
  <c r="AZ136" i="9"/>
  <c r="BA136" i="9"/>
  <c r="BB136" i="9"/>
  <c r="BD136" i="9"/>
  <c r="BE136" i="9"/>
  <c r="BF136" i="9"/>
  <c r="BG136" i="9"/>
  <c r="BH136" i="9"/>
  <c r="BK136" i="9"/>
  <c r="BL136" i="9"/>
  <c r="BM136" i="9"/>
  <c r="BN136" i="9"/>
  <c r="BO136" i="9"/>
  <c r="BP136" i="9"/>
  <c r="BQ136" i="9"/>
  <c r="CA136" i="9"/>
  <c r="CB136" i="9"/>
  <c r="CC136" i="9"/>
  <c r="CD136" i="9"/>
  <c r="CE136" i="9"/>
  <c r="CF136" i="9"/>
  <c r="CG136" i="9"/>
  <c r="CH136" i="9"/>
  <c r="CI136" i="9"/>
  <c r="CJ136" i="9"/>
  <c r="CK136" i="9"/>
  <c r="CL136" i="9"/>
  <c r="CN136" i="9"/>
  <c r="CQ136" i="9"/>
  <c r="CR136" i="9"/>
  <c r="CT136" i="9"/>
  <c r="CU136" i="9"/>
  <c r="CV136" i="9"/>
  <c r="DB136" i="9"/>
  <c r="A137" i="9"/>
  <c r="R137" i="9"/>
  <c r="S137" i="9"/>
  <c r="T137" i="9"/>
  <c r="U137" i="9"/>
  <c r="V137" i="9"/>
  <c r="AF137" i="9"/>
  <c r="AH137" i="9"/>
  <c r="AL137" i="9"/>
  <c r="AM137" i="9"/>
  <c r="AO137" i="9"/>
  <c r="AR137" i="9"/>
  <c r="AT137" i="9"/>
  <c r="AU137" i="9"/>
  <c r="AW137" i="9"/>
  <c r="AX137" i="9"/>
  <c r="AY137" i="9"/>
  <c r="AZ137" i="9"/>
  <c r="BA137" i="9"/>
  <c r="BB137" i="9"/>
  <c r="BD137" i="9"/>
  <c r="BE137" i="9"/>
  <c r="BF137" i="9"/>
  <c r="BG137" i="9"/>
  <c r="BH137" i="9"/>
  <c r="BK137" i="9"/>
  <c r="BL137" i="9"/>
  <c r="BM137" i="9"/>
  <c r="BN137" i="9"/>
  <c r="BO137" i="9"/>
  <c r="BP137" i="9"/>
  <c r="BQ137" i="9"/>
  <c r="CA137" i="9"/>
  <c r="CB137" i="9"/>
  <c r="CC137" i="9"/>
  <c r="CD137" i="9"/>
  <c r="CE137" i="9"/>
  <c r="CF137" i="9"/>
  <c r="CG137" i="9"/>
  <c r="CH137" i="9"/>
  <c r="CI137" i="9"/>
  <c r="CJ137" i="9"/>
  <c r="CK137" i="9"/>
  <c r="CL137" i="9"/>
  <c r="CN137" i="9"/>
  <c r="CQ137" i="9"/>
  <c r="CR137" i="9"/>
  <c r="CT137" i="9"/>
  <c r="CU137" i="9"/>
  <c r="CV137" i="9"/>
  <c r="DB137" i="9"/>
  <c r="A138" i="9"/>
  <c r="R138" i="9"/>
  <c r="S138" i="9"/>
  <c r="T138" i="9"/>
  <c r="U138" i="9"/>
  <c r="V138" i="9"/>
  <c r="AF138" i="9"/>
  <c r="AH138" i="9"/>
  <c r="AL138" i="9"/>
  <c r="AM138" i="9"/>
  <c r="AO138" i="9"/>
  <c r="AR138" i="9"/>
  <c r="AT138" i="9"/>
  <c r="AU138" i="9"/>
  <c r="AW138" i="9"/>
  <c r="AX138" i="9"/>
  <c r="AY138" i="9"/>
  <c r="AZ138" i="9"/>
  <c r="BA138" i="9"/>
  <c r="BB138" i="9"/>
  <c r="BD138" i="9"/>
  <c r="BE138" i="9"/>
  <c r="BF138" i="9"/>
  <c r="BG138" i="9"/>
  <c r="BH138" i="9"/>
  <c r="BK138" i="9"/>
  <c r="BL138" i="9"/>
  <c r="BM138" i="9"/>
  <c r="BN138" i="9"/>
  <c r="BO138" i="9"/>
  <c r="BP138" i="9"/>
  <c r="BQ138" i="9"/>
  <c r="CA138" i="9"/>
  <c r="CB138" i="9"/>
  <c r="CC138" i="9"/>
  <c r="CD138" i="9"/>
  <c r="CE138" i="9"/>
  <c r="CF138" i="9"/>
  <c r="CG138" i="9"/>
  <c r="CH138" i="9"/>
  <c r="CI138" i="9"/>
  <c r="CJ138" i="9"/>
  <c r="CK138" i="9"/>
  <c r="CL138" i="9"/>
  <c r="CM138" i="9"/>
  <c r="CN138" i="9"/>
  <c r="CQ138" i="9"/>
  <c r="CR138" i="9"/>
  <c r="CT138" i="9"/>
  <c r="CU138" i="9"/>
  <c r="CV138" i="9"/>
  <c r="DB138" i="9"/>
  <c r="A139" i="9"/>
  <c r="R139" i="9"/>
  <c r="S139" i="9"/>
  <c r="T139" i="9"/>
  <c r="U139" i="9"/>
  <c r="V139" i="9"/>
  <c r="AF139" i="9"/>
  <c r="AH139" i="9"/>
  <c r="AL139" i="9"/>
  <c r="AM139" i="9"/>
  <c r="AO139" i="9"/>
  <c r="AR139" i="9"/>
  <c r="AT139" i="9"/>
  <c r="AU139" i="9"/>
  <c r="AX139" i="9"/>
  <c r="AY139" i="9"/>
  <c r="AZ139" i="9"/>
  <c r="BA139" i="9"/>
  <c r="BB139" i="9"/>
  <c r="BD139" i="9"/>
  <c r="BE139" i="9"/>
  <c r="BF139" i="9"/>
  <c r="BG139" i="9"/>
  <c r="BH139" i="9"/>
  <c r="BK139" i="9"/>
  <c r="BL139" i="9"/>
  <c r="BM139" i="9"/>
  <c r="BN139" i="9"/>
  <c r="BO139" i="9"/>
  <c r="BP139" i="9"/>
  <c r="BQ139" i="9"/>
  <c r="CA139" i="9"/>
  <c r="CB139" i="9"/>
  <c r="CC139" i="9"/>
  <c r="CD139" i="9"/>
  <c r="CE139" i="9"/>
  <c r="CF139" i="9"/>
  <c r="CG139" i="9"/>
  <c r="CH139" i="9"/>
  <c r="CI139" i="9"/>
  <c r="CJ139" i="9"/>
  <c r="CK139" i="9"/>
  <c r="CL139" i="9"/>
  <c r="CN139" i="9"/>
  <c r="CQ139" i="9"/>
  <c r="CR139" i="9"/>
  <c r="CT139" i="9"/>
  <c r="CU139" i="9"/>
  <c r="CV139" i="9"/>
  <c r="DB139" i="9"/>
  <c r="A140" i="9"/>
  <c r="R140" i="9"/>
  <c r="S140" i="9"/>
  <c r="T140" i="9"/>
  <c r="U140" i="9"/>
  <c r="V140" i="9"/>
  <c r="AF140" i="9"/>
  <c r="AH140" i="9"/>
  <c r="AL140" i="9"/>
  <c r="AM140" i="9"/>
  <c r="AO140" i="9"/>
  <c r="AR140" i="9"/>
  <c r="AT140" i="9"/>
  <c r="AU140" i="9"/>
  <c r="AW140" i="9"/>
  <c r="AX140" i="9"/>
  <c r="AY140" i="9"/>
  <c r="AZ140" i="9"/>
  <c r="BA140" i="9"/>
  <c r="BB140" i="9"/>
  <c r="BD140" i="9"/>
  <c r="BE140" i="9"/>
  <c r="BF140" i="9"/>
  <c r="BG140" i="9"/>
  <c r="BH140" i="9"/>
  <c r="BK140" i="9"/>
  <c r="BL140" i="9"/>
  <c r="BM140" i="9"/>
  <c r="BN140" i="9"/>
  <c r="BO140" i="9"/>
  <c r="BP140" i="9"/>
  <c r="BQ140" i="9"/>
  <c r="CA140" i="9"/>
  <c r="CB140" i="9"/>
  <c r="CC140" i="9"/>
  <c r="CD140" i="9"/>
  <c r="CE140" i="9"/>
  <c r="CF140" i="9"/>
  <c r="CG140" i="9"/>
  <c r="CH140" i="9"/>
  <c r="CI140" i="9"/>
  <c r="CJ140" i="9"/>
  <c r="CK140" i="9"/>
  <c r="CL140" i="9"/>
  <c r="CN140" i="9"/>
  <c r="CQ140" i="9"/>
  <c r="CR140" i="9"/>
  <c r="CT140" i="9"/>
  <c r="CU140" i="9"/>
  <c r="CV140" i="9"/>
  <c r="DB140" i="9"/>
  <c r="A141" i="9"/>
  <c r="R141" i="9"/>
  <c r="S141" i="9"/>
  <c r="T141" i="9"/>
  <c r="U141" i="9"/>
  <c r="V141" i="9"/>
  <c r="AF141" i="9"/>
  <c r="AH141" i="9"/>
  <c r="AL141" i="9"/>
  <c r="AM141" i="9"/>
  <c r="AO141" i="9"/>
  <c r="AR141" i="9"/>
  <c r="AT141" i="9"/>
  <c r="AU141" i="9"/>
  <c r="AW141" i="9"/>
  <c r="AX141" i="9"/>
  <c r="AY141" i="9"/>
  <c r="AZ141" i="9"/>
  <c r="BA141" i="9"/>
  <c r="BB141" i="9"/>
  <c r="BD141" i="9"/>
  <c r="BE141" i="9"/>
  <c r="BF141" i="9"/>
  <c r="BG141" i="9"/>
  <c r="BH141" i="9"/>
  <c r="BK141" i="9"/>
  <c r="BL141" i="9"/>
  <c r="BM141" i="9"/>
  <c r="BN141" i="9"/>
  <c r="BO141" i="9"/>
  <c r="BP141" i="9"/>
  <c r="BQ141" i="9"/>
  <c r="CA141" i="9"/>
  <c r="CB141" i="9"/>
  <c r="CC141" i="9"/>
  <c r="CD141" i="9"/>
  <c r="CE141" i="9"/>
  <c r="CF141" i="9"/>
  <c r="CG141" i="9"/>
  <c r="CH141" i="9"/>
  <c r="CI141" i="9"/>
  <c r="CJ141" i="9"/>
  <c r="CK141" i="9"/>
  <c r="CL141" i="9"/>
  <c r="CN141" i="9"/>
  <c r="CQ141" i="9"/>
  <c r="CR141" i="9"/>
  <c r="CT141" i="9"/>
  <c r="CU141" i="9"/>
  <c r="CV141" i="9"/>
  <c r="DB141" i="9"/>
  <c r="A142" i="9"/>
  <c r="R142" i="9"/>
  <c r="S142" i="9"/>
  <c r="T142" i="9"/>
  <c r="U142" i="9"/>
  <c r="V142" i="9"/>
  <c r="AF142" i="9"/>
  <c r="AH142" i="9"/>
  <c r="AL142" i="9"/>
  <c r="AM142" i="9"/>
  <c r="AO142" i="9"/>
  <c r="AR142" i="9"/>
  <c r="AT142" i="9"/>
  <c r="AU142" i="9"/>
  <c r="AW142" i="9"/>
  <c r="AX142" i="9"/>
  <c r="AY142" i="9"/>
  <c r="AZ142" i="9"/>
  <c r="BA142" i="9"/>
  <c r="BB142" i="9"/>
  <c r="BD142" i="9"/>
  <c r="BE142" i="9"/>
  <c r="BF142" i="9"/>
  <c r="BG142" i="9"/>
  <c r="BH142" i="9"/>
  <c r="BK142" i="9"/>
  <c r="BL142" i="9"/>
  <c r="BM142" i="9"/>
  <c r="BN142" i="9"/>
  <c r="BO142" i="9"/>
  <c r="BP142" i="9"/>
  <c r="BQ142" i="9"/>
  <c r="CA142" i="9"/>
  <c r="CB142" i="9"/>
  <c r="CC142" i="9"/>
  <c r="CD142" i="9"/>
  <c r="CE142" i="9"/>
  <c r="CF142" i="9"/>
  <c r="CG142" i="9"/>
  <c r="CH142" i="9"/>
  <c r="CI142" i="9"/>
  <c r="CJ142" i="9"/>
  <c r="CK142" i="9"/>
  <c r="CL142" i="9"/>
  <c r="CN142" i="9"/>
  <c r="CQ142" i="9"/>
  <c r="CR142" i="9"/>
  <c r="CT142" i="9"/>
  <c r="CU142" i="9"/>
  <c r="CV142" i="9"/>
  <c r="DB142" i="9"/>
  <c r="A143" i="9"/>
  <c r="R143" i="9"/>
  <c r="S143" i="9"/>
  <c r="T143" i="9"/>
  <c r="U143" i="9"/>
  <c r="V143" i="9"/>
  <c r="AF143" i="9"/>
  <c r="AH143" i="9"/>
  <c r="AL143" i="9"/>
  <c r="AM143" i="9"/>
  <c r="AO143" i="9"/>
  <c r="AR143" i="9"/>
  <c r="AT143" i="9"/>
  <c r="AU143" i="9"/>
  <c r="AW143" i="9"/>
  <c r="AX143" i="9"/>
  <c r="AY143" i="9"/>
  <c r="AZ143" i="9"/>
  <c r="BA143" i="9"/>
  <c r="BB143" i="9"/>
  <c r="BD143" i="9"/>
  <c r="BE143" i="9"/>
  <c r="BF143" i="9"/>
  <c r="BG143" i="9"/>
  <c r="BH143" i="9"/>
  <c r="BK143" i="9"/>
  <c r="BL143" i="9"/>
  <c r="BM143" i="9"/>
  <c r="BN143" i="9"/>
  <c r="BO143" i="9"/>
  <c r="BP143" i="9"/>
  <c r="BQ143" i="9"/>
  <c r="CA143" i="9"/>
  <c r="CB143" i="9"/>
  <c r="CC143" i="9"/>
  <c r="CD143" i="9"/>
  <c r="CE143" i="9"/>
  <c r="CF143" i="9"/>
  <c r="CG143" i="9"/>
  <c r="CH143" i="9"/>
  <c r="CI143" i="9"/>
  <c r="CJ143" i="9"/>
  <c r="CK143" i="9"/>
  <c r="CL143" i="9"/>
  <c r="CN143" i="9"/>
  <c r="CQ143" i="9"/>
  <c r="CR143" i="9"/>
  <c r="CT143" i="9"/>
  <c r="CU143" i="9"/>
  <c r="CV143" i="9"/>
  <c r="DB143" i="9"/>
  <c r="A144" i="9"/>
  <c r="R144" i="9"/>
  <c r="S144" i="9"/>
  <c r="T144" i="9"/>
  <c r="U144" i="9"/>
  <c r="V144" i="9"/>
  <c r="AF144" i="9"/>
  <c r="AH144" i="9"/>
  <c r="AL144" i="9"/>
  <c r="AM144" i="9"/>
  <c r="AO144" i="9"/>
  <c r="AR144" i="9"/>
  <c r="AT144" i="9"/>
  <c r="AU144" i="9"/>
  <c r="AW144" i="9"/>
  <c r="AX144" i="9"/>
  <c r="AY144" i="9"/>
  <c r="AZ144" i="9"/>
  <c r="BA144" i="9"/>
  <c r="BB144" i="9"/>
  <c r="BD144" i="9"/>
  <c r="BE144" i="9"/>
  <c r="BF144" i="9"/>
  <c r="BG144" i="9"/>
  <c r="BH144" i="9"/>
  <c r="BK144" i="9"/>
  <c r="BL144" i="9"/>
  <c r="BM144" i="9"/>
  <c r="BN144" i="9"/>
  <c r="BO144" i="9"/>
  <c r="BP144" i="9"/>
  <c r="BQ144" i="9"/>
  <c r="CA144" i="9"/>
  <c r="CB144" i="9"/>
  <c r="CC144" i="9"/>
  <c r="CD144" i="9"/>
  <c r="CE144" i="9"/>
  <c r="CF144" i="9"/>
  <c r="CG144" i="9"/>
  <c r="CH144" i="9"/>
  <c r="CI144" i="9"/>
  <c r="CJ144" i="9"/>
  <c r="CK144" i="9"/>
  <c r="CL144" i="9"/>
  <c r="CN144" i="9"/>
  <c r="CQ144" i="9"/>
  <c r="CR144" i="9"/>
  <c r="CT144" i="9"/>
  <c r="CU144" i="9"/>
  <c r="CV144" i="9"/>
  <c r="DB144" i="9"/>
  <c r="A145" i="9"/>
  <c r="R145" i="9"/>
  <c r="S145" i="9"/>
  <c r="T145" i="9"/>
  <c r="U145" i="9"/>
  <c r="V145" i="9"/>
  <c r="AF145" i="9"/>
  <c r="AH145" i="9"/>
  <c r="AL145" i="9"/>
  <c r="AM145" i="9"/>
  <c r="AO145" i="9"/>
  <c r="AR145" i="9"/>
  <c r="AT145" i="9"/>
  <c r="AU145" i="9"/>
  <c r="AW145" i="9"/>
  <c r="AX145" i="9"/>
  <c r="AY145" i="9"/>
  <c r="AZ145" i="9"/>
  <c r="BA145" i="9"/>
  <c r="BB145" i="9"/>
  <c r="BD145" i="9"/>
  <c r="BE145" i="9"/>
  <c r="BF145" i="9"/>
  <c r="BG145" i="9"/>
  <c r="BH145" i="9"/>
  <c r="BK145" i="9"/>
  <c r="BL145" i="9"/>
  <c r="BM145" i="9"/>
  <c r="BN145" i="9"/>
  <c r="BO145" i="9"/>
  <c r="BP145" i="9"/>
  <c r="BQ145" i="9"/>
  <c r="CA145" i="9"/>
  <c r="CB145" i="9"/>
  <c r="CC145" i="9"/>
  <c r="CD145" i="9"/>
  <c r="CE145" i="9"/>
  <c r="CF145" i="9"/>
  <c r="CG145" i="9"/>
  <c r="CH145" i="9"/>
  <c r="CI145" i="9"/>
  <c r="CJ145" i="9"/>
  <c r="CK145" i="9"/>
  <c r="CL145" i="9"/>
  <c r="CN145" i="9"/>
  <c r="CQ145" i="9"/>
  <c r="CR145" i="9"/>
  <c r="CT145" i="9"/>
  <c r="CU145" i="9"/>
  <c r="CV145" i="9"/>
  <c r="DB145" i="9"/>
  <c r="A146" i="9"/>
  <c r="R146" i="9"/>
  <c r="S146" i="9"/>
  <c r="T146" i="9"/>
  <c r="U146" i="9"/>
  <c r="V146" i="9"/>
  <c r="AF146" i="9"/>
  <c r="AH146" i="9"/>
  <c r="AL146" i="9"/>
  <c r="AM146" i="9"/>
  <c r="AO146" i="9"/>
  <c r="AR146" i="9"/>
  <c r="AT146" i="9"/>
  <c r="AU146" i="9"/>
  <c r="AW146" i="9"/>
  <c r="AX146" i="9"/>
  <c r="AY146" i="9"/>
  <c r="AZ146" i="9"/>
  <c r="BA146" i="9"/>
  <c r="BB146" i="9"/>
  <c r="BD146" i="9"/>
  <c r="BE146" i="9"/>
  <c r="BF146" i="9"/>
  <c r="BG146" i="9"/>
  <c r="BH146" i="9"/>
  <c r="BK146" i="9"/>
  <c r="BL146" i="9"/>
  <c r="BM146" i="9"/>
  <c r="BN146" i="9"/>
  <c r="BO146" i="9"/>
  <c r="BP146" i="9"/>
  <c r="BQ146" i="9"/>
  <c r="CA146" i="9"/>
  <c r="CB146" i="9"/>
  <c r="CC146" i="9"/>
  <c r="CD146" i="9"/>
  <c r="CE146" i="9"/>
  <c r="CF146" i="9"/>
  <c r="CG146" i="9"/>
  <c r="CH146" i="9"/>
  <c r="CI146" i="9"/>
  <c r="CJ146" i="9"/>
  <c r="CK146" i="9"/>
  <c r="CL146" i="9"/>
  <c r="CN146" i="9"/>
  <c r="CQ146" i="9"/>
  <c r="CR146" i="9"/>
  <c r="CT146" i="9"/>
  <c r="CU146" i="9"/>
  <c r="CV146" i="9"/>
  <c r="DB146" i="9"/>
  <c r="A147" i="9"/>
  <c r="R147" i="9"/>
  <c r="S147" i="9"/>
  <c r="T147" i="9"/>
  <c r="U147" i="9"/>
  <c r="V147" i="9"/>
  <c r="AF147" i="9"/>
  <c r="AH147" i="9"/>
  <c r="AL147" i="9"/>
  <c r="AM147" i="9"/>
  <c r="AO147" i="9"/>
  <c r="AR147" i="9"/>
  <c r="AT147" i="9"/>
  <c r="AU147" i="9"/>
  <c r="AW147" i="9"/>
  <c r="AX147" i="9"/>
  <c r="AY147" i="9"/>
  <c r="AZ147" i="9"/>
  <c r="BA147" i="9"/>
  <c r="BB147" i="9"/>
  <c r="BD147" i="9"/>
  <c r="BE147" i="9"/>
  <c r="BF147" i="9"/>
  <c r="BG147" i="9"/>
  <c r="BH147" i="9"/>
  <c r="BK147" i="9"/>
  <c r="BL147" i="9"/>
  <c r="BM147" i="9"/>
  <c r="BN147" i="9"/>
  <c r="BO147" i="9"/>
  <c r="BP147" i="9"/>
  <c r="BQ147" i="9"/>
  <c r="CA147" i="9"/>
  <c r="CB147" i="9"/>
  <c r="CC147" i="9"/>
  <c r="CD147" i="9"/>
  <c r="CE147" i="9"/>
  <c r="CF147" i="9"/>
  <c r="CG147" i="9"/>
  <c r="CH147" i="9"/>
  <c r="CI147" i="9"/>
  <c r="CJ147" i="9"/>
  <c r="CK147" i="9"/>
  <c r="CL147" i="9"/>
  <c r="CN147" i="9"/>
  <c r="CQ147" i="9"/>
  <c r="CR147" i="9"/>
  <c r="CT147" i="9"/>
  <c r="CU147" i="9"/>
  <c r="CV147" i="9"/>
  <c r="DB147" i="9"/>
  <c r="A148" i="9"/>
  <c r="R148" i="9"/>
  <c r="S148" i="9"/>
  <c r="T148" i="9"/>
  <c r="U148" i="9"/>
  <c r="V148" i="9"/>
  <c r="AF148" i="9"/>
  <c r="AH148" i="9"/>
  <c r="AL148" i="9"/>
  <c r="AM148" i="9"/>
  <c r="AO148" i="9"/>
  <c r="AR148" i="9"/>
  <c r="AT148" i="9"/>
  <c r="AU148" i="9"/>
  <c r="AW148" i="9"/>
  <c r="AX148" i="9"/>
  <c r="AY148" i="9"/>
  <c r="AZ148" i="9"/>
  <c r="BA148" i="9"/>
  <c r="BB148" i="9"/>
  <c r="BD148" i="9"/>
  <c r="BE148" i="9"/>
  <c r="BF148" i="9"/>
  <c r="BG148" i="9"/>
  <c r="BH148" i="9"/>
  <c r="BK148" i="9"/>
  <c r="BL148" i="9"/>
  <c r="BM148" i="9"/>
  <c r="BN148" i="9"/>
  <c r="BO148" i="9"/>
  <c r="BP148" i="9"/>
  <c r="BQ148" i="9"/>
  <c r="CA148" i="9"/>
  <c r="CB148" i="9"/>
  <c r="CC148" i="9"/>
  <c r="CD148" i="9"/>
  <c r="CE148" i="9"/>
  <c r="CF148" i="9"/>
  <c r="CG148" i="9"/>
  <c r="CH148" i="9"/>
  <c r="CI148" i="9"/>
  <c r="CJ148" i="9"/>
  <c r="CK148" i="9"/>
  <c r="CL148" i="9"/>
  <c r="CN148" i="9"/>
  <c r="CQ148" i="9"/>
  <c r="CR148" i="9"/>
  <c r="CT148" i="9"/>
  <c r="CU148" i="9"/>
  <c r="CV148" i="9"/>
  <c r="DB148" i="9"/>
  <c r="A149" i="9"/>
  <c r="R149" i="9"/>
  <c r="S149" i="9"/>
  <c r="T149" i="9"/>
  <c r="U149" i="9"/>
  <c r="V149" i="9"/>
  <c r="AF149" i="9"/>
  <c r="AH149" i="9"/>
  <c r="AL149" i="9"/>
  <c r="AM149" i="9"/>
  <c r="AO149" i="9"/>
  <c r="AR149" i="9"/>
  <c r="AT149" i="9"/>
  <c r="AU149" i="9"/>
  <c r="AW149" i="9"/>
  <c r="AX149" i="9"/>
  <c r="AY149" i="9"/>
  <c r="AZ149" i="9"/>
  <c r="BA149" i="9"/>
  <c r="BB149" i="9"/>
  <c r="BD149" i="9"/>
  <c r="BE149" i="9"/>
  <c r="BF149" i="9"/>
  <c r="BG149" i="9"/>
  <c r="BH149" i="9"/>
  <c r="BK149" i="9"/>
  <c r="BL149" i="9"/>
  <c r="BM149" i="9"/>
  <c r="BN149" i="9"/>
  <c r="BO149" i="9"/>
  <c r="BP149" i="9"/>
  <c r="BQ149" i="9"/>
  <c r="CA149" i="9"/>
  <c r="CB149" i="9"/>
  <c r="CC149" i="9"/>
  <c r="CD149" i="9"/>
  <c r="CE149" i="9"/>
  <c r="CF149" i="9"/>
  <c r="CG149" i="9"/>
  <c r="CH149" i="9"/>
  <c r="CI149" i="9"/>
  <c r="CJ149" i="9"/>
  <c r="CK149" i="9"/>
  <c r="CL149" i="9"/>
  <c r="CN149" i="9"/>
  <c r="CQ149" i="9"/>
  <c r="CR149" i="9"/>
  <c r="CT149" i="9"/>
  <c r="CU149" i="9"/>
  <c r="CV149" i="9"/>
  <c r="DB149" i="9"/>
  <c r="A150" i="9"/>
  <c r="R150" i="9"/>
  <c r="S150" i="9"/>
  <c r="T150" i="9"/>
  <c r="U150" i="9"/>
  <c r="V150" i="9"/>
  <c r="AF150" i="9"/>
  <c r="AH150" i="9"/>
  <c r="AL150" i="9"/>
  <c r="AM150" i="9"/>
  <c r="AO150" i="9"/>
  <c r="AR150" i="9"/>
  <c r="AT150" i="9"/>
  <c r="AU150" i="9"/>
  <c r="AW150" i="9"/>
  <c r="AX150" i="9"/>
  <c r="AY150" i="9"/>
  <c r="AZ150" i="9"/>
  <c r="BA150" i="9"/>
  <c r="BB150" i="9"/>
  <c r="BD150" i="9"/>
  <c r="BE150" i="9"/>
  <c r="BF150" i="9"/>
  <c r="BG150" i="9"/>
  <c r="BH150" i="9"/>
  <c r="BK150" i="9"/>
  <c r="BL150" i="9"/>
  <c r="BM150" i="9"/>
  <c r="BN150" i="9"/>
  <c r="BO150" i="9"/>
  <c r="BP150" i="9"/>
  <c r="BQ150" i="9"/>
  <c r="CA150" i="9"/>
  <c r="CB150" i="9"/>
  <c r="CC150" i="9"/>
  <c r="CD150" i="9"/>
  <c r="CE150" i="9"/>
  <c r="CF150" i="9"/>
  <c r="CG150" i="9"/>
  <c r="CH150" i="9"/>
  <c r="CI150" i="9"/>
  <c r="CJ150" i="9"/>
  <c r="CK150" i="9"/>
  <c r="CL150" i="9"/>
  <c r="CM150" i="9"/>
  <c r="CN150" i="9"/>
  <c r="CQ150" i="9"/>
  <c r="CR150" i="9"/>
  <c r="CT150" i="9"/>
  <c r="CU150" i="9"/>
  <c r="CV150" i="9"/>
  <c r="DB150" i="9"/>
  <c r="A151" i="9"/>
  <c r="R151" i="9"/>
  <c r="S151" i="9"/>
  <c r="T151" i="9"/>
  <c r="U151" i="9"/>
  <c r="V151" i="9"/>
  <c r="AF151" i="9"/>
  <c r="AH151" i="9"/>
  <c r="AL151" i="9"/>
  <c r="AM151" i="9"/>
  <c r="AO151" i="9"/>
  <c r="AR151" i="9"/>
  <c r="AT151" i="9"/>
  <c r="AU151" i="9"/>
  <c r="AX151" i="9"/>
  <c r="AY151" i="9"/>
  <c r="AZ151" i="9"/>
  <c r="BA151" i="9"/>
  <c r="BB151" i="9"/>
  <c r="BD151" i="9"/>
  <c r="BE151" i="9"/>
  <c r="BF151" i="9"/>
  <c r="BG151" i="9"/>
  <c r="BH151" i="9"/>
  <c r="BK151" i="9"/>
  <c r="BL151" i="9"/>
  <c r="BM151" i="9"/>
  <c r="BN151" i="9"/>
  <c r="BO151" i="9"/>
  <c r="BP151" i="9"/>
  <c r="BQ151" i="9"/>
  <c r="CA151" i="9"/>
  <c r="CB151" i="9"/>
  <c r="CC151" i="9"/>
  <c r="CD151" i="9"/>
  <c r="CE151" i="9"/>
  <c r="CF151" i="9"/>
  <c r="CG151" i="9"/>
  <c r="CH151" i="9"/>
  <c r="CI151" i="9"/>
  <c r="CJ151" i="9"/>
  <c r="CK151" i="9"/>
  <c r="CL151" i="9"/>
  <c r="CN151" i="9"/>
  <c r="CQ151" i="9"/>
  <c r="CR151" i="9"/>
  <c r="CT151" i="9"/>
  <c r="CU151" i="9"/>
  <c r="CV151" i="9"/>
  <c r="DB151" i="9"/>
  <c r="A152" i="9"/>
  <c r="R152" i="9"/>
  <c r="S152" i="9"/>
  <c r="T152" i="9"/>
  <c r="U152" i="9"/>
  <c r="V152" i="9"/>
  <c r="AF152" i="9"/>
  <c r="AH152" i="9"/>
  <c r="AL152" i="9"/>
  <c r="AM152" i="9"/>
  <c r="AO152" i="9"/>
  <c r="AR152" i="9"/>
  <c r="AT152" i="9"/>
  <c r="AU152" i="9"/>
  <c r="AW152" i="9"/>
  <c r="AX152" i="9"/>
  <c r="AY152" i="9"/>
  <c r="AZ152" i="9"/>
  <c r="BA152" i="9"/>
  <c r="BB152" i="9"/>
  <c r="BD152" i="9"/>
  <c r="BE152" i="9"/>
  <c r="BF152" i="9"/>
  <c r="BG152" i="9"/>
  <c r="BH152" i="9"/>
  <c r="BK152" i="9"/>
  <c r="BL152" i="9"/>
  <c r="BM152" i="9"/>
  <c r="BN152" i="9"/>
  <c r="BO152" i="9"/>
  <c r="BP152" i="9"/>
  <c r="BQ152" i="9"/>
  <c r="CA152" i="9"/>
  <c r="CB152" i="9"/>
  <c r="CC152" i="9"/>
  <c r="CD152" i="9"/>
  <c r="CE152" i="9"/>
  <c r="CF152" i="9"/>
  <c r="CG152" i="9"/>
  <c r="CH152" i="9"/>
  <c r="CI152" i="9"/>
  <c r="CJ152" i="9"/>
  <c r="CK152" i="9"/>
  <c r="CL152" i="9"/>
  <c r="CN152" i="9"/>
  <c r="CQ152" i="9"/>
  <c r="CR152" i="9"/>
  <c r="CT152" i="9"/>
  <c r="CU152" i="9"/>
  <c r="CV152" i="9"/>
  <c r="DB152" i="9"/>
  <c r="A153" i="9"/>
  <c r="R153" i="9"/>
  <c r="S153" i="9"/>
  <c r="T153" i="9"/>
  <c r="U153" i="9"/>
  <c r="V153" i="9"/>
  <c r="BB153" i="9"/>
  <c r="BD153" i="9"/>
  <c r="BE153" i="9"/>
  <c r="BF153" i="9"/>
  <c r="BG153" i="9"/>
  <c r="BH153" i="9"/>
  <c r="BK153" i="9"/>
  <c r="BL153" i="9"/>
  <c r="BM153" i="9"/>
  <c r="BN153" i="9"/>
  <c r="BO153" i="9"/>
  <c r="BP153" i="9"/>
  <c r="BQ153" i="9"/>
  <c r="CA153" i="9"/>
  <c r="CB153" i="9"/>
  <c r="CC153" i="9"/>
  <c r="CD153" i="9"/>
  <c r="CE153" i="9"/>
  <c r="CF153" i="9"/>
  <c r="CG153" i="9"/>
  <c r="CH153" i="9"/>
  <c r="CI153" i="9"/>
  <c r="CJ153" i="9"/>
  <c r="CK153" i="9"/>
  <c r="CL153" i="9"/>
  <c r="CN153" i="9"/>
  <c r="CQ153" i="9"/>
  <c r="CR153" i="9"/>
  <c r="CV153" i="9"/>
  <c r="DB153" i="9"/>
  <c r="A154" i="9"/>
  <c r="R154" i="9"/>
  <c r="S154" i="9"/>
  <c r="T154" i="9"/>
  <c r="U154" i="9"/>
  <c r="V154" i="9"/>
  <c r="BB154" i="9"/>
  <c r="BD154" i="9"/>
  <c r="BE154" i="9"/>
  <c r="BF154" i="9"/>
  <c r="BG154" i="9"/>
  <c r="BH154" i="9"/>
  <c r="BK154" i="9"/>
  <c r="BL154" i="9"/>
  <c r="BM154" i="9"/>
  <c r="BN154" i="9"/>
  <c r="BO154" i="9"/>
  <c r="BP154" i="9"/>
  <c r="BQ154" i="9"/>
  <c r="CA154" i="9"/>
  <c r="CB154" i="9"/>
  <c r="CC154" i="9"/>
  <c r="CD154" i="9"/>
  <c r="CE154" i="9"/>
  <c r="CF154" i="9"/>
  <c r="CG154" i="9"/>
  <c r="CH154" i="9"/>
  <c r="CI154" i="9"/>
  <c r="CJ154" i="9"/>
  <c r="CK154" i="9"/>
  <c r="CL154" i="9"/>
  <c r="CN154" i="9"/>
  <c r="CQ154" i="9"/>
  <c r="CR154" i="9"/>
  <c r="CV154" i="9"/>
  <c r="DB154" i="9"/>
  <c r="A155" i="9"/>
  <c r="R155" i="9"/>
  <c r="S155" i="9"/>
  <c r="T155" i="9"/>
  <c r="U155" i="9"/>
  <c r="V155" i="9"/>
  <c r="BB155" i="9"/>
  <c r="BD155" i="9"/>
  <c r="BE155" i="9"/>
  <c r="BF155" i="9"/>
  <c r="BG155" i="9"/>
  <c r="BH155" i="9"/>
  <c r="BK155" i="9"/>
  <c r="BL155" i="9"/>
  <c r="BM155" i="9"/>
  <c r="BN155" i="9"/>
  <c r="BO155" i="9"/>
  <c r="BP155" i="9"/>
  <c r="BQ155" i="9"/>
  <c r="CA155" i="9"/>
  <c r="CB155" i="9"/>
  <c r="CC155" i="9"/>
  <c r="CD155" i="9"/>
  <c r="CE155" i="9"/>
  <c r="CF155" i="9"/>
  <c r="CG155" i="9"/>
  <c r="CH155" i="9"/>
  <c r="CI155" i="9"/>
  <c r="CJ155" i="9"/>
  <c r="CK155" i="9"/>
  <c r="CL155" i="9"/>
  <c r="CN155" i="9"/>
  <c r="CQ155" i="9"/>
  <c r="CR155" i="9"/>
  <c r="CV155" i="9"/>
  <c r="DB155" i="9"/>
  <c r="A156" i="9"/>
  <c r="R156" i="9"/>
  <c r="S156" i="9"/>
  <c r="T156" i="9"/>
  <c r="U156" i="9"/>
  <c r="V156" i="9"/>
  <c r="BB156" i="9"/>
  <c r="BD156" i="9"/>
  <c r="BE156" i="9"/>
  <c r="BF156" i="9"/>
  <c r="BG156" i="9"/>
  <c r="BH156" i="9"/>
  <c r="BK156" i="9"/>
  <c r="BL156" i="9"/>
  <c r="BM156" i="9"/>
  <c r="BN156" i="9"/>
  <c r="BO156" i="9"/>
  <c r="BP156" i="9"/>
  <c r="BQ156" i="9"/>
  <c r="CA156" i="9"/>
  <c r="CB156" i="9"/>
  <c r="CC156" i="9"/>
  <c r="CD156" i="9"/>
  <c r="CE156" i="9"/>
  <c r="CF156" i="9"/>
  <c r="CG156" i="9"/>
  <c r="CH156" i="9"/>
  <c r="CI156" i="9"/>
  <c r="CJ156" i="9"/>
  <c r="CK156" i="9"/>
  <c r="CL156" i="9"/>
  <c r="CN156" i="9"/>
  <c r="CQ156" i="9"/>
  <c r="CR156" i="9"/>
  <c r="CV156" i="9"/>
  <c r="DB156" i="9"/>
  <c r="A157" i="9"/>
  <c r="R157" i="9"/>
  <c r="S157" i="9"/>
  <c r="T157" i="9"/>
  <c r="U157" i="9"/>
  <c r="V157" i="9"/>
  <c r="BB157" i="9"/>
  <c r="BD157" i="9"/>
  <c r="BE157" i="9"/>
  <c r="BF157" i="9"/>
  <c r="BG157" i="9"/>
  <c r="BH157" i="9"/>
  <c r="BK157" i="9"/>
  <c r="BL157" i="9"/>
  <c r="BM157" i="9"/>
  <c r="BN157" i="9"/>
  <c r="BO157" i="9"/>
  <c r="BP157" i="9"/>
  <c r="BQ157" i="9"/>
  <c r="CA157" i="9"/>
  <c r="CB157" i="9"/>
  <c r="CC157" i="9"/>
  <c r="CD157" i="9"/>
  <c r="CE157" i="9"/>
  <c r="CF157" i="9"/>
  <c r="CG157" i="9"/>
  <c r="CH157" i="9"/>
  <c r="CI157" i="9"/>
  <c r="CJ157" i="9"/>
  <c r="CK157" i="9"/>
  <c r="CL157" i="9"/>
  <c r="CN157" i="9"/>
  <c r="CQ157" i="9"/>
  <c r="CR157" i="9"/>
  <c r="CV157" i="9"/>
  <c r="DB157" i="9"/>
  <c r="A158" i="9"/>
  <c r="R158" i="9"/>
  <c r="S158" i="9"/>
  <c r="T158" i="9"/>
  <c r="U158" i="9"/>
  <c r="V158" i="9"/>
  <c r="BB158" i="9"/>
  <c r="BD158" i="9"/>
  <c r="BE158" i="9"/>
  <c r="BF158" i="9"/>
  <c r="BG158" i="9"/>
  <c r="BH158" i="9"/>
  <c r="BK158" i="9"/>
  <c r="BL158" i="9"/>
  <c r="BM158" i="9"/>
  <c r="BN158" i="9"/>
  <c r="BO158" i="9"/>
  <c r="BP158" i="9"/>
  <c r="BQ158" i="9"/>
  <c r="CA158" i="9"/>
  <c r="CB158" i="9"/>
  <c r="CC158" i="9"/>
  <c r="CD158" i="9"/>
  <c r="CE158" i="9"/>
  <c r="CF158" i="9"/>
  <c r="CG158" i="9"/>
  <c r="CH158" i="9"/>
  <c r="CI158" i="9"/>
  <c r="CJ158" i="9"/>
  <c r="CK158" i="9"/>
  <c r="CL158" i="9"/>
  <c r="CN158" i="9"/>
  <c r="CQ158" i="9"/>
  <c r="CR158" i="9"/>
  <c r="CV158" i="9"/>
  <c r="DB158" i="9"/>
  <c r="A159" i="9"/>
  <c r="R159" i="9"/>
  <c r="S159" i="9"/>
  <c r="T159" i="9"/>
  <c r="U159" i="9"/>
  <c r="V159" i="9"/>
  <c r="BB159" i="9"/>
  <c r="BD159" i="9"/>
  <c r="BE159" i="9"/>
  <c r="BF159" i="9"/>
  <c r="BG159" i="9"/>
  <c r="BH159" i="9"/>
  <c r="BK159" i="9"/>
  <c r="BL159" i="9"/>
  <c r="BM159" i="9"/>
  <c r="BN159" i="9"/>
  <c r="BO159" i="9"/>
  <c r="BP159" i="9"/>
  <c r="BQ159" i="9"/>
  <c r="CA159" i="9"/>
  <c r="CB159" i="9"/>
  <c r="CC159" i="9"/>
  <c r="CD159" i="9"/>
  <c r="CE159" i="9"/>
  <c r="CF159" i="9"/>
  <c r="CG159" i="9"/>
  <c r="CH159" i="9"/>
  <c r="CI159" i="9"/>
  <c r="CJ159" i="9"/>
  <c r="CK159" i="9"/>
  <c r="CL159" i="9"/>
  <c r="CN159" i="9"/>
  <c r="CQ159" i="9"/>
  <c r="CR159" i="9"/>
  <c r="CV159" i="9"/>
  <c r="DB159" i="9"/>
  <c r="A160" i="9"/>
  <c r="R160" i="9"/>
  <c r="S160" i="9"/>
  <c r="T160" i="9"/>
  <c r="U160" i="9"/>
  <c r="V160" i="9"/>
  <c r="BB160" i="9"/>
  <c r="BD160" i="9"/>
  <c r="BE160" i="9"/>
  <c r="BF160" i="9"/>
  <c r="BG160" i="9"/>
  <c r="BH160" i="9"/>
  <c r="BK160" i="9"/>
  <c r="BL160" i="9"/>
  <c r="BM160" i="9"/>
  <c r="BN160" i="9"/>
  <c r="BO160" i="9"/>
  <c r="BP160" i="9"/>
  <c r="BQ160" i="9"/>
  <c r="CA160" i="9"/>
  <c r="CB160" i="9"/>
  <c r="CC160" i="9"/>
  <c r="CD160" i="9"/>
  <c r="CE160" i="9"/>
  <c r="CF160" i="9"/>
  <c r="CG160" i="9"/>
  <c r="CH160" i="9"/>
  <c r="CI160" i="9"/>
  <c r="CJ160" i="9"/>
  <c r="CK160" i="9"/>
  <c r="CL160" i="9"/>
  <c r="CN160" i="9"/>
  <c r="CQ160" i="9"/>
  <c r="CR160" i="9"/>
  <c r="CV160" i="9"/>
  <c r="DB160" i="9"/>
  <c r="A161" i="9"/>
  <c r="R161" i="9"/>
  <c r="S161" i="9"/>
  <c r="T161" i="9"/>
  <c r="U161" i="9"/>
  <c r="V161" i="9"/>
  <c r="BB161" i="9"/>
  <c r="BD161" i="9"/>
  <c r="BE161" i="9"/>
  <c r="BF161" i="9"/>
  <c r="BG161" i="9"/>
  <c r="BH161" i="9"/>
  <c r="BK161" i="9"/>
  <c r="BL161" i="9"/>
  <c r="BM161" i="9"/>
  <c r="BN161" i="9"/>
  <c r="BO161" i="9"/>
  <c r="BP161" i="9"/>
  <c r="BQ161" i="9"/>
  <c r="CA161" i="9"/>
  <c r="CB161" i="9"/>
  <c r="CC161" i="9"/>
  <c r="CD161" i="9"/>
  <c r="CE161" i="9"/>
  <c r="CF161" i="9"/>
  <c r="CG161" i="9"/>
  <c r="CH161" i="9"/>
  <c r="CI161" i="9"/>
  <c r="CJ161" i="9"/>
  <c r="CK161" i="9"/>
  <c r="CL161" i="9"/>
  <c r="CN161" i="9"/>
  <c r="CQ161" i="9"/>
  <c r="CR161" i="9"/>
  <c r="CV161" i="9"/>
  <c r="DB161" i="9"/>
  <c r="A162" i="9"/>
  <c r="R162" i="9"/>
  <c r="S162" i="9"/>
  <c r="T162" i="9"/>
  <c r="U162" i="9"/>
  <c r="V162" i="9"/>
  <c r="BB162" i="9"/>
  <c r="BD162" i="9"/>
  <c r="BE162" i="9"/>
  <c r="BF162" i="9"/>
  <c r="BG162" i="9"/>
  <c r="BH162" i="9"/>
  <c r="BK162" i="9"/>
  <c r="BL162" i="9"/>
  <c r="BM162" i="9"/>
  <c r="BN162" i="9"/>
  <c r="BO162" i="9"/>
  <c r="BP162" i="9"/>
  <c r="BQ162" i="9"/>
  <c r="CA162" i="9"/>
  <c r="CB162" i="9"/>
  <c r="CC162" i="9"/>
  <c r="CD162" i="9"/>
  <c r="CE162" i="9"/>
  <c r="CF162" i="9"/>
  <c r="CG162" i="9"/>
  <c r="CH162" i="9"/>
  <c r="CI162" i="9"/>
  <c r="CJ162" i="9"/>
  <c r="CK162" i="9"/>
  <c r="CL162" i="9"/>
  <c r="CM162" i="9"/>
  <c r="CN162" i="9"/>
  <c r="CQ162" i="9"/>
  <c r="CR162" i="9"/>
  <c r="CV162" i="9"/>
  <c r="DB162" i="9"/>
  <c r="A163" i="9"/>
  <c r="R163" i="9"/>
  <c r="S163" i="9"/>
  <c r="T163" i="9"/>
  <c r="U163" i="9"/>
  <c r="V163" i="9"/>
  <c r="BB163" i="9"/>
  <c r="BD163" i="9"/>
  <c r="BE163" i="9"/>
  <c r="BF163" i="9"/>
  <c r="BG163" i="9"/>
  <c r="BH163" i="9"/>
  <c r="BK163" i="9"/>
  <c r="BL163" i="9"/>
  <c r="BM163" i="9"/>
  <c r="BN163" i="9"/>
  <c r="BO163" i="9"/>
  <c r="BP163" i="9"/>
  <c r="BQ163" i="9"/>
  <c r="CA163" i="9"/>
  <c r="CB163" i="9"/>
  <c r="CC163" i="9"/>
  <c r="CD163" i="9"/>
  <c r="CE163" i="9"/>
  <c r="CF163" i="9"/>
  <c r="CG163" i="9"/>
  <c r="CH163" i="9"/>
  <c r="CJ163" i="9"/>
  <c r="CK163" i="9"/>
  <c r="CL163" i="9"/>
  <c r="CN163" i="9"/>
  <c r="CQ163" i="9"/>
  <c r="CR163" i="9"/>
  <c r="CV163" i="9"/>
  <c r="DB163" i="9"/>
  <c r="A164" i="9"/>
  <c r="R164" i="9"/>
  <c r="S164" i="9"/>
  <c r="T164" i="9"/>
  <c r="U164" i="9"/>
  <c r="V164" i="9"/>
  <c r="BB164" i="9"/>
  <c r="BD164" i="9"/>
  <c r="BE164" i="9"/>
  <c r="BF164" i="9"/>
  <c r="BG164" i="9"/>
  <c r="BH164" i="9"/>
  <c r="BK164" i="9"/>
  <c r="BL164" i="9"/>
  <c r="BM164" i="9"/>
  <c r="BN164" i="9"/>
  <c r="BO164" i="9"/>
  <c r="BP164" i="9"/>
  <c r="BQ164" i="9"/>
  <c r="CA164" i="9"/>
  <c r="CB164" i="9"/>
  <c r="CC164" i="9"/>
  <c r="CD164" i="9"/>
  <c r="CE164" i="9"/>
  <c r="CJ164" i="9"/>
  <c r="CK164" i="9"/>
  <c r="CL164" i="9"/>
  <c r="CN164" i="9"/>
  <c r="CQ164" i="9"/>
  <c r="CR164" i="9"/>
  <c r="CV164" i="9"/>
  <c r="DB164" i="9"/>
  <c r="A165" i="9"/>
  <c r="R165" i="9"/>
  <c r="S165" i="9"/>
  <c r="T165" i="9"/>
  <c r="U165" i="9"/>
  <c r="V165" i="9"/>
  <c r="BB165" i="9"/>
  <c r="BD165" i="9"/>
  <c r="BE165" i="9"/>
  <c r="BF165" i="9"/>
  <c r="BG165" i="9"/>
  <c r="BH165" i="9"/>
  <c r="BK165" i="9"/>
  <c r="BL165" i="9"/>
  <c r="BM165" i="9"/>
  <c r="BN165" i="9"/>
  <c r="BO165" i="9"/>
  <c r="BP165" i="9"/>
  <c r="BQ165" i="9"/>
  <c r="CA165" i="9"/>
  <c r="CB165" i="9"/>
  <c r="CC165" i="9"/>
  <c r="CD165" i="9"/>
  <c r="CE165" i="9"/>
  <c r="CJ165" i="9"/>
  <c r="CK165" i="9"/>
  <c r="CL165" i="9"/>
  <c r="CN165" i="9"/>
  <c r="CQ165" i="9"/>
  <c r="CR165" i="9"/>
  <c r="CV165" i="9"/>
  <c r="DB165" i="9"/>
  <c r="A166" i="9"/>
  <c r="R166" i="9"/>
  <c r="S166" i="9"/>
  <c r="T166" i="9"/>
  <c r="U166" i="9"/>
  <c r="V166" i="9"/>
  <c r="BB166" i="9"/>
  <c r="BD166" i="9"/>
  <c r="BE166" i="9"/>
  <c r="BF166" i="9"/>
  <c r="BG166" i="9"/>
  <c r="BH166" i="9"/>
  <c r="BK166" i="9"/>
  <c r="BL166" i="9"/>
  <c r="BM166" i="9"/>
  <c r="BN166" i="9"/>
  <c r="BO166" i="9"/>
  <c r="BP166" i="9"/>
  <c r="BQ166" i="9"/>
  <c r="CA166" i="9"/>
  <c r="CB166" i="9"/>
  <c r="CC166" i="9"/>
  <c r="CD166" i="9"/>
  <c r="CE166" i="9"/>
  <c r="CJ166" i="9"/>
  <c r="CK166" i="9"/>
  <c r="CL166" i="9"/>
  <c r="CN166" i="9"/>
  <c r="CQ166" i="9"/>
  <c r="CR166" i="9"/>
  <c r="CV166" i="9"/>
  <c r="DB166" i="9"/>
  <c r="A167" i="9"/>
  <c r="R167" i="9"/>
  <c r="S167" i="9"/>
  <c r="T167" i="9"/>
  <c r="U167" i="9"/>
  <c r="V167" i="9"/>
  <c r="BB167" i="9"/>
  <c r="BD167" i="9"/>
  <c r="BE167" i="9"/>
  <c r="BF167" i="9"/>
  <c r="BG167" i="9"/>
  <c r="BH167" i="9"/>
  <c r="BK167" i="9"/>
  <c r="BL167" i="9"/>
  <c r="BM167" i="9"/>
  <c r="BN167" i="9"/>
  <c r="BO167" i="9"/>
  <c r="BP167" i="9"/>
  <c r="BQ167" i="9"/>
  <c r="CA167" i="9"/>
  <c r="CB167" i="9"/>
  <c r="CC167" i="9"/>
  <c r="CD167" i="9"/>
  <c r="CE167" i="9"/>
  <c r="CJ167" i="9"/>
  <c r="CK167" i="9"/>
  <c r="CL167" i="9"/>
  <c r="CN167" i="9"/>
  <c r="CQ167" i="9"/>
  <c r="CR167" i="9"/>
  <c r="CV167" i="9"/>
  <c r="DB167" i="9"/>
  <c r="A168" i="9"/>
  <c r="R168" i="9"/>
  <c r="S168" i="9"/>
  <c r="T168" i="9"/>
  <c r="U168" i="9"/>
  <c r="V168" i="9"/>
  <c r="BB168" i="9"/>
  <c r="BD168" i="9"/>
  <c r="BE168" i="9"/>
  <c r="BF168" i="9"/>
  <c r="BG168" i="9"/>
  <c r="BH168" i="9"/>
  <c r="BK168" i="9"/>
  <c r="BL168" i="9"/>
  <c r="BM168" i="9"/>
  <c r="BN168" i="9"/>
  <c r="BO168" i="9"/>
  <c r="BP168" i="9"/>
  <c r="BQ168" i="9"/>
  <c r="CA168" i="9"/>
  <c r="CB168" i="9"/>
  <c r="CC168" i="9"/>
  <c r="CD168" i="9"/>
  <c r="CE168" i="9"/>
  <c r="CJ168" i="9"/>
  <c r="CK168" i="9"/>
  <c r="CL168" i="9"/>
  <c r="CN168" i="9"/>
  <c r="CQ168" i="9"/>
  <c r="CR168" i="9"/>
  <c r="CV168" i="9"/>
  <c r="DB168" i="9"/>
  <c r="A169" i="9"/>
  <c r="R169" i="9"/>
  <c r="S169" i="9"/>
  <c r="T169" i="9"/>
  <c r="U169" i="9"/>
  <c r="V169" i="9"/>
  <c r="BB169" i="9"/>
  <c r="BD169" i="9"/>
  <c r="BE169" i="9"/>
  <c r="BF169" i="9"/>
  <c r="BG169" i="9"/>
  <c r="BH169" i="9"/>
  <c r="BK169" i="9"/>
  <c r="BL169" i="9"/>
  <c r="BM169" i="9"/>
  <c r="BN169" i="9"/>
  <c r="BO169" i="9"/>
  <c r="BP169" i="9"/>
  <c r="BQ169" i="9"/>
  <c r="CA169" i="9"/>
  <c r="CB169" i="9"/>
  <c r="CC169" i="9"/>
  <c r="CD169" i="9"/>
  <c r="CE169" i="9"/>
  <c r="CJ169" i="9"/>
  <c r="CK169" i="9"/>
  <c r="CL169" i="9"/>
  <c r="CN169" i="9"/>
  <c r="CQ169" i="9"/>
  <c r="CR169" i="9"/>
  <c r="CV169" i="9"/>
  <c r="DB169" i="9"/>
  <c r="A170" i="9"/>
  <c r="R170" i="9"/>
  <c r="S170" i="9"/>
  <c r="T170" i="9"/>
  <c r="U170" i="9"/>
  <c r="V170" i="9"/>
  <c r="BB170" i="9"/>
  <c r="BD170" i="9"/>
  <c r="BE170" i="9"/>
  <c r="BF170" i="9"/>
  <c r="BG170" i="9"/>
  <c r="BH170" i="9"/>
  <c r="BK170" i="9"/>
  <c r="BL170" i="9"/>
  <c r="BM170" i="9"/>
  <c r="BN170" i="9"/>
  <c r="BO170" i="9"/>
  <c r="BP170" i="9"/>
  <c r="BQ170" i="9"/>
  <c r="CA170" i="9"/>
  <c r="CB170" i="9"/>
  <c r="CC170" i="9"/>
  <c r="CD170" i="9"/>
  <c r="CE170" i="9"/>
  <c r="CJ170" i="9"/>
  <c r="CK170" i="9"/>
  <c r="CL170" i="9"/>
  <c r="CN170" i="9"/>
  <c r="CQ170" i="9"/>
  <c r="CR170" i="9"/>
  <c r="CV170" i="9"/>
  <c r="DB170" i="9"/>
  <c r="A171" i="9"/>
  <c r="R171" i="9"/>
  <c r="S171" i="9"/>
  <c r="T171" i="9"/>
  <c r="U171" i="9"/>
  <c r="V171" i="9"/>
  <c r="BB171" i="9"/>
  <c r="BD171" i="9"/>
  <c r="BE171" i="9"/>
  <c r="BF171" i="9"/>
  <c r="BG171" i="9"/>
  <c r="BH171" i="9"/>
  <c r="BK171" i="9"/>
  <c r="BL171" i="9"/>
  <c r="BM171" i="9"/>
  <c r="BN171" i="9"/>
  <c r="BO171" i="9"/>
  <c r="BP171" i="9"/>
  <c r="BQ171" i="9"/>
  <c r="CA171" i="9"/>
  <c r="CB171" i="9"/>
  <c r="CC171" i="9"/>
  <c r="CD171" i="9"/>
  <c r="CE171" i="9"/>
  <c r="CJ171" i="9"/>
  <c r="CK171" i="9"/>
  <c r="CL171" i="9"/>
  <c r="CN171" i="9"/>
  <c r="CQ171" i="9"/>
  <c r="CR171" i="9"/>
  <c r="CV171" i="9"/>
  <c r="DB171" i="9"/>
  <c r="A172" i="9"/>
  <c r="R172" i="9"/>
  <c r="S172" i="9"/>
  <c r="T172" i="9"/>
  <c r="U172" i="9"/>
  <c r="V172" i="9"/>
  <c r="BB172" i="9"/>
  <c r="BD172" i="9"/>
  <c r="BE172" i="9"/>
  <c r="BF172" i="9"/>
  <c r="BG172" i="9"/>
  <c r="BH172" i="9"/>
  <c r="BK172" i="9"/>
  <c r="BL172" i="9"/>
  <c r="BM172" i="9"/>
  <c r="BN172" i="9"/>
  <c r="BO172" i="9"/>
  <c r="BP172" i="9"/>
  <c r="BQ172" i="9"/>
  <c r="CA172" i="9"/>
  <c r="CB172" i="9"/>
  <c r="CC172" i="9"/>
  <c r="CD172" i="9"/>
  <c r="CE172" i="9"/>
  <c r="CJ172" i="9"/>
  <c r="CK172" i="9"/>
  <c r="CL172" i="9"/>
  <c r="CN172" i="9"/>
  <c r="CQ172" i="9"/>
  <c r="CR172" i="9"/>
  <c r="CV172" i="9"/>
  <c r="DB172" i="9"/>
  <c r="A173" i="9"/>
  <c r="R173" i="9"/>
  <c r="S173" i="9"/>
  <c r="T173" i="9"/>
  <c r="U173" i="9"/>
  <c r="V173" i="9"/>
  <c r="BB173" i="9"/>
  <c r="BD173" i="9"/>
  <c r="BE173" i="9"/>
  <c r="BF173" i="9"/>
  <c r="BG173" i="9"/>
  <c r="BH173" i="9"/>
  <c r="BK173" i="9"/>
  <c r="BL173" i="9"/>
  <c r="BM173" i="9"/>
  <c r="BN173" i="9"/>
  <c r="BO173" i="9"/>
  <c r="BP173" i="9"/>
  <c r="BQ173" i="9"/>
  <c r="CA173" i="9"/>
  <c r="CB173" i="9"/>
  <c r="CC173" i="9"/>
  <c r="CD173" i="9"/>
  <c r="CE173" i="9"/>
  <c r="CJ173" i="9"/>
  <c r="CK173" i="9"/>
  <c r="CL173" i="9"/>
  <c r="CN173" i="9"/>
  <c r="CQ173" i="9"/>
  <c r="CR173" i="9"/>
  <c r="CV173" i="9"/>
  <c r="DB173" i="9"/>
  <c r="A174" i="9"/>
  <c r="R174" i="9"/>
  <c r="S174" i="9"/>
  <c r="T174" i="9"/>
  <c r="U174" i="9"/>
  <c r="V174" i="9"/>
  <c r="BB174" i="9"/>
  <c r="BD174" i="9"/>
  <c r="BE174" i="9"/>
  <c r="BF174" i="9"/>
  <c r="BG174" i="9"/>
  <c r="BH174" i="9"/>
  <c r="BK174" i="9"/>
  <c r="BL174" i="9"/>
  <c r="BM174" i="9"/>
  <c r="BN174" i="9"/>
  <c r="BO174" i="9"/>
  <c r="BP174" i="9"/>
  <c r="BQ174" i="9"/>
  <c r="CA174" i="9"/>
  <c r="CB174" i="9"/>
  <c r="CC174" i="9"/>
  <c r="CD174" i="9"/>
  <c r="CE174" i="9"/>
  <c r="CJ174" i="9"/>
  <c r="CK174" i="9"/>
  <c r="CL174" i="9"/>
  <c r="CM174" i="9"/>
  <c r="CN174" i="9"/>
  <c r="CQ174" i="9"/>
  <c r="CR174" i="9"/>
  <c r="CV174" i="9"/>
  <c r="DB174" i="9"/>
  <c r="A175" i="9"/>
  <c r="R175" i="9"/>
  <c r="S175" i="9"/>
  <c r="T175" i="9"/>
  <c r="U175" i="9"/>
  <c r="V175" i="9"/>
  <c r="BB175" i="9"/>
  <c r="BD175" i="9"/>
  <c r="BE175" i="9"/>
  <c r="BF175" i="9"/>
  <c r="BG175" i="9"/>
  <c r="BH175" i="9"/>
  <c r="BK175" i="9"/>
  <c r="BL175" i="9"/>
  <c r="BM175" i="9"/>
  <c r="BN175" i="9"/>
  <c r="BO175" i="9"/>
  <c r="BP175" i="9"/>
  <c r="BQ175" i="9"/>
  <c r="CA175" i="9"/>
  <c r="CB175" i="9"/>
  <c r="CC175" i="9"/>
  <c r="CD175" i="9"/>
  <c r="CE175" i="9"/>
  <c r="CJ175" i="9"/>
  <c r="CK175" i="9"/>
  <c r="CL175" i="9"/>
  <c r="CN175" i="9"/>
  <c r="CQ175" i="9"/>
  <c r="CR175" i="9"/>
  <c r="CV175" i="9"/>
  <c r="DB175" i="9"/>
  <c r="A176" i="9"/>
  <c r="R176" i="9"/>
  <c r="S176" i="9"/>
  <c r="T176" i="9"/>
  <c r="U176" i="9"/>
  <c r="V176" i="9"/>
  <c r="BB176" i="9"/>
  <c r="BD176" i="9"/>
  <c r="BE176" i="9"/>
  <c r="BF176" i="9"/>
  <c r="BG176" i="9"/>
  <c r="BH176" i="9"/>
  <c r="BK176" i="9"/>
  <c r="BL176" i="9"/>
  <c r="BM176" i="9"/>
  <c r="BN176" i="9"/>
  <c r="BO176" i="9"/>
  <c r="BP176" i="9"/>
  <c r="BQ176" i="9"/>
  <c r="CA176" i="9"/>
  <c r="CB176" i="9"/>
  <c r="CC176" i="9"/>
  <c r="CD176" i="9"/>
  <c r="CE176" i="9"/>
  <c r="CJ176" i="9"/>
  <c r="CK176" i="9"/>
  <c r="CL176" i="9"/>
  <c r="CN176" i="9"/>
  <c r="CQ176" i="9"/>
  <c r="CR176" i="9"/>
  <c r="CV176" i="9"/>
  <c r="DB176" i="9"/>
  <c r="A177" i="9"/>
  <c r="R177" i="9"/>
  <c r="S177" i="9"/>
  <c r="T177" i="9"/>
  <c r="U177" i="9"/>
  <c r="V177" i="9"/>
  <c r="BB177" i="9"/>
  <c r="BD177" i="9"/>
  <c r="BE177" i="9"/>
  <c r="BF177" i="9"/>
  <c r="BG177" i="9"/>
  <c r="BH177" i="9"/>
  <c r="BK177" i="9"/>
  <c r="BL177" i="9"/>
  <c r="BM177" i="9"/>
  <c r="BN177" i="9"/>
  <c r="BO177" i="9"/>
  <c r="BP177" i="9"/>
  <c r="BQ177" i="9"/>
  <c r="CA177" i="9"/>
  <c r="CB177" i="9"/>
  <c r="CC177" i="9"/>
  <c r="CD177" i="9"/>
  <c r="CE177" i="9"/>
  <c r="CJ177" i="9"/>
  <c r="CK177" i="9"/>
  <c r="CL177" i="9"/>
  <c r="CN177" i="9"/>
  <c r="CQ177" i="9"/>
  <c r="CR177" i="9"/>
  <c r="CV177" i="9"/>
  <c r="DB177" i="9"/>
  <c r="A178" i="9"/>
  <c r="R178" i="9"/>
  <c r="S178" i="9"/>
  <c r="T178" i="9"/>
  <c r="U178" i="9"/>
  <c r="V178" i="9"/>
  <c r="BB178" i="9"/>
  <c r="BD178" i="9"/>
  <c r="BE178" i="9"/>
  <c r="BF178" i="9"/>
  <c r="BG178" i="9"/>
  <c r="BH178" i="9"/>
  <c r="BK178" i="9"/>
  <c r="BL178" i="9"/>
  <c r="BM178" i="9"/>
  <c r="BN178" i="9"/>
  <c r="BO178" i="9"/>
  <c r="BP178" i="9"/>
  <c r="BQ178" i="9"/>
  <c r="CA178" i="9"/>
  <c r="CB178" i="9"/>
  <c r="CC178" i="9"/>
  <c r="CD178" i="9"/>
  <c r="CE178" i="9"/>
  <c r="CJ178" i="9"/>
  <c r="CK178" i="9"/>
  <c r="CL178" i="9"/>
  <c r="CN178" i="9"/>
  <c r="CQ178" i="9"/>
  <c r="CR178" i="9"/>
  <c r="CV178" i="9"/>
  <c r="DB178" i="9"/>
  <c r="A179" i="9"/>
  <c r="R179" i="9"/>
  <c r="S179" i="9"/>
  <c r="T179" i="9"/>
  <c r="U179" i="9"/>
  <c r="V179" i="9"/>
  <c r="BB179" i="9"/>
  <c r="BD179" i="9"/>
  <c r="BE179" i="9"/>
  <c r="BF179" i="9"/>
  <c r="BG179" i="9"/>
  <c r="BH179" i="9"/>
  <c r="BK179" i="9"/>
  <c r="BL179" i="9"/>
  <c r="BM179" i="9"/>
  <c r="BN179" i="9"/>
  <c r="BO179" i="9"/>
  <c r="BP179" i="9"/>
  <c r="BQ179" i="9"/>
  <c r="CA179" i="9"/>
  <c r="CB179" i="9"/>
  <c r="CC179" i="9"/>
  <c r="CD179" i="9"/>
  <c r="CE179" i="9"/>
  <c r="CJ179" i="9"/>
  <c r="CK179" i="9"/>
  <c r="CL179" i="9"/>
  <c r="CN179" i="9"/>
  <c r="CQ179" i="9"/>
  <c r="CR179" i="9"/>
  <c r="CV179" i="9"/>
  <c r="DB179" i="9"/>
  <c r="A180" i="9"/>
  <c r="R180" i="9"/>
  <c r="S180" i="9"/>
  <c r="T180" i="9"/>
  <c r="U180" i="9"/>
  <c r="V180" i="9"/>
  <c r="BB180" i="9"/>
  <c r="BD180" i="9"/>
  <c r="BE180" i="9"/>
  <c r="BF180" i="9"/>
  <c r="BG180" i="9"/>
  <c r="BH180" i="9"/>
  <c r="BK180" i="9"/>
  <c r="BL180" i="9"/>
  <c r="BM180" i="9"/>
  <c r="BN180" i="9"/>
  <c r="BO180" i="9"/>
  <c r="BP180" i="9"/>
  <c r="BQ180" i="9"/>
  <c r="CA180" i="9"/>
  <c r="CB180" i="9"/>
  <c r="CC180" i="9"/>
  <c r="CD180" i="9"/>
  <c r="CE180" i="9"/>
  <c r="CJ180" i="9"/>
  <c r="CK180" i="9"/>
  <c r="CL180" i="9"/>
  <c r="CN180" i="9"/>
  <c r="CQ180" i="9"/>
  <c r="CR180" i="9"/>
  <c r="CV180" i="9"/>
  <c r="DB180" i="9"/>
  <c r="A181" i="9"/>
  <c r="BB181" i="9"/>
  <c r="BD181" i="9"/>
  <c r="BE181" i="9"/>
  <c r="BF181" i="9"/>
  <c r="BG181" i="9"/>
  <c r="BH181" i="9"/>
  <c r="BK181" i="9"/>
  <c r="BL181" i="9"/>
  <c r="BM181" i="9"/>
  <c r="BN181" i="9"/>
  <c r="BO181" i="9"/>
  <c r="BP181" i="9"/>
  <c r="BQ181" i="9"/>
  <c r="CA181" i="9"/>
  <c r="CB181" i="9"/>
  <c r="CC181" i="9"/>
  <c r="CD181" i="9"/>
  <c r="CE181" i="9"/>
  <c r="CJ181" i="9"/>
  <c r="CK181" i="9"/>
  <c r="CL181" i="9"/>
  <c r="CN181" i="9"/>
  <c r="CQ181" i="9"/>
  <c r="CR181" i="9"/>
  <c r="CV181" i="9"/>
  <c r="A182" i="9"/>
  <c r="BB182" i="9"/>
  <c r="BD182" i="9"/>
  <c r="BE182" i="9"/>
  <c r="BF182" i="9"/>
  <c r="BG182" i="9"/>
  <c r="BH182" i="9"/>
  <c r="BK182" i="9"/>
  <c r="BL182" i="9"/>
  <c r="BM182" i="9"/>
  <c r="BN182" i="9"/>
  <c r="BO182" i="9"/>
  <c r="BP182" i="9"/>
  <c r="BQ182" i="9"/>
  <c r="CA182" i="9"/>
  <c r="CB182" i="9"/>
  <c r="CC182" i="9"/>
  <c r="CD182" i="9"/>
  <c r="CE182" i="9"/>
  <c r="CJ182" i="9"/>
  <c r="CK182" i="9"/>
  <c r="CL182" i="9"/>
  <c r="CN182" i="9"/>
  <c r="CQ182" i="9"/>
  <c r="CR182" i="9"/>
  <c r="CV182" i="9"/>
  <c r="A183" i="9"/>
  <c r="BB183" i="9"/>
  <c r="BD183" i="9"/>
  <c r="BE183" i="9"/>
  <c r="BF183" i="9"/>
  <c r="BG183" i="9"/>
  <c r="BH183" i="9"/>
  <c r="BK183" i="9"/>
  <c r="BL183" i="9"/>
  <c r="BM183" i="9"/>
  <c r="BN183" i="9"/>
  <c r="BO183" i="9"/>
  <c r="BP183" i="9"/>
  <c r="BQ183" i="9"/>
  <c r="CA183" i="9"/>
  <c r="CB183" i="9"/>
  <c r="CC183" i="9"/>
  <c r="CD183" i="9"/>
  <c r="CE183" i="9"/>
  <c r="CJ183" i="9"/>
  <c r="CK183" i="9"/>
  <c r="CL183" i="9"/>
  <c r="CN183" i="9"/>
  <c r="CQ183" i="9"/>
  <c r="CR183" i="9"/>
  <c r="CV183" i="9"/>
  <c r="A184" i="9"/>
  <c r="BB184" i="9"/>
  <c r="BD184" i="9"/>
  <c r="BE184" i="9"/>
  <c r="BF184" i="9"/>
  <c r="BG184" i="9"/>
  <c r="BH184" i="9"/>
  <c r="BK184" i="9"/>
  <c r="BL184" i="9"/>
  <c r="BM184" i="9"/>
  <c r="BN184" i="9"/>
  <c r="BO184" i="9"/>
  <c r="BP184" i="9"/>
  <c r="BQ184" i="9"/>
  <c r="CA184" i="9"/>
  <c r="CB184" i="9"/>
  <c r="CC184" i="9"/>
  <c r="CD184" i="9"/>
  <c r="CE184" i="9"/>
  <c r="CJ184" i="9"/>
  <c r="CK184" i="9"/>
  <c r="CL184" i="9"/>
  <c r="CN184" i="9"/>
  <c r="CQ184" i="9"/>
  <c r="CR184" i="9"/>
  <c r="CV184" i="9"/>
  <c r="A185" i="9"/>
  <c r="BB185" i="9"/>
  <c r="BD185" i="9"/>
  <c r="BE185" i="9"/>
  <c r="BF185" i="9"/>
  <c r="BG185" i="9"/>
  <c r="BH185" i="9"/>
  <c r="BK185" i="9"/>
  <c r="BL185" i="9"/>
  <c r="BM185" i="9"/>
  <c r="BN185" i="9"/>
  <c r="BO185" i="9"/>
  <c r="BP185" i="9"/>
  <c r="BQ185" i="9"/>
  <c r="CA185" i="9"/>
  <c r="CB185" i="9"/>
  <c r="CC185" i="9"/>
  <c r="CD185" i="9"/>
  <c r="CE185" i="9"/>
  <c r="CJ185" i="9"/>
  <c r="CK185" i="9"/>
  <c r="CL185" i="9"/>
  <c r="CN185" i="9"/>
  <c r="CQ185" i="9"/>
  <c r="CR185" i="9"/>
  <c r="CV185" i="9"/>
  <c r="A186" i="9"/>
  <c r="BB186" i="9"/>
  <c r="BD186" i="9"/>
  <c r="BE186" i="9"/>
  <c r="BF186" i="9"/>
  <c r="BG186" i="9"/>
  <c r="BH186" i="9"/>
  <c r="BK186" i="9"/>
  <c r="BL186" i="9"/>
  <c r="BM186" i="9"/>
  <c r="BN186" i="9"/>
  <c r="BO186" i="9"/>
  <c r="BP186" i="9"/>
  <c r="BQ186" i="9"/>
  <c r="CA186" i="9"/>
  <c r="CB186" i="9"/>
  <c r="CC186" i="9"/>
  <c r="CD186" i="9"/>
  <c r="CE186" i="9"/>
  <c r="CJ186" i="9"/>
  <c r="CK186" i="9"/>
  <c r="CL186" i="9"/>
  <c r="CM186" i="9"/>
  <c r="CN186" i="9"/>
  <c r="CQ186" i="9"/>
  <c r="CR186" i="9"/>
  <c r="CV186" i="9"/>
  <c r="A187" i="9"/>
  <c r="BB187" i="9"/>
  <c r="BD187" i="9"/>
  <c r="BE187" i="9"/>
  <c r="BF187" i="9"/>
  <c r="BG187" i="9"/>
  <c r="BH187" i="9"/>
  <c r="BK187" i="9"/>
  <c r="BL187" i="9"/>
  <c r="BM187" i="9"/>
  <c r="BN187" i="9"/>
  <c r="BO187" i="9"/>
  <c r="BP187" i="9"/>
  <c r="BQ187" i="9"/>
  <c r="CA187" i="9"/>
  <c r="CB187" i="9"/>
  <c r="CC187" i="9"/>
  <c r="CD187" i="9"/>
  <c r="CE187" i="9"/>
  <c r="CJ187" i="9"/>
  <c r="CK187" i="9"/>
  <c r="CL187" i="9"/>
  <c r="CN187" i="9"/>
  <c r="CQ187" i="9"/>
  <c r="CR187" i="9"/>
  <c r="CV187" i="9"/>
  <c r="A188" i="9"/>
  <c r="BB188" i="9"/>
  <c r="BD188" i="9"/>
  <c r="BE188" i="9"/>
  <c r="BF188" i="9"/>
  <c r="BG188" i="9"/>
  <c r="BH188" i="9"/>
  <c r="BK188" i="9"/>
  <c r="BL188" i="9"/>
  <c r="BM188" i="9"/>
  <c r="BN188" i="9"/>
  <c r="BO188" i="9"/>
  <c r="BP188" i="9"/>
  <c r="BQ188" i="9"/>
  <c r="CA188" i="9"/>
  <c r="CB188" i="9"/>
  <c r="CC188" i="9"/>
  <c r="CD188" i="9"/>
  <c r="CE188" i="9"/>
  <c r="CJ188" i="9"/>
  <c r="CK188" i="9"/>
  <c r="CL188" i="9"/>
  <c r="CN188" i="9"/>
  <c r="CQ188" i="9"/>
  <c r="CR188" i="9"/>
  <c r="CV188" i="9"/>
  <c r="A189" i="9"/>
  <c r="BB189" i="9"/>
  <c r="BD189" i="9"/>
  <c r="BE189" i="9"/>
  <c r="BF189" i="9"/>
  <c r="BG189" i="9"/>
  <c r="BH189" i="9"/>
  <c r="BK189" i="9"/>
  <c r="BL189" i="9"/>
  <c r="BM189" i="9"/>
  <c r="BN189" i="9"/>
  <c r="BO189" i="9"/>
  <c r="BP189" i="9"/>
  <c r="BQ189" i="9"/>
  <c r="CA189" i="9"/>
  <c r="CB189" i="9"/>
  <c r="CC189" i="9"/>
  <c r="CD189" i="9"/>
  <c r="CE189" i="9"/>
  <c r="CJ189" i="9"/>
  <c r="CK189" i="9"/>
  <c r="CL189" i="9"/>
  <c r="CN189" i="9"/>
  <c r="CQ189" i="9"/>
  <c r="CR189" i="9"/>
  <c r="CV189" i="9"/>
  <c r="A190" i="9"/>
  <c r="BB190" i="9"/>
  <c r="BD190" i="9"/>
  <c r="BE190" i="9"/>
  <c r="BF190" i="9"/>
  <c r="BG190" i="9"/>
  <c r="BH190" i="9"/>
  <c r="BK190" i="9"/>
  <c r="BL190" i="9"/>
  <c r="BM190" i="9"/>
  <c r="BN190" i="9"/>
  <c r="BO190" i="9"/>
  <c r="BP190" i="9"/>
  <c r="BQ190" i="9"/>
  <c r="CA190" i="9"/>
  <c r="CB190" i="9"/>
  <c r="CC190" i="9"/>
  <c r="CD190" i="9"/>
  <c r="CE190" i="9"/>
  <c r="CJ190" i="9"/>
  <c r="CK190" i="9"/>
  <c r="CL190" i="9"/>
  <c r="CN190" i="9"/>
  <c r="CQ190" i="9"/>
  <c r="CR190" i="9"/>
  <c r="CV190" i="9"/>
  <c r="A191" i="9"/>
  <c r="BB191" i="9"/>
  <c r="BD191" i="9"/>
  <c r="BE191" i="9"/>
  <c r="BF191" i="9"/>
  <c r="BG191" i="9"/>
  <c r="BH191" i="9"/>
  <c r="BK191" i="9"/>
  <c r="BL191" i="9"/>
  <c r="BM191" i="9"/>
  <c r="BN191" i="9"/>
  <c r="BO191" i="9"/>
  <c r="BP191" i="9"/>
  <c r="BQ191" i="9"/>
  <c r="CA191" i="9"/>
  <c r="CB191" i="9"/>
  <c r="CC191" i="9"/>
  <c r="CD191" i="9"/>
  <c r="CE191" i="9"/>
  <c r="CJ191" i="9"/>
  <c r="CK191" i="9"/>
  <c r="CL191" i="9"/>
  <c r="CN191" i="9"/>
  <c r="CQ191" i="9"/>
  <c r="CR191" i="9"/>
  <c r="CV191" i="9"/>
  <c r="A192" i="9"/>
  <c r="BB192" i="9"/>
  <c r="BD192" i="9"/>
  <c r="BE192" i="9"/>
  <c r="BF192" i="9"/>
  <c r="BG192" i="9"/>
  <c r="BH192" i="9"/>
  <c r="BK192" i="9"/>
  <c r="BL192" i="9"/>
  <c r="BM192" i="9"/>
  <c r="BN192" i="9"/>
  <c r="BO192" i="9"/>
  <c r="BP192" i="9"/>
  <c r="BQ192" i="9"/>
  <c r="CA192" i="9"/>
  <c r="CB192" i="9"/>
  <c r="CC192" i="9"/>
  <c r="CD192" i="9"/>
  <c r="CE192" i="9"/>
  <c r="CJ192" i="9"/>
  <c r="CK192" i="9"/>
  <c r="CL192" i="9"/>
  <c r="CN192" i="9"/>
  <c r="CQ192" i="9"/>
  <c r="CR192" i="9"/>
  <c r="CV192" i="9"/>
  <c r="A193" i="9"/>
  <c r="BB193" i="9"/>
  <c r="BD193" i="9"/>
  <c r="BE193" i="9"/>
  <c r="BF193" i="9"/>
  <c r="BG193" i="9"/>
  <c r="BH193" i="9"/>
  <c r="BK193" i="9"/>
  <c r="BL193" i="9"/>
  <c r="BM193" i="9"/>
  <c r="BN193" i="9"/>
  <c r="BO193" i="9"/>
  <c r="BP193" i="9"/>
  <c r="BQ193" i="9"/>
  <c r="CA193" i="9"/>
  <c r="CB193" i="9"/>
  <c r="CC193" i="9"/>
  <c r="CD193" i="9"/>
  <c r="CE193" i="9"/>
  <c r="CJ193" i="9"/>
  <c r="CK193" i="9"/>
  <c r="CL193" i="9"/>
  <c r="CN193" i="9"/>
  <c r="CQ193" i="9"/>
  <c r="CR193" i="9"/>
  <c r="CV193" i="9"/>
  <c r="A194" i="9"/>
  <c r="BB194" i="9"/>
  <c r="BD194" i="9"/>
  <c r="BE194" i="9"/>
  <c r="BF194" i="9"/>
  <c r="BG194" i="9"/>
  <c r="BH194" i="9"/>
  <c r="BK194" i="9"/>
  <c r="BL194" i="9"/>
  <c r="BM194" i="9"/>
  <c r="BN194" i="9"/>
  <c r="BO194" i="9"/>
  <c r="BP194" i="9"/>
  <c r="BQ194" i="9"/>
  <c r="CA194" i="9"/>
  <c r="CB194" i="9"/>
  <c r="CC194" i="9"/>
  <c r="CD194" i="9"/>
  <c r="CE194" i="9"/>
  <c r="CJ194" i="9"/>
  <c r="CK194" i="9"/>
  <c r="CL194" i="9"/>
  <c r="CN194" i="9"/>
  <c r="CQ194" i="9"/>
  <c r="CR194" i="9"/>
  <c r="CV194" i="9"/>
  <c r="A195" i="9"/>
  <c r="BB195" i="9"/>
  <c r="BD195" i="9"/>
  <c r="BE195" i="9"/>
  <c r="BF195" i="9"/>
  <c r="BG195" i="9"/>
  <c r="BH195" i="9"/>
  <c r="BK195" i="9"/>
  <c r="BL195" i="9"/>
  <c r="BM195" i="9"/>
  <c r="BN195" i="9"/>
  <c r="BO195" i="9"/>
  <c r="BP195" i="9"/>
  <c r="BQ195" i="9"/>
  <c r="CA195" i="9"/>
  <c r="CB195" i="9"/>
  <c r="CC195" i="9"/>
  <c r="CD195" i="9"/>
  <c r="CE195" i="9"/>
  <c r="CJ195" i="9"/>
  <c r="CK195" i="9"/>
  <c r="CL195" i="9"/>
  <c r="CN195" i="9"/>
  <c r="CQ195" i="9"/>
  <c r="CR195" i="9"/>
  <c r="CV195" i="9"/>
  <c r="A196" i="9"/>
  <c r="BB196" i="9"/>
  <c r="BD196" i="9"/>
  <c r="BE196" i="9"/>
  <c r="BF196" i="9"/>
  <c r="BG196" i="9"/>
  <c r="BH196" i="9"/>
  <c r="BK196" i="9"/>
  <c r="BL196" i="9"/>
  <c r="BM196" i="9"/>
  <c r="BN196" i="9"/>
  <c r="BO196" i="9"/>
  <c r="BP196" i="9"/>
  <c r="BQ196" i="9"/>
  <c r="CN196" i="9"/>
  <c r="CV196" i="9"/>
  <c r="A197" i="9"/>
  <c r="CN197" i="9"/>
  <c r="CV197" i="9"/>
  <c r="A198" i="9"/>
  <c r="CN198" i="9"/>
  <c r="CV198" i="9"/>
  <c r="A199" i="9"/>
  <c r="CN199" i="9"/>
  <c r="CV199" i="9"/>
  <c r="A200" i="9"/>
  <c r="CN200" i="9"/>
  <c r="CV200" i="9"/>
  <c r="A201" i="9"/>
  <c r="CN201" i="9"/>
  <c r="CV201" i="9"/>
  <c r="A202" i="9"/>
  <c r="CN202" i="9"/>
  <c r="CV202" i="9"/>
  <c r="A203" i="9"/>
  <c r="CN203" i="9"/>
  <c r="CV203" i="9"/>
  <c r="A204" i="9"/>
  <c r="CN204" i="9"/>
  <c r="CV204" i="9"/>
  <c r="A205" i="9"/>
  <c r="CN205" i="9"/>
  <c r="CV205" i="9"/>
  <c r="A206" i="9"/>
  <c r="CN206" i="9"/>
  <c r="CV206" i="9"/>
  <c r="A207" i="9"/>
  <c r="CN207" i="9"/>
  <c r="CV207" i="9"/>
  <c r="A208" i="9"/>
  <c r="CN208" i="9"/>
  <c r="CV208" i="9"/>
  <c r="A209" i="9"/>
  <c r="CN209" i="9"/>
  <c r="CV209" i="9"/>
  <c r="A210" i="9"/>
  <c r="CN210" i="9"/>
  <c r="CV210" i="9"/>
  <c r="A211" i="9"/>
  <c r="CN211" i="9"/>
  <c r="CV211" i="9"/>
  <c r="A212" i="9"/>
  <c r="CN212" i="9"/>
  <c r="CV212" i="9"/>
  <c r="E5" i="6"/>
  <c r="Q5" i="6"/>
  <c r="R5" i="6"/>
  <c r="S5" i="6"/>
  <c r="T5" i="6"/>
  <c r="U5" i="6"/>
  <c r="V5" i="6"/>
  <c r="W5" i="6"/>
  <c r="X5" i="6"/>
  <c r="AE5" i="6"/>
  <c r="A6" i="6"/>
  <c r="F6" i="6"/>
  <c r="G6" i="6"/>
  <c r="L6" i="6"/>
  <c r="M6" i="6"/>
  <c r="O6" i="6"/>
  <c r="P6" i="6"/>
  <c r="Q6" i="6"/>
  <c r="R6" i="6"/>
  <c r="S6" i="6"/>
  <c r="T6" i="6"/>
  <c r="U6" i="6"/>
  <c r="V6" i="6"/>
  <c r="W6" i="6"/>
  <c r="X6" i="6"/>
  <c r="AE6" i="6"/>
  <c r="A7" i="6"/>
  <c r="F7" i="6"/>
  <c r="G7" i="6"/>
  <c r="L7" i="6"/>
  <c r="M7" i="6"/>
  <c r="O7" i="6"/>
  <c r="P7" i="6"/>
  <c r="Q7" i="6"/>
  <c r="R7" i="6"/>
  <c r="S7" i="6"/>
  <c r="T7" i="6"/>
  <c r="U7" i="6"/>
  <c r="V7" i="6"/>
  <c r="W7" i="6"/>
  <c r="X7" i="6"/>
  <c r="AE7" i="6"/>
  <c r="A8" i="6"/>
  <c r="E8" i="6"/>
  <c r="L8" i="6"/>
  <c r="M8" i="6"/>
  <c r="O8" i="6"/>
  <c r="P8" i="6"/>
  <c r="Q8" i="6"/>
  <c r="R8" i="6"/>
  <c r="S8" i="6"/>
  <c r="T8" i="6"/>
  <c r="U8" i="6"/>
  <c r="V8" i="6"/>
  <c r="W8" i="6"/>
  <c r="X8" i="6"/>
  <c r="AE8" i="6"/>
  <c r="A9" i="6"/>
  <c r="L9" i="6"/>
  <c r="M9" i="6"/>
  <c r="O9" i="6"/>
  <c r="P9" i="6"/>
  <c r="R9" i="6"/>
  <c r="S9" i="6"/>
  <c r="T9" i="6"/>
  <c r="U9" i="6"/>
  <c r="V9" i="6"/>
  <c r="W9" i="6"/>
  <c r="X9" i="6"/>
  <c r="AE9" i="6"/>
  <c r="A10" i="6"/>
  <c r="L10" i="6"/>
  <c r="M10" i="6"/>
  <c r="R10" i="6"/>
  <c r="S10" i="6"/>
  <c r="T10" i="6"/>
  <c r="U10" i="6"/>
  <c r="V10" i="6"/>
  <c r="W10" i="6"/>
  <c r="X10" i="6"/>
  <c r="AE10" i="6"/>
  <c r="A11" i="6"/>
  <c r="G11" i="6"/>
  <c r="L11" i="6"/>
  <c r="M11" i="6"/>
  <c r="O11" i="6"/>
  <c r="P11" i="6"/>
  <c r="R11" i="6"/>
  <c r="S11" i="6"/>
  <c r="T11" i="6"/>
  <c r="U11" i="6"/>
  <c r="V11" i="6"/>
  <c r="W11" i="6"/>
  <c r="X11" i="6"/>
  <c r="AE11" i="6"/>
  <c r="A12" i="6"/>
  <c r="F12" i="6"/>
  <c r="G12" i="6"/>
  <c r="L12" i="6"/>
  <c r="M12" i="6"/>
  <c r="O12" i="6"/>
  <c r="P12" i="6"/>
  <c r="R12" i="6"/>
  <c r="S12" i="6"/>
  <c r="T12" i="6"/>
  <c r="U12" i="6"/>
  <c r="V12" i="6"/>
  <c r="W12" i="6"/>
  <c r="X12" i="6"/>
  <c r="AE12" i="6"/>
  <c r="A13" i="6"/>
  <c r="F13" i="6"/>
  <c r="G13" i="6"/>
  <c r="L13" i="6"/>
  <c r="M13" i="6"/>
  <c r="O13" i="6"/>
  <c r="P13" i="6"/>
  <c r="R13" i="6"/>
  <c r="S13" i="6"/>
  <c r="T13" i="6"/>
  <c r="U13" i="6"/>
  <c r="V13" i="6"/>
  <c r="W13" i="6"/>
  <c r="X13" i="6"/>
  <c r="AE13" i="6"/>
  <c r="A14" i="6"/>
  <c r="F14" i="6"/>
  <c r="G14" i="6"/>
  <c r="L14" i="6"/>
  <c r="M14" i="6"/>
  <c r="O14" i="6"/>
  <c r="P14" i="6"/>
  <c r="R14" i="6"/>
  <c r="S14" i="6"/>
  <c r="T14" i="6"/>
  <c r="U14" i="6"/>
  <c r="V14" i="6"/>
  <c r="W14" i="6"/>
  <c r="X14" i="6"/>
  <c r="AE14" i="6"/>
  <c r="A15" i="6"/>
  <c r="F15" i="6"/>
  <c r="G15" i="6"/>
  <c r="L15" i="6"/>
  <c r="M15" i="6"/>
  <c r="O15" i="6"/>
  <c r="P15" i="6"/>
  <c r="R15" i="6"/>
  <c r="S15" i="6"/>
  <c r="T15" i="6"/>
  <c r="U15" i="6"/>
  <c r="V15" i="6"/>
  <c r="W15" i="6"/>
  <c r="X15" i="6"/>
  <c r="AE15" i="6"/>
  <c r="A16" i="6"/>
  <c r="L16" i="6"/>
  <c r="M16" i="6"/>
  <c r="Q16" i="6"/>
  <c r="R16" i="6"/>
  <c r="S16" i="6"/>
  <c r="T16" i="6"/>
  <c r="U16" i="6"/>
  <c r="V16" i="6"/>
  <c r="W16" i="6"/>
  <c r="X16" i="6"/>
  <c r="AE16" i="6"/>
  <c r="A17" i="6"/>
  <c r="F17" i="6"/>
  <c r="G17" i="6"/>
  <c r="L17" i="6"/>
  <c r="M17" i="6"/>
  <c r="O17" i="6"/>
  <c r="P17" i="6"/>
  <c r="Q17" i="6"/>
  <c r="R17" i="6"/>
  <c r="S17" i="6"/>
  <c r="T17" i="6"/>
  <c r="U17" i="6"/>
  <c r="V17" i="6"/>
  <c r="W17" i="6"/>
  <c r="X17" i="6"/>
  <c r="A18" i="6"/>
  <c r="F18" i="6"/>
  <c r="G18" i="6"/>
  <c r="L18" i="6"/>
  <c r="M18" i="6"/>
  <c r="O18" i="6"/>
  <c r="P18" i="6"/>
  <c r="Q18" i="6"/>
  <c r="R18" i="6"/>
  <c r="S18" i="6"/>
  <c r="T18" i="6"/>
  <c r="U18" i="6"/>
  <c r="V18" i="6"/>
  <c r="W18" i="6"/>
  <c r="X18" i="6"/>
  <c r="A19" i="6"/>
  <c r="Q19" i="6"/>
  <c r="R19" i="6"/>
  <c r="S19" i="6"/>
  <c r="T19" i="6"/>
  <c r="U19" i="6"/>
  <c r="V19" i="6"/>
  <c r="W19" i="6"/>
  <c r="X19" i="6"/>
  <c r="A20" i="6"/>
  <c r="F20" i="6"/>
  <c r="G20" i="6"/>
  <c r="L20" i="6"/>
  <c r="M20" i="6"/>
  <c r="O20" i="6"/>
  <c r="P20" i="6"/>
  <c r="Q20" i="6"/>
  <c r="R20" i="6"/>
  <c r="S20" i="6"/>
  <c r="T20" i="6"/>
  <c r="U20" i="6"/>
  <c r="V20" i="6"/>
  <c r="W20" i="6"/>
  <c r="X20" i="6"/>
  <c r="A21" i="6"/>
  <c r="E21" i="6"/>
  <c r="F21" i="6"/>
  <c r="G21" i="6"/>
  <c r="L21" i="6"/>
  <c r="M21" i="6"/>
  <c r="O21" i="6"/>
  <c r="Q21" i="6"/>
  <c r="R21" i="6"/>
  <c r="S21" i="6"/>
  <c r="T21" i="6"/>
  <c r="U21" i="6"/>
  <c r="V21" i="6"/>
  <c r="W21" i="6"/>
  <c r="X21" i="6"/>
  <c r="A22" i="6"/>
  <c r="F22" i="6"/>
  <c r="G22" i="6"/>
  <c r="L22" i="6"/>
  <c r="M22" i="6"/>
  <c r="Q22" i="6"/>
  <c r="R22" i="6"/>
  <c r="S22" i="6"/>
  <c r="T22" i="6"/>
  <c r="U22" i="6"/>
  <c r="V22" i="6"/>
  <c r="W22" i="6"/>
  <c r="X22" i="6"/>
  <c r="A23" i="6"/>
  <c r="G23" i="6"/>
  <c r="L23" i="6"/>
  <c r="M23" i="6"/>
  <c r="O23" i="6"/>
  <c r="P23" i="6"/>
  <c r="Q23" i="6"/>
  <c r="R23" i="6"/>
  <c r="S23" i="6"/>
  <c r="T23" i="6"/>
  <c r="U23" i="6"/>
  <c r="V23" i="6"/>
  <c r="W23" i="6"/>
  <c r="X23" i="6"/>
  <c r="A24" i="6"/>
  <c r="F24" i="6"/>
  <c r="G24" i="6"/>
  <c r="L24" i="6"/>
  <c r="M24" i="6"/>
  <c r="O24" i="6"/>
  <c r="P24" i="6"/>
  <c r="Q24" i="6"/>
  <c r="R24" i="6"/>
  <c r="S24" i="6"/>
  <c r="T24" i="6"/>
  <c r="U24" i="6"/>
  <c r="V24" i="6"/>
  <c r="W24" i="6"/>
  <c r="X24" i="6"/>
  <c r="A25" i="6"/>
  <c r="F25" i="6"/>
  <c r="G25" i="6"/>
  <c r="L25" i="6"/>
  <c r="M25" i="6"/>
  <c r="O25" i="6"/>
  <c r="P25" i="6"/>
  <c r="Q25" i="6"/>
  <c r="R25" i="6"/>
  <c r="S25" i="6"/>
  <c r="T25" i="6"/>
  <c r="U25" i="6"/>
  <c r="V25" i="6"/>
  <c r="W25" i="6"/>
  <c r="X25" i="6"/>
  <c r="A26" i="6"/>
  <c r="F26" i="6"/>
  <c r="G26" i="6"/>
  <c r="L26" i="6"/>
  <c r="M26" i="6"/>
  <c r="O26" i="6"/>
  <c r="P26" i="6"/>
  <c r="Q26" i="6"/>
  <c r="R26" i="6"/>
  <c r="S26" i="6"/>
  <c r="T26" i="6"/>
  <c r="U26" i="6"/>
  <c r="V26" i="6"/>
  <c r="W26" i="6"/>
  <c r="X26" i="6"/>
  <c r="A27" i="6"/>
  <c r="F27" i="6"/>
  <c r="G27" i="6"/>
  <c r="L27" i="6"/>
  <c r="M27" i="6"/>
  <c r="O27" i="6"/>
  <c r="P27" i="6"/>
  <c r="Q27" i="6"/>
  <c r="R27" i="6"/>
  <c r="S27" i="6"/>
  <c r="T27" i="6"/>
  <c r="U27" i="6"/>
  <c r="V27" i="6"/>
  <c r="W27" i="6"/>
  <c r="X27" i="6"/>
  <c r="A28" i="6"/>
  <c r="L28" i="6"/>
  <c r="M28" i="6"/>
  <c r="Q28" i="6"/>
  <c r="R28" i="6"/>
  <c r="S28" i="6"/>
  <c r="T28" i="6"/>
  <c r="U28" i="6"/>
  <c r="V28" i="6"/>
  <c r="W28" i="6"/>
  <c r="X28" i="6"/>
  <c r="A29" i="6"/>
  <c r="F29" i="6"/>
  <c r="G29" i="6"/>
  <c r="L29" i="6"/>
  <c r="M29" i="6"/>
  <c r="O29" i="6"/>
  <c r="P29" i="6"/>
  <c r="Q29" i="6"/>
  <c r="R29" i="6"/>
  <c r="S29" i="6"/>
  <c r="T29" i="6"/>
  <c r="U29" i="6"/>
  <c r="V29" i="6"/>
  <c r="W29" i="6"/>
  <c r="X29" i="6"/>
  <c r="A30" i="6"/>
  <c r="F30" i="6"/>
  <c r="G30" i="6"/>
  <c r="L30" i="6"/>
  <c r="M30" i="6"/>
  <c r="O30" i="6"/>
  <c r="P30" i="6"/>
  <c r="Q30" i="6"/>
  <c r="R30" i="6"/>
  <c r="S30" i="6"/>
  <c r="T30" i="6"/>
  <c r="U30" i="6"/>
  <c r="V30" i="6"/>
  <c r="W30" i="6"/>
  <c r="X30" i="6"/>
  <c r="A31" i="6"/>
  <c r="F31" i="6"/>
  <c r="G31" i="6"/>
  <c r="N31" i="6"/>
  <c r="Q31" i="6"/>
  <c r="R31" i="6"/>
  <c r="S31" i="6"/>
  <c r="T31" i="6"/>
  <c r="U31" i="6"/>
  <c r="V31" i="6"/>
  <c r="W31" i="6"/>
  <c r="X31" i="6"/>
  <c r="A32" i="6"/>
  <c r="L32" i="6"/>
  <c r="M32" i="6"/>
  <c r="N32" i="6"/>
  <c r="O32" i="6"/>
  <c r="P32" i="6"/>
  <c r="Q32" i="6"/>
  <c r="R32" i="6"/>
  <c r="S32" i="6"/>
  <c r="T32" i="6"/>
  <c r="U32" i="6"/>
  <c r="V32" i="6"/>
  <c r="W32" i="6"/>
  <c r="X32" i="6"/>
  <c r="A33" i="6"/>
  <c r="F33" i="6"/>
  <c r="G33" i="6"/>
  <c r="L33" i="6"/>
  <c r="M33" i="6"/>
  <c r="N33" i="6"/>
  <c r="O33" i="6"/>
  <c r="Q33" i="6"/>
  <c r="R33" i="6"/>
  <c r="S33" i="6"/>
  <c r="T33" i="6"/>
  <c r="U33" i="6"/>
  <c r="V33" i="6"/>
  <c r="W33" i="6"/>
  <c r="X33" i="6"/>
  <c r="A34" i="6"/>
  <c r="L34" i="6"/>
  <c r="M34" i="6"/>
  <c r="N34" i="6"/>
  <c r="Q34" i="6"/>
  <c r="R34" i="6"/>
  <c r="S34" i="6"/>
  <c r="T34" i="6"/>
  <c r="U34" i="6"/>
  <c r="V34" i="6"/>
  <c r="W34" i="6"/>
  <c r="X34" i="6"/>
  <c r="A35" i="6"/>
  <c r="G35" i="6"/>
  <c r="L35" i="6"/>
  <c r="M35" i="6"/>
  <c r="N35" i="6"/>
  <c r="O35" i="6"/>
  <c r="P35" i="6"/>
  <c r="Q35" i="6"/>
  <c r="R35" i="6"/>
  <c r="S35" i="6"/>
  <c r="T35" i="6"/>
  <c r="U35" i="6"/>
  <c r="V35" i="6"/>
  <c r="W35" i="6"/>
  <c r="X35" i="6"/>
  <c r="A36" i="6"/>
  <c r="G36" i="6"/>
  <c r="L36" i="6"/>
  <c r="M36" i="6"/>
  <c r="N36" i="6"/>
  <c r="O36" i="6"/>
  <c r="P36" i="6"/>
  <c r="Q36" i="6"/>
  <c r="R36" i="6"/>
  <c r="S36" i="6"/>
  <c r="T36" i="6"/>
  <c r="U36" i="6"/>
  <c r="V36" i="6"/>
  <c r="W36" i="6"/>
  <c r="X36" i="6"/>
  <c r="A37" i="6"/>
  <c r="F37" i="6"/>
  <c r="G37" i="6"/>
  <c r="L37" i="6"/>
  <c r="M37" i="6"/>
  <c r="N37" i="6"/>
  <c r="O37" i="6"/>
  <c r="P37" i="6"/>
  <c r="Q37" i="6"/>
  <c r="R37" i="6"/>
  <c r="S37" i="6"/>
  <c r="T37" i="6"/>
  <c r="U37" i="6"/>
  <c r="V37" i="6"/>
  <c r="W37" i="6"/>
  <c r="X37" i="6"/>
  <c r="A38" i="6"/>
  <c r="F38" i="6"/>
  <c r="G38" i="6"/>
  <c r="L38" i="6"/>
  <c r="M38" i="6"/>
  <c r="N38" i="6"/>
  <c r="O38" i="6"/>
  <c r="P38" i="6"/>
  <c r="Q38" i="6"/>
  <c r="R38" i="6"/>
  <c r="S38" i="6"/>
  <c r="T38" i="6"/>
  <c r="U38" i="6"/>
  <c r="V38" i="6"/>
  <c r="W38" i="6"/>
  <c r="X38" i="6"/>
  <c r="A39" i="6"/>
  <c r="F39" i="6"/>
  <c r="G39" i="6"/>
  <c r="L39" i="6"/>
  <c r="M39" i="6"/>
  <c r="N39" i="6"/>
  <c r="Q39" i="6"/>
  <c r="R39" i="6"/>
  <c r="S39" i="6"/>
  <c r="T39" i="6"/>
  <c r="U39" i="6"/>
  <c r="V39" i="6"/>
  <c r="W39" i="6"/>
  <c r="X39" i="6"/>
  <c r="A40" i="6"/>
  <c r="G40" i="6"/>
  <c r="L40" i="6"/>
  <c r="M40" i="6"/>
  <c r="N40" i="6"/>
  <c r="O40" i="6"/>
  <c r="P40" i="6"/>
  <c r="R40" i="6"/>
  <c r="S40" i="6"/>
  <c r="T40" i="6"/>
  <c r="U40" i="6"/>
  <c r="V40" i="6"/>
  <c r="W40" i="6"/>
  <c r="X40" i="6"/>
  <c r="A41" i="6"/>
  <c r="B41" i="6"/>
  <c r="C41" i="6"/>
  <c r="D41" i="6"/>
  <c r="E41" i="6"/>
  <c r="G41" i="6"/>
  <c r="L41" i="6"/>
  <c r="M41" i="6"/>
  <c r="N41" i="6"/>
  <c r="O41" i="6"/>
  <c r="P41" i="6"/>
  <c r="R41" i="6"/>
  <c r="S41" i="6"/>
  <c r="T41" i="6"/>
  <c r="U41" i="6"/>
  <c r="V41" i="6"/>
  <c r="W41" i="6"/>
  <c r="X41" i="6"/>
  <c r="A42" i="6"/>
  <c r="B42" i="6"/>
  <c r="C42" i="6"/>
  <c r="D42" i="6"/>
  <c r="E42" i="6"/>
  <c r="F42" i="6"/>
  <c r="G42" i="6"/>
  <c r="L42" i="6"/>
  <c r="M42" i="6"/>
  <c r="N42" i="6"/>
  <c r="O42" i="6"/>
  <c r="P42" i="6"/>
  <c r="R42" i="6"/>
  <c r="S42" i="6"/>
  <c r="T42" i="6"/>
  <c r="U42" i="6"/>
  <c r="V42" i="6"/>
  <c r="W42" i="6"/>
  <c r="X42" i="6"/>
  <c r="A43" i="6"/>
  <c r="B43" i="6"/>
  <c r="C43" i="6"/>
  <c r="D43" i="6"/>
  <c r="E43" i="6"/>
  <c r="F43" i="6"/>
  <c r="G43" i="6"/>
  <c r="L43" i="6"/>
  <c r="M43" i="6"/>
  <c r="N43" i="6"/>
  <c r="O43" i="6"/>
  <c r="P43" i="6"/>
  <c r="R43" i="6"/>
  <c r="S43" i="6"/>
  <c r="T43" i="6"/>
  <c r="U43" i="6"/>
  <c r="V43" i="6"/>
  <c r="W43" i="6"/>
  <c r="X43" i="6"/>
  <c r="A44" i="6"/>
  <c r="B44" i="6"/>
  <c r="C44" i="6"/>
  <c r="D44" i="6"/>
  <c r="E44" i="6"/>
  <c r="F44" i="6"/>
  <c r="G44" i="6"/>
  <c r="L44" i="6"/>
  <c r="M44" i="6"/>
  <c r="N44" i="6"/>
  <c r="O44" i="6"/>
  <c r="P44" i="6"/>
  <c r="R44" i="6"/>
  <c r="S44" i="6"/>
  <c r="T44" i="6"/>
  <c r="U44" i="6"/>
  <c r="V44" i="6"/>
  <c r="W44" i="6"/>
  <c r="X44" i="6"/>
  <c r="A45" i="6"/>
  <c r="B45" i="6"/>
  <c r="C45" i="6"/>
  <c r="D45" i="6"/>
  <c r="E45" i="6"/>
  <c r="F45" i="6"/>
  <c r="G45" i="6"/>
  <c r="L45" i="6"/>
  <c r="M45" i="6"/>
  <c r="N45" i="6"/>
  <c r="O45" i="6"/>
  <c r="P45" i="6"/>
  <c r="R45" i="6"/>
  <c r="S45" i="6"/>
  <c r="T45" i="6"/>
  <c r="U45" i="6"/>
  <c r="V45" i="6"/>
  <c r="W45" i="6"/>
  <c r="X45" i="6"/>
  <c r="A46" i="6"/>
  <c r="B46" i="6"/>
  <c r="C46" i="6"/>
  <c r="D46" i="6"/>
  <c r="E46" i="6"/>
  <c r="F46" i="6"/>
  <c r="G46" i="6"/>
  <c r="L46" i="6"/>
  <c r="M46" i="6"/>
  <c r="N46" i="6"/>
  <c r="O46" i="6"/>
  <c r="P46" i="6"/>
  <c r="R46" i="6"/>
  <c r="S46" i="6"/>
  <c r="T46" i="6"/>
  <c r="U46" i="6"/>
  <c r="V46" i="6"/>
  <c r="W46" i="6"/>
  <c r="X46" i="6"/>
  <c r="A47" i="6"/>
  <c r="B47" i="6"/>
  <c r="C47" i="6"/>
  <c r="D47" i="6"/>
  <c r="E47" i="6"/>
  <c r="F47" i="6"/>
  <c r="G47" i="6"/>
  <c r="L47" i="6"/>
  <c r="M47" i="6"/>
  <c r="N47" i="6"/>
  <c r="O47" i="6"/>
  <c r="P47" i="6"/>
  <c r="R47" i="6"/>
  <c r="S47" i="6"/>
  <c r="T47" i="6"/>
  <c r="U47" i="6"/>
  <c r="V47" i="6"/>
  <c r="W47" i="6"/>
  <c r="X47" i="6"/>
  <c r="A48" i="6"/>
  <c r="B48" i="6"/>
  <c r="C48" i="6"/>
  <c r="D48" i="6"/>
  <c r="E48" i="6"/>
  <c r="F48" i="6"/>
  <c r="G48" i="6"/>
  <c r="L48" i="6"/>
  <c r="M48" i="6"/>
  <c r="N48" i="6"/>
  <c r="O48" i="6"/>
  <c r="P48" i="6"/>
  <c r="R48" i="6"/>
  <c r="S48" i="6"/>
  <c r="T48" i="6"/>
  <c r="U48" i="6"/>
  <c r="V48" i="6"/>
  <c r="W48" i="6"/>
  <c r="X48" i="6"/>
  <c r="A49" i="6"/>
  <c r="B49" i="6"/>
  <c r="C49" i="6"/>
  <c r="D49" i="6"/>
  <c r="E49" i="6"/>
  <c r="F49" i="6"/>
  <c r="G49" i="6"/>
  <c r="L49" i="6"/>
  <c r="M49" i="6"/>
  <c r="N49" i="6"/>
  <c r="O49" i="6"/>
  <c r="P49" i="6"/>
  <c r="R49" i="6"/>
  <c r="S49" i="6"/>
  <c r="T49" i="6"/>
  <c r="U49" i="6"/>
  <c r="V49" i="6"/>
  <c r="W49" i="6"/>
  <c r="X49" i="6"/>
  <c r="A50" i="6"/>
  <c r="B50" i="6"/>
  <c r="C50" i="6"/>
  <c r="D50" i="6"/>
  <c r="E50" i="6"/>
  <c r="F50" i="6"/>
  <c r="G50" i="6"/>
  <c r="L50" i="6"/>
  <c r="M50" i="6"/>
  <c r="N50" i="6"/>
  <c r="O50" i="6"/>
  <c r="P50" i="6"/>
  <c r="R50" i="6"/>
  <c r="S50" i="6"/>
  <c r="T50" i="6"/>
  <c r="U50" i="6"/>
  <c r="V50" i="6"/>
  <c r="W50" i="6"/>
  <c r="X50" i="6"/>
  <c r="A51" i="6"/>
  <c r="B51" i="6"/>
  <c r="C51" i="6"/>
  <c r="D51" i="6"/>
  <c r="E51" i="6"/>
  <c r="F51" i="6"/>
  <c r="G51" i="6"/>
  <c r="L51" i="6"/>
  <c r="M51" i="6"/>
  <c r="N51" i="6"/>
  <c r="O51" i="6"/>
  <c r="P51" i="6"/>
  <c r="R51" i="6"/>
  <c r="S51" i="6"/>
  <c r="T51" i="6"/>
  <c r="U51" i="6"/>
  <c r="V51" i="6"/>
  <c r="W51" i="6"/>
  <c r="X51" i="6"/>
  <c r="A52" i="6"/>
  <c r="B52" i="6"/>
  <c r="C52" i="6"/>
  <c r="D52" i="6"/>
  <c r="E52" i="6"/>
  <c r="F52" i="6"/>
  <c r="G52" i="6"/>
  <c r="L52" i="6"/>
  <c r="M52" i="6"/>
  <c r="N52" i="6"/>
  <c r="O52" i="6"/>
  <c r="P52" i="6"/>
  <c r="R52" i="6"/>
  <c r="S52" i="6"/>
  <c r="T52" i="6"/>
  <c r="U52" i="6"/>
  <c r="V52" i="6"/>
  <c r="W52" i="6"/>
  <c r="X52" i="6"/>
  <c r="A53" i="6"/>
  <c r="B53" i="6"/>
  <c r="C53" i="6"/>
  <c r="D53" i="6"/>
  <c r="E53" i="6"/>
  <c r="F53" i="6"/>
  <c r="G53" i="6"/>
  <c r="L53" i="6"/>
  <c r="M53" i="6"/>
  <c r="N53" i="6"/>
  <c r="O53" i="6"/>
  <c r="P53" i="6"/>
  <c r="R53" i="6"/>
  <c r="S53" i="6"/>
  <c r="T53" i="6"/>
  <c r="U53" i="6"/>
  <c r="V53" i="6"/>
  <c r="W53" i="6"/>
  <c r="X53" i="6"/>
  <c r="A54" i="6"/>
  <c r="B54" i="6"/>
  <c r="C54" i="6"/>
  <c r="D54" i="6"/>
  <c r="E54" i="6"/>
  <c r="F54" i="6"/>
  <c r="G54" i="6"/>
  <c r="L54" i="6"/>
  <c r="M54" i="6"/>
  <c r="N54" i="6"/>
  <c r="O54" i="6"/>
  <c r="P54" i="6"/>
  <c r="R54" i="6"/>
  <c r="S54" i="6"/>
  <c r="T54" i="6"/>
  <c r="U54" i="6"/>
  <c r="V54" i="6"/>
  <c r="W54" i="6"/>
  <c r="X54" i="6"/>
  <c r="A55" i="6"/>
  <c r="B55" i="6"/>
  <c r="C55" i="6"/>
  <c r="D55" i="6"/>
  <c r="E55" i="6"/>
  <c r="F55" i="6"/>
  <c r="G55" i="6"/>
  <c r="L55" i="6"/>
  <c r="M55" i="6"/>
  <c r="N55" i="6"/>
  <c r="O55" i="6"/>
  <c r="P55" i="6"/>
  <c r="R55" i="6"/>
  <c r="S55" i="6"/>
  <c r="T55" i="6"/>
  <c r="U55" i="6"/>
  <c r="V55" i="6"/>
  <c r="W55" i="6"/>
  <c r="X55" i="6"/>
  <c r="A56" i="6"/>
  <c r="B56" i="6"/>
  <c r="C56" i="6"/>
  <c r="D56" i="6"/>
  <c r="E56" i="6"/>
  <c r="F56" i="6"/>
  <c r="G56" i="6"/>
  <c r="L56" i="6"/>
  <c r="M56" i="6"/>
  <c r="N56" i="6"/>
  <c r="O56" i="6"/>
  <c r="P56" i="6"/>
  <c r="R56" i="6"/>
  <c r="S56" i="6"/>
  <c r="T56" i="6"/>
  <c r="U56" i="6"/>
  <c r="V56" i="6"/>
  <c r="W56" i="6"/>
  <c r="X56" i="6"/>
  <c r="A57" i="6"/>
  <c r="B57" i="6"/>
  <c r="C57" i="6"/>
  <c r="D57" i="6"/>
  <c r="E57" i="6"/>
  <c r="F57" i="6"/>
  <c r="G57" i="6"/>
  <c r="L57" i="6"/>
  <c r="M57" i="6"/>
  <c r="N57" i="6"/>
  <c r="O57" i="6"/>
  <c r="P57" i="6"/>
  <c r="R57" i="6"/>
  <c r="S57" i="6"/>
  <c r="T57" i="6"/>
  <c r="U57" i="6"/>
  <c r="V57" i="6"/>
  <c r="W57" i="6"/>
  <c r="X57" i="6"/>
  <c r="A58" i="6"/>
  <c r="B58" i="6"/>
  <c r="C58" i="6"/>
  <c r="D58" i="6"/>
  <c r="E58" i="6"/>
  <c r="F58" i="6"/>
  <c r="G58" i="6"/>
  <c r="L58" i="6"/>
  <c r="M58" i="6"/>
  <c r="N58" i="6"/>
  <c r="O58" i="6"/>
  <c r="P58" i="6"/>
  <c r="R58" i="6"/>
  <c r="S58" i="6"/>
  <c r="T58" i="6"/>
  <c r="U58" i="6"/>
  <c r="V58" i="6"/>
  <c r="W58" i="6"/>
  <c r="X58" i="6"/>
  <c r="A59" i="6"/>
  <c r="B59" i="6"/>
  <c r="C59" i="6"/>
  <c r="D59" i="6"/>
  <c r="E59" i="6"/>
  <c r="F59" i="6"/>
  <c r="G59" i="6"/>
  <c r="L59" i="6"/>
  <c r="M59" i="6"/>
  <c r="N59" i="6"/>
  <c r="O59" i="6"/>
  <c r="P59" i="6"/>
  <c r="R59" i="6"/>
  <c r="S59" i="6"/>
  <c r="T59" i="6"/>
  <c r="U59" i="6"/>
  <c r="V59" i="6"/>
  <c r="W59" i="6"/>
  <c r="X59" i="6"/>
  <c r="A60" i="6"/>
  <c r="B60" i="6"/>
  <c r="C60" i="6"/>
  <c r="D60" i="6"/>
  <c r="E60" i="6"/>
  <c r="F60" i="6"/>
  <c r="G60" i="6"/>
  <c r="L60" i="6"/>
  <c r="M60" i="6"/>
  <c r="N60" i="6"/>
  <c r="O60" i="6"/>
  <c r="P60" i="6"/>
  <c r="R60" i="6"/>
  <c r="S60" i="6"/>
  <c r="T60" i="6"/>
  <c r="U60" i="6"/>
  <c r="V60" i="6"/>
  <c r="W60" i="6"/>
  <c r="X60" i="6"/>
  <c r="A61" i="6"/>
  <c r="B61" i="6"/>
  <c r="C61" i="6"/>
  <c r="D61" i="6"/>
  <c r="E61" i="6"/>
  <c r="F61" i="6"/>
  <c r="G61" i="6"/>
  <c r="L61" i="6"/>
  <c r="M61" i="6"/>
  <c r="N61" i="6"/>
  <c r="O61" i="6"/>
  <c r="P61" i="6"/>
  <c r="R61" i="6"/>
  <c r="S61" i="6"/>
  <c r="T61" i="6"/>
  <c r="U61" i="6"/>
  <c r="V61" i="6"/>
  <c r="W61" i="6"/>
  <c r="X61" i="6"/>
  <c r="A62" i="6"/>
  <c r="B62" i="6"/>
  <c r="C62" i="6"/>
  <c r="D62" i="6"/>
  <c r="E62" i="6"/>
  <c r="F62" i="6"/>
  <c r="G62" i="6"/>
  <c r="L62" i="6"/>
  <c r="M62" i="6"/>
  <c r="N62" i="6"/>
  <c r="O62" i="6"/>
  <c r="P62" i="6"/>
  <c r="R62" i="6"/>
  <c r="S62" i="6"/>
  <c r="T62" i="6"/>
  <c r="U62" i="6"/>
  <c r="V62" i="6"/>
  <c r="W62" i="6"/>
  <c r="X62" i="6"/>
  <c r="A63" i="6"/>
  <c r="B63" i="6"/>
  <c r="C63" i="6"/>
  <c r="D63" i="6"/>
  <c r="E63" i="6"/>
  <c r="F63" i="6"/>
  <c r="G63" i="6"/>
  <c r="L63" i="6"/>
  <c r="M63" i="6"/>
  <c r="N63" i="6"/>
  <c r="O63" i="6"/>
  <c r="P63" i="6"/>
  <c r="R63" i="6"/>
  <c r="S63" i="6"/>
  <c r="T63" i="6"/>
  <c r="U63" i="6"/>
  <c r="V63" i="6"/>
  <c r="W63" i="6"/>
  <c r="X63" i="6"/>
  <c r="A64" i="6"/>
  <c r="B64" i="6"/>
  <c r="C64" i="6"/>
  <c r="D64" i="6"/>
  <c r="E64" i="6"/>
  <c r="F64" i="6"/>
  <c r="G64" i="6"/>
  <c r="L64" i="6"/>
  <c r="M64" i="6"/>
  <c r="N64" i="6"/>
  <c r="O64" i="6"/>
  <c r="P64" i="6"/>
  <c r="R64" i="6"/>
  <c r="S64" i="6"/>
  <c r="T64" i="6"/>
  <c r="U64" i="6"/>
  <c r="V64" i="6"/>
  <c r="W64" i="6"/>
  <c r="X64" i="6"/>
  <c r="A65" i="6"/>
  <c r="B65" i="6"/>
  <c r="C65" i="6"/>
  <c r="D65" i="6"/>
  <c r="E65" i="6"/>
  <c r="F65" i="6"/>
  <c r="G65" i="6"/>
  <c r="L65" i="6"/>
  <c r="M65" i="6"/>
  <c r="N65" i="6"/>
  <c r="O65" i="6"/>
  <c r="P65" i="6"/>
  <c r="R65" i="6"/>
  <c r="S65" i="6"/>
  <c r="T65" i="6"/>
  <c r="U65" i="6"/>
  <c r="V65" i="6"/>
  <c r="W65" i="6"/>
  <c r="X65" i="6"/>
  <c r="A66" i="6"/>
  <c r="B66" i="6"/>
  <c r="C66" i="6"/>
  <c r="D66" i="6"/>
  <c r="E66" i="6"/>
  <c r="F66" i="6"/>
  <c r="G66" i="6"/>
  <c r="L66" i="6"/>
  <c r="M66" i="6"/>
  <c r="N66" i="6"/>
  <c r="O66" i="6"/>
  <c r="P66" i="6"/>
  <c r="R66" i="6"/>
  <c r="S66" i="6"/>
  <c r="T66" i="6"/>
  <c r="U66" i="6"/>
  <c r="V66" i="6"/>
  <c r="W66" i="6"/>
  <c r="X66" i="6"/>
  <c r="A67" i="6"/>
  <c r="B67" i="6"/>
  <c r="C67" i="6"/>
  <c r="D67" i="6"/>
  <c r="E67" i="6"/>
  <c r="F67" i="6"/>
  <c r="G67" i="6"/>
  <c r="L67" i="6"/>
  <c r="M67" i="6"/>
  <c r="N67" i="6"/>
  <c r="O67" i="6"/>
  <c r="P67" i="6"/>
  <c r="R67" i="6"/>
  <c r="S67" i="6"/>
  <c r="T67" i="6"/>
  <c r="U67" i="6"/>
  <c r="V67" i="6"/>
  <c r="W67" i="6"/>
  <c r="X67" i="6"/>
  <c r="A68" i="6"/>
  <c r="B68" i="6"/>
  <c r="C68" i="6"/>
  <c r="D68" i="6"/>
  <c r="E68" i="6"/>
  <c r="F68" i="6"/>
  <c r="G68" i="6"/>
  <c r="L68" i="6"/>
  <c r="M68" i="6"/>
  <c r="N68" i="6"/>
  <c r="O68" i="6"/>
  <c r="P68" i="6"/>
  <c r="R68" i="6"/>
  <c r="S68" i="6"/>
  <c r="T68" i="6"/>
  <c r="U68" i="6"/>
  <c r="V68" i="6"/>
  <c r="W68" i="6"/>
  <c r="X68" i="6"/>
  <c r="A69" i="6"/>
  <c r="B69" i="6"/>
  <c r="C69" i="6"/>
  <c r="D69" i="6"/>
  <c r="E69" i="6"/>
  <c r="F69" i="6"/>
  <c r="G69" i="6"/>
  <c r="L69" i="6"/>
  <c r="M69" i="6"/>
  <c r="N69" i="6"/>
  <c r="O69" i="6"/>
  <c r="P69" i="6"/>
  <c r="R69" i="6"/>
  <c r="S69" i="6"/>
  <c r="T69" i="6"/>
  <c r="U69" i="6"/>
  <c r="V69" i="6"/>
  <c r="W69" i="6"/>
  <c r="X69" i="6"/>
  <c r="A70" i="6"/>
  <c r="B70" i="6"/>
  <c r="C70" i="6"/>
  <c r="D70" i="6"/>
  <c r="E70" i="6"/>
  <c r="F70" i="6"/>
  <c r="G70" i="6"/>
  <c r="L70" i="6"/>
  <c r="M70" i="6"/>
  <c r="N70" i="6"/>
  <c r="O70" i="6"/>
  <c r="P70" i="6"/>
  <c r="R70" i="6"/>
  <c r="S70" i="6"/>
  <c r="T70" i="6"/>
  <c r="U70" i="6"/>
  <c r="V70" i="6"/>
  <c r="W70" i="6"/>
  <c r="X70" i="6"/>
  <c r="A71" i="6"/>
  <c r="B71" i="6"/>
  <c r="C71" i="6"/>
  <c r="D71" i="6"/>
  <c r="E71" i="6"/>
  <c r="F71" i="6"/>
  <c r="G71" i="6"/>
  <c r="L71" i="6"/>
  <c r="M71" i="6"/>
  <c r="N71" i="6"/>
  <c r="O71" i="6"/>
  <c r="P71" i="6"/>
  <c r="R71" i="6"/>
  <c r="S71" i="6"/>
  <c r="T71" i="6"/>
  <c r="U71" i="6"/>
  <c r="V71" i="6"/>
  <c r="W71" i="6"/>
  <c r="X71" i="6"/>
  <c r="A72" i="6"/>
  <c r="B72" i="6"/>
  <c r="C72" i="6"/>
  <c r="D72" i="6"/>
  <c r="E72" i="6"/>
  <c r="F72" i="6"/>
  <c r="G72" i="6"/>
  <c r="L72" i="6"/>
  <c r="M72" i="6"/>
  <c r="N72" i="6"/>
  <c r="O72" i="6"/>
  <c r="P72" i="6"/>
  <c r="R72" i="6"/>
  <c r="S72" i="6"/>
  <c r="T72" i="6"/>
  <c r="U72" i="6"/>
  <c r="V72" i="6"/>
  <c r="W72" i="6"/>
  <c r="X72" i="6"/>
  <c r="A73" i="6"/>
  <c r="B73" i="6"/>
  <c r="C73" i="6"/>
  <c r="D73" i="6"/>
  <c r="E73" i="6"/>
  <c r="F73" i="6"/>
  <c r="G73" i="6"/>
  <c r="L73" i="6"/>
  <c r="M73" i="6"/>
  <c r="N73" i="6"/>
  <c r="O73" i="6"/>
  <c r="P73" i="6"/>
  <c r="R73" i="6"/>
  <c r="S73" i="6"/>
  <c r="T73" i="6"/>
  <c r="U73" i="6"/>
  <c r="V73" i="6"/>
  <c r="W73" i="6"/>
  <c r="X73" i="6"/>
  <c r="A74" i="6"/>
  <c r="B74" i="6"/>
  <c r="C74" i="6"/>
  <c r="D74" i="6"/>
  <c r="E74" i="6"/>
  <c r="F74" i="6"/>
  <c r="G74" i="6"/>
  <c r="L74" i="6"/>
  <c r="M74" i="6"/>
  <c r="N74" i="6"/>
  <c r="O74" i="6"/>
  <c r="P74" i="6"/>
  <c r="R74" i="6"/>
  <c r="S74" i="6"/>
  <c r="T74" i="6"/>
  <c r="U74" i="6"/>
  <c r="V74" i="6"/>
  <c r="W74" i="6"/>
  <c r="X74" i="6"/>
  <c r="A75" i="6"/>
  <c r="B75" i="6"/>
  <c r="C75" i="6"/>
  <c r="D75" i="6"/>
  <c r="E75" i="6"/>
  <c r="F75" i="6"/>
  <c r="G75" i="6"/>
  <c r="L75" i="6"/>
  <c r="M75" i="6"/>
  <c r="N75" i="6"/>
  <c r="O75" i="6"/>
  <c r="P75" i="6"/>
  <c r="R75" i="6"/>
  <c r="S75" i="6"/>
  <c r="T75" i="6"/>
  <c r="U75" i="6"/>
  <c r="V75" i="6"/>
  <c r="W75" i="6"/>
  <c r="X75" i="6"/>
  <c r="A76" i="6"/>
  <c r="B76" i="6"/>
  <c r="C76" i="6"/>
  <c r="D76" i="6"/>
  <c r="E76" i="6"/>
  <c r="F76" i="6"/>
  <c r="G76" i="6"/>
  <c r="L76" i="6"/>
  <c r="M76" i="6"/>
  <c r="N76" i="6"/>
  <c r="O76" i="6"/>
  <c r="P76" i="6"/>
  <c r="R76" i="6"/>
  <c r="S76" i="6"/>
  <c r="T76" i="6"/>
  <c r="U76" i="6"/>
  <c r="V76" i="6"/>
  <c r="W76" i="6"/>
  <c r="X76" i="6"/>
  <c r="A77" i="6"/>
  <c r="B77" i="6"/>
  <c r="C77" i="6"/>
  <c r="D77" i="6"/>
  <c r="E77" i="6"/>
  <c r="F77" i="6"/>
  <c r="G77" i="6"/>
  <c r="L77" i="6"/>
  <c r="M77" i="6"/>
  <c r="N77" i="6"/>
  <c r="O77" i="6"/>
  <c r="P77" i="6"/>
  <c r="R77" i="6"/>
  <c r="S77" i="6"/>
  <c r="T77" i="6"/>
  <c r="U77" i="6"/>
  <c r="V77" i="6"/>
  <c r="W77" i="6"/>
  <c r="X77" i="6"/>
  <c r="A78" i="6"/>
  <c r="B78" i="6"/>
  <c r="C78" i="6"/>
  <c r="D78" i="6"/>
  <c r="E78" i="6"/>
  <c r="F78" i="6"/>
  <c r="G78" i="6"/>
  <c r="L78" i="6"/>
  <c r="M78" i="6"/>
  <c r="N78" i="6"/>
  <c r="O78" i="6"/>
  <c r="P78" i="6"/>
  <c r="R78" i="6"/>
  <c r="S78" i="6"/>
  <c r="T78" i="6"/>
  <c r="U78" i="6"/>
  <c r="V78" i="6"/>
  <c r="W78" i="6"/>
  <c r="X78" i="6"/>
  <c r="A79" i="6"/>
  <c r="B79" i="6"/>
  <c r="C79" i="6"/>
  <c r="D79" i="6"/>
  <c r="E79" i="6"/>
  <c r="F79" i="6"/>
  <c r="G79" i="6"/>
  <c r="L79" i="6"/>
  <c r="M79" i="6"/>
  <c r="N79" i="6"/>
  <c r="O79" i="6"/>
  <c r="P79" i="6"/>
  <c r="R79" i="6"/>
  <c r="S79" i="6"/>
  <c r="T79" i="6"/>
  <c r="U79" i="6"/>
  <c r="V79" i="6"/>
  <c r="W79" i="6"/>
  <c r="X79" i="6"/>
  <c r="A80" i="6"/>
  <c r="B80" i="6"/>
  <c r="C80" i="6"/>
  <c r="D80" i="6"/>
  <c r="E80" i="6"/>
  <c r="F80" i="6"/>
  <c r="G80" i="6"/>
  <c r="L80" i="6"/>
  <c r="M80" i="6"/>
  <c r="N80" i="6"/>
  <c r="O80" i="6"/>
  <c r="P80" i="6"/>
  <c r="R80" i="6"/>
  <c r="S80" i="6"/>
  <c r="T80" i="6"/>
  <c r="U80" i="6"/>
  <c r="V80" i="6"/>
  <c r="W80" i="6"/>
  <c r="X80" i="6"/>
  <c r="A81" i="6"/>
  <c r="B81" i="6"/>
  <c r="C81" i="6"/>
  <c r="D81" i="6"/>
  <c r="E81" i="6"/>
  <c r="F81" i="6"/>
  <c r="G81" i="6"/>
  <c r="L81" i="6"/>
  <c r="M81" i="6"/>
  <c r="N81" i="6"/>
  <c r="O81" i="6"/>
  <c r="P81" i="6"/>
  <c r="R81" i="6"/>
  <c r="S81" i="6"/>
  <c r="T81" i="6"/>
  <c r="U81" i="6"/>
  <c r="V81" i="6"/>
  <c r="W81" i="6"/>
  <c r="X81" i="6"/>
  <c r="A82" i="6"/>
  <c r="B82" i="6"/>
  <c r="C82" i="6"/>
  <c r="D82" i="6"/>
  <c r="E82" i="6"/>
  <c r="F82" i="6"/>
  <c r="G82" i="6"/>
  <c r="L82" i="6"/>
  <c r="M82" i="6"/>
  <c r="N82" i="6"/>
  <c r="O82" i="6"/>
  <c r="P82" i="6"/>
  <c r="R82" i="6"/>
  <c r="S82" i="6"/>
  <c r="T82" i="6"/>
  <c r="U82" i="6"/>
  <c r="V82" i="6"/>
  <c r="W82" i="6"/>
  <c r="X82" i="6"/>
  <c r="A83" i="6"/>
  <c r="B83" i="6"/>
  <c r="C83" i="6"/>
  <c r="D83" i="6"/>
  <c r="E83" i="6"/>
  <c r="F83" i="6"/>
  <c r="G83" i="6"/>
  <c r="L83" i="6"/>
  <c r="M83" i="6"/>
  <c r="N83" i="6"/>
  <c r="O83" i="6"/>
  <c r="P83" i="6"/>
  <c r="R83" i="6"/>
  <c r="S83" i="6"/>
  <c r="T83" i="6"/>
  <c r="U83" i="6"/>
  <c r="V83" i="6"/>
  <c r="W83" i="6"/>
  <c r="X83" i="6"/>
  <c r="A84" i="6"/>
  <c r="B84" i="6"/>
  <c r="C84" i="6"/>
  <c r="D84" i="6"/>
  <c r="E84" i="6"/>
  <c r="F84" i="6"/>
  <c r="G84" i="6"/>
  <c r="L84" i="6"/>
  <c r="M84" i="6"/>
  <c r="N84" i="6"/>
  <c r="O84" i="6"/>
  <c r="P84" i="6"/>
  <c r="R84" i="6"/>
  <c r="S84" i="6"/>
  <c r="T84" i="6"/>
  <c r="U84" i="6"/>
  <c r="V84" i="6"/>
  <c r="W84" i="6"/>
  <c r="X84" i="6"/>
  <c r="A85" i="6"/>
  <c r="B85" i="6"/>
  <c r="C85" i="6"/>
  <c r="D85" i="6"/>
  <c r="E85" i="6"/>
  <c r="F85" i="6"/>
  <c r="G85" i="6"/>
  <c r="L85" i="6"/>
  <c r="M85" i="6"/>
  <c r="N85" i="6"/>
  <c r="O85" i="6"/>
  <c r="P85" i="6"/>
  <c r="R85" i="6"/>
  <c r="S85" i="6"/>
  <c r="T85" i="6"/>
  <c r="U85" i="6"/>
  <c r="V85" i="6"/>
  <c r="W85" i="6"/>
  <c r="X85" i="6"/>
  <c r="A86" i="6"/>
  <c r="B86" i="6"/>
  <c r="C86" i="6"/>
  <c r="D86" i="6"/>
  <c r="E86" i="6"/>
  <c r="F86" i="6"/>
  <c r="G86" i="6"/>
  <c r="L86" i="6"/>
  <c r="M86" i="6"/>
  <c r="N86" i="6"/>
  <c r="O86" i="6"/>
  <c r="P86" i="6"/>
  <c r="R86" i="6"/>
  <c r="S86" i="6"/>
  <c r="T86" i="6"/>
  <c r="U86" i="6"/>
  <c r="V86" i="6"/>
  <c r="W86" i="6"/>
  <c r="X86" i="6"/>
  <c r="A87" i="6"/>
  <c r="B87" i="6"/>
  <c r="C87" i="6"/>
  <c r="D87" i="6"/>
  <c r="E87" i="6"/>
  <c r="F87" i="6"/>
  <c r="G87" i="6"/>
  <c r="L87" i="6"/>
  <c r="M87" i="6"/>
  <c r="N87" i="6"/>
  <c r="O87" i="6"/>
  <c r="P87" i="6"/>
  <c r="R87" i="6"/>
  <c r="S87" i="6"/>
  <c r="T87" i="6"/>
  <c r="U87" i="6"/>
  <c r="V87" i="6"/>
  <c r="W87" i="6"/>
  <c r="X87" i="6"/>
  <c r="A88" i="6"/>
  <c r="B88" i="6"/>
  <c r="C88" i="6"/>
  <c r="D88" i="6"/>
  <c r="E88" i="6"/>
  <c r="F88" i="6"/>
  <c r="G88" i="6"/>
  <c r="L88" i="6"/>
  <c r="M88" i="6"/>
  <c r="N88" i="6"/>
  <c r="O88" i="6"/>
  <c r="P88" i="6"/>
  <c r="R88" i="6"/>
  <c r="S88" i="6"/>
  <c r="T88" i="6"/>
  <c r="U88" i="6"/>
  <c r="V88" i="6"/>
  <c r="W88" i="6"/>
  <c r="X88" i="6"/>
  <c r="A89" i="6"/>
  <c r="B89" i="6"/>
  <c r="C89" i="6"/>
  <c r="D89" i="6"/>
  <c r="E89" i="6"/>
  <c r="F89" i="6"/>
  <c r="G89" i="6"/>
  <c r="L89" i="6"/>
  <c r="M89" i="6"/>
  <c r="N89" i="6"/>
  <c r="O89" i="6"/>
  <c r="P89" i="6"/>
  <c r="R89" i="6"/>
  <c r="S89" i="6"/>
  <c r="T89" i="6"/>
  <c r="U89" i="6"/>
  <c r="V89" i="6"/>
  <c r="W89" i="6"/>
  <c r="X89" i="6"/>
  <c r="A90" i="6"/>
  <c r="B90" i="6"/>
  <c r="C90" i="6"/>
  <c r="D90" i="6"/>
  <c r="E90" i="6"/>
  <c r="F90" i="6"/>
  <c r="G90" i="6"/>
  <c r="L90" i="6"/>
  <c r="M90" i="6"/>
  <c r="N90" i="6"/>
  <c r="O90" i="6"/>
  <c r="P90" i="6"/>
  <c r="R90" i="6"/>
  <c r="S90" i="6"/>
  <c r="T90" i="6"/>
  <c r="U90" i="6"/>
  <c r="V90" i="6"/>
  <c r="W90" i="6"/>
  <c r="X90" i="6"/>
  <c r="A91" i="6"/>
  <c r="B91" i="6"/>
  <c r="C91" i="6"/>
  <c r="D91" i="6"/>
  <c r="E91" i="6"/>
  <c r="F91" i="6"/>
  <c r="G91" i="6"/>
  <c r="L91" i="6"/>
  <c r="M91" i="6"/>
  <c r="N91" i="6"/>
  <c r="O91" i="6"/>
  <c r="P91" i="6"/>
  <c r="R91" i="6"/>
  <c r="S91" i="6"/>
  <c r="T91" i="6"/>
  <c r="U91" i="6"/>
  <c r="V91" i="6"/>
  <c r="W91" i="6"/>
  <c r="X91" i="6"/>
  <c r="A92" i="6"/>
  <c r="B92" i="6"/>
  <c r="C92" i="6"/>
  <c r="D92" i="6"/>
  <c r="E92" i="6"/>
  <c r="F92" i="6"/>
  <c r="G92" i="6"/>
  <c r="L92" i="6"/>
  <c r="M92" i="6"/>
  <c r="N92" i="6"/>
  <c r="O92" i="6"/>
  <c r="P92" i="6"/>
  <c r="R92" i="6"/>
  <c r="S92" i="6"/>
  <c r="T92" i="6"/>
  <c r="U92" i="6"/>
  <c r="V92" i="6"/>
  <c r="W92" i="6"/>
  <c r="X92" i="6"/>
  <c r="A93" i="6"/>
  <c r="B93" i="6"/>
  <c r="C93" i="6"/>
  <c r="D93" i="6"/>
  <c r="E93" i="6"/>
  <c r="F93" i="6"/>
  <c r="G93" i="6"/>
  <c r="L93" i="6"/>
  <c r="M93" i="6"/>
  <c r="N93" i="6"/>
  <c r="O93" i="6"/>
  <c r="P93" i="6"/>
  <c r="R93" i="6"/>
  <c r="S93" i="6"/>
  <c r="T93" i="6"/>
  <c r="U93" i="6"/>
  <c r="V93" i="6"/>
  <c r="W93" i="6"/>
  <c r="X93" i="6"/>
  <c r="A94" i="6"/>
  <c r="B94" i="6"/>
  <c r="C94" i="6"/>
  <c r="D94" i="6"/>
  <c r="E94" i="6"/>
  <c r="F94" i="6"/>
  <c r="G94" i="6"/>
  <c r="L94" i="6"/>
  <c r="M94" i="6"/>
  <c r="N94" i="6"/>
  <c r="O94" i="6"/>
  <c r="P94" i="6"/>
  <c r="R94" i="6"/>
  <c r="S94" i="6"/>
  <c r="T94" i="6"/>
  <c r="U94" i="6"/>
  <c r="V94" i="6"/>
  <c r="W94" i="6"/>
  <c r="X94" i="6"/>
  <c r="A95" i="6"/>
  <c r="B95" i="6"/>
  <c r="C95" i="6"/>
  <c r="D95" i="6"/>
  <c r="E95" i="6"/>
  <c r="F95" i="6"/>
  <c r="G95" i="6"/>
  <c r="L95" i="6"/>
  <c r="M95" i="6"/>
  <c r="N95" i="6"/>
  <c r="O95" i="6"/>
  <c r="P95" i="6"/>
  <c r="R95" i="6"/>
  <c r="S95" i="6"/>
  <c r="T95" i="6"/>
  <c r="U95" i="6"/>
  <c r="V95" i="6"/>
  <c r="W95" i="6"/>
  <c r="X95" i="6"/>
  <c r="A96" i="6"/>
  <c r="B96" i="6"/>
  <c r="C96" i="6"/>
  <c r="D96" i="6"/>
  <c r="E96" i="6"/>
  <c r="F96" i="6"/>
  <c r="G96" i="6"/>
  <c r="L96" i="6"/>
  <c r="M96" i="6"/>
  <c r="N96" i="6"/>
  <c r="O96" i="6"/>
  <c r="P96" i="6"/>
  <c r="R96" i="6"/>
  <c r="S96" i="6"/>
  <c r="T96" i="6"/>
  <c r="U96" i="6"/>
  <c r="V96" i="6"/>
  <c r="W96" i="6"/>
  <c r="X96" i="6"/>
  <c r="A97" i="6"/>
  <c r="B97" i="6"/>
  <c r="C97" i="6"/>
  <c r="D97" i="6"/>
  <c r="E97" i="6"/>
  <c r="F97" i="6"/>
  <c r="G97" i="6"/>
  <c r="L97" i="6"/>
  <c r="M97" i="6"/>
  <c r="N97" i="6"/>
  <c r="O97" i="6"/>
  <c r="P97" i="6"/>
  <c r="R97" i="6"/>
  <c r="S97" i="6"/>
  <c r="T97" i="6"/>
  <c r="U97" i="6"/>
  <c r="V97" i="6"/>
  <c r="W97" i="6"/>
  <c r="X97" i="6"/>
  <c r="A98" i="6"/>
  <c r="B98" i="6"/>
  <c r="C98" i="6"/>
  <c r="D98" i="6"/>
  <c r="E98" i="6"/>
  <c r="F98" i="6"/>
  <c r="G98" i="6"/>
  <c r="L98" i="6"/>
  <c r="M98" i="6"/>
  <c r="N98" i="6"/>
  <c r="O98" i="6"/>
  <c r="P98" i="6"/>
  <c r="R98" i="6"/>
  <c r="S98" i="6"/>
  <c r="T98" i="6"/>
  <c r="U98" i="6"/>
  <c r="V98" i="6"/>
  <c r="W98" i="6"/>
  <c r="X98" i="6"/>
  <c r="A99" i="6"/>
  <c r="B99" i="6"/>
  <c r="C99" i="6"/>
  <c r="D99" i="6"/>
  <c r="E99" i="6"/>
  <c r="F99" i="6"/>
  <c r="G99" i="6"/>
  <c r="L99" i="6"/>
  <c r="M99" i="6"/>
  <c r="N99" i="6"/>
  <c r="O99" i="6"/>
  <c r="P99" i="6"/>
  <c r="R99" i="6"/>
  <c r="S99" i="6"/>
  <c r="T99" i="6"/>
  <c r="U99" i="6"/>
  <c r="V99" i="6"/>
  <c r="W99" i="6"/>
  <c r="X99" i="6"/>
  <c r="A100" i="6"/>
  <c r="B100" i="6"/>
  <c r="C100" i="6"/>
  <c r="D100" i="6"/>
  <c r="E100" i="6"/>
  <c r="F100" i="6"/>
  <c r="G100" i="6"/>
  <c r="L100" i="6"/>
  <c r="M100" i="6"/>
  <c r="N100" i="6"/>
  <c r="O100" i="6"/>
  <c r="P100" i="6"/>
  <c r="R100" i="6"/>
  <c r="S100" i="6"/>
  <c r="T100" i="6"/>
  <c r="U100" i="6"/>
  <c r="V100" i="6"/>
  <c r="W100" i="6"/>
  <c r="X100" i="6"/>
  <c r="A101" i="6"/>
  <c r="B101" i="6"/>
  <c r="C101" i="6"/>
  <c r="D101" i="6"/>
  <c r="E101" i="6"/>
  <c r="F101" i="6"/>
  <c r="G101" i="6"/>
  <c r="L101" i="6"/>
  <c r="M101" i="6"/>
  <c r="N101" i="6"/>
  <c r="O101" i="6"/>
  <c r="P101" i="6"/>
  <c r="R101" i="6"/>
  <c r="S101" i="6"/>
  <c r="T101" i="6"/>
  <c r="U101" i="6"/>
  <c r="V101" i="6"/>
  <c r="W101" i="6"/>
  <c r="X101" i="6"/>
  <c r="A102" i="6"/>
  <c r="B102" i="6"/>
  <c r="C102" i="6"/>
  <c r="D102" i="6"/>
  <c r="E102" i="6"/>
  <c r="F102" i="6"/>
  <c r="G102" i="6"/>
  <c r="L102" i="6"/>
  <c r="M102" i="6"/>
  <c r="N102" i="6"/>
  <c r="O102" i="6"/>
  <c r="P102" i="6"/>
  <c r="R102" i="6"/>
  <c r="S102" i="6"/>
  <c r="T102" i="6"/>
  <c r="U102" i="6"/>
  <c r="V102" i="6"/>
  <c r="W102" i="6"/>
  <c r="X102" i="6"/>
  <c r="A103" i="6"/>
  <c r="B103" i="6"/>
  <c r="C103" i="6"/>
  <c r="D103" i="6"/>
  <c r="E103" i="6"/>
  <c r="F103" i="6"/>
  <c r="G103" i="6"/>
  <c r="L103" i="6"/>
  <c r="M103" i="6"/>
  <c r="N103" i="6"/>
  <c r="O103" i="6"/>
  <c r="P103" i="6"/>
  <c r="R103" i="6"/>
  <c r="S103" i="6"/>
  <c r="T103" i="6"/>
  <c r="U103" i="6"/>
  <c r="V103" i="6"/>
  <c r="W103" i="6"/>
  <c r="X103" i="6"/>
  <c r="A104" i="6"/>
  <c r="B104" i="6"/>
  <c r="C104" i="6"/>
  <c r="D104" i="6"/>
  <c r="E104" i="6"/>
  <c r="F104" i="6"/>
  <c r="G104" i="6"/>
  <c r="L104" i="6"/>
  <c r="M104" i="6"/>
  <c r="N104" i="6"/>
  <c r="O104" i="6"/>
  <c r="P104" i="6"/>
  <c r="R104" i="6"/>
  <c r="S104" i="6"/>
  <c r="T104" i="6"/>
  <c r="U104" i="6"/>
  <c r="V104" i="6"/>
  <c r="W104" i="6"/>
  <c r="X104" i="6"/>
  <c r="A105" i="6"/>
  <c r="B105" i="6"/>
  <c r="C105" i="6"/>
  <c r="D105" i="6"/>
  <c r="E105" i="6"/>
  <c r="F105" i="6"/>
  <c r="G105" i="6"/>
  <c r="L105" i="6"/>
  <c r="M105" i="6"/>
  <c r="N105" i="6"/>
  <c r="O105" i="6"/>
  <c r="P105" i="6"/>
  <c r="R105" i="6"/>
  <c r="S105" i="6"/>
  <c r="T105" i="6"/>
  <c r="U105" i="6"/>
  <c r="V105" i="6"/>
  <c r="W105" i="6"/>
  <c r="X105" i="6"/>
  <c r="A106" i="6"/>
  <c r="B106" i="6"/>
  <c r="C106" i="6"/>
  <c r="D106" i="6"/>
  <c r="E106" i="6"/>
  <c r="F106" i="6"/>
  <c r="G106" i="6"/>
  <c r="L106" i="6"/>
  <c r="M106" i="6"/>
  <c r="N106" i="6"/>
  <c r="O106" i="6"/>
  <c r="P106" i="6"/>
  <c r="R106" i="6"/>
  <c r="S106" i="6"/>
  <c r="T106" i="6"/>
  <c r="U106" i="6"/>
  <c r="V106" i="6"/>
  <c r="W106" i="6"/>
  <c r="X106" i="6"/>
  <c r="A107" i="6"/>
  <c r="B107" i="6"/>
  <c r="C107" i="6"/>
  <c r="D107" i="6"/>
  <c r="E107" i="6"/>
  <c r="F107" i="6"/>
  <c r="G107" i="6"/>
  <c r="L107" i="6"/>
  <c r="M107" i="6"/>
  <c r="N107" i="6"/>
  <c r="O107" i="6"/>
  <c r="P107" i="6"/>
  <c r="R107" i="6"/>
  <c r="S107" i="6"/>
  <c r="T107" i="6"/>
  <c r="U107" i="6"/>
  <c r="V107" i="6"/>
  <c r="W107" i="6"/>
  <c r="X107" i="6"/>
  <c r="A108" i="6"/>
  <c r="B108" i="6"/>
  <c r="C108" i="6"/>
  <c r="D108" i="6"/>
  <c r="E108" i="6"/>
  <c r="F108" i="6"/>
  <c r="G108" i="6"/>
  <c r="L108" i="6"/>
  <c r="M108" i="6"/>
  <c r="N108" i="6"/>
  <c r="O108" i="6"/>
  <c r="P108" i="6"/>
  <c r="R108" i="6"/>
  <c r="S108" i="6"/>
  <c r="T108" i="6"/>
  <c r="U108" i="6"/>
  <c r="V108" i="6"/>
  <c r="W108" i="6"/>
  <c r="X108" i="6"/>
  <c r="A109" i="6"/>
  <c r="B109" i="6"/>
  <c r="C109" i="6"/>
  <c r="D109" i="6"/>
  <c r="E109" i="6"/>
  <c r="F109" i="6"/>
  <c r="G109" i="6"/>
  <c r="L109" i="6"/>
  <c r="M109" i="6"/>
  <c r="N109" i="6"/>
  <c r="O109" i="6"/>
  <c r="P109" i="6"/>
  <c r="R109" i="6"/>
  <c r="S109" i="6"/>
  <c r="T109" i="6"/>
  <c r="U109" i="6"/>
  <c r="V109" i="6"/>
  <c r="W109" i="6"/>
  <c r="X109" i="6"/>
  <c r="A110" i="6"/>
  <c r="B110" i="6"/>
  <c r="C110" i="6"/>
  <c r="D110" i="6"/>
  <c r="E110" i="6"/>
  <c r="F110" i="6"/>
  <c r="G110" i="6"/>
  <c r="L110" i="6"/>
  <c r="M110" i="6"/>
  <c r="N110" i="6"/>
  <c r="O110" i="6"/>
  <c r="P110" i="6"/>
  <c r="R110" i="6"/>
  <c r="S110" i="6"/>
  <c r="T110" i="6"/>
  <c r="U110" i="6"/>
  <c r="V110" i="6"/>
  <c r="W110" i="6"/>
  <c r="X110" i="6"/>
  <c r="A111" i="6"/>
  <c r="B111" i="6"/>
  <c r="C111" i="6"/>
  <c r="D111" i="6"/>
  <c r="E111" i="6"/>
  <c r="F111" i="6"/>
  <c r="G111" i="6"/>
  <c r="L111" i="6"/>
  <c r="M111" i="6"/>
  <c r="N111" i="6"/>
  <c r="O111" i="6"/>
  <c r="P111" i="6"/>
  <c r="R111" i="6"/>
  <c r="S111" i="6"/>
  <c r="T111" i="6"/>
  <c r="U111" i="6"/>
  <c r="V111" i="6"/>
  <c r="W111" i="6"/>
  <c r="X111" i="6"/>
  <c r="A112" i="6"/>
  <c r="B112" i="6"/>
  <c r="C112" i="6"/>
  <c r="D112" i="6"/>
  <c r="E112" i="6"/>
  <c r="F112" i="6"/>
  <c r="G112" i="6"/>
  <c r="L112" i="6"/>
  <c r="M112" i="6"/>
  <c r="N112" i="6"/>
  <c r="O112" i="6"/>
  <c r="P112" i="6"/>
  <c r="R112" i="6"/>
  <c r="S112" i="6"/>
  <c r="T112" i="6"/>
  <c r="U112" i="6"/>
  <c r="V112" i="6"/>
  <c r="W112" i="6"/>
  <c r="X112" i="6"/>
  <c r="A113" i="6"/>
  <c r="B113" i="6"/>
  <c r="C113" i="6"/>
  <c r="D113" i="6"/>
  <c r="E113" i="6"/>
  <c r="F113" i="6"/>
  <c r="G113" i="6"/>
  <c r="L113" i="6"/>
  <c r="M113" i="6"/>
  <c r="N113" i="6"/>
  <c r="O113" i="6"/>
  <c r="P113" i="6"/>
  <c r="R113" i="6"/>
  <c r="S113" i="6"/>
  <c r="T113" i="6"/>
  <c r="U113" i="6"/>
  <c r="V113" i="6"/>
  <c r="W113" i="6"/>
  <c r="X113" i="6"/>
  <c r="A114" i="6"/>
  <c r="B114" i="6"/>
  <c r="C114" i="6"/>
  <c r="D114" i="6"/>
  <c r="E114" i="6"/>
  <c r="F114" i="6"/>
  <c r="G114" i="6"/>
  <c r="L114" i="6"/>
  <c r="M114" i="6"/>
  <c r="N114" i="6"/>
  <c r="O114" i="6"/>
  <c r="P114" i="6"/>
  <c r="R114" i="6"/>
  <c r="S114" i="6"/>
  <c r="T114" i="6"/>
  <c r="U114" i="6"/>
  <c r="V114" i="6"/>
  <c r="W114" i="6"/>
  <c r="X114" i="6"/>
  <c r="A115" i="6"/>
  <c r="B115" i="6"/>
  <c r="C115" i="6"/>
  <c r="D115" i="6"/>
  <c r="E115" i="6"/>
  <c r="F115" i="6"/>
  <c r="G115" i="6"/>
  <c r="L115" i="6"/>
  <c r="M115" i="6"/>
  <c r="N115" i="6"/>
  <c r="O115" i="6"/>
  <c r="P115" i="6"/>
  <c r="R115" i="6"/>
  <c r="S115" i="6"/>
  <c r="T115" i="6"/>
  <c r="U115" i="6"/>
  <c r="V115" i="6"/>
  <c r="W115" i="6"/>
  <c r="X115" i="6"/>
  <c r="A116" i="6"/>
  <c r="B116" i="6"/>
  <c r="C116" i="6"/>
  <c r="D116" i="6"/>
  <c r="E116" i="6"/>
  <c r="F116" i="6"/>
  <c r="G116" i="6"/>
  <c r="L116" i="6"/>
  <c r="M116" i="6"/>
  <c r="N116" i="6"/>
  <c r="O116" i="6"/>
  <c r="P116" i="6"/>
  <c r="R116" i="6"/>
  <c r="S116" i="6"/>
  <c r="T116" i="6"/>
  <c r="U116" i="6"/>
  <c r="V116" i="6"/>
  <c r="W116" i="6"/>
  <c r="X116" i="6"/>
  <c r="A117" i="6"/>
  <c r="B117" i="6"/>
  <c r="C117" i="6"/>
  <c r="D117" i="6"/>
  <c r="E117" i="6"/>
  <c r="F117" i="6"/>
  <c r="G117" i="6"/>
  <c r="L117" i="6"/>
  <c r="M117" i="6"/>
  <c r="N117" i="6"/>
  <c r="O117" i="6"/>
  <c r="P117" i="6"/>
  <c r="R117" i="6"/>
  <c r="S117" i="6"/>
  <c r="T117" i="6"/>
  <c r="U117" i="6"/>
  <c r="V117" i="6"/>
  <c r="W117" i="6"/>
  <c r="X117" i="6"/>
  <c r="A118" i="6"/>
  <c r="B118" i="6"/>
  <c r="C118" i="6"/>
  <c r="D118" i="6"/>
  <c r="E118" i="6"/>
  <c r="F118" i="6"/>
  <c r="G118" i="6"/>
  <c r="L118" i="6"/>
  <c r="M118" i="6"/>
  <c r="N118" i="6"/>
  <c r="O118" i="6"/>
  <c r="P118" i="6"/>
  <c r="R118" i="6"/>
  <c r="S118" i="6"/>
  <c r="T118" i="6"/>
  <c r="U118" i="6"/>
  <c r="V118" i="6"/>
  <c r="W118" i="6"/>
  <c r="X118" i="6"/>
  <c r="A119" i="6"/>
  <c r="B119" i="6"/>
  <c r="C119" i="6"/>
  <c r="D119" i="6"/>
  <c r="E119" i="6"/>
  <c r="F119" i="6"/>
  <c r="G119" i="6"/>
  <c r="L119" i="6"/>
  <c r="M119" i="6"/>
  <c r="N119" i="6"/>
  <c r="O119" i="6"/>
  <c r="P119" i="6"/>
  <c r="R119" i="6"/>
  <c r="S119" i="6"/>
  <c r="T119" i="6"/>
  <c r="U119" i="6"/>
  <c r="V119" i="6"/>
  <c r="W119" i="6"/>
  <c r="X119" i="6"/>
  <c r="A120" i="6"/>
  <c r="B120" i="6"/>
  <c r="C120" i="6"/>
  <c r="D120" i="6"/>
  <c r="E120" i="6"/>
  <c r="F120" i="6"/>
  <c r="G120" i="6"/>
  <c r="L120" i="6"/>
  <c r="M120" i="6"/>
  <c r="N120" i="6"/>
  <c r="O120" i="6"/>
  <c r="P120" i="6"/>
  <c r="R120" i="6"/>
  <c r="S120" i="6"/>
  <c r="T120" i="6"/>
  <c r="U120" i="6"/>
  <c r="V120" i="6"/>
  <c r="W120" i="6"/>
  <c r="X120" i="6"/>
  <c r="A121" i="6"/>
  <c r="B121" i="6"/>
  <c r="C121" i="6"/>
  <c r="D121" i="6"/>
  <c r="E121" i="6"/>
  <c r="F121" i="6"/>
  <c r="G121" i="6"/>
  <c r="L121" i="6"/>
  <c r="M121" i="6"/>
  <c r="N121" i="6"/>
  <c r="O121" i="6"/>
  <c r="P121" i="6"/>
  <c r="R121" i="6"/>
  <c r="S121" i="6"/>
  <c r="T121" i="6"/>
  <c r="U121" i="6"/>
  <c r="V121" i="6"/>
  <c r="W121" i="6"/>
  <c r="X121" i="6"/>
  <c r="A122" i="6"/>
  <c r="B122" i="6"/>
  <c r="C122" i="6"/>
  <c r="D122" i="6"/>
  <c r="E122" i="6"/>
  <c r="F122" i="6"/>
  <c r="G122" i="6"/>
  <c r="L122" i="6"/>
  <c r="M122" i="6"/>
  <c r="N122" i="6"/>
  <c r="O122" i="6"/>
  <c r="P122" i="6"/>
  <c r="R122" i="6"/>
  <c r="S122" i="6"/>
  <c r="T122" i="6"/>
  <c r="U122" i="6"/>
  <c r="V122" i="6"/>
  <c r="W122" i="6"/>
  <c r="X122" i="6"/>
  <c r="A123" i="6"/>
  <c r="B123" i="6"/>
  <c r="C123" i="6"/>
  <c r="D123" i="6"/>
  <c r="E123" i="6"/>
  <c r="F123" i="6"/>
  <c r="G123" i="6"/>
  <c r="L123" i="6"/>
  <c r="M123" i="6"/>
  <c r="N123" i="6"/>
  <c r="O123" i="6"/>
  <c r="P123" i="6"/>
  <c r="R123" i="6"/>
  <c r="S123" i="6"/>
  <c r="T123" i="6"/>
  <c r="U123" i="6"/>
  <c r="V123" i="6"/>
  <c r="W123" i="6"/>
  <c r="X123" i="6"/>
  <c r="A124" i="6"/>
  <c r="B124" i="6"/>
  <c r="C124" i="6"/>
  <c r="D124" i="6"/>
  <c r="E124" i="6"/>
  <c r="F124" i="6"/>
  <c r="G124" i="6"/>
  <c r="L124" i="6"/>
  <c r="M124" i="6"/>
  <c r="N124" i="6"/>
  <c r="O124" i="6"/>
  <c r="P124" i="6"/>
  <c r="R124" i="6"/>
  <c r="S124" i="6"/>
  <c r="T124" i="6"/>
  <c r="U124" i="6"/>
  <c r="V124" i="6"/>
  <c r="W124" i="6"/>
  <c r="X124" i="6"/>
  <c r="A125" i="6"/>
  <c r="B125" i="6"/>
  <c r="C125" i="6"/>
  <c r="D125" i="6"/>
  <c r="E125" i="6"/>
  <c r="F125" i="6"/>
  <c r="G125" i="6"/>
  <c r="L125" i="6"/>
  <c r="M125" i="6"/>
  <c r="N125" i="6"/>
  <c r="O125" i="6"/>
  <c r="P125" i="6"/>
  <c r="R125" i="6"/>
  <c r="S125" i="6"/>
  <c r="T125" i="6"/>
  <c r="U125" i="6"/>
  <c r="V125" i="6"/>
  <c r="W125" i="6"/>
  <c r="X125" i="6"/>
  <c r="A126" i="6"/>
  <c r="B126" i="6"/>
  <c r="C126" i="6"/>
  <c r="D126" i="6"/>
  <c r="E126" i="6"/>
  <c r="F126" i="6"/>
  <c r="G126" i="6"/>
  <c r="L126" i="6"/>
  <c r="M126" i="6"/>
  <c r="N126" i="6"/>
  <c r="O126" i="6"/>
  <c r="P126" i="6"/>
  <c r="R126" i="6"/>
  <c r="S126" i="6"/>
  <c r="T126" i="6"/>
  <c r="U126" i="6"/>
  <c r="V126" i="6"/>
  <c r="W126" i="6"/>
  <c r="X126" i="6"/>
  <c r="A127" i="6"/>
  <c r="B127" i="6"/>
  <c r="C127" i="6"/>
  <c r="D127" i="6"/>
  <c r="E127" i="6"/>
  <c r="F127" i="6"/>
  <c r="G127" i="6"/>
  <c r="L127" i="6"/>
  <c r="M127" i="6"/>
  <c r="N127" i="6"/>
  <c r="O127" i="6"/>
  <c r="P127" i="6"/>
  <c r="R127" i="6"/>
  <c r="S127" i="6"/>
  <c r="T127" i="6"/>
  <c r="U127" i="6"/>
  <c r="V127" i="6"/>
  <c r="W127" i="6"/>
  <c r="X127" i="6"/>
  <c r="A128" i="6"/>
  <c r="B128" i="6"/>
  <c r="C128" i="6"/>
  <c r="D128" i="6"/>
  <c r="E128" i="6"/>
  <c r="F128" i="6"/>
  <c r="G128" i="6"/>
  <c r="L128" i="6"/>
  <c r="M128" i="6"/>
  <c r="N128" i="6"/>
  <c r="O128" i="6"/>
  <c r="P128" i="6"/>
  <c r="R128" i="6"/>
  <c r="S128" i="6"/>
  <c r="T128" i="6"/>
  <c r="U128" i="6"/>
  <c r="V128" i="6"/>
  <c r="W128" i="6"/>
  <c r="X128" i="6"/>
  <c r="A129" i="6"/>
  <c r="B129" i="6"/>
  <c r="C129" i="6"/>
  <c r="D129" i="6"/>
  <c r="E129" i="6"/>
  <c r="F129" i="6"/>
  <c r="G129" i="6"/>
  <c r="L129" i="6"/>
  <c r="M129" i="6"/>
  <c r="N129" i="6"/>
  <c r="O129" i="6"/>
  <c r="P129" i="6"/>
  <c r="R129" i="6"/>
  <c r="S129" i="6"/>
  <c r="T129" i="6"/>
  <c r="U129" i="6"/>
  <c r="V129" i="6"/>
  <c r="W129" i="6"/>
  <c r="X129" i="6"/>
  <c r="A130" i="6"/>
  <c r="B130" i="6"/>
  <c r="C130" i="6"/>
  <c r="D130" i="6"/>
  <c r="E130" i="6"/>
  <c r="F130" i="6"/>
  <c r="G130" i="6"/>
  <c r="L130" i="6"/>
  <c r="M130" i="6"/>
  <c r="N130" i="6"/>
  <c r="O130" i="6"/>
  <c r="P130" i="6"/>
  <c r="R130" i="6"/>
  <c r="S130" i="6"/>
  <c r="T130" i="6"/>
  <c r="U130" i="6"/>
  <c r="V130" i="6"/>
  <c r="W130" i="6"/>
  <c r="X130" i="6"/>
  <c r="A131" i="6"/>
  <c r="B131" i="6"/>
  <c r="C131" i="6"/>
  <c r="D131" i="6"/>
  <c r="E131" i="6"/>
  <c r="F131" i="6"/>
  <c r="G131" i="6"/>
  <c r="L131" i="6"/>
  <c r="M131" i="6"/>
  <c r="N131" i="6"/>
  <c r="O131" i="6"/>
  <c r="P131" i="6"/>
  <c r="R131" i="6"/>
  <c r="S131" i="6"/>
  <c r="T131" i="6"/>
  <c r="U131" i="6"/>
  <c r="V131" i="6"/>
  <c r="W131" i="6"/>
  <c r="X131" i="6"/>
  <c r="A132" i="6"/>
  <c r="B132" i="6"/>
  <c r="C132" i="6"/>
  <c r="D132" i="6"/>
  <c r="E132" i="6"/>
  <c r="F132" i="6"/>
  <c r="G132" i="6"/>
  <c r="L132" i="6"/>
  <c r="M132" i="6"/>
  <c r="N132" i="6"/>
  <c r="O132" i="6"/>
  <c r="P132" i="6"/>
  <c r="R132" i="6"/>
  <c r="S132" i="6"/>
  <c r="T132" i="6"/>
  <c r="U132" i="6"/>
  <c r="V132" i="6"/>
  <c r="W132" i="6"/>
  <c r="X132" i="6"/>
  <c r="A133" i="6"/>
  <c r="B133" i="6"/>
  <c r="C133" i="6"/>
  <c r="D133" i="6"/>
  <c r="E133" i="6"/>
  <c r="F133" i="6"/>
  <c r="G133" i="6"/>
  <c r="L133" i="6"/>
  <c r="M133" i="6"/>
  <c r="N133" i="6"/>
  <c r="O133" i="6"/>
  <c r="P133" i="6"/>
  <c r="R133" i="6"/>
  <c r="S133" i="6"/>
  <c r="T133" i="6"/>
  <c r="U133" i="6"/>
  <c r="V133" i="6"/>
  <c r="W133" i="6"/>
  <c r="X133" i="6"/>
  <c r="A134" i="6"/>
  <c r="B134" i="6"/>
  <c r="C134" i="6"/>
  <c r="D134" i="6"/>
  <c r="E134" i="6"/>
  <c r="F134" i="6"/>
  <c r="G134" i="6"/>
  <c r="L134" i="6"/>
  <c r="M134" i="6"/>
  <c r="N134" i="6"/>
  <c r="O134" i="6"/>
  <c r="P134" i="6"/>
  <c r="R134" i="6"/>
  <c r="S134" i="6"/>
  <c r="T134" i="6"/>
  <c r="U134" i="6"/>
  <c r="V134" i="6"/>
  <c r="W134" i="6"/>
  <c r="X134" i="6"/>
  <c r="A135" i="6"/>
  <c r="B135" i="6"/>
  <c r="C135" i="6"/>
  <c r="D135" i="6"/>
  <c r="E135" i="6"/>
  <c r="F135" i="6"/>
  <c r="G135" i="6"/>
  <c r="L135" i="6"/>
  <c r="M135" i="6"/>
  <c r="N135" i="6"/>
  <c r="O135" i="6"/>
  <c r="P135" i="6"/>
  <c r="R135" i="6"/>
  <c r="S135" i="6"/>
  <c r="T135" i="6"/>
  <c r="U135" i="6"/>
  <c r="V135" i="6"/>
  <c r="W135" i="6"/>
  <c r="X135" i="6"/>
  <c r="A136" i="6"/>
  <c r="B136" i="6"/>
  <c r="C136" i="6"/>
  <c r="D136" i="6"/>
  <c r="E136" i="6"/>
  <c r="F136" i="6"/>
  <c r="G136" i="6"/>
  <c r="L136" i="6"/>
  <c r="M136" i="6"/>
  <c r="N136" i="6"/>
  <c r="O136" i="6"/>
  <c r="P136" i="6"/>
  <c r="R136" i="6"/>
  <c r="S136" i="6"/>
  <c r="T136" i="6"/>
  <c r="U136" i="6"/>
  <c r="V136" i="6"/>
  <c r="W136" i="6"/>
  <c r="X136" i="6"/>
  <c r="A137" i="6"/>
  <c r="B137" i="6"/>
  <c r="C137" i="6"/>
  <c r="D137" i="6"/>
  <c r="E137" i="6"/>
  <c r="F137" i="6"/>
  <c r="G137" i="6"/>
  <c r="L137" i="6"/>
  <c r="M137" i="6"/>
  <c r="N137" i="6"/>
  <c r="O137" i="6"/>
  <c r="P137" i="6"/>
  <c r="R137" i="6"/>
  <c r="S137" i="6"/>
  <c r="T137" i="6"/>
  <c r="U137" i="6"/>
  <c r="V137" i="6"/>
  <c r="W137" i="6"/>
  <c r="X137" i="6"/>
  <c r="A138" i="6"/>
  <c r="B138" i="6"/>
  <c r="C138" i="6"/>
  <c r="D138" i="6"/>
  <c r="E138" i="6"/>
  <c r="F138" i="6"/>
  <c r="G138" i="6"/>
  <c r="L138" i="6"/>
  <c r="M138" i="6"/>
  <c r="N138" i="6"/>
  <c r="O138" i="6"/>
  <c r="P138" i="6"/>
  <c r="R138" i="6"/>
  <c r="S138" i="6"/>
  <c r="T138" i="6"/>
  <c r="U138" i="6"/>
  <c r="V138" i="6"/>
  <c r="W138" i="6"/>
  <c r="X138" i="6"/>
  <c r="A139" i="6"/>
  <c r="B139" i="6"/>
  <c r="C139" i="6"/>
  <c r="D139" i="6"/>
  <c r="E139" i="6"/>
  <c r="F139" i="6"/>
  <c r="G139" i="6"/>
  <c r="L139" i="6"/>
  <c r="M139" i="6"/>
  <c r="N139" i="6"/>
  <c r="O139" i="6"/>
  <c r="P139" i="6"/>
  <c r="R139" i="6"/>
  <c r="S139" i="6"/>
  <c r="T139" i="6"/>
  <c r="U139" i="6"/>
  <c r="V139" i="6"/>
  <c r="W139" i="6"/>
  <c r="X139" i="6"/>
  <c r="A140" i="6"/>
  <c r="B140" i="6"/>
  <c r="C140" i="6"/>
  <c r="D140" i="6"/>
  <c r="E140" i="6"/>
  <c r="F140" i="6"/>
  <c r="G140" i="6"/>
  <c r="L140" i="6"/>
  <c r="M140" i="6"/>
  <c r="N140" i="6"/>
  <c r="O140" i="6"/>
  <c r="P140" i="6"/>
  <c r="R140" i="6"/>
  <c r="S140" i="6"/>
  <c r="T140" i="6"/>
  <c r="U140" i="6"/>
  <c r="V140" i="6"/>
  <c r="W140" i="6"/>
  <c r="X140" i="6"/>
  <c r="A141" i="6"/>
  <c r="B141" i="6"/>
  <c r="C141" i="6"/>
  <c r="D141" i="6"/>
  <c r="E141" i="6"/>
  <c r="F141" i="6"/>
  <c r="G141" i="6"/>
  <c r="L141" i="6"/>
  <c r="M141" i="6"/>
  <c r="N141" i="6"/>
  <c r="O141" i="6"/>
  <c r="P141" i="6"/>
  <c r="R141" i="6"/>
  <c r="S141" i="6"/>
  <c r="T141" i="6"/>
  <c r="U141" i="6"/>
  <c r="V141" i="6"/>
  <c r="W141" i="6"/>
  <c r="X141" i="6"/>
  <c r="A142" i="6"/>
  <c r="B142" i="6"/>
  <c r="C142" i="6"/>
  <c r="D142" i="6"/>
  <c r="E142" i="6"/>
  <c r="F142" i="6"/>
  <c r="G142" i="6"/>
  <c r="L142" i="6"/>
  <c r="M142" i="6"/>
  <c r="N142" i="6"/>
  <c r="O142" i="6"/>
  <c r="P142" i="6"/>
  <c r="R142" i="6"/>
  <c r="S142" i="6"/>
  <c r="T142" i="6"/>
  <c r="U142" i="6"/>
  <c r="V142" i="6"/>
  <c r="W142" i="6"/>
  <c r="X142" i="6"/>
  <c r="A143" i="6"/>
  <c r="B143" i="6"/>
  <c r="C143" i="6"/>
  <c r="D143" i="6"/>
  <c r="E143" i="6"/>
  <c r="F143" i="6"/>
  <c r="G143" i="6"/>
  <c r="L143" i="6"/>
  <c r="M143" i="6"/>
  <c r="N143" i="6"/>
  <c r="O143" i="6"/>
  <c r="P143" i="6"/>
  <c r="R143" i="6"/>
  <c r="S143" i="6"/>
  <c r="T143" i="6"/>
  <c r="U143" i="6"/>
  <c r="V143" i="6"/>
  <c r="W143" i="6"/>
  <c r="X143" i="6"/>
  <c r="A144" i="6"/>
  <c r="B144" i="6"/>
  <c r="C144" i="6"/>
  <c r="D144" i="6"/>
  <c r="E144" i="6"/>
  <c r="F144" i="6"/>
  <c r="G144" i="6"/>
  <c r="L144" i="6"/>
  <c r="M144" i="6"/>
  <c r="N144" i="6"/>
  <c r="O144" i="6"/>
  <c r="P144" i="6"/>
  <c r="R144" i="6"/>
  <c r="S144" i="6"/>
  <c r="T144" i="6"/>
  <c r="U144" i="6"/>
  <c r="V144" i="6"/>
  <c r="W144" i="6"/>
  <c r="X144" i="6"/>
  <c r="A145" i="6"/>
  <c r="B145" i="6"/>
  <c r="C145" i="6"/>
  <c r="D145" i="6"/>
  <c r="E145" i="6"/>
  <c r="F145" i="6"/>
  <c r="G145" i="6"/>
  <c r="L145" i="6"/>
  <c r="M145" i="6"/>
  <c r="N145" i="6"/>
  <c r="O145" i="6"/>
  <c r="P145" i="6"/>
  <c r="R145" i="6"/>
  <c r="S145" i="6"/>
  <c r="T145" i="6"/>
  <c r="U145" i="6"/>
  <c r="V145" i="6"/>
  <c r="W145" i="6"/>
  <c r="X145" i="6"/>
  <c r="A146" i="6"/>
  <c r="B146" i="6"/>
  <c r="C146" i="6"/>
  <c r="D146" i="6"/>
  <c r="E146" i="6"/>
  <c r="F146" i="6"/>
  <c r="G146" i="6"/>
  <c r="L146" i="6"/>
  <c r="M146" i="6"/>
  <c r="N146" i="6"/>
  <c r="O146" i="6"/>
  <c r="P146" i="6"/>
  <c r="R146" i="6"/>
  <c r="S146" i="6"/>
  <c r="T146" i="6"/>
  <c r="U146" i="6"/>
  <c r="V146" i="6"/>
  <c r="W146" i="6"/>
  <c r="X146" i="6"/>
  <c r="A147" i="6"/>
  <c r="B147" i="6"/>
  <c r="C147" i="6"/>
  <c r="D147" i="6"/>
  <c r="E147" i="6"/>
  <c r="F147" i="6"/>
  <c r="G147" i="6"/>
  <c r="L147" i="6"/>
  <c r="M147" i="6"/>
  <c r="N147" i="6"/>
  <c r="O147" i="6"/>
  <c r="P147" i="6"/>
  <c r="R147" i="6"/>
  <c r="S147" i="6"/>
  <c r="T147" i="6"/>
  <c r="U147" i="6"/>
  <c r="V147" i="6"/>
  <c r="W147" i="6"/>
  <c r="X147" i="6"/>
  <c r="A148" i="6"/>
  <c r="B148" i="6"/>
  <c r="C148" i="6"/>
  <c r="D148" i="6"/>
  <c r="E148" i="6"/>
  <c r="F148" i="6"/>
  <c r="G148" i="6"/>
  <c r="L148" i="6"/>
  <c r="M148" i="6"/>
  <c r="N148" i="6"/>
  <c r="O148" i="6"/>
  <c r="P148" i="6"/>
  <c r="R148" i="6"/>
  <c r="S148" i="6"/>
  <c r="T148" i="6"/>
  <c r="U148" i="6"/>
  <c r="V148" i="6"/>
  <c r="W148" i="6"/>
  <c r="X148" i="6"/>
  <c r="A149" i="6"/>
  <c r="B149" i="6"/>
  <c r="C149" i="6"/>
  <c r="D149" i="6"/>
  <c r="E149" i="6"/>
  <c r="F149" i="6"/>
  <c r="G149" i="6"/>
  <c r="L149" i="6"/>
  <c r="M149" i="6"/>
  <c r="N149" i="6"/>
  <c r="O149" i="6"/>
  <c r="P149" i="6"/>
  <c r="R149" i="6"/>
  <c r="S149" i="6"/>
  <c r="T149" i="6"/>
  <c r="U149" i="6"/>
  <c r="V149" i="6"/>
  <c r="W149" i="6"/>
  <c r="X149" i="6"/>
  <c r="A150" i="6"/>
  <c r="B150" i="6"/>
  <c r="C150" i="6"/>
  <c r="D150" i="6"/>
  <c r="E150" i="6"/>
  <c r="F150" i="6"/>
  <c r="G150" i="6"/>
  <c r="L150" i="6"/>
  <c r="M150" i="6"/>
  <c r="N150" i="6"/>
  <c r="O150" i="6"/>
  <c r="P150" i="6"/>
  <c r="R150" i="6"/>
  <c r="S150" i="6"/>
  <c r="T150" i="6"/>
  <c r="U150" i="6"/>
  <c r="V150" i="6"/>
  <c r="W150" i="6"/>
  <c r="X150" i="6"/>
  <c r="A151" i="6"/>
  <c r="B151" i="6"/>
  <c r="C151" i="6"/>
  <c r="D151" i="6"/>
  <c r="E151" i="6"/>
  <c r="F151" i="6"/>
  <c r="G151" i="6"/>
  <c r="L151" i="6"/>
  <c r="M151" i="6"/>
  <c r="N151" i="6"/>
  <c r="O151" i="6"/>
  <c r="P151" i="6"/>
  <c r="R151" i="6"/>
  <c r="S151" i="6"/>
  <c r="T151" i="6"/>
  <c r="U151" i="6"/>
  <c r="V151" i="6"/>
  <c r="W151" i="6"/>
  <c r="X151" i="6"/>
  <c r="A152" i="6"/>
  <c r="B152" i="6"/>
  <c r="C152" i="6"/>
  <c r="D152" i="6"/>
  <c r="E152" i="6"/>
  <c r="F152" i="6"/>
  <c r="G152" i="6"/>
  <c r="L152" i="6"/>
  <c r="M152" i="6"/>
  <c r="N152" i="6"/>
  <c r="O152" i="6"/>
  <c r="P152" i="6"/>
  <c r="R152" i="6"/>
  <c r="S152" i="6"/>
  <c r="T152" i="6"/>
  <c r="U152" i="6"/>
  <c r="V152" i="6"/>
  <c r="W152" i="6"/>
  <c r="X152" i="6"/>
  <c r="A153" i="6"/>
  <c r="B153" i="6"/>
  <c r="C153" i="6"/>
  <c r="D153" i="6"/>
  <c r="E153" i="6"/>
  <c r="F153" i="6"/>
  <c r="G153" i="6"/>
  <c r="L153" i="6"/>
  <c r="M153" i="6"/>
  <c r="N153" i="6"/>
  <c r="O153" i="6"/>
  <c r="P153" i="6"/>
  <c r="R153" i="6"/>
  <c r="S153" i="6"/>
  <c r="T153" i="6"/>
  <c r="U153" i="6"/>
  <c r="V153" i="6"/>
  <c r="W153" i="6"/>
  <c r="X153" i="6"/>
  <c r="A154" i="6"/>
  <c r="B154" i="6"/>
  <c r="C154" i="6"/>
  <c r="D154" i="6"/>
  <c r="E154" i="6"/>
  <c r="F154" i="6"/>
  <c r="G154" i="6"/>
  <c r="L154" i="6"/>
  <c r="M154" i="6"/>
  <c r="N154" i="6"/>
  <c r="O154" i="6"/>
  <c r="P154" i="6"/>
  <c r="R154" i="6"/>
  <c r="S154" i="6"/>
  <c r="T154" i="6"/>
  <c r="U154" i="6"/>
  <c r="V154" i="6"/>
  <c r="W154" i="6"/>
  <c r="X154" i="6"/>
  <c r="A155" i="6"/>
  <c r="B155" i="6"/>
  <c r="C155" i="6"/>
  <c r="D155" i="6"/>
  <c r="E155" i="6"/>
  <c r="F155" i="6"/>
  <c r="G155" i="6"/>
  <c r="L155" i="6"/>
  <c r="M155" i="6"/>
  <c r="N155" i="6"/>
  <c r="O155" i="6"/>
  <c r="P155" i="6"/>
  <c r="R155" i="6"/>
  <c r="S155" i="6"/>
  <c r="T155" i="6"/>
  <c r="U155" i="6"/>
  <c r="V155" i="6"/>
  <c r="W155" i="6"/>
  <c r="X155" i="6"/>
  <c r="A156" i="6"/>
  <c r="B156" i="6"/>
  <c r="C156" i="6"/>
  <c r="D156" i="6"/>
  <c r="E156" i="6"/>
  <c r="F156" i="6"/>
  <c r="G156" i="6"/>
  <c r="L156" i="6"/>
  <c r="M156" i="6"/>
  <c r="N156" i="6"/>
  <c r="O156" i="6"/>
  <c r="P156" i="6"/>
  <c r="R156" i="6"/>
  <c r="S156" i="6"/>
  <c r="T156" i="6"/>
  <c r="U156" i="6"/>
  <c r="V156" i="6"/>
  <c r="W156" i="6"/>
  <c r="X156" i="6"/>
  <c r="A157" i="6"/>
  <c r="B157" i="6"/>
  <c r="C157" i="6"/>
  <c r="D157" i="6"/>
  <c r="E157" i="6"/>
  <c r="F157" i="6"/>
  <c r="G157" i="6"/>
  <c r="L157" i="6"/>
  <c r="M157" i="6"/>
  <c r="N157" i="6"/>
  <c r="O157" i="6"/>
  <c r="P157" i="6"/>
  <c r="R157" i="6"/>
  <c r="S157" i="6"/>
  <c r="T157" i="6"/>
  <c r="U157" i="6"/>
  <c r="V157" i="6"/>
  <c r="W157" i="6"/>
  <c r="X157" i="6"/>
  <c r="A158" i="6"/>
  <c r="B158" i="6"/>
  <c r="C158" i="6"/>
  <c r="D158" i="6"/>
  <c r="E158" i="6"/>
  <c r="F158" i="6"/>
  <c r="G158" i="6"/>
  <c r="L158" i="6"/>
  <c r="M158" i="6"/>
  <c r="N158" i="6"/>
  <c r="O158" i="6"/>
  <c r="P158" i="6"/>
  <c r="R158" i="6"/>
  <c r="S158" i="6"/>
  <c r="T158" i="6"/>
  <c r="U158" i="6"/>
  <c r="V158" i="6"/>
  <c r="W158" i="6"/>
  <c r="X158" i="6"/>
  <c r="A159" i="6"/>
  <c r="B159" i="6"/>
  <c r="C159" i="6"/>
  <c r="D159" i="6"/>
  <c r="E159" i="6"/>
  <c r="F159" i="6"/>
  <c r="G159" i="6"/>
  <c r="L159" i="6"/>
  <c r="M159" i="6"/>
  <c r="N159" i="6"/>
  <c r="O159" i="6"/>
  <c r="P159" i="6"/>
  <c r="R159" i="6"/>
  <c r="S159" i="6"/>
  <c r="T159" i="6"/>
  <c r="U159" i="6"/>
  <c r="V159" i="6"/>
  <c r="W159" i="6"/>
  <c r="X159" i="6"/>
  <c r="A160" i="6"/>
  <c r="B160" i="6"/>
  <c r="C160" i="6"/>
  <c r="D160" i="6"/>
  <c r="E160" i="6"/>
  <c r="F160" i="6"/>
  <c r="G160" i="6"/>
  <c r="L160" i="6"/>
  <c r="M160" i="6"/>
  <c r="N160" i="6"/>
  <c r="O160" i="6"/>
  <c r="P160" i="6"/>
  <c r="R160" i="6"/>
  <c r="S160" i="6"/>
  <c r="T160" i="6"/>
  <c r="U160" i="6"/>
  <c r="V160" i="6"/>
  <c r="W160" i="6"/>
  <c r="X160" i="6"/>
  <c r="A161" i="6"/>
  <c r="B161" i="6"/>
  <c r="C161" i="6"/>
  <c r="D161" i="6"/>
  <c r="E161" i="6"/>
  <c r="F161" i="6"/>
  <c r="G161" i="6"/>
  <c r="L161" i="6"/>
  <c r="M161" i="6"/>
  <c r="N161" i="6"/>
  <c r="O161" i="6"/>
  <c r="P161" i="6"/>
  <c r="R161" i="6"/>
  <c r="S161" i="6"/>
  <c r="T161" i="6"/>
  <c r="U161" i="6"/>
  <c r="V161" i="6"/>
  <c r="W161" i="6"/>
  <c r="X161" i="6"/>
  <c r="A162" i="6"/>
  <c r="B162" i="6"/>
  <c r="C162" i="6"/>
  <c r="D162" i="6"/>
  <c r="E162" i="6"/>
  <c r="F162" i="6"/>
  <c r="G162" i="6"/>
  <c r="L162" i="6"/>
  <c r="M162" i="6"/>
  <c r="N162" i="6"/>
  <c r="O162" i="6"/>
  <c r="P162" i="6"/>
  <c r="R162" i="6"/>
  <c r="S162" i="6"/>
  <c r="T162" i="6"/>
  <c r="U162" i="6"/>
  <c r="V162" i="6"/>
  <c r="W162" i="6"/>
  <c r="X162" i="6"/>
  <c r="A163" i="6"/>
  <c r="B163" i="6"/>
  <c r="C163" i="6"/>
  <c r="D163" i="6"/>
  <c r="E163" i="6"/>
  <c r="F163" i="6"/>
  <c r="G163" i="6"/>
  <c r="L163" i="6"/>
  <c r="M163" i="6"/>
  <c r="N163" i="6"/>
  <c r="O163" i="6"/>
  <c r="P163" i="6"/>
  <c r="R163" i="6"/>
  <c r="S163" i="6"/>
  <c r="T163" i="6"/>
  <c r="U163" i="6"/>
  <c r="V163" i="6"/>
  <c r="W163" i="6"/>
  <c r="X163" i="6"/>
  <c r="A164" i="6"/>
  <c r="B164" i="6"/>
  <c r="C164" i="6"/>
  <c r="D164" i="6"/>
  <c r="E164" i="6"/>
  <c r="F164" i="6"/>
  <c r="G164" i="6"/>
  <c r="L164" i="6"/>
  <c r="M164" i="6"/>
  <c r="N164" i="6"/>
  <c r="O164" i="6"/>
  <c r="P164" i="6"/>
  <c r="R164" i="6"/>
  <c r="S164" i="6"/>
  <c r="T164" i="6"/>
  <c r="U164" i="6"/>
  <c r="V164" i="6"/>
  <c r="W164" i="6"/>
  <c r="X164" i="6"/>
  <c r="A165" i="6"/>
  <c r="B165" i="6"/>
  <c r="C165" i="6"/>
  <c r="D165" i="6"/>
  <c r="E165" i="6"/>
  <c r="F165" i="6"/>
  <c r="G165" i="6"/>
  <c r="L165" i="6"/>
  <c r="M165" i="6"/>
  <c r="N165" i="6"/>
  <c r="O165" i="6"/>
  <c r="P165" i="6"/>
  <c r="R165" i="6"/>
  <c r="S165" i="6"/>
  <c r="T165" i="6"/>
  <c r="U165" i="6"/>
  <c r="V165" i="6"/>
  <c r="W165" i="6"/>
  <c r="X165" i="6"/>
  <c r="A166" i="6"/>
  <c r="B166" i="6"/>
  <c r="C166" i="6"/>
  <c r="D166" i="6"/>
  <c r="E166" i="6"/>
  <c r="F166" i="6"/>
  <c r="G166" i="6"/>
  <c r="L166" i="6"/>
  <c r="M166" i="6"/>
  <c r="N166" i="6"/>
  <c r="O166" i="6"/>
  <c r="P166" i="6"/>
  <c r="R166" i="6"/>
  <c r="S166" i="6"/>
  <c r="T166" i="6"/>
  <c r="U166" i="6"/>
  <c r="V166" i="6"/>
  <c r="W166" i="6"/>
  <c r="X166" i="6"/>
  <c r="A167" i="6"/>
  <c r="B167" i="6"/>
  <c r="C167" i="6"/>
  <c r="D167" i="6"/>
  <c r="E167" i="6"/>
  <c r="F167" i="6"/>
  <c r="G167" i="6"/>
  <c r="L167" i="6"/>
  <c r="M167" i="6"/>
  <c r="N167" i="6"/>
  <c r="O167" i="6"/>
  <c r="P167" i="6"/>
  <c r="R167" i="6"/>
  <c r="S167" i="6"/>
  <c r="T167" i="6"/>
  <c r="U167" i="6"/>
  <c r="V167" i="6"/>
  <c r="W167" i="6"/>
  <c r="X167" i="6"/>
  <c r="A168" i="6"/>
  <c r="B168" i="6"/>
  <c r="C168" i="6"/>
  <c r="D168" i="6"/>
  <c r="E168" i="6"/>
  <c r="F168" i="6"/>
  <c r="G168" i="6"/>
  <c r="L168" i="6"/>
  <c r="M168" i="6"/>
  <c r="N168" i="6"/>
  <c r="O168" i="6"/>
  <c r="P168" i="6"/>
  <c r="R168" i="6"/>
  <c r="S168" i="6"/>
  <c r="T168" i="6"/>
  <c r="U168" i="6"/>
  <c r="V168" i="6"/>
  <c r="W168" i="6"/>
  <c r="X168" i="6"/>
  <c r="A169" i="6"/>
  <c r="B169" i="6"/>
  <c r="C169" i="6"/>
  <c r="D169" i="6"/>
  <c r="E169" i="6"/>
  <c r="F169" i="6"/>
  <c r="G169" i="6"/>
  <c r="L169" i="6"/>
  <c r="M169" i="6"/>
  <c r="N169" i="6"/>
  <c r="O169" i="6"/>
  <c r="P169" i="6"/>
  <c r="R169" i="6"/>
  <c r="S169" i="6"/>
  <c r="T169" i="6"/>
  <c r="U169" i="6"/>
  <c r="V169" i="6"/>
  <c r="W169" i="6"/>
  <c r="X169" i="6"/>
  <c r="A170" i="6"/>
  <c r="B170" i="6"/>
  <c r="C170" i="6"/>
  <c r="D170" i="6"/>
  <c r="E170" i="6"/>
  <c r="F170" i="6"/>
  <c r="G170" i="6"/>
  <c r="L170" i="6"/>
  <c r="M170" i="6"/>
  <c r="N170" i="6"/>
  <c r="O170" i="6"/>
  <c r="P170" i="6"/>
  <c r="R170" i="6"/>
  <c r="S170" i="6"/>
  <c r="T170" i="6"/>
  <c r="U170" i="6"/>
  <c r="V170" i="6"/>
  <c r="W170" i="6"/>
  <c r="X170" i="6"/>
  <c r="A171" i="6"/>
  <c r="B171" i="6"/>
  <c r="C171" i="6"/>
  <c r="D171" i="6"/>
  <c r="E171" i="6"/>
  <c r="F171" i="6"/>
  <c r="G171" i="6"/>
  <c r="L171" i="6"/>
  <c r="M171" i="6"/>
  <c r="N171" i="6"/>
  <c r="O171" i="6"/>
  <c r="P171" i="6"/>
  <c r="R171" i="6"/>
  <c r="S171" i="6"/>
  <c r="T171" i="6"/>
  <c r="U171" i="6"/>
  <c r="V171" i="6"/>
  <c r="W171" i="6"/>
  <c r="X171" i="6"/>
  <c r="A172" i="6"/>
  <c r="B172" i="6"/>
  <c r="C172" i="6"/>
  <c r="D172" i="6"/>
  <c r="E172" i="6"/>
  <c r="F172" i="6"/>
  <c r="G172" i="6"/>
  <c r="L172" i="6"/>
  <c r="M172" i="6"/>
  <c r="N172" i="6"/>
  <c r="O172" i="6"/>
  <c r="P172" i="6"/>
  <c r="R172" i="6"/>
  <c r="S172" i="6"/>
  <c r="T172" i="6"/>
  <c r="U172" i="6"/>
  <c r="V172" i="6"/>
  <c r="W172" i="6"/>
  <c r="X172" i="6"/>
  <c r="A173" i="6"/>
  <c r="B173" i="6"/>
  <c r="C173" i="6"/>
  <c r="D173" i="6"/>
  <c r="E173" i="6"/>
  <c r="F173" i="6"/>
  <c r="G173" i="6"/>
  <c r="L173" i="6"/>
  <c r="M173" i="6"/>
  <c r="N173" i="6"/>
  <c r="O173" i="6"/>
  <c r="P173" i="6"/>
  <c r="R173" i="6"/>
  <c r="S173" i="6"/>
  <c r="T173" i="6"/>
  <c r="U173" i="6"/>
  <c r="V173" i="6"/>
  <c r="W173" i="6"/>
  <c r="X173" i="6"/>
  <c r="A174" i="6"/>
  <c r="B174" i="6"/>
  <c r="C174" i="6"/>
  <c r="D174" i="6"/>
  <c r="E174" i="6"/>
  <c r="F174" i="6"/>
  <c r="G174" i="6"/>
  <c r="L174" i="6"/>
  <c r="M174" i="6"/>
  <c r="N174" i="6"/>
  <c r="O174" i="6"/>
  <c r="P174" i="6"/>
  <c r="R174" i="6"/>
  <c r="S174" i="6"/>
  <c r="T174" i="6"/>
  <c r="U174" i="6"/>
  <c r="V174" i="6"/>
  <c r="W174" i="6"/>
  <c r="X174" i="6"/>
  <c r="A175" i="6"/>
  <c r="B175" i="6"/>
  <c r="C175" i="6"/>
  <c r="D175" i="6"/>
  <c r="E175" i="6"/>
  <c r="F175" i="6"/>
  <c r="G175" i="6"/>
  <c r="L175" i="6"/>
  <c r="M175" i="6"/>
  <c r="N175" i="6"/>
  <c r="O175" i="6"/>
  <c r="P175" i="6"/>
  <c r="R175" i="6"/>
  <c r="S175" i="6"/>
  <c r="T175" i="6"/>
  <c r="U175" i="6"/>
  <c r="V175" i="6"/>
  <c r="W175" i="6"/>
  <c r="X175" i="6"/>
  <c r="A176" i="6"/>
  <c r="B176" i="6"/>
  <c r="C176" i="6"/>
  <c r="D176" i="6"/>
  <c r="E176" i="6"/>
  <c r="F176" i="6"/>
  <c r="G176" i="6"/>
  <c r="L176" i="6"/>
  <c r="M176" i="6"/>
  <c r="N176" i="6"/>
  <c r="O176" i="6"/>
  <c r="P176" i="6"/>
  <c r="R176" i="6"/>
  <c r="S176" i="6"/>
  <c r="T176" i="6"/>
  <c r="U176" i="6"/>
  <c r="V176" i="6"/>
  <c r="W176" i="6"/>
  <c r="X176" i="6"/>
  <c r="A177" i="6"/>
  <c r="B177" i="6"/>
  <c r="C177" i="6"/>
  <c r="D177" i="6"/>
  <c r="E177" i="6"/>
  <c r="F177" i="6"/>
  <c r="G177" i="6"/>
  <c r="L177" i="6"/>
  <c r="M177" i="6"/>
  <c r="N177" i="6"/>
  <c r="O177" i="6"/>
  <c r="P177" i="6"/>
  <c r="R177" i="6"/>
  <c r="S177" i="6"/>
  <c r="T177" i="6"/>
  <c r="U177" i="6"/>
  <c r="V177" i="6"/>
  <c r="W177" i="6"/>
  <c r="X177" i="6"/>
  <c r="A178" i="6"/>
  <c r="B178" i="6"/>
  <c r="C178" i="6"/>
  <c r="D178" i="6"/>
  <c r="E178" i="6"/>
  <c r="F178" i="6"/>
  <c r="G178" i="6"/>
  <c r="L178" i="6"/>
  <c r="M178" i="6"/>
  <c r="N178" i="6"/>
  <c r="O178" i="6"/>
  <c r="P178" i="6"/>
  <c r="R178" i="6"/>
  <c r="S178" i="6"/>
  <c r="T178" i="6"/>
  <c r="U178" i="6"/>
  <c r="V178" i="6"/>
  <c r="W178" i="6"/>
  <c r="X178" i="6"/>
  <c r="A179" i="6"/>
  <c r="B179" i="6"/>
  <c r="C179" i="6"/>
  <c r="D179" i="6"/>
  <c r="E179" i="6"/>
  <c r="F179" i="6"/>
  <c r="G179" i="6"/>
  <c r="L179" i="6"/>
  <c r="M179" i="6"/>
  <c r="N179" i="6"/>
  <c r="O179" i="6"/>
  <c r="P179" i="6"/>
  <c r="R179" i="6"/>
  <c r="S179" i="6"/>
  <c r="T179" i="6"/>
  <c r="U179" i="6"/>
  <c r="V179" i="6"/>
  <c r="W179" i="6"/>
  <c r="X179" i="6"/>
  <c r="A180" i="6"/>
  <c r="B180" i="6"/>
  <c r="C180" i="6"/>
  <c r="D180" i="6"/>
  <c r="E180" i="6"/>
  <c r="F180" i="6"/>
  <c r="G180" i="6"/>
  <c r="L180" i="6"/>
  <c r="M180" i="6"/>
  <c r="N180" i="6"/>
  <c r="O180" i="6"/>
  <c r="P180" i="6"/>
  <c r="R180" i="6"/>
  <c r="S180" i="6"/>
  <c r="T180" i="6"/>
  <c r="U180" i="6"/>
  <c r="V180" i="6"/>
  <c r="W180" i="6"/>
  <c r="X180" i="6"/>
  <c r="A181" i="6"/>
  <c r="B181" i="6"/>
  <c r="C181" i="6"/>
  <c r="D181" i="6"/>
  <c r="E181" i="6"/>
  <c r="F181" i="6"/>
  <c r="G181" i="6"/>
  <c r="L181" i="6"/>
  <c r="M181" i="6"/>
  <c r="N181" i="6"/>
  <c r="O181" i="6"/>
  <c r="P181" i="6"/>
  <c r="R181" i="6"/>
  <c r="S181" i="6"/>
  <c r="T181" i="6"/>
  <c r="U181" i="6"/>
  <c r="V181" i="6"/>
  <c r="W181" i="6"/>
  <c r="X181" i="6"/>
  <c r="A182" i="6"/>
  <c r="B182" i="6"/>
  <c r="C182" i="6"/>
  <c r="D182" i="6"/>
  <c r="E182" i="6"/>
  <c r="F182" i="6"/>
  <c r="G182" i="6"/>
  <c r="L182" i="6"/>
  <c r="M182" i="6"/>
  <c r="N182" i="6"/>
  <c r="O182" i="6"/>
  <c r="P182" i="6"/>
  <c r="R182" i="6"/>
  <c r="S182" i="6"/>
  <c r="T182" i="6"/>
  <c r="U182" i="6"/>
  <c r="V182" i="6"/>
  <c r="W182" i="6"/>
  <c r="X182" i="6"/>
  <c r="A183" i="6"/>
  <c r="B183" i="6"/>
  <c r="C183" i="6"/>
  <c r="D183" i="6"/>
  <c r="E183" i="6"/>
  <c r="F183" i="6"/>
  <c r="G183" i="6"/>
  <c r="L183" i="6"/>
  <c r="M183" i="6"/>
  <c r="N183" i="6"/>
  <c r="O183" i="6"/>
  <c r="P183" i="6"/>
  <c r="R183" i="6"/>
  <c r="S183" i="6"/>
  <c r="T183" i="6"/>
  <c r="U183" i="6"/>
  <c r="V183" i="6"/>
  <c r="W183" i="6"/>
  <c r="X183" i="6"/>
  <c r="A184" i="6"/>
  <c r="B184" i="6"/>
  <c r="C184" i="6"/>
  <c r="D184" i="6"/>
  <c r="E184" i="6"/>
  <c r="F184" i="6"/>
  <c r="G184" i="6"/>
  <c r="L184" i="6"/>
  <c r="M184" i="6"/>
  <c r="N184" i="6"/>
  <c r="O184" i="6"/>
  <c r="P184" i="6"/>
  <c r="R184" i="6"/>
  <c r="S184" i="6"/>
  <c r="T184" i="6"/>
  <c r="U184" i="6"/>
  <c r="V184" i="6"/>
  <c r="W184" i="6"/>
  <c r="X184" i="6"/>
  <c r="A185" i="6"/>
  <c r="B185" i="6"/>
  <c r="C185" i="6"/>
  <c r="D185" i="6"/>
  <c r="E185" i="6"/>
  <c r="F185" i="6"/>
  <c r="G185" i="6"/>
  <c r="L185" i="6"/>
  <c r="M185" i="6"/>
  <c r="N185" i="6"/>
  <c r="O185" i="6"/>
  <c r="P185" i="6"/>
  <c r="R185" i="6"/>
  <c r="S185" i="6"/>
  <c r="T185" i="6"/>
  <c r="U185" i="6"/>
  <c r="V185" i="6"/>
  <c r="W185" i="6"/>
  <c r="X185" i="6"/>
  <c r="A186" i="6"/>
  <c r="B186" i="6"/>
  <c r="C186" i="6"/>
  <c r="D186" i="6"/>
  <c r="E186" i="6"/>
  <c r="F186" i="6"/>
  <c r="G186" i="6"/>
  <c r="L186" i="6"/>
  <c r="M186" i="6"/>
  <c r="N186" i="6"/>
  <c r="O186" i="6"/>
  <c r="P186" i="6"/>
  <c r="R186" i="6"/>
  <c r="S186" i="6"/>
  <c r="T186" i="6"/>
  <c r="U186" i="6"/>
  <c r="V186" i="6"/>
  <c r="W186" i="6"/>
  <c r="X186" i="6"/>
  <c r="A187" i="6"/>
  <c r="B187" i="6"/>
  <c r="C187" i="6"/>
  <c r="D187" i="6"/>
  <c r="E187" i="6"/>
  <c r="F187" i="6"/>
  <c r="G187" i="6"/>
  <c r="L187" i="6"/>
  <c r="M187" i="6"/>
  <c r="N187" i="6"/>
  <c r="O187" i="6"/>
  <c r="P187" i="6"/>
  <c r="R187" i="6"/>
  <c r="S187" i="6"/>
  <c r="T187" i="6"/>
  <c r="U187" i="6"/>
  <c r="V187" i="6"/>
  <c r="W187" i="6"/>
  <c r="X187" i="6"/>
  <c r="A188" i="6"/>
  <c r="B188" i="6"/>
  <c r="C188" i="6"/>
  <c r="D188" i="6"/>
  <c r="E188" i="6"/>
  <c r="F188" i="6"/>
  <c r="G188" i="6"/>
  <c r="L188" i="6"/>
  <c r="M188" i="6"/>
  <c r="N188" i="6"/>
  <c r="O188" i="6"/>
  <c r="P188" i="6"/>
  <c r="R188" i="6"/>
  <c r="S188" i="6"/>
  <c r="T188" i="6"/>
  <c r="U188" i="6"/>
  <c r="V188" i="6"/>
  <c r="W188" i="6"/>
  <c r="X188" i="6"/>
  <c r="A189" i="6"/>
  <c r="B189" i="6"/>
  <c r="C189" i="6"/>
  <c r="D189" i="6"/>
  <c r="E189" i="6"/>
  <c r="F189" i="6"/>
  <c r="G189" i="6"/>
  <c r="L189" i="6"/>
  <c r="M189" i="6"/>
  <c r="N189" i="6"/>
  <c r="O189" i="6"/>
  <c r="P189" i="6"/>
  <c r="R189" i="6"/>
  <c r="S189" i="6"/>
  <c r="T189" i="6"/>
  <c r="U189" i="6"/>
  <c r="V189" i="6"/>
  <c r="W189" i="6"/>
  <c r="X189" i="6"/>
  <c r="A190" i="6"/>
  <c r="B190" i="6"/>
  <c r="C190" i="6"/>
  <c r="D190" i="6"/>
  <c r="E190" i="6"/>
  <c r="F190" i="6"/>
  <c r="G190" i="6"/>
  <c r="L190" i="6"/>
  <c r="M190" i="6"/>
  <c r="N190" i="6"/>
  <c r="O190" i="6"/>
  <c r="P190" i="6"/>
  <c r="R190" i="6"/>
  <c r="S190" i="6"/>
  <c r="T190" i="6"/>
  <c r="U190" i="6"/>
  <c r="V190" i="6"/>
  <c r="W190" i="6"/>
  <c r="X190" i="6"/>
  <c r="A191" i="6"/>
  <c r="B191" i="6"/>
  <c r="C191" i="6"/>
  <c r="D191" i="6"/>
  <c r="E191" i="6"/>
  <c r="F191" i="6"/>
  <c r="G191" i="6"/>
  <c r="L191" i="6"/>
  <c r="M191" i="6"/>
  <c r="N191" i="6"/>
  <c r="O191" i="6"/>
  <c r="P191" i="6"/>
  <c r="R191" i="6"/>
  <c r="S191" i="6"/>
  <c r="T191" i="6"/>
  <c r="U191" i="6"/>
  <c r="V191" i="6"/>
  <c r="W191" i="6"/>
  <c r="X191" i="6"/>
  <c r="A192" i="6"/>
  <c r="B192" i="6"/>
  <c r="C192" i="6"/>
  <c r="D192" i="6"/>
  <c r="E192" i="6"/>
  <c r="F192" i="6"/>
  <c r="G192" i="6"/>
  <c r="L192" i="6"/>
  <c r="M192" i="6"/>
  <c r="N192" i="6"/>
  <c r="O192" i="6"/>
  <c r="P192" i="6"/>
  <c r="R192" i="6"/>
  <c r="S192" i="6"/>
  <c r="T192" i="6"/>
  <c r="U192" i="6"/>
  <c r="V192" i="6"/>
  <c r="W192" i="6"/>
  <c r="X192" i="6"/>
  <c r="A193" i="6"/>
  <c r="B193" i="6"/>
  <c r="C193" i="6"/>
  <c r="D193" i="6"/>
  <c r="E193" i="6"/>
  <c r="F193" i="6"/>
  <c r="G193" i="6"/>
  <c r="L193" i="6"/>
  <c r="M193" i="6"/>
  <c r="N193" i="6"/>
  <c r="O193" i="6"/>
  <c r="P193" i="6"/>
  <c r="R193" i="6"/>
  <c r="S193" i="6"/>
  <c r="T193" i="6"/>
  <c r="U193" i="6"/>
  <c r="V193" i="6"/>
  <c r="W193" i="6"/>
  <c r="X193" i="6"/>
  <c r="A194" i="6"/>
  <c r="B194" i="6"/>
  <c r="C194" i="6"/>
  <c r="D194" i="6"/>
  <c r="E194" i="6"/>
  <c r="F194" i="6"/>
  <c r="G194" i="6"/>
  <c r="L194" i="6"/>
  <c r="M194" i="6"/>
  <c r="N194" i="6"/>
  <c r="O194" i="6"/>
  <c r="P194" i="6"/>
  <c r="R194" i="6"/>
  <c r="S194" i="6"/>
  <c r="T194" i="6"/>
  <c r="U194" i="6"/>
  <c r="V194" i="6"/>
  <c r="W194" i="6"/>
  <c r="X194" i="6"/>
  <c r="A195" i="6"/>
  <c r="B195" i="6"/>
  <c r="C195" i="6"/>
  <c r="D195" i="6"/>
  <c r="E195" i="6"/>
  <c r="F195" i="6"/>
  <c r="G195" i="6"/>
  <c r="L195" i="6"/>
  <c r="M195" i="6"/>
  <c r="N195" i="6"/>
  <c r="O195" i="6"/>
  <c r="P195" i="6"/>
  <c r="R195" i="6"/>
  <c r="S195" i="6"/>
  <c r="T195" i="6"/>
  <c r="U195" i="6"/>
  <c r="V195" i="6"/>
  <c r="W195" i="6"/>
  <c r="X195" i="6"/>
  <c r="A196" i="6"/>
  <c r="B196" i="6"/>
  <c r="C196" i="6"/>
  <c r="D196" i="6"/>
  <c r="E196" i="6"/>
  <c r="F196" i="6"/>
  <c r="G196" i="6"/>
  <c r="L196" i="6"/>
  <c r="M196" i="6"/>
  <c r="N196" i="6"/>
  <c r="O196" i="6"/>
  <c r="P196" i="6"/>
  <c r="R196" i="6"/>
  <c r="S196" i="6"/>
  <c r="T196" i="6"/>
  <c r="U196" i="6"/>
  <c r="V196" i="6"/>
  <c r="W196" i="6"/>
  <c r="X196" i="6"/>
  <c r="A197" i="6"/>
  <c r="B197" i="6"/>
  <c r="C197" i="6"/>
  <c r="D197" i="6"/>
  <c r="E197" i="6"/>
  <c r="F197" i="6"/>
  <c r="G197" i="6"/>
  <c r="L197" i="6"/>
  <c r="M197" i="6"/>
  <c r="N197" i="6"/>
  <c r="O197" i="6"/>
  <c r="P197" i="6"/>
  <c r="R197" i="6"/>
  <c r="S197" i="6"/>
  <c r="T197" i="6"/>
  <c r="U197" i="6"/>
  <c r="V197" i="6"/>
  <c r="W197" i="6"/>
  <c r="X197" i="6"/>
  <c r="A198" i="6"/>
  <c r="B198" i="6"/>
  <c r="C198" i="6"/>
  <c r="D198" i="6"/>
  <c r="E198" i="6"/>
  <c r="F198" i="6"/>
  <c r="G198" i="6"/>
  <c r="L198" i="6"/>
  <c r="M198" i="6"/>
  <c r="N198" i="6"/>
  <c r="O198" i="6"/>
  <c r="P198" i="6"/>
  <c r="R198" i="6"/>
  <c r="S198" i="6"/>
  <c r="T198" i="6"/>
  <c r="U198" i="6"/>
  <c r="V198" i="6"/>
  <c r="W198" i="6"/>
  <c r="X198" i="6"/>
  <c r="A199" i="6"/>
  <c r="B199" i="6"/>
  <c r="C199" i="6"/>
  <c r="D199" i="6"/>
  <c r="E199" i="6"/>
  <c r="F199" i="6"/>
  <c r="G199" i="6"/>
  <c r="L199" i="6"/>
  <c r="M199" i="6"/>
  <c r="N199" i="6"/>
  <c r="O199" i="6"/>
  <c r="P199" i="6"/>
  <c r="R199" i="6"/>
  <c r="S199" i="6"/>
  <c r="T199" i="6"/>
  <c r="A200" i="6"/>
  <c r="B200" i="6"/>
  <c r="C200" i="6"/>
  <c r="D200" i="6"/>
  <c r="E200" i="6"/>
  <c r="F200" i="6"/>
  <c r="G200" i="6"/>
  <c r="L200" i="6"/>
  <c r="M200" i="6"/>
  <c r="N200" i="6"/>
  <c r="O200" i="6"/>
  <c r="P200" i="6"/>
  <c r="R200" i="6"/>
  <c r="S200" i="6"/>
  <c r="T200" i="6"/>
  <c r="A201" i="6"/>
  <c r="B201" i="6"/>
  <c r="C201" i="6"/>
  <c r="D201" i="6"/>
  <c r="E201" i="6"/>
  <c r="F201" i="6"/>
  <c r="G201" i="6"/>
  <c r="L201" i="6"/>
  <c r="M201" i="6"/>
  <c r="N201" i="6"/>
  <c r="O201" i="6"/>
  <c r="P201" i="6"/>
  <c r="R201" i="6"/>
  <c r="S201" i="6"/>
  <c r="T201" i="6"/>
  <c r="A202" i="6"/>
  <c r="B202" i="6"/>
  <c r="C202" i="6"/>
  <c r="D202" i="6"/>
  <c r="E202" i="6"/>
  <c r="F202" i="6"/>
  <c r="G202" i="6"/>
  <c r="L202" i="6"/>
  <c r="M202" i="6"/>
  <c r="N202" i="6"/>
  <c r="O202" i="6"/>
  <c r="P202" i="6"/>
  <c r="R202" i="6"/>
  <c r="S202" i="6"/>
  <c r="T202" i="6"/>
  <c r="A203" i="6"/>
  <c r="B203" i="6"/>
  <c r="C203" i="6"/>
  <c r="D203" i="6"/>
  <c r="E203" i="6"/>
  <c r="F203" i="6"/>
  <c r="G203" i="6"/>
  <c r="L203" i="6"/>
  <c r="M203" i="6"/>
  <c r="N203" i="6"/>
  <c r="O203" i="6"/>
  <c r="P203" i="6"/>
  <c r="R203" i="6"/>
  <c r="S203" i="6"/>
  <c r="T203" i="6"/>
  <c r="A204" i="6"/>
  <c r="B204" i="6"/>
  <c r="C204" i="6"/>
  <c r="D204" i="6"/>
  <c r="E204" i="6"/>
  <c r="F204" i="6"/>
  <c r="G204" i="6"/>
  <c r="L204" i="6"/>
  <c r="M204" i="6"/>
  <c r="N204" i="6"/>
  <c r="O204" i="6"/>
  <c r="P204" i="6"/>
  <c r="R204" i="6"/>
  <c r="S204" i="6"/>
  <c r="T204" i="6"/>
  <c r="A205" i="6"/>
  <c r="B205" i="6"/>
  <c r="C205" i="6"/>
  <c r="D205" i="6"/>
  <c r="E205" i="6"/>
  <c r="F205" i="6"/>
  <c r="G205" i="6"/>
  <c r="L205" i="6"/>
  <c r="M205" i="6"/>
  <c r="N205" i="6"/>
  <c r="O205" i="6"/>
  <c r="P205" i="6"/>
  <c r="R205" i="6"/>
  <c r="S205" i="6"/>
  <c r="T205" i="6"/>
  <c r="A206" i="6"/>
  <c r="B206" i="6"/>
  <c r="C206" i="6"/>
  <c r="D206" i="6"/>
  <c r="E206" i="6"/>
  <c r="F206" i="6"/>
  <c r="G206" i="6"/>
  <c r="L206" i="6"/>
  <c r="M206" i="6"/>
  <c r="N206" i="6"/>
  <c r="O206" i="6"/>
  <c r="P206" i="6"/>
  <c r="R206" i="6"/>
  <c r="S206" i="6"/>
  <c r="T206" i="6"/>
  <c r="A207" i="6"/>
  <c r="B207" i="6"/>
  <c r="C207" i="6"/>
  <c r="D207" i="6"/>
  <c r="E207" i="6"/>
  <c r="F207" i="6"/>
  <c r="G207" i="6"/>
  <c r="L207" i="6"/>
  <c r="M207" i="6"/>
  <c r="N207" i="6"/>
  <c r="O207" i="6"/>
  <c r="P207" i="6"/>
  <c r="R207" i="6"/>
  <c r="S207" i="6"/>
  <c r="T207" i="6"/>
  <c r="A208" i="6"/>
  <c r="B208" i="6"/>
  <c r="C208" i="6"/>
  <c r="D208" i="6"/>
  <c r="E208" i="6"/>
  <c r="F208" i="6"/>
  <c r="G208" i="6"/>
  <c r="L208" i="6"/>
  <c r="M208" i="6"/>
  <c r="N208" i="6"/>
  <c r="O208" i="6"/>
  <c r="P208" i="6"/>
  <c r="R208" i="6"/>
  <c r="S208" i="6"/>
  <c r="T208" i="6"/>
  <c r="A209" i="6"/>
  <c r="B209" i="6"/>
  <c r="C209" i="6"/>
  <c r="D209" i="6"/>
  <c r="E209" i="6"/>
  <c r="F209" i="6"/>
  <c r="G209" i="6"/>
  <c r="L209" i="6"/>
  <c r="M209" i="6"/>
  <c r="N209" i="6"/>
  <c r="O209" i="6"/>
  <c r="P209" i="6"/>
  <c r="R209" i="6"/>
  <c r="S209" i="6"/>
  <c r="T209" i="6"/>
  <c r="A210" i="6"/>
  <c r="B210" i="6"/>
  <c r="C210" i="6"/>
  <c r="D210" i="6"/>
  <c r="E210" i="6"/>
  <c r="F210" i="6"/>
  <c r="G210" i="6"/>
  <c r="L210" i="6"/>
  <c r="M210" i="6"/>
  <c r="N210" i="6"/>
  <c r="O210" i="6"/>
  <c r="P210" i="6"/>
  <c r="R210" i="6"/>
  <c r="S210" i="6"/>
  <c r="T210" i="6"/>
  <c r="A211" i="6"/>
  <c r="B211" i="6"/>
  <c r="C211" i="6"/>
  <c r="D211" i="6"/>
  <c r="E211" i="6"/>
  <c r="F211" i="6"/>
  <c r="G211" i="6"/>
  <c r="L211" i="6"/>
  <c r="M211" i="6"/>
  <c r="N211" i="6"/>
  <c r="O211" i="6"/>
  <c r="P211" i="6"/>
  <c r="R211" i="6"/>
  <c r="S211" i="6"/>
  <c r="T211" i="6"/>
  <c r="A212" i="6"/>
  <c r="B212" i="6"/>
  <c r="C212" i="6"/>
  <c r="D212" i="6"/>
  <c r="E212" i="6"/>
  <c r="F212" i="6"/>
  <c r="G212" i="6"/>
  <c r="L212" i="6"/>
  <c r="M212" i="6"/>
  <c r="N212" i="6"/>
  <c r="O212" i="6"/>
  <c r="P212" i="6"/>
  <c r="R212" i="6"/>
  <c r="S212" i="6"/>
  <c r="T212" i="6"/>
  <c r="B4" i="4"/>
  <c r="B5" i="4"/>
  <c r="A6" i="4"/>
  <c r="B6" i="4"/>
  <c r="A7" i="4"/>
  <c r="B7" i="4"/>
  <c r="A8" i="4"/>
  <c r="B8" i="4"/>
  <c r="A9" i="4"/>
  <c r="B9" i="4"/>
  <c r="A10" i="4"/>
  <c r="B10" i="4"/>
  <c r="A11" i="4"/>
  <c r="B11" i="4"/>
  <c r="A12" i="4"/>
  <c r="B12" i="4"/>
  <c r="A13" i="4"/>
  <c r="B13" i="4"/>
  <c r="A14" i="4"/>
  <c r="B14" i="4"/>
  <c r="A15" i="4"/>
  <c r="B15" i="4"/>
  <c r="E15" i="4"/>
  <c r="A16" i="4"/>
  <c r="B16" i="4"/>
  <c r="E16" i="4"/>
  <c r="A17" i="4"/>
  <c r="B17" i="4"/>
  <c r="E17" i="4"/>
  <c r="A18" i="4"/>
  <c r="B18" i="4"/>
  <c r="E18" i="4"/>
  <c r="A19" i="4"/>
  <c r="B19" i="4"/>
  <c r="E19" i="4"/>
  <c r="G19" i="4"/>
  <c r="H19" i="4"/>
  <c r="J19" i="4"/>
  <c r="A20" i="4"/>
  <c r="B20" i="4"/>
  <c r="C20" i="4"/>
  <c r="E20" i="4"/>
  <c r="G20" i="4"/>
  <c r="H20" i="4"/>
  <c r="J20" i="4"/>
  <c r="A21" i="4"/>
  <c r="B21" i="4"/>
  <c r="C21" i="4"/>
  <c r="E21" i="4"/>
  <c r="G21" i="4"/>
  <c r="H21" i="4"/>
  <c r="J21" i="4"/>
  <c r="A22" i="4"/>
  <c r="B22" i="4"/>
  <c r="C22" i="4"/>
  <c r="E22" i="4"/>
  <c r="G22" i="4"/>
  <c r="H22" i="4"/>
  <c r="J22" i="4"/>
  <c r="A23" i="4"/>
  <c r="B23" i="4"/>
  <c r="C23" i="4"/>
  <c r="E23" i="4"/>
  <c r="G23" i="4"/>
  <c r="H23" i="4"/>
  <c r="J23" i="4"/>
  <c r="A24" i="4"/>
  <c r="B24" i="4"/>
  <c r="C24" i="4"/>
  <c r="E24" i="4"/>
  <c r="G24" i="4"/>
  <c r="H24" i="4"/>
  <c r="J24" i="4"/>
  <c r="A25" i="4"/>
  <c r="B25" i="4"/>
  <c r="C25" i="4"/>
  <c r="E25" i="4"/>
  <c r="G25" i="4"/>
  <c r="H25" i="4"/>
  <c r="J25" i="4"/>
  <c r="A26" i="4"/>
  <c r="B26" i="4"/>
  <c r="C26" i="4"/>
  <c r="E26" i="4"/>
  <c r="G26" i="4"/>
  <c r="H26" i="4"/>
  <c r="J26" i="4"/>
  <c r="A27" i="4"/>
  <c r="B27" i="4"/>
  <c r="C27" i="4"/>
  <c r="E27" i="4"/>
  <c r="G27" i="4"/>
  <c r="H27" i="4"/>
  <c r="J27" i="4"/>
  <c r="A28" i="4"/>
  <c r="B28" i="4"/>
  <c r="C28" i="4"/>
  <c r="E28" i="4"/>
  <c r="G28" i="4"/>
  <c r="H28" i="4"/>
  <c r="J28" i="4"/>
  <c r="A29" i="4"/>
  <c r="B29" i="4"/>
  <c r="C29" i="4"/>
  <c r="E29" i="4"/>
  <c r="G29" i="4"/>
  <c r="H29" i="4"/>
  <c r="J29" i="4"/>
  <c r="A30" i="4"/>
  <c r="B30" i="4"/>
  <c r="C30" i="4"/>
  <c r="E30" i="4"/>
  <c r="F30" i="4"/>
  <c r="G30" i="4"/>
  <c r="H30" i="4"/>
  <c r="I30" i="4"/>
  <c r="J30" i="4"/>
  <c r="K30" i="4"/>
  <c r="L30" i="4"/>
  <c r="A31" i="4"/>
  <c r="B31" i="4"/>
  <c r="C31" i="4"/>
  <c r="E31" i="4"/>
  <c r="G31" i="4"/>
  <c r="H31" i="4"/>
  <c r="J31" i="4"/>
  <c r="A32" i="4"/>
  <c r="B32" i="4"/>
  <c r="C32" i="4"/>
  <c r="E32" i="4"/>
  <c r="G32" i="4"/>
  <c r="H32" i="4"/>
  <c r="J32" i="4"/>
  <c r="A33" i="4"/>
  <c r="B33" i="4"/>
  <c r="C33" i="4"/>
  <c r="E33" i="4"/>
  <c r="G33" i="4"/>
  <c r="H33" i="4"/>
  <c r="J33" i="4"/>
  <c r="A34" i="4"/>
  <c r="B34" i="4"/>
  <c r="C34" i="4"/>
  <c r="E34" i="4"/>
  <c r="G34" i="4"/>
  <c r="H34" i="4"/>
  <c r="J34" i="4"/>
  <c r="A35" i="4"/>
  <c r="B35" i="4"/>
  <c r="C35" i="4"/>
  <c r="E35" i="4"/>
  <c r="G35" i="4"/>
  <c r="H35" i="4"/>
  <c r="J35" i="4"/>
  <c r="A36" i="4"/>
  <c r="B36" i="4"/>
  <c r="C36" i="4"/>
  <c r="E36" i="4"/>
  <c r="G36" i="4"/>
  <c r="H36" i="4"/>
  <c r="J36" i="4"/>
  <c r="A37" i="4"/>
  <c r="B37" i="4"/>
  <c r="C37" i="4"/>
  <c r="E37" i="4"/>
  <c r="G37" i="4"/>
  <c r="H37" i="4"/>
  <c r="J37" i="4"/>
  <c r="A38" i="4"/>
  <c r="B38" i="4"/>
  <c r="C38" i="4"/>
  <c r="E38" i="4"/>
  <c r="G38" i="4"/>
  <c r="H38" i="4"/>
  <c r="J38" i="4"/>
  <c r="A39" i="4"/>
  <c r="B39" i="4"/>
  <c r="C39" i="4"/>
  <c r="E39" i="4"/>
  <c r="G39" i="4"/>
  <c r="H39" i="4"/>
  <c r="J39" i="4"/>
  <c r="A40" i="4"/>
  <c r="B40" i="4"/>
  <c r="C40" i="4"/>
  <c r="E40" i="4"/>
  <c r="G40" i="4"/>
  <c r="H40" i="4"/>
  <c r="J40" i="4"/>
  <c r="A41" i="4"/>
  <c r="B41" i="4"/>
  <c r="C41" i="4"/>
  <c r="E41" i="4"/>
  <c r="G41" i="4"/>
  <c r="H41" i="4"/>
  <c r="J41" i="4"/>
  <c r="A42" i="4"/>
  <c r="B42" i="4"/>
  <c r="C42" i="4"/>
  <c r="E42" i="4"/>
  <c r="F42" i="4"/>
  <c r="G42" i="4"/>
  <c r="H42" i="4"/>
  <c r="I42" i="4"/>
  <c r="J42" i="4"/>
  <c r="K42" i="4"/>
  <c r="L42" i="4"/>
  <c r="A43" i="4"/>
  <c r="B43" i="4"/>
  <c r="C43" i="4"/>
  <c r="E43" i="4"/>
  <c r="G43" i="4"/>
  <c r="H43" i="4"/>
  <c r="J43" i="4"/>
  <c r="A44" i="4"/>
  <c r="B44" i="4"/>
  <c r="C44" i="4"/>
  <c r="E44" i="4"/>
  <c r="G44" i="4"/>
  <c r="H44" i="4"/>
  <c r="J44" i="4"/>
  <c r="A45" i="4"/>
  <c r="B45" i="4"/>
  <c r="C45" i="4"/>
  <c r="E45" i="4"/>
  <c r="G45" i="4"/>
  <c r="H45" i="4"/>
  <c r="J45" i="4"/>
  <c r="A46" i="4"/>
  <c r="B46" i="4"/>
  <c r="C46" i="4"/>
  <c r="E46" i="4"/>
  <c r="F46" i="4"/>
  <c r="G46" i="4"/>
  <c r="H46" i="4"/>
  <c r="I46" i="4"/>
  <c r="J46" i="4"/>
  <c r="K46" i="4"/>
  <c r="L46" i="4"/>
  <c r="H47" i="4"/>
  <c r="M5" i="5"/>
  <c r="N5" i="5"/>
  <c r="O5" i="5"/>
  <c r="P5" i="5"/>
  <c r="Q5" i="5"/>
  <c r="R5" i="5"/>
  <c r="S5" i="5"/>
  <c r="T5" i="5"/>
  <c r="U5" i="5"/>
  <c r="A6" i="5"/>
  <c r="M6" i="5"/>
  <c r="N6" i="5"/>
  <c r="O6" i="5"/>
  <c r="P6" i="5"/>
  <c r="Q6" i="5"/>
  <c r="R6" i="5"/>
  <c r="S6" i="5"/>
  <c r="T6" i="5"/>
  <c r="U6" i="5"/>
  <c r="A7" i="5"/>
  <c r="M7" i="5"/>
  <c r="N7" i="5"/>
  <c r="O7" i="5"/>
  <c r="P7" i="5"/>
  <c r="Q7" i="5"/>
  <c r="R7" i="5"/>
  <c r="S7" i="5"/>
  <c r="T7" i="5"/>
  <c r="U7" i="5"/>
  <c r="Z7" i="5"/>
  <c r="A8" i="5"/>
  <c r="M8" i="5"/>
  <c r="N8" i="5"/>
  <c r="O8" i="5"/>
  <c r="P8" i="5"/>
  <c r="Q8" i="5"/>
  <c r="R8" i="5"/>
  <c r="S8" i="5"/>
  <c r="T8" i="5"/>
  <c r="U8" i="5"/>
  <c r="Z8" i="5"/>
  <c r="A9" i="5"/>
  <c r="M9" i="5"/>
  <c r="N9" i="5"/>
  <c r="O9" i="5"/>
  <c r="P9" i="5"/>
  <c r="Q9" i="5"/>
  <c r="R9" i="5"/>
  <c r="S9" i="5"/>
  <c r="T9" i="5"/>
  <c r="U9" i="5"/>
  <c r="Z9" i="5"/>
  <c r="A10" i="5"/>
  <c r="M10" i="5"/>
  <c r="N10" i="5"/>
  <c r="O10" i="5"/>
  <c r="P10" i="5"/>
  <c r="Q10" i="5"/>
  <c r="R10" i="5"/>
  <c r="S10" i="5"/>
  <c r="T10" i="5"/>
  <c r="U10" i="5"/>
  <c r="Z10" i="5"/>
  <c r="A11" i="5"/>
  <c r="M11" i="5"/>
  <c r="N11" i="5"/>
  <c r="O11" i="5"/>
  <c r="P11" i="5"/>
  <c r="Q11" i="5"/>
  <c r="R11" i="5"/>
  <c r="S11" i="5"/>
  <c r="T11" i="5"/>
  <c r="U11" i="5"/>
  <c r="Z11" i="5"/>
  <c r="A12" i="5"/>
  <c r="M12" i="5"/>
  <c r="N12" i="5"/>
  <c r="O12" i="5"/>
  <c r="P12" i="5"/>
  <c r="Q12" i="5"/>
  <c r="R12" i="5"/>
  <c r="S12" i="5"/>
  <c r="T12" i="5"/>
  <c r="U12" i="5"/>
  <c r="Z12" i="5"/>
  <c r="A13" i="5"/>
  <c r="M13" i="5"/>
  <c r="N13" i="5"/>
  <c r="O13" i="5"/>
  <c r="P13" i="5"/>
  <c r="Q13" i="5"/>
  <c r="R13" i="5"/>
  <c r="S13" i="5"/>
  <c r="T13" i="5"/>
  <c r="U13" i="5"/>
  <c r="Z13" i="5"/>
  <c r="A14" i="5"/>
  <c r="M14" i="5"/>
  <c r="N14" i="5"/>
  <c r="O14" i="5"/>
  <c r="P14" i="5"/>
  <c r="Q14" i="5"/>
  <c r="R14" i="5"/>
  <c r="S14" i="5"/>
  <c r="U14" i="5"/>
  <c r="Z14" i="5"/>
  <c r="A15" i="5"/>
  <c r="M15" i="5"/>
  <c r="N15" i="5"/>
  <c r="O15" i="5"/>
  <c r="P15" i="5"/>
  <c r="Q15" i="5"/>
  <c r="R15" i="5"/>
  <c r="S15" i="5"/>
  <c r="U15" i="5"/>
  <c r="Z15" i="5"/>
  <c r="A16" i="5"/>
  <c r="M16" i="5"/>
  <c r="N16" i="5"/>
  <c r="O16" i="5"/>
  <c r="P16" i="5"/>
  <c r="R16" i="5"/>
  <c r="S16" i="5"/>
  <c r="U16" i="5"/>
  <c r="W16" i="5"/>
  <c r="Z16" i="5"/>
  <c r="A17" i="5"/>
  <c r="F17" i="5"/>
  <c r="G17" i="5"/>
  <c r="H17" i="5"/>
  <c r="M17" i="5"/>
  <c r="N17" i="5"/>
  <c r="O17" i="5"/>
  <c r="P17" i="5"/>
  <c r="Q17" i="5"/>
  <c r="R17" i="5"/>
  <c r="S17" i="5"/>
  <c r="T17" i="5"/>
  <c r="U17" i="5"/>
  <c r="W17" i="5"/>
  <c r="Z17" i="5"/>
  <c r="A18" i="5"/>
  <c r="F18" i="5"/>
  <c r="G18" i="5"/>
  <c r="H18" i="5"/>
  <c r="M18" i="5"/>
  <c r="N18" i="5"/>
  <c r="O18" i="5"/>
  <c r="P18" i="5"/>
  <c r="Q18" i="5"/>
  <c r="R18" i="5"/>
  <c r="S18" i="5"/>
  <c r="T18" i="5"/>
  <c r="U18" i="5"/>
  <c r="W18" i="5"/>
  <c r="Z18" i="5"/>
  <c r="A19" i="5"/>
  <c r="F19" i="5"/>
  <c r="G19" i="5"/>
  <c r="H19" i="5"/>
  <c r="M19" i="5"/>
  <c r="N19" i="5"/>
  <c r="O19" i="5"/>
  <c r="P19" i="5"/>
  <c r="Q19" i="5"/>
  <c r="R19" i="5"/>
  <c r="S19" i="5"/>
  <c r="T19" i="5"/>
  <c r="U19" i="5"/>
  <c r="W19" i="5"/>
  <c r="X19" i="5"/>
  <c r="Z19" i="5"/>
  <c r="A20" i="5"/>
  <c r="F20" i="5"/>
  <c r="G20" i="5"/>
  <c r="H20" i="5"/>
  <c r="M20" i="5"/>
  <c r="N20" i="5"/>
  <c r="O20" i="5"/>
  <c r="P20" i="5"/>
  <c r="Q20" i="5"/>
  <c r="R20" i="5"/>
  <c r="S20" i="5"/>
  <c r="T20" i="5"/>
  <c r="U20" i="5"/>
  <c r="W20" i="5"/>
  <c r="X20" i="5"/>
  <c r="A21" i="5"/>
  <c r="F21" i="5"/>
  <c r="G21" i="5"/>
  <c r="H21" i="5"/>
  <c r="M21" i="5"/>
  <c r="N21" i="5"/>
  <c r="O21" i="5"/>
  <c r="P21" i="5"/>
  <c r="Q21" i="5"/>
  <c r="R21" i="5"/>
  <c r="S21" i="5"/>
  <c r="T21" i="5"/>
  <c r="U21" i="5"/>
  <c r="W21" i="5"/>
  <c r="X21" i="5"/>
  <c r="A22" i="5"/>
  <c r="F22" i="5"/>
  <c r="G22" i="5"/>
  <c r="H22" i="5"/>
  <c r="M22" i="5"/>
  <c r="N22" i="5"/>
  <c r="O22" i="5"/>
  <c r="P22" i="5"/>
  <c r="Q22" i="5"/>
  <c r="R22" i="5"/>
  <c r="S22" i="5"/>
  <c r="T22" i="5"/>
  <c r="U22" i="5"/>
  <c r="W22" i="5"/>
  <c r="X22" i="5"/>
  <c r="A23" i="5"/>
  <c r="G23" i="5"/>
  <c r="H23" i="5"/>
  <c r="M23" i="5"/>
  <c r="N23" i="5"/>
  <c r="O23" i="5"/>
  <c r="P23" i="5"/>
  <c r="Q23" i="5"/>
  <c r="R23" i="5"/>
  <c r="S23" i="5"/>
  <c r="T23" i="5"/>
  <c r="U23" i="5"/>
  <c r="W23" i="5"/>
  <c r="X23" i="5"/>
  <c r="A24" i="5"/>
  <c r="G24" i="5"/>
  <c r="H24" i="5"/>
  <c r="M24" i="5"/>
  <c r="N24" i="5"/>
  <c r="O24" i="5"/>
  <c r="P24" i="5"/>
  <c r="Q24" i="5"/>
  <c r="R24" i="5"/>
  <c r="S24" i="5"/>
  <c r="T24" i="5"/>
  <c r="U24" i="5"/>
  <c r="W24" i="5"/>
  <c r="X24" i="5"/>
  <c r="A25" i="5"/>
  <c r="G25" i="5"/>
  <c r="H25" i="5"/>
  <c r="M25" i="5"/>
  <c r="N25" i="5"/>
  <c r="O25" i="5"/>
  <c r="P25" i="5"/>
  <c r="Q25" i="5"/>
  <c r="R25" i="5"/>
  <c r="S25" i="5"/>
  <c r="T25" i="5"/>
  <c r="U25" i="5"/>
  <c r="W25" i="5"/>
  <c r="X25" i="5"/>
  <c r="A26" i="5"/>
  <c r="G26" i="5"/>
  <c r="H26" i="5"/>
  <c r="M26" i="5"/>
  <c r="N26" i="5"/>
  <c r="O26" i="5"/>
  <c r="P26" i="5"/>
  <c r="Q26" i="5"/>
  <c r="R26" i="5"/>
  <c r="S26" i="5"/>
  <c r="T26" i="5"/>
  <c r="U26" i="5"/>
  <c r="W26" i="5"/>
  <c r="X26" i="5"/>
  <c r="A27" i="5"/>
  <c r="G27" i="5"/>
  <c r="H27" i="5"/>
  <c r="M27" i="5"/>
  <c r="N27" i="5"/>
  <c r="O27" i="5"/>
  <c r="P27" i="5"/>
  <c r="Q27" i="5"/>
  <c r="R27" i="5"/>
  <c r="S27" i="5"/>
  <c r="T27" i="5"/>
  <c r="U27" i="5"/>
  <c r="W27" i="5"/>
  <c r="X27" i="5"/>
  <c r="A28" i="5"/>
  <c r="F28" i="5"/>
  <c r="G28" i="5"/>
  <c r="H28" i="5"/>
  <c r="M28" i="5"/>
  <c r="N28" i="5"/>
  <c r="O28" i="5"/>
  <c r="P28" i="5"/>
  <c r="Q28" i="5"/>
  <c r="R28" i="5"/>
  <c r="S28" i="5"/>
  <c r="T28" i="5"/>
  <c r="U28" i="5"/>
  <c r="W28" i="5"/>
  <c r="X28" i="5"/>
  <c r="A29" i="5"/>
  <c r="F29" i="5"/>
  <c r="G29" i="5"/>
  <c r="H29" i="5"/>
  <c r="M29" i="5"/>
  <c r="N29" i="5"/>
  <c r="O29" i="5"/>
  <c r="P29" i="5"/>
  <c r="Q29" i="5"/>
  <c r="R29" i="5"/>
  <c r="S29" i="5"/>
  <c r="T29" i="5"/>
  <c r="U29" i="5"/>
  <c r="W29" i="5"/>
  <c r="X29" i="5"/>
  <c r="A30" i="5"/>
  <c r="F30" i="5"/>
  <c r="G30" i="5"/>
  <c r="H30" i="5"/>
  <c r="M30" i="5"/>
  <c r="N30" i="5"/>
  <c r="O30" i="5"/>
  <c r="P30" i="5"/>
  <c r="Q30" i="5"/>
  <c r="R30" i="5"/>
  <c r="S30" i="5"/>
  <c r="T30" i="5"/>
  <c r="U30" i="5"/>
  <c r="W30" i="5"/>
  <c r="X30" i="5"/>
  <c r="Y30" i="5"/>
  <c r="A31" i="5"/>
  <c r="F31" i="5"/>
  <c r="G31" i="5"/>
  <c r="H31" i="5"/>
  <c r="M31" i="5"/>
  <c r="N31" i="5"/>
  <c r="O31" i="5"/>
  <c r="P31" i="5"/>
  <c r="Q31" i="5"/>
  <c r="R31" i="5"/>
  <c r="S31" i="5"/>
  <c r="T31" i="5"/>
  <c r="U31" i="5"/>
  <c r="W31" i="5"/>
  <c r="X31" i="5"/>
  <c r="A32" i="5"/>
  <c r="F32" i="5"/>
  <c r="G32" i="5"/>
  <c r="H32" i="5"/>
  <c r="M32" i="5"/>
  <c r="N32" i="5"/>
  <c r="O32" i="5"/>
  <c r="P32" i="5"/>
  <c r="Q32" i="5"/>
  <c r="R32" i="5"/>
  <c r="S32" i="5"/>
  <c r="T32" i="5"/>
  <c r="U32" i="5"/>
  <c r="W32" i="5"/>
  <c r="X32" i="5"/>
  <c r="A33" i="5"/>
  <c r="F33" i="5"/>
  <c r="G33" i="5"/>
  <c r="H33" i="5"/>
  <c r="M33" i="5"/>
  <c r="N33" i="5"/>
  <c r="O33" i="5"/>
  <c r="P33" i="5"/>
  <c r="Q33" i="5"/>
  <c r="R33" i="5"/>
  <c r="S33" i="5"/>
  <c r="T33" i="5"/>
  <c r="U33" i="5"/>
  <c r="W33" i="5"/>
  <c r="X33" i="5"/>
  <c r="A34" i="5"/>
  <c r="F34" i="5"/>
  <c r="G34" i="5"/>
  <c r="H34" i="5"/>
  <c r="M34" i="5"/>
  <c r="N34" i="5"/>
  <c r="O34" i="5"/>
  <c r="P34" i="5"/>
  <c r="Q34" i="5"/>
  <c r="R34" i="5"/>
  <c r="S34" i="5"/>
  <c r="T34" i="5"/>
  <c r="U34" i="5"/>
  <c r="W34" i="5"/>
  <c r="X34" i="5"/>
  <c r="A35" i="5"/>
  <c r="G35" i="5"/>
  <c r="H35" i="5"/>
  <c r="M35" i="5"/>
  <c r="N35" i="5"/>
  <c r="O35" i="5"/>
  <c r="P35" i="5"/>
  <c r="Q35" i="5"/>
  <c r="R35" i="5"/>
  <c r="S35" i="5"/>
  <c r="T35" i="5"/>
  <c r="U35" i="5"/>
  <c r="W35" i="5"/>
  <c r="X35" i="5"/>
  <c r="A36" i="5"/>
  <c r="G36" i="5"/>
  <c r="H36" i="5"/>
  <c r="M36" i="5"/>
  <c r="N36" i="5"/>
  <c r="O36" i="5"/>
  <c r="P36" i="5"/>
  <c r="Q36" i="5"/>
  <c r="R36" i="5"/>
  <c r="S36" i="5"/>
  <c r="T36" i="5"/>
  <c r="U36" i="5"/>
  <c r="W36" i="5"/>
  <c r="X36" i="5"/>
  <c r="A37" i="5"/>
  <c r="G37" i="5"/>
  <c r="H37" i="5"/>
  <c r="M37" i="5"/>
  <c r="N37" i="5"/>
  <c r="O37" i="5"/>
  <c r="P37" i="5"/>
  <c r="Q37" i="5"/>
  <c r="R37" i="5"/>
  <c r="S37" i="5"/>
  <c r="T37" i="5"/>
  <c r="U37" i="5"/>
  <c r="W37" i="5"/>
  <c r="X37" i="5"/>
  <c r="A38" i="5"/>
  <c r="G38" i="5"/>
  <c r="H38" i="5"/>
  <c r="M38" i="5"/>
  <c r="N38" i="5"/>
  <c r="O38" i="5"/>
  <c r="P38" i="5"/>
  <c r="Q38" i="5"/>
  <c r="R38" i="5"/>
  <c r="S38" i="5"/>
  <c r="T38" i="5"/>
  <c r="U38" i="5"/>
  <c r="W38" i="5"/>
  <c r="X38" i="5"/>
  <c r="A39" i="5"/>
  <c r="G39" i="5"/>
  <c r="H39" i="5"/>
  <c r="M39" i="5"/>
  <c r="N39" i="5"/>
  <c r="O39" i="5"/>
  <c r="P39" i="5"/>
  <c r="Q39" i="5"/>
  <c r="R39" i="5"/>
  <c r="S39" i="5"/>
  <c r="T39" i="5"/>
  <c r="U39" i="5"/>
  <c r="W39" i="5"/>
  <c r="X39" i="5"/>
  <c r="A40" i="5"/>
  <c r="F40" i="5"/>
  <c r="G40" i="5"/>
  <c r="H40" i="5"/>
  <c r="M40" i="5"/>
  <c r="N40" i="5"/>
  <c r="O40" i="5"/>
  <c r="P40" i="5"/>
  <c r="Q40" i="5"/>
  <c r="R40" i="5"/>
  <c r="S40" i="5"/>
  <c r="T40" i="5"/>
  <c r="U40" i="5"/>
  <c r="W40" i="5"/>
  <c r="X40" i="5"/>
  <c r="A41" i="5"/>
  <c r="F41" i="5"/>
  <c r="G41" i="5"/>
  <c r="H41" i="5"/>
  <c r="M41" i="5"/>
  <c r="N41" i="5"/>
  <c r="O41" i="5"/>
  <c r="P41" i="5"/>
  <c r="Q41" i="5"/>
  <c r="R41" i="5"/>
  <c r="S41" i="5"/>
  <c r="T41" i="5"/>
  <c r="U41" i="5"/>
  <c r="W41" i="5"/>
  <c r="X41" i="5"/>
  <c r="A42" i="5"/>
  <c r="F42" i="5"/>
  <c r="G42" i="5"/>
  <c r="H42" i="5"/>
  <c r="M42" i="5"/>
  <c r="N42" i="5"/>
  <c r="O42" i="5"/>
  <c r="P42" i="5"/>
  <c r="Q42" i="5"/>
  <c r="R42" i="5"/>
  <c r="S42" i="5"/>
  <c r="T42" i="5"/>
  <c r="U42" i="5"/>
  <c r="W42" i="5"/>
  <c r="X42" i="5"/>
  <c r="Y42" i="5"/>
  <c r="A43" i="5"/>
  <c r="F43" i="5"/>
  <c r="G43" i="5"/>
  <c r="H43" i="5"/>
  <c r="M43" i="5"/>
  <c r="N43" i="5"/>
  <c r="O43" i="5"/>
  <c r="P43" i="5"/>
  <c r="Q43" i="5"/>
  <c r="R43" i="5"/>
  <c r="S43" i="5"/>
  <c r="T43" i="5"/>
  <c r="U43" i="5"/>
  <c r="W43" i="5"/>
  <c r="X43" i="5"/>
  <c r="A44" i="5"/>
  <c r="F44" i="5"/>
  <c r="G44" i="5"/>
  <c r="H44" i="5"/>
  <c r="M44" i="5"/>
  <c r="N44" i="5"/>
  <c r="O44" i="5"/>
  <c r="P44" i="5"/>
  <c r="Q44" i="5"/>
  <c r="R44" i="5"/>
  <c r="S44" i="5"/>
  <c r="T44" i="5"/>
  <c r="U44" i="5"/>
  <c r="W44" i="5"/>
  <c r="X44" i="5"/>
  <c r="A45" i="5"/>
  <c r="F45" i="5"/>
  <c r="G45" i="5"/>
  <c r="H45" i="5"/>
  <c r="M45" i="5"/>
  <c r="N45" i="5"/>
  <c r="O45" i="5"/>
  <c r="P45" i="5"/>
  <c r="Q45" i="5"/>
  <c r="R45" i="5"/>
  <c r="S45" i="5"/>
  <c r="T45" i="5"/>
  <c r="U45" i="5"/>
  <c r="W45" i="5"/>
  <c r="X45" i="5"/>
  <c r="A46" i="5"/>
  <c r="F46" i="5"/>
  <c r="G46" i="5"/>
  <c r="H46" i="5"/>
  <c r="M46" i="5"/>
  <c r="N46" i="5"/>
  <c r="O46" i="5"/>
  <c r="P46" i="5"/>
  <c r="Q46" i="5"/>
  <c r="R46" i="5"/>
  <c r="S46" i="5"/>
  <c r="T46" i="5"/>
  <c r="U46" i="5"/>
  <c r="W46" i="5"/>
  <c r="X46" i="5"/>
  <c r="Y46" i="5"/>
  <c r="A47" i="5"/>
  <c r="G47" i="5"/>
  <c r="H47" i="5"/>
  <c r="M47" i="5"/>
  <c r="N47" i="5"/>
  <c r="O47" i="5"/>
  <c r="P47" i="5"/>
  <c r="Q47" i="5"/>
  <c r="R47" i="5"/>
  <c r="S47" i="5"/>
  <c r="T47" i="5"/>
  <c r="U47" i="5"/>
  <c r="V47" i="5"/>
  <c r="W47" i="5"/>
  <c r="A48" i="5"/>
  <c r="G48" i="5"/>
  <c r="H48" i="5"/>
  <c r="M48" i="5"/>
  <c r="N48" i="5"/>
  <c r="O48" i="5"/>
  <c r="P48" i="5"/>
  <c r="Q48" i="5"/>
  <c r="R48" i="5"/>
  <c r="S48" i="5"/>
  <c r="T48" i="5"/>
  <c r="U48" i="5"/>
  <c r="V48" i="5"/>
  <c r="W48" i="5"/>
  <c r="A49" i="5"/>
  <c r="G49" i="5"/>
  <c r="H49" i="5"/>
  <c r="M49" i="5"/>
  <c r="N49" i="5"/>
  <c r="O49" i="5"/>
  <c r="P49" i="5"/>
  <c r="Q49" i="5"/>
  <c r="R49" i="5"/>
  <c r="S49" i="5"/>
  <c r="T49" i="5"/>
  <c r="U49" i="5"/>
  <c r="V49" i="5"/>
  <c r="W49" i="5"/>
  <c r="A50" i="5"/>
  <c r="G50" i="5"/>
  <c r="H50" i="5"/>
  <c r="M50" i="5"/>
  <c r="N50" i="5"/>
  <c r="O50" i="5"/>
  <c r="P50" i="5"/>
  <c r="Q50" i="5"/>
  <c r="R50" i="5"/>
  <c r="S50" i="5"/>
  <c r="T50" i="5"/>
  <c r="U50" i="5"/>
  <c r="V50" i="5"/>
  <c r="W50" i="5"/>
  <c r="A51" i="5"/>
  <c r="G51" i="5"/>
  <c r="H51" i="5"/>
  <c r="M51" i="5"/>
  <c r="N51" i="5"/>
  <c r="O51" i="5"/>
  <c r="P51" i="5"/>
  <c r="Q51" i="5"/>
  <c r="R51" i="5"/>
  <c r="S51" i="5"/>
  <c r="T51" i="5"/>
  <c r="U51" i="5"/>
  <c r="V51" i="5"/>
  <c r="W51" i="5"/>
  <c r="A52" i="5"/>
  <c r="F52" i="5"/>
  <c r="G52" i="5"/>
  <c r="H52" i="5"/>
  <c r="M52" i="5"/>
  <c r="N52" i="5"/>
  <c r="O52" i="5"/>
  <c r="P52" i="5"/>
  <c r="Q52" i="5"/>
  <c r="R52" i="5"/>
  <c r="S52" i="5"/>
  <c r="T52" i="5"/>
  <c r="U52" i="5"/>
  <c r="V52" i="5"/>
  <c r="W52" i="5"/>
  <c r="A53" i="5"/>
  <c r="F53" i="5"/>
  <c r="G53" i="5"/>
  <c r="H53" i="5"/>
  <c r="M53" i="5"/>
  <c r="N53" i="5"/>
  <c r="O53" i="5"/>
  <c r="P53" i="5"/>
  <c r="Q53" i="5"/>
  <c r="R53" i="5"/>
  <c r="S53" i="5"/>
  <c r="T53" i="5"/>
  <c r="U53" i="5"/>
  <c r="V53" i="5"/>
  <c r="W53" i="5"/>
  <c r="A54" i="5"/>
  <c r="F54" i="5"/>
  <c r="G54" i="5"/>
  <c r="H54" i="5"/>
  <c r="M54" i="5"/>
  <c r="N54" i="5"/>
  <c r="O54" i="5"/>
  <c r="P54" i="5"/>
  <c r="Q54" i="5"/>
  <c r="R54" i="5"/>
  <c r="S54" i="5"/>
  <c r="T54" i="5"/>
  <c r="U54" i="5"/>
  <c r="V54" i="5"/>
  <c r="W54" i="5"/>
  <c r="A55" i="5"/>
  <c r="F55" i="5"/>
  <c r="G55" i="5"/>
  <c r="H55" i="5"/>
  <c r="M55" i="5"/>
  <c r="N55" i="5"/>
  <c r="O55" i="5"/>
  <c r="P55" i="5"/>
  <c r="Q55" i="5"/>
  <c r="R55" i="5"/>
  <c r="S55" i="5"/>
  <c r="T55" i="5"/>
  <c r="U55" i="5"/>
  <c r="V55" i="5"/>
  <c r="W55" i="5"/>
  <c r="A56" i="5"/>
  <c r="F56" i="5"/>
  <c r="G56" i="5"/>
  <c r="H56" i="5"/>
  <c r="M56" i="5"/>
  <c r="N56" i="5"/>
  <c r="O56" i="5"/>
  <c r="P56" i="5"/>
  <c r="Q56" i="5"/>
  <c r="R56" i="5"/>
  <c r="S56" i="5"/>
  <c r="T56" i="5"/>
  <c r="U56" i="5"/>
  <c r="V56" i="5"/>
  <c r="W56" i="5"/>
  <c r="A57" i="5"/>
  <c r="F57" i="5"/>
  <c r="G57" i="5"/>
  <c r="H57" i="5"/>
  <c r="M57" i="5"/>
  <c r="N57" i="5"/>
  <c r="O57" i="5"/>
  <c r="P57" i="5"/>
  <c r="Q57" i="5"/>
  <c r="R57" i="5"/>
  <c r="S57" i="5"/>
  <c r="T57" i="5"/>
  <c r="U57" i="5"/>
  <c r="V57" i="5"/>
  <c r="W57" i="5"/>
  <c r="A58" i="5"/>
  <c r="F58" i="5"/>
  <c r="G58" i="5"/>
  <c r="H58" i="5"/>
  <c r="M58" i="5"/>
  <c r="N58" i="5"/>
  <c r="O58" i="5"/>
  <c r="P58" i="5"/>
  <c r="Q58" i="5"/>
  <c r="R58" i="5"/>
  <c r="S58" i="5"/>
  <c r="T58" i="5"/>
  <c r="U58" i="5"/>
  <c r="V58" i="5"/>
  <c r="W58" i="5"/>
  <c r="A59" i="5"/>
  <c r="G59" i="5"/>
  <c r="H59" i="5"/>
  <c r="M59" i="5"/>
  <c r="N59" i="5"/>
  <c r="O59" i="5"/>
  <c r="P59" i="5"/>
  <c r="Q59" i="5"/>
  <c r="R59" i="5"/>
  <c r="S59" i="5"/>
  <c r="T59" i="5"/>
  <c r="U59" i="5"/>
  <c r="V59" i="5"/>
  <c r="W59" i="5"/>
  <c r="A60" i="5"/>
  <c r="G60" i="5"/>
  <c r="H60" i="5"/>
  <c r="M60" i="5"/>
  <c r="N60" i="5"/>
  <c r="O60" i="5"/>
  <c r="P60" i="5"/>
  <c r="Q60" i="5"/>
  <c r="R60" i="5"/>
  <c r="S60" i="5"/>
  <c r="T60" i="5"/>
  <c r="U60" i="5"/>
  <c r="V60" i="5"/>
  <c r="W60" i="5"/>
  <c r="A61" i="5"/>
  <c r="G61" i="5"/>
  <c r="H61" i="5"/>
  <c r="M61" i="5"/>
  <c r="N61" i="5"/>
  <c r="O61" i="5"/>
  <c r="P61" i="5"/>
  <c r="Q61" i="5"/>
  <c r="R61" i="5"/>
  <c r="S61" i="5"/>
  <c r="T61" i="5"/>
  <c r="U61" i="5"/>
  <c r="V61" i="5"/>
  <c r="W61" i="5"/>
  <c r="A62" i="5"/>
  <c r="G62" i="5"/>
  <c r="H62" i="5"/>
  <c r="M62" i="5"/>
  <c r="N62" i="5"/>
  <c r="O62" i="5"/>
  <c r="P62" i="5"/>
  <c r="Q62" i="5"/>
  <c r="R62" i="5"/>
  <c r="S62" i="5"/>
  <c r="T62" i="5"/>
  <c r="U62" i="5"/>
  <c r="V62" i="5"/>
  <c r="W62" i="5"/>
  <c r="A63" i="5"/>
  <c r="G63" i="5"/>
  <c r="H63" i="5"/>
  <c r="M63" i="5"/>
  <c r="N63" i="5"/>
  <c r="O63" i="5"/>
  <c r="P63" i="5"/>
  <c r="Q63" i="5"/>
  <c r="R63" i="5"/>
  <c r="S63" i="5"/>
  <c r="T63" i="5"/>
  <c r="U63" i="5"/>
  <c r="V63" i="5"/>
  <c r="W63" i="5"/>
  <c r="A64" i="5"/>
  <c r="F64" i="5"/>
  <c r="G64" i="5"/>
  <c r="H64" i="5"/>
  <c r="M64" i="5"/>
  <c r="N64" i="5"/>
  <c r="O64" i="5"/>
  <c r="P64" i="5"/>
  <c r="Q64" i="5"/>
  <c r="R64" i="5"/>
  <c r="S64" i="5"/>
  <c r="T64" i="5"/>
  <c r="U64" i="5"/>
  <c r="V64" i="5"/>
  <c r="W64" i="5"/>
  <c r="A65" i="5"/>
  <c r="F65" i="5"/>
  <c r="G65" i="5"/>
  <c r="H65" i="5"/>
  <c r="M65" i="5"/>
  <c r="N65" i="5"/>
  <c r="O65" i="5"/>
  <c r="P65" i="5"/>
  <c r="Q65" i="5"/>
  <c r="R65" i="5"/>
  <c r="S65" i="5"/>
  <c r="T65" i="5"/>
  <c r="U65" i="5"/>
  <c r="V65" i="5"/>
  <c r="W65" i="5"/>
  <c r="A66" i="5"/>
  <c r="F66" i="5"/>
  <c r="G66" i="5"/>
  <c r="H66" i="5"/>
  <c r="M66" i="5"/>
  <c r="N66" i="5"/>
  <c r="O66" i="5"/>
  <c r="P66" i="5"/>
  <c r="Q66" i="5"/>
  <c r="R66" i="5"/>
  <c r="S66" i="5"/>
  <c r="T66" i="5"/>
  <c r="U66" i="5"/>
  <c r="V66" i="5"/>
  <c r="W66" i="5"/>
  <c r="A67" i="5"/>
  <c r="F67" i="5"/>
  <c r="G67" i="5"/>
  <c r="H67" i="5"/>
  <c r="M67" i="5"/>
  <c r="N67" i="5"/>
  <c r="O67" i="5"/>
  <c r="P67" i="5"/>
  <c r="Q67" i="5"/>
  <c r="R67" i="5"/>
  <c r="S67" i="5"/>
  <c r="T67" i="5"/>
  <c r="U67" i="5"/>
  <c r="V67" i="5"/>
  <c r="W67" i="5"/>
  <c r="A68" i="5"/>
  <c r="F68" i="5"/>
  <c r="G68" i="5"/>
  <c r="H68" i="5"/>
  <c r="M68" i="5"/>
  <c r="N68" i="5"/>
  <c r="O68" i="5"/>
  <c r="P68" i="5"/>
  <c r="Q68" i="5"/>
  <c r="R68" i="5"/>
  <c r="S68" i="5"/>
  <c r="T68" i="5"/>
  <c r="U68" i="5"/>
  <c r="V68" i="5"/>
  <c r="W68" i="5"/>
  <c r="A69" i="5"/>
  <c r="F69" i="5"/>
  <c r="G69" i="5"/>
  <c r="H69" i="5"/>
  <c r="M69" i="5"/>
  <c r="N69" i="5"/>
  <c r="O69" i="5"/>
  <c r="P69" i="5"/>
  <c r="Q69" i="5"/>
  <c r="R69" i="5"/>
  <c r="S69" i="5"/>
  <c r="T69" i="5"/>
  <c r="U69" i="5"/>
  <c r="V69" i="5"/>
  <c r="W69" i="5"/>
  <c r="A70" i="5"/>
  <c r="F70" i="5"/>
  <c r="G70" i="5"/>
  <c r="H70" i="5"/>
  <c r="M70" i="5"/>
  <c r="N70" i="5"/>
  <c r="O70" i="5"/>
  <c r="P70" i="5"/>
  <c r="Q70" i="5"/>
  <c r="R70" i="5"/>
  <c r="S70" i="5"/>
  <c r="T70" i="5"/>
  <c r="U70" i="5"/>
  <c r="V70" i="5"/>
  <c r="W70" i="5"/>
  <c r="A71" i="5"/>
  <c r="G71" i="5"/>
  <c r="H71" i="5"/>
  <c r="M71" i="5"/>
  <c r="N71" i="5"/>
  <c r="O71" i="5"/>
  <c r="P71" i="5"/>
  <c r="Q71" i="5"/>
  <c r="R71" i="5"/>
  <c r="S71" i="5"/>
  <c r="T71" i="5"/>
  <c r="U71" i="5"/>
  <c r="V71" i="5"/>
  <c r="W71" i="5"/>
  <c r="A72" i="5"/>
  <c r="G72" i="5"/>
  <c r="H72" i="5"/>
  <c r="M72" i="5"/>
  <c r="N72" i="5"/>
  <c r="O72" i="5"/>
  <c r="P72" i="5"/>
  <c r="Q72" i="5"/>
  <c r="R72" i="5"/>
  <c r="S72" i="5"/>
  <c r="T72" i="5"/>
  <c r="U72" i="5"/>
  <c r="V72" i="5"/>
  <c r="W72" i="5"/>
  <c r="A73" i="5"/>
  <c r="G73" i="5"/>
  <c r="H73" i="5"/>
  <c r="M73" i="5"/>
  <c r="N73" i="5"/>
  <c r="O73" i="5"/>
  <c r="P73" i="5"/>
  <c r="Q73" i="5"/>
  <c r="R73" i="5"/>
  <c r="S73" i="5"/>
  <c r="T73" i="5"/>
  <c r="U73" i="5"/>
  <c r="V73" i="5"/>
  <c r="W73" i="5"/>
  <c r="A74" i="5"/>
  <c r="G74" i="5"/>
  <c r="H74" i="5"/>
  <c r="M74" i="5"/>
  <c r="N74" i="5"/>
  <c r="O74" i="5"/>
  <c r="P74" i="5"/>
  <c r="Q74" i="5"/>
  <c r="R74" i="5"/>
  <c r="S74" i="5"/>
  <c r="T74" i="5"/>
  <c r="U74" i="5"/>
  <c r="V74" i="5"/>
  <c r="W74" i="5"/>
  <c r="A75" i="5"/>
  <c r="G75" i="5"/>
  <c r="H75" i="5"/>
  <c r="M75" i="5"/>
  <c r="N75" i="5"/>
  <c r="O75" i="5"/>
  <c r="P75" i="5"/>
  <c r="Q75" i="5"/>
  <c r="R75" i="5"/>
  <c r="S75" i="5"/>
  <c r="T75" i="5"/>
  <c r="U75" i="5"/>
  <c r="V75" i="5"/>
  <c r="W75" i="5"/>
  <c r="A76" i="5"/>
  <c r="F76" i="5"/>
  <c r="G76" i="5"/>
  <c r="H76" i="5"/>
  <c r="M76" i="5"/>
  <c r="N76" i="5"/>
  <c r="O76" i="5"/>
  <c r="P76" i="5"/>
  <c r="Q76" i="5"/>
  <c r="R76" i="5"/>
  <c r="S76" i="5"/>
  <c r="T76" i="5"/>
  <c r="U76" i="5"/>
  <c r="V76" i="5"/>
  <c r="W76" i="5"/>
  <c r="A77" i="5"/>
  <c r="F77" i="5"/>
  <c r="G77" i="5"/>
  <c r="H77" i="5"/>
  <c r="M77" i="5"/>
  <c r="N77" i="5"/>
  <c r="O77" i="5"/>
  <c r="P77" i="5"/>
  <c r="Q77" i="5"/>
  <c r="R77" i="5"/>
  <c r="S77" i="5"/>
  <c r="T77" i="5"/>
  <c r="U77" i="5"/>
  <c r="V77" i="5"/>
  <c r="W77" i="5"/>
  <c r="A78" i="5"/>
  <c r="F78" i="5"/>
  <c r="G78" i="5"/>
  <c r="H78" i="5"/>
  <c r="M78" i="5"/>
  <c r="N78" i="5"/>
  <c r="O78" i="5"/>
  <c r="P78" i="5"/>
  <c r="Q78" i="5"/>
  <c r="R78" i="5"/>
  <c r="S78" i="5"/>
  <c r="T78" i="5"/>
  <c r="U78" i="5"/>
  <c r="V78" i="5"/>
  <c r="W78" i="5"/>
  <c r="A79" i="5"/>
  <c r="F79" i="5"/>
  <c r="G79" i="5"/>
  <c r="H79" i="5"/>
  <c r="M79" i="5"/>
  <c r="N79" i="5"/>
  <c r="O79" i="5"/>
  <c r="P79" i="5"/>
  <c r="Q79" i="5"/>
  <c r="R79" i="5"/>
  <c r="S79" i="5"/>
  <c r="T79" i="5"/>
  <c r="U79" i="5"/>
  <c r="V79" i="5"/>
  <c r="W79" i="5"/>
  <c r="A80" i="5"/>
  <c r="F80" i="5"/>
  <c r="G80" i="5"/>
  <c r="H80" i="5"/>
  <c r="M80" i="5"/>
  <c r="N80" i="5"/>
  <c r="O80" i="5"/>
  <c r="P80" i="5"/>
  <c r="Q80" i="5"/>
  <c r="R80" i="5"/>
  <c r="S80" i="5"/>
  <c r="T80" i="5"/>
  <c r="U80" i="5"/>
  <c r="V80" i="5"/>
  <c r="W80" i="5"/>
  <c r="A81" i="5"/>
  <c r="F81" i="5"/>
  <c r="G81" i="5"/>
  <c r="H81" i="5"/>
  <c r="M81" i="5"/>
  <c r="N81" i="5"/>
  <c r="O81" i="5"/>
  <c r="P81" i="5"/>
  <c r="Q81" i="5"/>
  <c r="R81" i="5"/>
  <c r="S81" i="5"/>
  <c r="T81" i="5"/>
  <c r="U81" i="5"/>
  <c r="V81" i="5"/>
  <c r="W81" i="5"/>
  <c r="A82" i="5"/>
  <c r="F82" i="5"/>
  <c r="G82" i="5"/>
  <c r="H82" i="5"/>
  <c r="M82" i="5"/>
  <c r="N82" i="5"/>
  <c r="O82" i="5"/>
  <c r="P82" i="5"/>
  <c r="Q82" i="5"/>
  <c r="R82" i="5"/>
  <c r="S82" i="5"/>
  <c r="T82" i="5"/>
  <c r="U82" i="5"/>
  <c r="V82" i="5"/>
  <c r="W82" i="5"/>
  <c r="A83" i="5"/>
  <c r="G83" i="5"/>
  <c r="H83" i="5"/>
  <c r="M83" i="5"/>
  <c r="N83" i="5"/>
  <c r="O83" i="5"/>
  <c r="P83" i="5"/>
  <c r="Q83" i="5"/>
  <c r="R83" i="5"/>
  <c r="S83" i="5"/>
  <c r="T83" i="5"/>
  <c r="U83" i="5"/>
  <c r="V83" i="5"/>
  <c r="W83" i="5"/>
  <c r="A84" i="5"/>
  <c r="G84" i="5"/>
  <c r="H84" i="5"/>
  <c r="M84" i="5"/>
  <c r="N84" i="5"/>
  <c r="O84" i="5"/>
  <c r="P84" i="5"/>
  <c r="Q84" i="5"/>
  <c r="R84" i="5"/>
  <c r="S84" i="5"/>
  <c r="T84" i="5"/>
  <c r="U84" i="5"/>
  <c r="V84" i="5"/>
  <c r="W84" i="5"/>
  <c r="A85" i="5"/>
  <c r="G85" i="5"/>
  <c r="H85" i="5"/>
  <c r="M85" i="5"/>
  <c r="N85" i="5"/>
  <c r="O85" i="5"/>
  <c r="P85" i="5"/>
  <c r="Q85" i="5"/>
  <c r="R85" i="5"/>
  <c r="S85" i="5"/>
  <c r="T85" i="5"/>
  <c r="U85" i="5"/>
  <c r="V85" i="5"/>
  <c r="W85" i="5"/>
  <c r="A86" i="5"/>
  <c r="G86" i="5"/>
  <c r="H86" i="5"/>
  <c r="M86" i="5"/>
  <c r="N86" i="5"/>
  <c r="O86" i="5"/>
  <c r="P86" i="5"/>
  <c r="Q86" i="5"/>
  <c r="R86" i="5"/>
  <c r="S86" i="5"/>
  <c r="T86" i="5"/>
  <c r="U86" i="5"/>
  <c r="V86" i="5"/>
  <c r="W86" i="5"/>
  <c r="A87" i="5"/>
  <c r="G87" i="5"/>
  <c r="H87" i="5"/>
  <c r="M87" i="5"/>
  <c r="N87" i="5"/>
  <c r="O87" i="5"/>
  <c r="P87" i="5"/>
  <c r="Q87" i="5"/>
  <c r="R87" i="5"/>
  <c r="S87" i="5"/>
  <c r="T87" i="5"/>
  <c r="U87" i="5"/>
  <c r="V87" i="5"/>
  <c r="W87" i="5"/>
  <c r="A88" i="5"/>
  <c r="F88" i="5"/>
  <c r="G88" i="5"/>
  <c r="H88" i="5"/>
  <c r="M88" i="5"/>
  <c r="N88" i="5"/>
  <c r="O88" i="5"/>
  <c r="P88" i="5"/>
  <c r="Q88" i="5"/>
  <c r="R88" i="5"/>
  <c r="S88" i="5"/>
  <c r="T88" i="5"/>
  <c r="U88" i="5"/>
  <c r="V88" i="5"/>
  <c r="W88" i="5"/>
  <c r="A89" i="5"/>
  <c r="F89" i="5"/>
  <c r="G89" i="5"/>
  <c r="H89" i="5"/>
  <c r="M89" i="5"/>
  <c r="N89" i="5"/>
  <c r="O89" i="5"/>
  <c r="P89" i="5"/>
  <c r="Q89" i="5"/>
  <c r="R89" i="5"/>
  <c r="S89" i="5"/>
  <c r="T89" i="5"/>
  <c r="U89" i="5"/>
  <c r="V89" i="5"/>
  <c r="W89" i="5"/>
  <c r="A90" i="5"/>
  <c r="F90" i="5"/>
  <c r="G90" i="5"/>
  <c r="H90" i="5"/>
  <c r="M90" i="5"/>
  <c r="N90" i="5"/>
  <c r="O90" i="5"/>
  <c r="P90" i="5"/>
  <c r="Q90" i="5"/>
  <c r="R90" i="5"/>
  <c r="S90" i="5"/>
  <c r="T90" i="5"/>
  <c r="U90" i="5"/>
  <c r="V90" i="5"/>
  <c r="W90" i="5"/>
  <c r="A91" i="5"/>
  <c r="F91" i="5"/>
  <c r="G91" i="5"/>
  <c r="H91" i="5"/>
  <c r="M91" i="5"/>
  <c r="N91" i="5"/>
  <c r="O91" i="5"/>
  <c r="P91" i="5"/>
  <c r="Q91" i="5"/>
  <c r="R91" i="5"/>
  <c r="S91" i="5"/>
  <c r="T91" i="5"/>
  <c r="U91" i="5"/>
  <c r="V91" i="5"/>
  <c r="W91" i="5"/>
  <c r="A92" i="5"/>
  <c r="F92" i="5"/>
  <c r="G92" i="5"/>
  <c r="H92" i="5"/>
  <c r="M92" i="5"/>
  <c r="N92" i="5"/>
  <c r="O92" i="5"/>
  <c r="P92" i="5"/>
  <c r="Q92" i="5"/>
  <c r="R92" i="5"/>
  <c r="S92" i="5"/>
  <c r="T92" i="5"/>
  <c r="U92" i="5"/>
  <c r="V92" i="5"/>
  <c r="W92" i="5"/>
  <c r="A93" i="5"/>
  <c r="F93" i="5"/>
  <c r="G93" i="5"/>
  <c r="H93" i="5"/>
  <c r="M93" i="5"/>
  <c r="N93" i="5"/>
  <c r="O93" i="5"/>
  <c r="P93" i="5"/>
  <c r="Q93" i="5"/>
  <c r="R93" i="5"/>
  <c r="S93" i="5"/>
  <c r="T93" i="5"/>
  <c r="U93" i="5"/>
  <c r="V93" i="5"/>
  <c r="W93" i="5"/>
  <c r="A94" i="5"/>
  <c r="F94" i="5"/>
  <c r="G94" i="5"/>
  <c r="H94" i="5"/>
  <c r="M94" i="5"/>
  <c r="N94" i="5"/>
  <c r="O94" i="5"/>
  <c r="P94" i="5"/>
  <c r="Q94" i="5"/>
  <c r="R94" i="5"/>
  <c r="S94" i="5"/>
  <c r="T94" i="5"/>
  <c r="U94" i="5"/>
  <c r="V94" i="5"/>
  <c r="W94" i="5"/>
  <c r="A95" i="5"/>
  <c r="G95" i="5"/>
  <c r="H95" i="5"/>
  <c r="M95" i="5"/>
  <c r="N95" i="5"/>
  <c r="O95" i="5"/>
  <c r="P95" i="5"/>
  <c r="Q95" i="5"/>
  <c r="R95" i="5"/>
  <c r="S95" i="5"/>
  <c r="T95" i="5"/>
  <c r="U95" i="5"/>
  <c r="V95" i="5"/>
  <c r="W95" i="5"/>
  <c r="A96" i="5"/>
  <c r="G96" i="5"/>
  <c r="H96" i="5"/>
  <c r="M96" i="5"/>
  <c r="N96" i="5"/>
  <c r="O96" i="5"/>
  <c r="P96" i="5"/>
  <c r="Q96" i="5"/>
  <c r="R96" i="5"/>
  <c r="S96" i="5"/>
  <c r="T96" i="5"/>
  <c r="U96" i="5"/>
  <c r="V96" i="5"/>
  <c r="W96" i="5"/>
  <c r="A97" i="5"/>
  <c r="G97" i="5"/>
  <c r="H97" i="5"/>
  <c r="M97" i="5"/>
  <c r="N97" i="5"/>
  <c r="O97" i="5"/>
  <c r="P97" i="5"/>
  <c r="Q97" i="5"/>
  <c r="R97" i="5"/>
  <c r="S97" i="5"/>
  <c r="T97" i="5"/>
  <c r="U97" i="5"/>
  <c r="V97" i="5"/>
  <c r="W97" i="5"/>
  <c r="A98" i="5"/>
  <c r="G98" i="5"/>
  <c r="H98" i="5"/>
  <c r="M98" i="5"/>
  <c r="N98" i="5"/>
  <c r="O98" i="5"/>
  <c r="P98" i="5"/>
  <c r="Q98" i="5"/>
  <c r="R98" i="5"/>
  <c r="S98" i="5"/>
  <c r="T98" i="5"/>
  <c r="U98" i="5"/>
  <c r="V98" i="5"/>
  <c r="W98" i="5"/>
  <c r="A99" i="5"/>
  <c r="G99" i="5"/>
  <c r="H99" i="5"/>
  <c r="M99" i="5"/>
  <c r="N99" i="5"/>
  <c r="O99" i="5"/>
  <c r="P99" i="5"/>
  <c r="Q99" i="5"/>
  <c r="R99" i="5"/>
  <c r="S99" i="5"/>
  <c r="T99" i="5"/>
  <c r="U99" i="5"/>
  <c r="V99" i="5"/>
  <c r="W99" i="5"/>
  <c r="A100" i="5"/>
  <c r="F100" i="5"/>
  <c r="G100" i="5"/>
  <c r="H100" i="5"/>
  <c r="M100" i="5"/>
  <c r="N100" i="5"/>
  <c r="O100" i="5"/>
  <c r="P100" i="5"/>
  <c r="Q100" i="5"/>
  <c r="R100" i="5"/>
  <c r="S100" i="5"/>
  <c r="T100" i="5"/>
  <c r="U100" i="5"/>
  <c r="V100" i="5"/>
  <c r="W100" i="5"/>
  <c r="A101" i="5"/>
  <c r="F101" i="5"/>
  <c r="G101" i="5"/>
  <c r="H101" i="5"/>
  <c r="M101" i="5"/>
  <c r="N101" i="5"/>
  <c r="O101" i="5"/>
  <c r="P101" i="5"/>
  <c r="Q101" i="5"/>
  <c r="R101" i="5"/>
  <c r="S101" i="5"/>
  <c r="T101" i="5"/>
  <c r="U101" i="5"/>
  <c r="V101" i="5"/>
  <c r="W101" i="5"/>
  <c r="A102" i="5"/>
  <c r="F102" i="5"/>
  <c r="G102" i="5"/>
  <c r="H102" i="5"/>
  <c r="M102" i="5"/>
  <c r="N102" i="5"/>
  <c r="O102" i="5"/>
  <c r="P102" i="5"/>
  <c r="Q102" i="5"/>
  <c r="R102" i="5"/>
  <c r="S102" i="5"/>
  <c r="T102" i="5"/>
  <c r="U102" i="5"/>
  <c r="V102" i="5"/>
  <c r="W102" i="5"/>
  <c r="A103" i="5"/>
  <c r="F103" i="5"/>
  <c r="G103" i="5"/>
  <c r="H103" i="5"/>
  <c r="M103" i="5"/>
  <c r="N103" i="5"/>
  <c r="O103" i="5"/>
  <c r="P103" i="5"/>
  <c r="Q103" i="5"/>
  <c r="R103" i="5"/>
  <c r="S103" i="5"/>
  <c r="T103" i="5"/>
  <c r="U103" i="5"/>
  <c r="V103" i="5"/>
  <c r="W103" i="5"/>
  <c r="A104" i="5"/>
  <c r="F104" i="5"/>
  <c r="G104" i="5"/>
  <c r="H104" i="5"/>
  <c r="M104" i="5"/>
  <c r="N104" i="5"/>
  <c r="O104" i="5"/>
  <c r="P104" i="5"/>
  <c r="Q104" i="5"/>
  <c r="R104" i="5"/>
  <c r="S104" i="5"/>
  <c r="T104" i="5"/>
  <c r="U104" i="5"/>
  <c r="V104" i="5"/>
  <c r="W104" i="5"/>
  <c r="A105" i="5"/>
  <c r="F105" i="5"/>
  <c r="G105" i="5"/>
  <c r="H105" i="5"/>
  <c r="M105" i="5"/>
  <c r="N105" i="5"/>
  <c r="O105" i="5"/>
  <c r="P105" i="5"/>
  <c r="Q105" i="5"/>
  <c r="R105" i="5"/>
  <c r="S105" i="5"/>
  <c r="T105" i="5"/>
  <c r="U105" i="5"/>
  <c r="V105" i="5"/>
  <c r="W105" i="5"/>
  <c r="A106" i="5"/>
  <c r="F106" i="5"/>
  <c r="G106" i="5"/>
  <c r="H106" i="5"/>
  <c r="M106" i="5"/>
  <c r="N106" i="5"/>
  <c r="O106" i="5"/>
  <c r="P106" i="5"/>
  <c r="Q106" i="5"/>
  <c r="R106" i="5"/>
  <c r="S106" i="5"/>
  <c r="T106" i="5"/>
  <c r="U106" i="5"/>
  <c r="V106" i="5"/>
  <c r="W106" i="5"/>
  <c r="A107" i="5"/>
  <c r="G107" i="5"/>
  <c r="H107" i="5"/>
  <c r="M107" i="5"/>
  <c r="N107" i="5"/>
  <c r="O107" i="5"/>
  <c r="P107" i="5"/>
  <c r="Q107" i="5"/>
  <c r="R107" i="5"/>
  <c r="S107" i="5"/>
  <c r="T107" i="5"/>
  <c r="U107" i="5"/>
  <c r="V107" i="5"/>
  <c r="W107" i="5"/>
  <c r="A108" i="5"/>
  <c r="G108" i="5"/>
  <c r="H108" i="5"/>
  <c r="M108" i="5"/>
  <c r="N108" i="5"/>
  <c r="O108" i="5"/>
  <c r="P108" i="5"/>
  <c r="Q108" i="5"/>
  <c r="R108" i="5"/>
  <c r="S108" i="5"/>
  <c r="T108" i="5"/>
  <c r="U108" i="5"/>
  <c r="V108" i="5"/>
  <c r="W108" i="5"/>
  <c r="A109" i="5"/>
  <c r="G109" i="5"/>
  <c r="H109" i="5"/>
  <c r="M109" i="5"/>
  <c r="N109" i="5"/>
  <c r="O109" i="5"/>
  <c r="P109" i="5"/>
  <c r="Q109" i="5"/>
  <c r="R109" i="5"/>
  <c r="S109" i="5"/>
  <c r="T109" i="5"/>
  <c r="U109" i="5"/>
  <c r="V109" i="5"/>
  <c r="W109" i="5"/>
  <c r="A110" i="5"/>
  <c r="G110" i="5"/>
  <c r="H110" i="5"/>
  <c r="M110" i="5"/>
  <c r="N110" i="5"/>
  <c r="O110" i="5"/>
  <c r="P110" i="5"/>
  <c r="Q110" i="5"/>
  <c r="R110" i="5"/>
  <c r="S110" i="5"/>
  <c r="T110" i="5"/>
  <c r="U110" i="5"/>
  <c r="V110" i="5"/>
  <c r="W110" i="5"/>
  <c r="A111" i="5"/>
  <c r="G111" i="5"/>
  <c r="H111" i="5"/>
  <c r="M111" i="5"/>
  <c r="N111" i="5"/>
  <c r="O111" i="5"/>
  <c r="P111" i="5"/>
  <c r="Q111" i="5"/>
  <c r="R111" i="5"/>
  <c r="S111" i="5"/>
  <c r="T111" i="5"/>
  <c r="U111" i="5"/>
  <c r="V111" i="5"/>
  <c r="W111" i="5"/>
  <c r="A112" i="5"/>
  <c r="F112" i="5"/>
  <c r="G112" i="5"/>
  <c r="H112" i="5"/>
  <c r="M112" i="5"/>
  <c r="N112" i="5"/>
  <c r="O112" i="5"/>
  <c r="P112" i="5"/>
  <c r="Q112" i="5"/>
  <c r="R112" i="5"/>
  <c r="S112" i="5"/>
  <c r="T112" i="5"/>
  <c r="U112" i="5"/>
  <c r="V112" i="5"/>
  <c r="W112" i="5"/>
  <c r="A113" i="5"/>
  <c r="F113" i="5"/>
  <c r="G113" i="5"/>
  <c r="H113" i="5"/>
  <c r="M113" i="5"/>
  <c r="N113" i="5"/>
  <c r="O113" i="5"/>
  <c r="P113" i="5"/>
  <c r="Q113" i="5"/>
  <c r="R113" i="5"/>
  <c r="S113" i="5"/>
  <c r="T113" i="5"/>
  <c r="U113" i="5"/>
  <c r="V113" i="5"/>
  <c r="W113" i="5"/>
  <c r="A114" i="5"/>
  <c r="F114" i="5"/>
  <c r="G114" i="5"/>
  <c r="H114" i="5"/>
  <c r="M114" i="5"/>
  <c r="N114" i="5"/>
  <c r="O114" i="5"/>
  <c r="P114" i="5"/>
  <c r="Q114" i="5"/>
  <c r="R114" i="5"/>
  <c r="S114" i="5"/>
  <c r="T114" i="5"/>
  <c r="U114" i="5"/>
  <c r="V114" i="5"/>
  <c r="W114" i="5"/>
  <c r="A115" i="5"/>
  <c r="F115" i="5"/>
  <c r="G115" i="5"/>
  <c r="H115" i="5"/>
  <c r="M115" i="5"/>
  <c r="N115" i="5"/>
  <c r="O115" i="5"/>
  <c r="P115" i="5"/>
  <c r="Q115" i="5"/>
  <c r="R115" i="5"/>
  <c r="S115" i="5"/>
  <c r="T115" i="5"/>
  <c r="U115" i="5"/>
  <c r="V115" i="5"/>
  <c r="W115" i="5"/>
  <c r="A116" i="5"/>
  <c r="F116" i="5"/>
  <c r="G116" i="5"/>
  <c r="H116" i="5"/>
  <c r="M116" i="5"/>
  <c r="N116" i="5"/>
  <c r="O116" i="5"/>
  <c r="P116" i="5"/>
  <c r="Q116" i="5"/>
  <c r="R116" i="5"/>
  <c r="S116" i="5"/>
  <c r="T116" i="5"/>
  <c r="U116" i="5"/>
  <c r="V116" i="5"/>
  <c r="W116" i="5"/>
  <c r="A117" i="5"/>
  <c r="F117" i="5"/>
  <c r="G117" i="5"/>
  <c r="H117" i="5"/>
  <c r="M117" i="5"/>
  <c r="N117" i="5"/>
  <c r="O117" i="5"/>
  <c r="P117" i="5"/>
  <c r="Q117" i="5"/>
  <c r="R117" i="5"/>
  <c r="S117" i="5"/>
  <c r="T117" i="5"/>
  <c r="U117" i="5"/>
  <c r="V117" i="5"/>
  <c r="W117" i="5"/>
  <c r="A118" i="5"/>
  <c r="F118" i="5"/>
  <c r="G118" i="5"/>
  <c r="H118" i="5"/>
  <c r="M118" i="5"/>
  <c r="N118" i="5"/>
  <c r="O118" i="5"/>
  <c r="P118" i="5"/>
  <c r="Q118" i="5"/>
  <c r="R118" i="5"/>
  <c r="S118" i="5"/>
  <c r="T118" i="5"/>
  <c r="U118" i="5"/>
  <c r="V118" i="5"/>
  <c r="W118" i="5"/>
  <c r="A119" i="5"/>
  <c r="G119" i="5"/>
  <c r="H119" i="5"/>
  <c r="M119" i="5"/>
  <c r="N119" i="5"/>
  <c r="O119" i="5"/>
  <c r="P119" i="5"/>
  <c r="Q119" i="5"/>
  <c r="R119" i="5"/>
  <c r="S119" i="5"/>
  <c r="T119" i="5"/>
  <c r="U119" i="5"/>
  <c r="V119" i="5"/>
  <c r="W119" i="5"/>
  <c r="A120" i="5"/>
  <c r="G120" i="5"/>
  <c r="H120" i="5"/>
  <c r="M120" i="5"/>
  <c r="N120" i="5"/>
  <c r="O120" i="5"/>
  <c r="P120" i="5"/>
  <c r="Q120" i="5"/>
  <c r="R120" i="5"/>
  <c r="S120" i="5"/>
  <c r="T120" i="5"/>
  <c r="U120" i="5"/>
  <c r="V120" i="5"/>
  <c r="W120" i="5"/>
  <c r="A121" i="5"/>
  <c r="G121" i="5"/>
  <c r="H121" i="5"/>
  <c r="M121" i="5"/>
  <c r="N121" i="5"/>
  <c r="O121" i="5"/>
  <c r="P121" i="5"/>
  <c r="Q121" i="5"/>
  <c r="R121" i="5"/>
  <c r="S121" i="5"/>
  <c r="T121" i="5"/>
  <c r="U121" i="5"/>
  <c r="V121" i="5"/>
  <c r="W121" i="5"/>
  <c r="A122" i="5"/>
  <c r="G122" i="5"/>
  <c r="H122" i="5"/>
  <c r="M122" i="5"/>
  <c r="N122" i="5"/>
  <c r="O122" i="5"/>
  <c r="P122" i="5"/>
  <c r="Q122" i="5"/>
  <c r="R122" i="5"/>
  <c r="S122" i="5"/>
  <c r="T122" i="5"/>
  <c r="U122" i="5"/>
  <c r="V122" i="5"/>
  <c r="W122" i="5"/>
  <c r="A123" i="5"/>
  <c r="G123" i="5"/>
  <c r="H123" i="5"/>
  <c r="M123" i="5"/>
  <c r="N123" i="5"/>
  <c r="O123" i="5"/>
  <c r="P123" i="5"/>
  <c r="Q123" i="5"/>
  <c r="R123" i="5"/>
  <c r="S123" i="5"/>
  <c r="T123" i="5"/>
  <c r="U123" i="5"/>
  <c r="V123" i="5"/>
  <c r="W123" i="5"/>
  <c r="A124" i="5"/>
  <c r="F124" i="5"/>
  <c r="G124" i="5"/>
  <c r="H124" i="5"/>
  <c r="M124" i="5"/>
  <c r="N124" i="5"/>
  <c r="O124" i="5"/>
  <c r="P124" i="5"/>
  <c r="Q124" i="5"/>
  <c r="R124" i="5"/>
  <c r="S124" i="5"/>
  <c r="T124" i="5"/>
  <c r="U124" i="5"/>
  <c r="V124" i="5"/>
  <c r="W124" i="5"/>
  <c r="A125" i="5"/>
  <c r="F125" i="5"/>
  <c r="G125" i="5"/>
  <c r="H125" i="5"/>
  <c r="M125" i="5"/>
  <c r="N125" i="5"/>
  <c r="O125" i="5"/>
  <c r="P125" i="5"/>
  <c r="Q125" i="5"/>
  <c r="R125" i="5"/>
  <c r="S125" i="5"/>
  <c r="T125" i="5"/>
  <c r="U125" i="5"/>
  <c r="V125" i="5"/>
  <c r="W125" i="5"/>
  <c r="A126" i="5"/>
  <c r="F126" i="5"/>
  <c r="G126" i="5"/>
  <c r="H126" i="5"/>
  <c r="M126" i="5"/>
  <c r="N126" i="5"/>
  <c r="O126" i="5"/>
  <c r="P126" i="5"/>
  <c r="Q126" i="5"/>
  <c r="R126" i="5"/>
  <c r="S126" i="5"/>
  <c r="T126" i="5"/>
  <c r="U126" i="5"/>
  <c r="V126" i="5"/>
  <c r="W126" i="5"/>
  <c r="A127" i="5"/>
  <c r="F127" i="5"/>
  <c r="G127" i="5"/>
  <c r="H127" i="5"/>
  <c r="M127" i="5"/>
  <c r="N127" i="5"/>
  <c r="O127" i="5"/>
  <c r="P127" i="5"/>
  <c r="Q127" i="5"/>
  <c r="R127" i="5"/>
  <c r="S127" i="5"/>
  <c r="T127" i="5"/>
  <c r="U127" i="5"/>
  <c r="V127" i="5"/>
  <c r="W127" i="5"/>
  <c r="A128" i="5"/>
  <c r="F128" i="5"/>
  <c r="G128" i="5"/>
  <c r="H128" i="5"/>
  <c r="M128" i="5"/>
  <c r="N128" i="5"/>
  <c r="O128" i="5"/>
  <c r="P128" i="5"/>
  <c r="Q128" i="5"/>
  <c r="R128" i="5"/>
  <c r="S128" i="5"/>
  <c r="T128" i="5"/>
  <c r="U128" i="5"/>
  <c r="V128" i="5"/>
  <c r="W128" i="5"/>
  <c r="A129" i="5"/>
  <c r="F129" i="5"/>
  <c r="G129" i="5"/>
  <c r="H129" i="5"/>
  <c r="M129" i="5"/>
  <c r="N129" i="5"/>
  <c r="O129" i="5"/>
  <c r="P129" i="5"/>
  <c r="Q129" i="5"/>
  <c r="R129" i="5"/>
  <c r="S129" i="5"/>
  <c r="T129" i="5"/>
  <c r="U129" i="5"/>
  <c r="V129" i="5"/>
  <c r="W129" i="5"/>
  <c r="A130" i="5"/>
  <c r="F130" i="5"/>
  <c r="G130" i="5"/>
  <c r="H130" i="5"/>
  <c r="M130" i="5"/>
  <c r="N130" i="5"/>
  <c r="O130" i="5"/>
  <c r="P130" i="5"/>
  <c r="Q130" i="5"/>
  <c r="R130" i="5"/>
  <c r="S130" i="5"/>
  <c r="T130" i="5"/>
  <c r="U130" i="5"/>
  <c r="V130" i="5"/>
  <c r="W130" i="5"/>
  <c r="A131" i="5"/>
  <c r="G131" i="5"/>
  <c r="H131" i="5"/>
  <c r="M131" i="5"/>
  <c r="N131" i="5"/>
  <c r="O131" i="5"/>
  <c r="P131" i="5"/>
  <c r="Q131" i="5"/>
  <c r="R131" i="5"/>
  <c r="S131" i="5"/>
  <c r="T131" i="5"/>
  <c r="U131" i="5"/>
  <c r="V131" i="5"/>
  <c r="W131" i="5"/>
  <c r="A132" i="5"/>
  <c r="G132" i="5"/>
  <c r="H132" i="5"/>
  <c r="M132" i="5"/>
  <c r="N132" i="5"/>
  <c r="O132" i="5"/>
  <c r="P132" i="5"/>
  <c r="Q132" i="5"/>
  <c r="R132" i="5"/>
  <c r="S132" i="5"/>
  <c r="T132" i="5"/>
  <c r="U132" i="5"/>
  <c r="V132" i="5"/>
  <c r="W132" i="5"/>
  <c r="A133" i="5"/>
  <c r="G133" i="5"/>
  <c r="H133" i="5"/>
  <c r="M133" i="5"/>
  <c r="N133" i="5"/>
  <c r="O133" i="5"/>
  <c r="P133" i="5"/>
  <c r="Q133" i="5"/>
  <c r="R133" i="5"/>
  <c r="S133" i="5"/>
  <c r="T133" i="5"/>
  <c r="U133" i="5"/>
  <c r="V133" i="5"/>
  <c r="W133" i="5"/>
  <c r="A134" i="5"/>
  <c r="G134" i="5"/>
  <c r="H134" i="5"/>
  <c r="M134" i="5"/>
  <c r="N134" i="5"/>
  <c r="O134" i="5"/>
  <c r="P134" i="5"/>
  <c r="Q134" i="5"/>
  <c r="R134" i="5"/>
  <c r="S134" i="5"/>
  <c r="T134" i="5"/>
  <c r="U134" i="5"/>
  <c r="V134" i="5"/>
  <c r="W134" i="5"/>
  <c r="A135" i="5"/>
  <c r="G135" i="5"/>
  <c r="H135" i="5"/>
  <c r="M135" i="5"/>
  <c r="N135" i="5"/>
  <c r="O135" i="5"/>
  <c r="P135" i="5"/>
  <c r="Q135" i="5"/>
  <c r="R135" i="5"/>
  <c r="S135" i="5"/>
  <c r="T135" i="5"/>
  <c r="U135" i="5"/>
  <c r="V135" i="5"/>
  <c r="W135" i="5"/>
  <c r="A136" i="5"/>
  <c r="F136" i="5"/>
  <c r="G136" i="5"/>
  <c r="H136" i="5"/>
  <c r="M136" i="5"/>
  <c r="N136" i="5"/>
  <c r="O136" i="5"/>
  <c r="P136" i="5"/>
  <c r="Q136" i="5"/>
  <c r="R136" i="5"/>
  <c r="S136" i="5"/>
  <c r="T136" i="5"/>
  <c r="U136" i="5"/>
  <c r="V136" i="5"/>
  <c r="W136" i="5"/>
  <c r="A137" i="5"/>
  <c r="F137" i="5"/>
  <c r="G137" i="5"/>
  <c r="H137" i="5"/>
  <c r="M137" i="5"/>
  <c r="N137" i="5"/>
  <c r="O137" i="5"/>
  <c r="P137" i="5"/>
  <c r="Q137" i="5"/>
  <c r="R137" i="5"/>
  <c r="S137" i="5"/>
  <c r="T137" i="5"/>
  <c r="U137" i="5"/>
  <c r="V137" i="5"/>
  <c r="W137" i="5"/>
  <c r="A138" i="5"/>
  <c r="F138" i="5"/>
  <c r="G138" i="5"/>
  <c r="H138" i="5"/>
  <c r="M138" i="5"/>
  <c r="N138" i="5"/>
  <c r="O138" i="5"/>
  <c r="P138" i="5"/>
  <c r="Q138" i="5"/>
  <c r="R138" i="5"/>
  <c r="S138" i="5"/>
  <c r="T138" i="5"/>
  <c r="U138" i="5"/>
  <c r="V138" i="5"/>
  <c r="W138" i="5"/>
  <c r="A139" i="5"/>
  <c r="F139" i="5"/>
  <c r="G139" i="5"/>
  <c r="H139" i="5"/>
  <c r="M139" i="5"/>
  <c r="N139" i="5"/>
  <c r="O139" i="5"/>
  <c r="P139" i="5"/>
  <c r="Q139" i="5"/>
  <c r="R139" i="5"/>
  <c r="S139" i="5"/>
  <c r="T139" i="5"/>
  <c r="U139" i="5"/>
  <c r="V139" i="5"/>
  <c r="W139" i="5"/>
  <c r="A140" i="5"/>
  <c r="F140" i="5"/>
  <c r="G140" i="5"/>
  <c r="H140" i="5"/>
  <c r="M140" i="5"/>
  <c r="N140" i="5"/>
  <c r="O140" i="5"/>
  <c r="P140" i="5"/>
  <c r="Q140" i="5"/>
  <c r="R140" i="5"/>
  <c r="S140" i="5"/>
  <c r="T140" i="5"/>
  <c r="U140" i="5"/>
  <c r="V140" i="5"/>
  <c r="W140" i="5"/>
  <c r="A141" i="5"/>
  <c r="F141" i="5"/>
  <c r="G141" i="5"/>
  <c r="H141" i="5"/>
  <c r="M141" i="5"/>
  <c r="N141" i="5"/>
  <c r="O141" i="5"/>
  <c r="P141" i="5"/>
  <c r="Q141" i="5"/>
  <c r="R141" i="5"/>
  <c r="S141" i="5"/>
  <c r="T141" i="5"/>
  <c r="U141" i="5"/>
  <c r="V141" i="5"/>
  <c r="W141" i="5"/>
  <c r="A142" i="5"/>
  <c r="F142" i="5"/>
  <c r="G142" i="5"/>
  <c r="H142" i="5"/>
  <c r="M142" i="5"/>
  <c r="N142" i="5"/>
  <c r="O142" i="5"/>
  <c r="P142" i="5"/>
  <c r="Q142" i="5"/>
  <c r="R142" i="5"/>
  <c r="S142" i="5"/>
  <c r="T142" i="5"/>
  <c r="U142" i="5"/>
  <c r="V142" i="5"/>
  <c r="W142" i="5"/>
  <c r="A143" i="5"/>
  <c r="G143" i="5"/>
  <c r="H143" i="5"/>
  <c r="M143" i="5"/>
  <c r="N143" i="5"/>
  <c r="O143" i="5"/>
  <c r="P143" i="5"/>
  <c r="Q143" i="5"/>
  <c r="R143" i="5"/>
  <c r="S143" i="5"/>
  <c r="T143" i="5"/>
  <c r="U143" i="5"/>
  <c r="V143" i="5"/>
  <c r="W143" i="5"/>
  <c r="A144" i="5"/>
  <c r="G144" i="5"/>
  <c r="H144" i="5"/>
  <c r="M144" i="5"/>
  <c r="N144" i="5"/>
  <c r="O144" i="5"/>
  <c r="P144" i="5"/>
  <c r="Q144" i="5"/>
  <c r="R144" i="5"/>
  <c r="S144" i="5"/>
  <c r="T144" i="5"/>
  <c r="U144" i="5"/>
  <c r="V144" i="5"/>
  <c r="W144" i="5"/>
  <c r="A145" i="5"/>
  <c r="G145" i="5"/>
  <c r="H145" i="5"/>
  <c r="M145" i="5"/>
  <c r="N145" i="5"/>
  <c r="O145" i="5"/>
  <c r="P145" i="5"/>
  <c r="Q145" i="5"/>
  <c r="R145" i="5"/>
  <c r="S145" i="5"/>
  <c r="T145" i="5"/>
  <c r="U145" i="5"/>
  <c r="V145" i="5"/>
  <c r="W145" i="5"/>
  <c r="A146" i="5"/>
  <c r="G146" i="5"/>
  <c r="H146" i="5"/>
  <c r="M146" i="5"/>
  <c r="N146" i="5"/>
  <c r="O146" i="5"/>
  <c r="P146" i="5"/>
  <c r="Q146" i="5"/>
  <c r="R146" i="5"/>
  <c r="S146" i="5"/>
  <c r="T146" i="5"/>
  <c r="U146" i="5"/>
  <c r="V146" i="5"/>
  <c r="W146" i="5"/>
  <c r="A147" i="5"/>
  <c r="G147" i="5"/>
  <c r="H147" i="5"/>
  <c r="M147" i="5"/>
  <c r="N147" i="5"/>
  <c r="O147" i="5"/>
  <c r="P147" i="5"/>
  <c r="Q147" i="5"/>
  <c r="R147" i="5"/>
  <c r="S147" i="5"/>
  <c r="T147" i="5"/>
  <c r="U147" i="5"/>
  <c r="V147" i="5"/>
  <c r="W147" i="5"/>
  <c r="A148" i="5"/>
  <c r="F148" i="5"/>
  <c r="G148" i="5"/>
  <c r="H148" i="5"/>
  <c r="M148" i="5"/>
  <c r="N148" i="5"/>
  <c r="O148" i="5"/>
  <c r="P148" i="5"/>
  <c r="Q148" i="5"/>
  <c r="R148" i="5"/>
  <c r="S148" i="5"/>
  <c r="T148" i="5"/>
  <c r="U148" i="5"/>
  <c r="V148" i="5"/>
  <c r="W148" i="5"/>
  <c r="A149" i="5"/>
  <c r="F149" i="5"/>
  <c r="G149" i="5"/>
  <c r="H149" i="5"/>
  <c r="M149" i="5"/>
  <c r="N149" i="5"/>
  <c r="O149" i="5"/>
  <c r="P149" i="5"/>
  <c r="Q149" i="5"/>
  <c r="R149" i="5"/>
  <c r="S149" i="5"/>
  <c r="T149" i="5"/>
  <c r="U149" i="5"/>
  <c r="V149" i="5"/>
  <c r="W149" i="5"/>
  <c r="A150" i="5"/>
  <c r="F150" i="5"/>
  <c r="G150" i="5"/>
  <c r="H150" i="5"/>
  <c r="M150" i="5"/>
  <c r="N150" i="5"/>
  <c r="O150" i="5"/>
  <c r="P150" i="5"/>
  <c r="Q150" i="5"/>
  <c r="R150" i="5"/>
  <c r="S150" i="5"/>
  <c r="T150" i="5"/>
  <c r="U150" i="5"/>
  <c r="V150" i="5"/>
  <c r="W150" i="5"/>
  <c r="A151" i="5"/>
  <c r="F151" i="5"/>
  <c r="G151" i="5"/>
  <c r="H151" i="5"/>
  <c r="M151" i="5"/>
  <c r="N151" i="5"/>
  <c r="O151" i="5"/>
  <c r="P151" i="5"/>
  <c r="Q151" i="5"/>
  <c r="R151" i="5"/>
  <c r="S151" i="5"/>
  <c r="T151" i="5"/>
  <c r="U151" i="5"/>
  <c r="V151" i="5"/>
  <c r="W151" i="5"/>
  <c r="A152" i="5"/>
  <c r="F152" i="5"/>
  <c r="G152" i="5"/>
  <c r="H152" i="5"/>
  <c r="M152" i="5"/>
  <c r="N152" i="5"/>
  <c r="O152" i="5"/>
  <c r="P152" i="5"/>
  <c r="Q152" i="5"/>
  <c r="R152" i="5"/>
  <c r="S152" i="5"/>
  <c r="T152" i="5"/>
  <c r="U152" i="5"/>
  <c r="V152" i="5"/>
  <c r="W152" i="5"/>
  <c r="A153" i="5"/>
  <c r="F153" i="5"/>
  <c r="G153" i="5"/>
  <c r="H153" i="5"/>
  <c r="M153" i="5"/>
  <c r="N153" i="5"/>
  <c r="O153" i="5"/>
  <c r="P153" i="5"/>
  <c r="Q153" i="5"/>
  <c r="R153" i="5"/>
  <c r="S153" i="5"/>
  <c r="T153" i="5"/>
  <c r="U153" i="5"/>
  <c r="V153" i="5"/>
  <c r="W153" i="5"/>
  <c r="A154" i="5"/>
  <c r="F154" i="5"/>
  <c r="G154" i="5"/>
  <c r="H154" i="5"/>
  <c r="M154" i="5"/>
  <c r="N154" i="5"/>
  <c r="O154" i="5"/>
  <c r="P154" i="5"/>
  <c r="Q154" i="5"/>
  <c r="R154" i="5"/>
  <c r="S154" i="5"/>
  <c r="T154" i="5"/>
  <c r="U154" i="5"/>
  <c r="V154" i="5"/>
  <c r="W154" i="5"/>
  <c r="A155" i="5"/>
  <c r="G155" i="5"/>
  <c r="H155" i="5"/>
  <c r="M155" i="5"/>
  <c r="N155" i="5"/>
  <c r="O155" i="5"/>
  <c r="P155" i="5"/>
  <c r="Q155" i="5"/>
  <c r="R155" i="5"/>
  <c r="S155" i="5"/>
  <c r="T155" i="5"/>
  <c r="U155" i="5"/>
  <c r="V155" i="5"/>
  <c r="W155" i="5"/>
  <c r="A156" i="5"/>
  <c r="G156" i="5"/>
  <c r="H156" i="5"/>
  <c r="M156" i="5"/>
  <c r="N156" i="5"/>
  <c r="O156" i="5"/>
  <c r="P156" i="5"/>
  <c r="Q156" i="5"/>
  <c r="R156" i="5"/>
  <c r="S156" i="5"/>
  <c r="T156" i="5"/>
  <c r="U156" i="5"/>
  <c r="V156" i="5"/>
  <c r="W156" i="5"/>
  <c r="A157" i="5"/>
  <c r="G157" i="5"/>
  <c r="H157" i="5"/>
  <c r="M157" i="5"/>
  <c r="N157" i="5"/>
  <c r="O157" i="5"/>
  <c r="P157" i="5"/>
  <c r="Q157" i="5"/>
  <c r="R157" i="5"/>
  <c r="S157" i="5"/>
  <c r="T157" i="5"/>
  <c r="U157" i="5"/>
  <c r="V157" i="5"/>
  <c r="W157" i="5"/>
  <c r="A158" i="5"/>
  <c r="G158" i="5"/>
  <c r="H158" i="5"/>
  <c r="M158" i="5"/>
  <c r="N158" i="5"/>
  <c r="O158" i="5"/>
  <c r="P158" i="5"/>
  <c r="Q158" i="5"/>
  <c r="R158" i="5"/>
  <c r="S158" i="5"/>
  <c r="T158" i="5"/>
  <c r="U158" i="5"/>
  <c r="V158" i="5"/>
  <c r="W158" i="5"/>
  <c r="A159" i="5"/>
  <c r="G159" i="5"/>
  <c r="H159" i="5"/>
  <c r="M159" i="5"/>
  <c r="N159" i="5"/>
  <c r="O159" i="5"/>
  <c r="P159" i="5"/>
  <c r="Q159" i="5"/>
  <c r="R159" i="5"/>
  <c r="S159" i="5"/>
  <c r="T159" i="5"/>
  <c r="U159" i="5"/>
  <c r="V159" i="5"/>
  <c r="W159" i="5"/>
  <c r="A160" i="5"/>
  <c r="F160" i="5"/>
  <c r="G160" i="5"/>
  <c r="H160" i="5"/>
  <c r="M160" i="5"/>
  <c r="N160" i="5"/>
  <c r="O160" i="5"/>
  <c r="P160" i="5"/>
  <c r="Q160" i="5"/>
  <c r="R160" i="5"/>
  <c r="S160" i="5"/>
  <c r="T160" i="5"/>
  <c r="U160" i="5"/>
  <c r="V160" i="5"/>
  <c r="W160" i="5"/>
  <c r="A161" i="5"/>
  <c r="F161" i="5"/>
  <c r="G161" i="5"/>
  <c r="H161" i="5"/>
  <c r="M161" i="5"/>
  <c r="N161" i="5"/>
  <c r="O161" i="5"/>
  <c r="P161" i="5"/>
  <c r="Q161" i="5"/>
  <c r="R161" i="5"/>
  <c r="S161" i="5"/>
  <c r="T161" i="5"/>
  <c r="U161" i="5"/>
  <c r="V161" i="5"/>
  <c r="W161" i="5"/>
  <c r="A162" i="5"/>
  <c r="F162" i="5"/>
  <c r="G162" i="5"/>
  <c r="H162" i="5"/>
  <c r="M162" i="5"/>
  <c r="N162" i="5"/>
  <c r="O162" i="5"/>
  <c r="P162" i="5"/>
  <c r="Q162" i="5"/>
  <c r="R162" i="5"/>
  <c r="S162" i="5"/>
  <c r="T162" i="5"/>
  <c r="U162" i="5"/>
  <c r="V162" i="5"/>
  <c r="W162" i="5"/>
  <c r="A163" i="5"/>
  <c r="F163" i="5"/>
  <c r="G163" i="5"/>
  <c r="H163" i="5"/>
  <c r="M163" i="5"/>
  <c r="N163" i="5"/>
  <c r="O163" i="5"/>
  <c r="P163" i="5"/>
  <c r="Q163" i="5"/>
  <c r="R163" i="5"/>
  <c r="S163" i="5"/>
  <c r="T163" i="5"/>
  <c r="U163" i="5"/>
  <c r="V163" i="5"/>
  <c r="W163" i="5"/>
  <c r="A164" i="5"/>
  <c r="F164" i="5"/>
  <c r="G164" i="5"/>
  <c r="H164" i="5"/>
  <c r="M164" i="5"/>
  <c r="N164" i="5"/>
  <c r="O164" i="5"/>
  <c r="P164" i="5"/>
  <c r="Q164" i="5"/>
  <c r="R164" i="5"/>
  <c r="S164" i="5"/>
  <c r="T164" i="5"/>
  <c r="U164" i="5"/>
  <c r="V164" i="5"/>
  <c r="W164" i="5"/>
  <c r="A165" i="5"/>
  <c r="F165" i="5"/>
  <c r="G165" i="5"/>
  <c r="H165" i="5"/>
  <c r="M165" i="5"/>
  <c r="N165" i="5"/>
  <c r="O165" i="5"/>
  <c r="P165" i="5"/>
  <c r="Q165" i="5"/>
  <c r="R165" i="5"/>
  <c r="S165" i="5"/>
  <c r="T165" i="5"/>
  <c r="U165" i="5"/>
  <c r="V165" i="5"/>
  <c r="W165" i="5"/>
  <c r="A166" i="5"/>
  <c r="F166" i="5"/>
  <c r="G166" i="5"/>
  <c r="H166" i="5"/>
  <c r="M166" i="5"/>
  <c r="N166" i="5"/>
  <c r="O166" i="5"/>
  <c r="P166" i="5"/>
  <c r="Q166" i="5"/>
  <c r="R166" i="5"/>
  <c r="S166" i="5"/>
  <c r="T166" i="5"/>
  <c r="U166" i="5"/>
  <c r="V166" i="5"/>
  <c r="W166" i="5"/>
  <c r="A167" i="5"/>
  <c r="G167" i="5"/>
  <c r="H167" i="5"/>
  <c r="M167" i="5"/>
  <c r="N167" i="5"/>
  <c r="O167" i="5"/>
  <c r="P167" i="5"/>
  <c r="Q167" i="5"/>
  <c r="R167" i="5"/>
  <c r="S167" i="5"/>
  <c r="T167" i="5"/>
  <c r="U167" i="5"/>
  <c r="V167" i="5"/>
  <c r="W167" i="5"/>
  <c r="A168" i="5"/>
  <c r="G168" i="5"/>
  <c r="H168" i="5"/>
  <c r="M168" i="5"/>
  <c r="N168" i="5"/>
  <c r="O168" i="5"/>
  <c r="P168" i="5"/>
  <c r="Q168" i="5"/>
  <c r="R168" i="5"/>
  <c r="S168" i="5"/>
  <c r="T168" i="5"/>
  <c r="U168" i="5"/>
  <c r="V168" i="5"/>
  <c r="W168" i="5"/>
  <c r="A169" i="5"/>
  <c r="G169" i="5"/>
  <c r="H169" i="5"/>
  <c r="M169" i="5"/>
  <c r="N169" i="5"/>
  <c r="O169" i="5"/>
  <c r="P169" i="5"/>
  <c r="Q169" i="5"/>
  <c r="R169" i="5"/>
  <c r="S169" i="5"/>
  <c r="T169" i="5"/>
  <c r="U169" i="5"/>
  <c r="V169" i="5"/>
  <c r="W169" i="5"/>
  <c r="A170" i="5"/>
  <c r="G170" i="5"/>
  <c r="H170" i="5"/>
  <c r="M170" i="5"/>
  <c r="N170" i="5"/>
  <c r="O170" i="5"/>
  <c r="P170" i="5"/>
  <c r="Q170" i="5"/>
  <c r="R170" i="5"/>
  <c r="S170" i="5"/>
  <c r="T170" i="5"/>
  <c r="U170" i="5"/>
  <c r="V170" i="5"/>
  <c r="W170" i="5"/>
  <c r="A171" i="5"/>
  <c r="G171" i="5"/>
  <c r="H171" i="5"/>
  <c r="M171" i="5"/>
  <c r="N171" i="5"/>
  <c r="O171" i="5"/>
  <c r="P171" i="5"/>
  <c r="Q171" i="5"/>
  <c r="R171" i="5"/>
  <c r="S171" i="5"/>
  <c r="T171" i="5"/>
  <c r="U171" i="5"/>
  <c r="V171" i="5"/>
  <c r="W171" i="5"/>
  <c r="A172" i="5"/>
  <c r="F172" i="5"/>
  <c r="G172" i="5"/>
  <c r="H172" i="5"/>
  <c r="M172" i="5"/>
  <c r="N172" i="5"/>
  <c r="O172" i="5"/>
  <c r="P172" i="5"/>
  <c r="Q172" i="5"/>
  <c r="R172" i="5"/>
  <c r="S172" i="5"/>
  <c r="T172" i="5"/>
  <c r="U172" i="5"/>
  <c r="V172" i="5"/>
  <c r="W172" i="5"/>
  <c r="A173" i="5"/>
  <c r="F173" i="5"/>
  <c r="G173" i="5"/>
  <c r="H173" i="5"/>
  <c r="M173" i="5"/>
  <c r="N173" i="5"/>
  <c r="O173" i="5"/>
  <c r="P173" i="5"/>
  <c r="Q173" i="5"/>
  <c r="R173" i="5"/>
  <c r="S173" i="5"/>
  <c r="T173" i="5"/>
  <c r="U173" i="5"/>
  <c r="V173" i="5"/>
  <c r="W173" i="5"/>
  <c r="A174" i="5"/>
  <c r="F174" i="5"/>
  <c r="G174" i="5"/>
  <c r="H174" i="5"/>
  <c r="M174" i="5"/>
  <c r="N174" i="5"/>
  <c r="O174" i="5"/>
  <c r="P174" i="5"/>
  <c r="Q174" i="5"/>
  <c r="R174" i="5"/>
  <c r="S174" i="5"/>
  <c r="T174" i="5"/>
  <c r="U174" i="5"/>
  <c r="V174" i="5"/>
  <c r="W174" i="5"/>
  <c r="A175" i="5"/>
  <c r="F175" i="5"/>
  <c r="G175" i="5"/>
  <c r="H175" i="5"/>
  <c r="M175" i="5"/>
  <c r="N175" i="5"/>
  <c r="O175" i="5"/>
  <c r="P175" i="5"/>
  <c r="Q175" i="5"/>
  <c r="R175" i="5"/>
  <c r="S175" i="5"/>
  <c r="T175" i="5"/>
  <c r="U175" i="5"/>
  <c r="V175" i="5"/>
  <c r="W175" i="5"/>
  <c r="A176" i="5"/>
  <c r="F176" i="5"/>
  <c r="G176" i="5"/>
  <c r="H176" i="5"/>
  <c r="M176" i="5"/>
  <c r="N176" i="5"/>
  <c r="O176" i="5"/>
  <c r="P176" i="5"/>
  <c r="Q176" i="5"/>
  <c r="R176" i="5"/>
  <c r="S176" i="5"/>
  <c r="T176" i="5"/>
  <c r="U176" i="5"/>
  <c r="V176" i="5"/>
  <c r="W176" i="5"/>
  <c r="A177" i="5"/>
  <c r="F177" i="5"/>
  <c r="G177" i="5"/>
  <c r="H177" i="5"/>
  <c r="M177" i="5"/>
  <c r="N177" i="5"/>
  <c r="O177" i="5"/>
  <c r="P177" i="5"/>
  <c r="Q177" i="5"/>
  <c r="R177" i="5"/>
  <c r="S177" i="5"/>
  <c r="T177" i="5"/>
  <c r="U177" i="5"/>
  <c r="V177" i="5"/>
  <c r="W177" i="5"/>
  <c r="A178" i="5"/>
  <c r="F178" i="5"/>
  <c r="G178" i="5"/>
  <c r="H178" i="5"/>
  <c r="M178" i="5"/>
  <c r="N178" i="5"/>
  <c r="O178" i="5"/>
  <c r="P178" i="5"/>
  <c r="Q178" i="5"/>
  <c r="R178" i="5"/>
  <c r="S178" i="5"/>
  <c r="T178" i="5"/>
  <c r="U178" i="5"/>
  <c r="V178" i="5"/>
  <c r="W178" i="5"/>
  <c r="A179" i="5"/>
  <c r="G179" i="5"/>
  <c r="H179" i="5"/>
  <c r="M179" i="5"/>
  <c r="N179" i="5"/>
  <c r="O179" i="5"/>
  <c r="P179" i="5"/>
  <c r="Q179" i="5"/>
  <c r="R179" i="5"/>
  <c r="S179" i="5"/>
  <c r="T179" i="5"/>
  <c r="U179" i="5"/>
  <c r="V179" i="5"/>
  <c r="W179" i="5"/>
  <c r="A180" i="5"/>
  <c r="G180" i="5"/>
  <c r="H180" i="5"/>
  <c r="M180" i="5"/>
  <c r="N180" i="5"/>
  <c r="O180" i="5"/>
  <c r="P180" i="5"/>
  <c r="Q180" i="5"/>
  <c r="R180" i="5"/>
  <c r="S180" i="5"/>
  <c r="T180" i="5"/>
  <c r="U180" i="5"/>
  <c r="V180" i="5"/>
  <c r="W180" i="5"/>
  <c r="A181" i="5"/>
  <c r="G181" i="5"/>
  <c r="H181" i="5"/>
  <c r="M181" i="5"/>
  <c r="N181" i="5"/>
  <c r="O181" i="5"/>
  <c r="P181" i="5"/>
  <c r="Q181" i="5"/>
  <c r="R181" i="5"/>
  <c r="S181" i="5"/>
  <c r="T181" i="5"/>
  <c r="U181" i="5"/>
  <c r="V181" i="5"/>
  <c r="W181" i="5"/>
  <c r="A182" i="5"/>
  <c r="G182" i="5"/>
  <c r="H182" i="5"/>
  <c r="M182" i="5"/>
  <c r="N182" i="5"/>
  <c r="O182" i="5"/>
  <c r="P182" i="5"/>
  <c r="Q182" i="5"/>
  <c r="R182" i="5"/>
  <c r="S182" i="5"/>
  <c r="T182" i="5"/>
  <c r="U182" i="5"/>
  <c r="V182" i="5"/>
  <c r="W182" i="5"/>
  <c r="A183" i="5"/>
  <c r="G183" i="5"/>
  <c r="H183" i="5"/>
  <c r="M183" i="5"/>
  <c r="N183" i="5"/>
  <c r="O183" i="5"/>
  <c r="P183" i="5"/>
  <c r="Q183" i="5"/>
  <c r="R183" i="5"/>
  <c r="S183" i="5"/>
  <c r="T183" i="5"/>
  <c r="U183" i="5"/>
  <c r="V183" i="5"/>
  <c r="W183" i="5"/>
  <c r="A184" i="5"/>
  <c r="F184" i="5"/>
  <c r="G184" i="5"/>
  <c r="H184" i="5"/>
  <c r="M184" i="5"/>
  <c r="N184" i="5"/>
  <c r="O184" i="5"/>
  <c r="P184" i="5"/>
  <c r="Q184" i="5"/>
  <c r="R184" i="5"/>
  <c r="S184" i="5"/>
  <c r="T184" i="5"/>
  <c r="U184" i="5"/>
  <c r="V184" i="5"/>
  <c r="W184" i="5"/>
  <c r="A185" i="5"/>
  <c r="F185" i="5"/>
  <c r="G185" i="5"/>
  <c r="H185" i="5"/>
  <c r="M185" i="5"/>
  <c r="N185" i="5"/>
  <c r="O185" i="5"/>
  <c r="P185" i="5"/>
  <c r="Q185" i="5"/>
  <c r="R185" i="5"/>
  <c r="S185" i="5"/>
  <c r="T185" i="5"/>
  <c r="U185" i="5"/>
  <c r="V185" i="5"/>
  <c r="W185" i="5"/>
  <c r="A186" i="5"/>
  <c r="F186" i="5"/>
  <c r="G186" i="5"/>
  <c r="H186" i="5"/>
  <c r="M186" i="5"/>
  <c r="N186" i="5"/>
  <c r="O186" i="5"/>
  <c r="P186" i="5"/>
  <c r="Q186" i="5"/>
  <c r="R186" i="5"/>
  <c r="S186" i="5"/>
  <c r="T186" i="5"/>
  <c r="U186" i="5"/>
  <c r="V186" i="5"/>
  <c r="W186" i="5"/>
  <c r="A187" i="5"/>
  <c r="F187" i="5"/>
  <c r="G187" i="5"/>
  <c r="H187" i="5"/>
  <c r="M187" i="5"/>
  <c r="N187" i="5"/>
  <c r="O187" i="5"/>
  <c r="P187" i="5"/>
  <c r="Q187" i="5"/>
  <c r="R187" i="5"/>
  <c r="S187" i="5"/>
  <c r="T187" i="5"/>
  <c r="U187" i="5"/>
  <c r="V187" i="5"/>
  <c r="W187" i="5"/>
  <c r="A188" i="5"/>
  <c r="F188" i="5"/>
  <c r="G188" i="5"/>
  <c r="H188" i="5"/>
  <c r="M188" i="5"/>
  <c r="N188" i="5"/>
  <c r="O188" i="5"/>
  <c r="P188" i="5"/>
  <c r="Q188" i="5"/>
  <c r="R188" i="5"/>
  <c r="S188" i="5"/>
  <c r="T188" i="5"/>
  <c r="U188" i="5"/>
  <c r="V188" i="5"/>
  <c r="W188" i="5"/>
  <c r="A189" i="5"/>
  <c r="F189" i="5"/>
  <c r="G189" i="5"/>
  <c r="H189" i="5"/>
  <c r="M189" i="5"/>
  <c r="N189" i="5"/>
  <c r="O189" i="5"/>
  <c r="P189" i="5"/>
  <c r="Q189" i="5"/>
  <c r="R189" i="5"/>
  <c r="S189" i="5"/>
  <c r="T189" i="5"/>
  <c r="U189" i="5"/>
  <c r="V189" i="5"/>
  <c r="W189" i="5"/>
  <c r="A190" i="5"/>
  <c r="F190" i="5"/>
  <c r="G190" i="5"/>
  <c r="H190" i="5"/>
  <c r="M190" i="5"/>
  <c r="N190" i="5"/>
  <c r="O190" i="5"/>
  <c r="P190" i="5"/>
  <c r="Q190" i="5"/>
  <c r="R190" i="5"/>
  <c r="S190" i="5"/>
  <c r="T190" i="5"/>
  <c r="U190" i="5"/>
  <c r="V190" i="5"/>
  <c r="W190" i="5"/>
  <c r="A191" i="5"/>
  <c r="G191" i="5"/>
  <c r="H191" i="5"/>
  <c r="M191" i="5"/>
  <c r="N191" i="5"/>
  <c r="O191" i="5"/>
  <c r="P191" i="5"/>
  <c r="Q191" i="5"/>
  <c r="R191" i="5"/>
  <c r="S191" i="5"/>
  <c r="T191" i="5"/>
  <c r="U191" i="5"/>
  <c r="V191" i="5"/>
  <c r="W191" i="5"/>
  <c r="A192" i="5"/>
  <c r="G192" i="5"/>
  <c r="H192" i="5"/>
  <c r="M192" i="5"/>
  <c r="N192" i="5"/>
  <c r="O192" i="5"/>
  <c r="P192" i="5"/>
  <c r="Q192" i="5"/>
  <c r="R192" i="5"/>
  <c r="S192" i="5"/>
  <c r="T192" i="5"/>
  <c r="U192" i="5"/>
  <c r="V192" i="5"/>
  <c r="W192" i="5"/>
  <c r="A193" i="5"/>
  <c r="G193" i="5"/>
  <c r="H193" i="5"/>
  <c r="M193" i="5"/>
  <c r="N193" i="5"/>
  <c r="O193" i="5"/>
  <c r="P193" i="5"/>
  <c r="Q193" i="5"/>
  <c r="R193" i="5"/>
  <c r="S193" i="5"/>
  <c r="T193" i="5"/>
  <c r="U193" i="5"/>
  <c r="V193" i="5"/>
  <c r="W193" i="5"/>
  <c r="A194" i="5"/>
  <c r="G194" i="5"/>
  <c r="H194" i="5"/>
  <c r="M194" i="5"/>
  <c r="N194" i="5"/>
  <c r="O194" i="5"/>
  <c r="P194" i="5"/>
  <c r="Q194" i="5"/>
  <c r="R194" i="5"/>
  <c r="S194" i="5"/>
  <c r="T194" i="5"/>
  <c r="U194" i="5"/>
  <c r="V194" i="5"/>
  <c r="W194" i="5"/>
  <c r="A195" i="5"/>
  <c r="G195" i="5"/>
  <c r="H195" i="5"/>
  <c r="M195" i="5"/>
  <c r="N195" i="5"/>
  <c r="O195" i="5"/>
  <c r="P195" i="5"/>
  <c r="Q195" i="5"/>
  <c r="R195" i="5"/>
  <c r="S195" i="5"/>
  <c r="T195" i="5"/>
  <c r="U195" i="5"/>
  <c r="V195" i="5"/>
  <c r="W195" i="5"/>
  <c r="A196" i="5"/>
  <c r="F196" i="5"/>
  <c r="G196" i="5"/>
  <c r="H196" i="5"/>
  <c r="M196" i="5"/>
  <c r="N196" i="5"/>
  <c r="O196" i="5"/>
  <c r="P196" i="5"/>
  <c r="R196" i="5"/>
  <c r="S196" i="5"/>
  <c r="T196" i="5"/>
  <c r="U196" i="5"/>
  <c r="V196" i="5"/>
  <c r="W196" i="5"/>
  <c r="A197" i="5"/>
  <c r="F197" i="5"/>
  <c r="G197" i="5"/>
  <c r="H197" i="5"/>
  <c r="M197" i="5"/>
  <c r="N197" i="5"/>
  <c r="O197" i="5"/>
  <c r="P197" i="5"/>
  <c r="S197" i="5"/>
  <c r="T197" i="5"/>
  <c r="U197" i="5"/>
  <c r="V197" i="5"/>
  <c r="W197" i="5"/>
  <c r="A198" i="5"/>
  <c r="F198" i="5"/>
  <c r="G198" i="5"/>
  <c r="H198" i="5"/>
  <c r="M198" i="5"/>
  <c r="N198" i="5"/>
  <c r="O198" i="5"/>
  <c r="P198" i="5"/>
  <c r="S198" i="5"/>
  <c r="T198" i="5"/>
  <c r="U198" i="5"/>
  <c r="V198" i="5"/>
  <c r="W198" i="5"/>
  <c r="A199" i="5"/>
  <c r="F199" i="5"/>
  <c r="G199" i="5"/>
  <c r="H199" i="5"/>
  <c r="M199" i="5"/>
  <c r="N199" i="5"/>
  <c r="O199" i="5"/>
  <c r="P199" i="5"/>
  <c r="S199" i="5"/>
  <c r="T199" i="5"/>
  <c r="U199" i="5"/>
  <c r="V199" i="5"/>
  <c r="W199" i="5"/>
  <c r="A200" i="5"/>
  <c r="F200" i="5"/>
  <c r="G200" i="5"/>
  <c r="H200" i="5"/>
  <c r="M200" i="5"/>
  <c r="N200" i="5"/>
  <c r="O200" i="5"/>
  <c r="P200" i="5"/>
  <c r="S200" i="5"/>
  <c r="T200" i="5"/>
  <c r="U200" i="5"/>
  <c r="V200" i="5"/>
  <c r="W200" i="5"/>
  <c r="A201" i="5"/>
  <c r="F201" i="5"/>
  <c r="G201" i="5"/>
  <c r="H201" i="5"/>
  <c r="M201" i="5"/>
  <c r="N201" i="5"/>
  <c r="O201" i="5"/>
  <c r="P201" i="5"/>
  <c r="S201" i="5"/>
  <c r="T201" i="5"/>
  <c r="U201" i="5"/>
  <c r="V201" i="5"/>
  <c r="W201" i="5"/>
  <c r="A202" i="5"/>
  <c r="F202" i="5"/>
  <c r="G202" i="5"/>
  <c r="H202" i="5"/>
  <c r="M202" i="5"/>
  <c r="N202" i="5"/>
  <c r="O202" i="5"/>
  <c r="P202" i="5"/>
  <c r="S202" i="5"/>
  <c r="T202" i="5"/>
  <c r="U202" i="5"/>
  <c r="V202" i="5"/>
  <c r="W202" i="5"/>
  <c r="A203" i="5"/>
  <c r="G203" i="5"/>
  <c r="H203" i="5"/>
  <c r="M203" i="5"/>
  <c r="N203" i="5"/>
  <c r="O203" i="5"/>
  <c r="P203" i="5"/>
  <c r="S203" i="5"/>
  <c r="T203" i="5"/>
  <c r="U203" i="5"/>
  <c r="V203" i="5"/>
  <c r="W203" i="5"/>
  <c r="A204" i="5"/>
  <c r="G204" i="5"/>
  <c r="H204" i="5"/>
  <c r="M204" i="5"/>
  <c r="N204" i="5"/>
  <c r="O204" i="5"/>
  <c r="P204" i="5"/>
  <c r="S204" i="5"/>
  <c r="T204" i="5"/>
  <c r="U204" i="5"/>
  <c r="V204" i="5"/>
  <c r="W204" i="5"/>
  <c r="A205" i="5"/>
  <c r="G205" i="5"/>
  <c r="H205" i="5"/>
  <c r="M205" i="5"/>
  <c r="N205" i="5"/>
  <c r="O205" i="5"/>
  <c r="P205" i="5"/>
  <c r="S205" i="5"/>
  <c r="T205" i="5"/>
  <c r="U205" i="5"/>
  <c r="V205" i="5"/>
  <c r="W205" i="5"/>
  <c r="A206" i="5"/>
  <c r="G206" i="5"/>
  <c r="H206" i="5"/>
  <c r="M206" i="5"/>
  <c r="N206" i="5"/>
  <c r="O206" i="5"/>
  <c r="P206" i="5"/>
  <c r="S206" i="5"/>
  <c r="T206" i="5"/>
  <c r="U206" i="5"/>
  <c r="V206" i="5"/>
  <c r="W206" i="5"/>
  <c r="A207" i="5"/>
  <c r="G207" i="5"/>
  <c r="H207" i="5"/>
  <c r="M207" i="5"/>
  <c r="N207" i="5"/>
  <c r="O207" i="5"/>
  <c r="P207" i="5"/>
  <c r="S207" i="5"/>
  <c r="T207" i="5"/>
  <c r="U207" i="5"/>
  <c r="V207" i="5"/>
  <c r="W207" i="5"/>
  <c r="A208" i="5"/>
  <c r="F208" i="5"/>
  <c r="G208" i="5"/>
  <c r="H208" i="5"/>
  <c r="M208" i="5"/>
  <c r="N208" i="5"/>
  <c r="O208" i="5"/>
  <c r="P208" i="5"/>
  <c r="S208" i="5"/>
  <c r="T208" i="5"/>
  <c r="U208" i="5"/>
  <c r="V208" i="5"/>
  <c r="W208" i="5"/>
  <c r="A209" i="5"/>
  <c r="F209" i="5"/>
  <c r="G209" i="5"/>
  <c r="H209" i="5"/>
  <c r="M209" i="5"/>
  <c r="N209" i="5"/>
  <c r="O209" i="5"/>
  <c r="P209" i="5"/>
  <c r="S209" i="5"/>
  <c r="T209" i="5"/>
  <c r="U209" i="5"/>
  <c r="V209" i="5"/>
  <c r="W209" i="5"/>
  <c r="A210" i="5"/>
  <c r="F210" i="5"/>
  <c r="G210" i="5"/>
  <c r="H210" i="5"/>
  <c r="M210" i="5"/>
  <c r="N210" i="5"/>
  <c r="O210" i="5"/>
  <c r="P210" i="5"/>
  <c r="S210" i="5"/>
  <c r="T210" i="5"/>
  <c r="U210" i="5"/>
  <c r="V210" i="5"/>
  <c r="W210" i="5"/>
  <c r="A211" i="5"/>
  <c r="F211" i="5"/>
  <c r="G211" i="5"/>
  <c r="H211" i="5"/>
  <c r="M211" i="5"/>
  <c r="N211" i="5"/>
  <c r="O211" i="5"/>
  <c r="P211" i="5"/>
  <c r="S211" i="5"/>
  <c r="T211" i="5"/>
  <c r="U211" i="5"/>
  <c r="V211" i="5"/>
  <c r="W211" i="5"/>
  <c r="A212" i="5"/>
  <c r="F212" i="5"/>
  <c r="G212" i="5"/>
  <c r="H212" i="5"/>
  <c r="M212" i="5"/>
  <c r="N212" i="5"/>
  <c r="O212" i="5"/>
  <c r="P212" i="5"/>
  <c r="S212" i="5"/>
  <c r="T212" i="5"/>
  <c r="U212" i="5"/>
  <c r="V212" i="5"/>
  <c r="W212" i="5"/>
</calcChain>
</file>

<file path=xl/sharedStrings.xml><?xml version="1.0" encoding="utf-8"?>
<sst xmlns="http://schemas.openxmlformats.org/spreadsheetml/2006/main" count="469" uniqueCount="203">
  <si>
    <t>Florida Power Corp</t>
  </si>
  <si>
    <t>Month</t>
  </si>
  <si>
    <t xml:space="preserve"> FTS - 2 Zone 1</t>
  </si>
  <si>
    <t xml:space="preserve"> FTS - 2 Zone 2</t>
  </si>
  <si>
    <t xml:space="preserve"> FTS - 2 Zone 3</t>
  </si>
  <si>
    <t xml:space="preserve"> FTS - 1 Zone 1</t>
  </si>
  <si>
    <t xml:space="preserve"> FTS - 1 Zone 2</t>
  </si>
  <si>
    <t xml:space="preserve"> FTS - 1 Zone 3</t>
  </si>
  <si>
    <t>Sales Price</t>
  </si>
  <si>
    <t>Excess Pan Nat Replacement To FPC Deal</t>
  </si>
  <si>
    <t>Excess Amoco Replacement To FPC Deal</t>
  </si>
  <si>
    <t>Total Revenue</t>
  </si>
  <si>
    <t>SMC Supply Price</t>
  </si>
  <si>
    <t>ERMS COST</t>
  </si>
  <si>
    <t>ECT Supply Price</t>
  </si>
  <si>
    <t>SMC Supply Cost</t>
  </si>
  <si>
    <t>ECT Supply Cost</t>
  </si>
  <si>
    <t>ERMS Cost</t>
  </si>
  <si>
    <t>Transport Cost CF</t>
  </si>
  <si>
    <t>Transport Cost St Joe</t>
  </si>
  <si>
    <t>Transport Cost Hardee</t>
  </si>
  <si>
    <t>Admin Fee</t>
  </si>
  <si>
    <t>Total Expense</t>
  </si>
  <si>
    <t>Total Margin</t>
  </si>
  <si>
    <t>FPC per unit margin</t>
  </si>
  <si>
    <t>FPC MDCQ</t>
  </si>
  <si>
    <t xml:space="preserve"> ECT1 Zone 1</t>
  </si>
  <si>
    <t xml:space="preserve"> ECT Zone 2</t>
  </si>
  <si>
    <t>ECT Zone 3</t>
  </si>
  <si>
    <t>Zone 1</t>
  </si>
  <si>
    <t>Zone 2</t>
  </si>
  <si>
    <t>Zone 3</t>
  </si>
  <si>
    <t>Supply Price</t>
  </si>
  <si>
    <t>Assumptions</t>
  </si>
  <si>
    <t>1.</t>
  </si>
  <si>
    <t>Tom's Food volumes are based on their MDTQ.</t>
  </si>
  <si>
    <t>2.</t>
  </si>
  <si>
    <t>All other index priced deals are based on their takes July 1996 through June 1997</t>
  </si>
  <si>
    <t>3.</t>
  </si>
  <si>
    <t>Tallahassee will supply the gas required for the Raiford and Madison facilities for the State of Florida Contract.  The cost per unit is equal to the sales price for these volumes.</t>
  </si>
  <si>
    <t>4.</t>
  </si>
  <si>
    <t>Zone differentials are only used as an example.  The forecast prices will be replaced with Inside FERC zone prices as they become available.  The margin will be adjusted accordingly.</t>
  </si>
  <si>
    <t>5.</t>
  </si>
  <si>
    <t>All index priced deals will be adjusted for their actual takes unless the contracts are renegotiated.  In that case, the volumes in this schedule are deemed to be the volumes flowed.</t>
  </si>
  <si>
    <t>6.</t>
  </si>
  <si>
    <t>Fuel percentages and transport rate are based on currently filed.  All data will be adjusted for changes in either of the above.</t>
  </si>
  <si>
    <t>7.</t>
  </si>
  <si>
    <t>All deals are assumed to terminate at the end of their primary contract term.  Any renewals would not fall under the terms of this contract.</t>
  </si>
  <si>
    <t>8.</t>
  </si>
  <si>
    <t>All long term deal volumes and rates are per their contracts.</t>
  </si>
  <si>
    <t>9.</t>
  </si>
  <si>
    <t>Any Amoco or Pan Nat replacement volumes that are in excess of capacity for the FP&amp;L zones will be sold into electric generation markets.  Any volumes in excess of requirements for the electric generation deals will not be purchased from ECT.</t>
  </si>
  <si>
    <t>10.</t>
  </si>
  <si>
    <t>All FTS -1 capacity will be used first for the FPC deal.  Any additional requirements will be filled with FTS - 2. Zone 1 of the FTS - 2 capacity will be used first, then Zone 3.</t>
  </si>
  <si>
    <t>11.</t>
  </si>
  <si>
    <t>Tallahassee gas supply will be at sales price.</t>
  </si>
  <si>
    <t>12.</t>
  </si>
  <si>
    <t>Any use of the FTS -1 and/or FTS - 2 capacity held in Trading or Citrus Corp.'s name will flow as Citrus Trading.</t>
  </si>
  <si>
    <t>If Pan Nat declares a force majeure, ECT will not be obligated to provide 80,000/d at zone 1 Index for the term of the force majeure.  ECT and SMC will each be obligated to provide 40,000/d.</t>
  </si>
  <si>
    <t xml:space="preserve">If the 80,000/d is in excess of requirements for the electric generation contracts, ECT/SMC will only be required to provide the volumes required for those contracts and priced per the terms of the electric generation supply contracts or </t>
  </si>
  <si>
    <t>13.</t>
  </si>
  <si>
    <t>as agreed to by the Citrus Board.  If the price agreed to is other that a Zone 1 plus adder, the receipt points in zone 1 will not be available for use by ECT/SMC.</t>
  </si>
  <si>
    <t>ECT and SMC will extend the supply contract for the FP&amp;L volumes.  Each party will provide 50% of the volumes required by zone.  The price will change to Index + $.025 for the term 7/1/99-12/31/2007 and drop to Index + $.015 for the remainder of the</t>
  </si>
  <si>
    <t>14.</t>
  </si>
  <si>
    <t>term of the FP&amp;L contract.</t>
  </si>
  <si>
    <t xml:space="preserve">Citrus Trading will sell any firm capacity needed to fulfill the firm sales requirements of the Coronet contract beyond the firm transport capacity of Coronet to ECT/SMC at an FTS - 1 rate.  This will be done using Hardee capacity discounted to </t>
  </si>
  <si>
    <t>15.</t>
  </si>
  <si>
    <t>a FTS - 1 rate.</t>
  </si>
  <si>
    <t>Volume</t>
  </si>
  <si>
    <t>Short Term Firm Rate</t>
  </si>
  <si>
    <t>Annual Revenue 100%</t>
  </si>
  <si>
    <t>Cost</t>
  </si>
  <si>
    <t>Margin</t>
  </si>
  <si>
    <t>Hardee Capacity</t>
  </si>
  <si>
    <t>St Joe Capacity</t>
  </si>
  <si>
    <t>CF Industries Capacity</t>
  </si>
  <si>
    <t>Total Capacity Held in Trading's name</t>
  </si>
  <si>
    <t>Capacity dedicated to Coronet</t>
  </si>
  <si>
    <t>Capacity dedicated to FPC</t>
  </si>
  <si>
    <t>Capacity available for resale</t>
  </si>
  <si>
    <t>Amount recovered from FPC</t>
  </si>
  <si>
    <t>Capacity Turnedback</t>
  </si>
  <si>
    <t>Total</t>
  </si>
  <si>
    <t>Inside FERC</t>
  </si>
  <si>
    <t>NYMEX</t>
  </si>
  <si>
    <t>Fuel %</t>
  </si>
  <si>
    <t>FTS - 1 Reservation Rate</t>
  </si>
  <si>
    <t>FTS - 2 Reservation Rate</t>
  </si>
  <si>
    <t>CF Industries</t>
  </si>
  <si>
    <t>FTS - 1 Usage Rate</t>
  </si>
  <si>
    <t>FTS - 2 Usage Rate</t>
  </si>
  <si>
    <t>Exxon Price</t>
  </si>
  <si>
    <t>Coronet Capacity - FTS - 1</t>
  </si>
  <si>
    <t>Coronet Capacity - FTS - 2</t>
  </si>
  <si>
    <t>FTS - 1</t>
  </si>
  <si>
    <t>FTS - 2</t>
  </si>
  <si>
    <t>Coronet</t>
  </si>
  <si>
    <t>State of Florida</t>
  </si>
  <si>
    <t>Tom's Food</t>
  </si>
  <si>
    <t>United Technologies</t>
  </si>
  <si>
    <t>Index Priced Deals</t>
  </si>
  <si>
    <t>Delivered Volume</t>
  </si>
  <si>
    <t>Transport Recovery</t>
  </si>
  <si>
    <t>Receipt Volume</t>
  </si>
  <si>
    <t>Receipt Volumes</t>
  </si>
  <si>
    <t>Per Unit Price</t>
  </si>
  <si>
    <t>Coronet FTS - 1</t>
  </si>
  <si>
    <t>Coronet FTS - 2</t>
  </si>
  <si>
    <t>Discounted Hardee</t>
  </si>
  <si>
    <t>Revenue</t>
  </si>
  <si>
    <t>Expense</t>
  </si>
  <si>
    <t>Total Volumes</t>
  </si>
  <si>
    <t>Revenue per unit Zone 1</t>
  </si>
  <si>
    <t>Revenue per unit Zone 2</t>
  </si>
  <si>
    <t>Revenue per unit Zone 3</t>
  </si>
  <si>
    <t>Adder</t>
  </si>
  <si>
    <t>Average Price Per Unit</t>
  </si>
  <si>
    <t>Average Cost Per Unit</t>
  </si>
  <si>
    <t>Delivered volumes to Raiford/   Madison</t>
  </si>
  <si>
    <t>Extra Cost for Tallahassee</t>
  </si>
  <si>
    <t>Price per Unit</t>
  </si>
  <si>
    <t>SMC Admin Fee</t>
  </si>
  <si>
    <t>ECT Admin Fee</t>
  </si>
  <si>
    <t>All Index Priced Volumes</t>
  </si>
  <si>
    <t>Fuel percentage</t>
  </si>
  <si>
    <t>Contract Volumes Zone 3</t>
  </si>
  <si>
    <t>Volumes shorted</t>
  </si>
  <si>
    <t>Zone differential zone 2 zone 3</t>
  </si>
  <si>
    <t>Days in month</t>
  </si>
  <si>
    <t>OUC</t>
  </si>
  <si>
    <t>Auburndale</t>
  </si>
  <si>
    <t>Peoples</t>
  </si>
  <si>
    <t>Florida Power &amp; Light</t>
  </si>
  <si>
    <t>Tallahassee</t>
  </si>
  <si>
    <t>Long Term Deals</t>
  </si>
  <si>
    <t>All Deals</t>
  </si>
  <si>
    <t>Volume per Day Zone 1</t>
  </si>
  <si>
    <t>Volume per Day Zone 2</t>
  </si>
  <si>
    <t>Volume per Day Zone 3</t>
  </si>
  <si>
    <t>Sales Price Zone 1</t>
  </si>
  <si>
    <t>Sales Price Zone 2</t>
  </si>
  <si>
    <t>Sales Price Zone 3</t>
  </si>
  <si>
    <t>Supply Price Zone 1</t>
  </si>
  <si>
    <t>Supply Price Zone 2</t>
  </si>
  <si>
    <t>Supply Price Zone 3</t>
  </si>
  <si>
    <t>Volume per Day Zone 3 Cisco</t>
  </si>
  <si>
    <t>Flexed-down volumes    Zone 1</t>
  </si>
  <si>
    <t>Flexed-down volumes    Zone 2</t>
  </si>
  <si>
    <t>Flexed-down volumes    Zone 3</t>
  </si>
  <si>
    <t>Flexed-down volumes</t>
  </si>
  <si>
    <t xml:space="preserve">Enron Supply Volume per Day Zone 1 </t>
  </si>
  <si>
    <t>Enron Supply Volume per Day Zone 2</t>
  </si>
  <si>
    <t>Enron Supply Volume per Day Zone 3</t>
  </si>
  <si>
    <t>Enron Replacement Volumes@ Zone 1 Index</t>
  </si>
  <si>
    <t>Enron Replacement Volumes@ Zone 2 Index</t>
  </si>
  <si>
    <t xml:space="preserve">Sonat Supply Volume per Day Zone 1 </t>
  </si>
  <si>
    <t xml:space="preserve">Sonat Supply Volume per Day Zone 2 </t>
  </si>
  <si>
    <t>Sonat Supply Volume per Day Zone 3</t>
  </si>
  <si>
    <t>Demand Charge Supply Volumes</t>
  </si>
  <si>
    <t>Exxon</t>
  </si>
  <si>
    <t>FP&amp;L Margin</t>
  </si>
  <si>
    <t>ECT/SMC Margin</t>
  </si>
  <si>
    <t>Volumes</t>
  </si>
  <si>
    <t>FP&amp;L Admin Fee</t>
  </si>
  <si>
    <t>Other Long Term Admin Fee</t>
  </si>
  <si>
    <t>Index Priced Admin Fee</t>
  </si>
  <si>
    <t>Transport Expense</t>
  </si>
  <si>
    <t>Financial Payment</t>
  </si>
  <si>
    <t>Resale of Capacity and excess Pan Nat</t>
  </si>
  <si>
    <t>Sales Reserve</t>
  </si>
  <si>
    <t>Supply Reserve</t>
  </si>
  <si>
    <t>volumes</t>
  </si>
  <si>
    <t>FLP per unit margin</t>
  </si>
  <si>
    <t>OUC volumes</t>
  </si>
  <si>
    <t>Auburndale Volumes</t>
  </si>
  <si>
    <t>Peoples Volumes</t>
  </si>
  <si>
    <t>Tallahassee  Volume</t>
  </si>
  <si>
    <t>FPL MDQ</t>
  </si>
  <si>
    <t>Margin without financial levelization</t>
  </si>
  <si>
    <t>Margin without reserves &amp; admin fee</t>
  </si>
  <si>
    <t>ECT Gas Cost</t>
  </si>
  <si>
    <t>SMC Gas Cost</t>
  </si>
  <si>
    <t>Other Gas Cost</t>
  </si>
  <si>
    <t>Year</t>
  </si>
  <si>
    <t>FPL Volumes</t>
  </si>
  <si>
    <t>All Other</t>
  </si>
  <si>
    <t>FPC Volumes</t>
  </si>
  <si>
    <t>Other Firm Volumes</t>
  </si>
  <si>
    <t>Index Volumes</t>
  </si>
  <si>
    <t>Supply Volumes Purchased from EL Paso</t>
  </si>
  <si>
    <t>Supply Volumes Purchased from Enron</t>
  </si>
  <si>
    <t>Admin fees paid to EL Paso</t>
  </si>
  <si>
    <t>Admin fees paid to Enron</t>
  </si>
  <si>
    <t>Full Year 2000</t>
  </si>
  <si>
    <t>(net of Amoco/Pan Nat replacement)</t>
  </si>
  <si>
    <t>Amoco/Pan Nat Replacement volumes purchased from Enron</t>
  </si>
  <si>
    <t>Relative value of margin stream</t>
  </si>
  <si>
    <t>discounted at</t>
  </si>
  <si>
    <t>from November 1, 2000</t>
  </si>
  <si>
    <t>This reflects the impact of FASB 133</t>
  </si>
  <si>
    <t>Contacts in Birmingham (supply)</t>
  </si>
  <si>
    <t>Heather Stubblefield  205.326.2070</t>
  </si>
  <si>
    <t>backup Tim Darden  205.325.7260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</si>
</sst>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44" formatCode="_(&quot;$&quot;* #,##0.00_);_(&quot;$&quot;* \(#,##0.00\);_(&quot;$&quot;* &quot;-&quot;??_);_(@_)"/>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_(* #,##0.00000_);_(* \(#,##0.00000\);_(* &quot;-&quot;??_);_(@_)"/>
    <numFmt numFmtId="169" formatCode="_(* #,##0.000000_);_(* \(#,##0.000000\);_(* &quot;-&quot;??_);_(@_)"/>
    <numFmt numFmtId="172" formatCode="0.0000"/>
    <numFmt numFmtId="173" formatCode="0.0%"/>
    <numFmt numFmtId="175" formatCode="_(&quot;$&quot;* #,##0.000_);_(&quot;$&quot;* \(#,##0.000\);_(&quot;$&quot;* &quot;-&quot;??_);_(@_)"/>
    <numFmt numFmtId="177" formatCode="_(* #,##0.0000000000_);_(* \(#,##0.0000000000\);_(* &quot;-&quot;??_);_(@_)"/>
    <numFmt numFmtId="182" formatCode="_(&quot;$&quot;* #,##0_);_(&quot;$&quot;* \(#,##0\);_(&quot;$&quot;* &quot;-&quot;??_);_(@_)"/>
  </numFmts>
  <fonts count="3" x14ac:knownFonts="1">
    <font>
      <sz val="10"/>
      <name val="Arial"/>
    </font>
    <font>
      <sz val="10"/>
      <name val="Arial"/>
    </font>
    <font>
      <sz val="8"/>
      <name val="Arial"/>
      <family val="2"/>
    </font>
  </fonts>
  <fills count="4">
    <fill>
      <patternFill patternType="none"/>
    </fill>
    <fill>
      <patternFill patternType="gray125"/>
    </fill>
    <fill>
      <patternFill patternType="solid">
        <fgColor indexed="15"/>
        <bgColor indexed="64"/>
      </patternFill>
    </fill>
    <fill>
      <patternFill patternType="solid">
        <fgColor indexed="13"/>
        <bgColor indexed="64"/>
      </patternFill>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2">
    <xf numFmtId="0" fontId="0" fillId="0" borderId="0" xfId="0"/>
    <xf numFmtId="165" fontId="2" fillId="0" borderId="0" xfId="1" applyNumberFormat="1" applyFont="1"/>
    <xf numFmtId="10" fontId="2" fillId="0" borderId="0" xfId="3" applyNumberFormat="1" applyFont="1"/>
    <xf numFmtId="0" fontId="2" fillId="0" borderId="0" xfId="0" applyFont="1"/>
    <xf numFmtId="165" fontId="2" fillId="0" borderId="1" xfId="1" applyNumberFormat="1" applyFont="1" applyBorder="1" applyAlignment="1">
      <alignment horizontal="centerContinuous"/>
    </xf>
    <xf numFmtId="0" fontId="2" fillId="0" borderId="1" xfId="0" applyFont="1" applyBorder="1" applyAlignment="1">
      <alignment horizontal="centerContinuous"/>
    </xf>
    <xf numFmtId="165" fontId="2" fillId="0" borderId="0" xfId="1" quotePrefix="1" applyNumberFormat="1" applyFont="1" applyAlignment="1">
      <alignment horizontal="center" wrapText="1"/>
    </xf>
    <xf numFmtId="165" fontId="2" fillId="0" borderId="0" xfId="1" applyNumberFormat="1" applyFont="1" applyAlignment="1">
      <alignment horizontal="center" wrapText="1"/>
    </xf>
    <xf numFmtId="0" fontId="2" fillId="0" borderId="0" xfId="0" applyFont="1" applyAlignment="1">
      <alignment horizontal="center" wrapText="1"/>
    </xf>
    <xf numFmtId="0" fontId="2" fillId="0" borderId="0" xfId="0" quotePrefix="1" applyFont="1" applyAlignment="1">
      <alignment horizontal="center" wrapText="1"/>
    </xf>
    <xf numFmtId="17" fontId="2" fillId="0" borderId="0" xfId="0" applyNumberFormat="1" applyFont="1"/>
    <xf numFmtId="167" fontId="2" fillId="0" borderId="0" xfId="1" applyNumberFormat="1" applyFont="1"/>
    <xf numFmtId="172" fontId="2" fillId="0" borderId="0" xfId="0" applyNumberFormat="1" applyFont="1"/>
    <xf numFmtId="165" fontId="2" fillId="0" borderId="0" xfId="0" applyNumberFormat="1" applyFont="1"/>
    <xf numFmtId="165" fontId="2" fillId="0" borderId="0" xfId="1" quotePrefix="1" applyNumberFormat="1" applyFont="1" applyAlignment="1">
      <alignment horizontal="left"/>
    </xf>
    <xf numFmtId="10" fontId="2" fillId="0" borderId="0" xfId="0" applyNumberFormat="1" applyFont="1"/>
    <xf numFmtId="0" fontId="0" fillId="0" borderId="1" xfId="0" applyBorder="1" applyAlignment="1">
      <alignment horizontal="centerContinuous"/>
    </xf>
    <xf numFmtId="167" fontId="2" fillId="0" borderId="1" xfId="1" applyNumberFormat="1" applyFont="1" applyBorder="1" applyAlignment="1">
      <alignment horizontal="centerContinuous"/>
    </xf>
    <xf numFmtId="167" fontId="2" fillId="0" borderId="0" xfId="1" quotePrefix="1" applyNumberFormat="1" applyFont="1" applyAlignment="1">
      <alignment horizontal="center" wrapText="1"/>
    </xf>
    <xf numFmtId="175" fontId="2" fillId="0" borderId="0" xfId="2" applyNumberFormat="1" applyFont="1"/>
    <xf numFmtId="166" fontId="2" fillId="0" borderId="0" xfId="1" applyNumberFormat="1" applyFont="1" applyBorder="1"/>
    <xf numFmtId="165" fontId="0" fillId="0" borderId="0" xfId="1" applyNumberFormat="1" applyFont="1"/>
    <xf numFmtId="165" fontId="2" fillId="0" borderId="0" xfId="1" applyNumberFormat="1" applyFont="1" applyAlignment="1">
      <alignment horizontal="centerContinuous" wrapText="1"/>
    </xf>
    <xf numFmtId="165" fontId="0" fillId="0" borderId="0" xfId="0" applyNumberFormat="1"/>
    <xf numFmtId="0" fontId="2" fillId="0" borderId="0" xfId="0" applyFont="1" applyAlignment="1">
      <alignment horizontal="centerContinuous" wrapText="1"/>
    </xf>
    <xf numFmtId="167" fontId="2" fillId="0" borderId="0" xfId="1" quotePrefix="1" applyNumberFormat="1" applyFont="1" applyAlignment="1">
      <alignment horizontal="left"/>
    </xf>
    <xf numFmtId="0" fontId="0" fillId="0" borderId="0" xfId="0" applyAlignment="1">
      <alignment horizontal="centerContinuous"/>
    </xf>
    <xf numFmtId="165" fontId="2" fillId="0" borderId="0" xfId="1" quotePrefix="1" applyNumberFormat="1" applyFont="1" applyAlignment="1">
      <alignment horizontal="centerContinuous" wrapText="1"/>
    </xf>
    <xf numFmtId="167" fontId="2" fillId="0" borderId="0" xfId="0" applyNumberFormat="1" applyFont="1"/>
    <xf numFmtId="43" fontId="2" fillId="0" borderId="0" xfId="1" applyNumberFormat="1" applyFont="1"/>
    <xf numFmtId="177" fontId="2" fillId="0" borderId="0" xfId="1" applyNumberFormat="1" applyFont="1"/>
    <xf numFmtId="0" fontId="2" fillId="0" borderId="0" xfId="0" applyFont="1" applyBorder="1" applyAlignment="1">
      <alignment horizontal="centerContinuous"/>
    </xf>
    <xf numFmtId="0" fontId="2" fillId="0" borderId="0" xfId="0" applyFont="1" applyAlignment="1">
      <alignment horizontal="center"/>
    </xf>
    <xf numFmtId="43" fontId="2" fillId="0" borderId="0" xfId="1" applyNumberFormat="1" applyFont="1" applyAlignment="1">
      <alignment horizontal="center"/>
    </xf>
    <xf numFmtId="164" fontId="2" fillId="0" borderId="0" xfId="1" applyNumberFormat="1" applyFont="1"/>
    <xf numFmtId="0" fontId="0" fillId="0" borderId="0" xfId="0" applyAlignment="1">
      <alignment horizontal="center"/>
    </xf>
    <xf numFmtId="0" fontId="0" fillId="0" borderId="0" xfId="0" quotePrefix="1" applyAlignment="1">
      <alignment horizontal="center"/>
    </xf>
    <xf numFmtId="0" fontId="0" fillId="0" borderId="0" xfId="0" applyAlignment="1">
      <alignment wrapText="1"/>
    </xf>
    <xf numFmtId="10" fontId="2" fillId="0" borderId="1" xfId="3" applyNumberFormat="1" applyFont="1" applyBorder="1" applyAlignment="1">
      <alignment horizontal="centerContinuous"/>
    </xf>
    <xf numFmtId="0" fontId="2" fillId="0" borderId="1" xfId="0" applyFont="1" applyBorder="1" applyAlignment="1">
      <alignment horizontal="centerContinuous" wrapText="1"/>
    </xf>
    <xf numFmtId="17" fontId="2" fillId="0" borderId="0" xfId="0" applyNumberFormat="1" applyFont="1" applyAlignment="1">
      <alignment horizontal="center" wrapText="1"/>
    </xf>
    <xf numFmtId="10" fontId="2" fillId="0" borderId="0" xfId="3" applyNumberFormat="1" applyFont="1" applyAlignment="1">
      <alignment horizontal="center"/>
    </xf>
    <xf numFmtId="10" fontId="2" fillId="0" borderId="0" xfId="3" quotePrefix="1" applyNumberFormat="1" applyFont="1" applyAlignment="1">
      <alignment horizontal="center"/>
    </xf>
    <xf numFmtId="17" fontId="2" fillId="0" borderId="0" xfId="0" applyNumberFormat="1" applyFont="1" applyAlignment="1">
      <alignment wrapText="1"/>
    </xf>
    <xf numFmtId="175" fontId="2" fillId="0" borderId="0" xfId="0" applyNumberFormat="1" applyFont="1"/>
    <xf numFmtId="0" fontId="0" fillId="0" borderId="0" xfId="0" applyAlignment="1">
      <alignment horizontal="centerContinuous" wrapText="1"/>
    </xf>
    <xf numFmtId="165" fontId="2" fillId="0" borderId="0" xfId="1" applyNumberFormat="1" applyFont="1" applyBorder="1" applyAlignment="1">
      <alignment horizontal="centerContinuous"/>
    </xf>
    <xf numFmtId="167" fontId="2" fillId="0" borderId="0" xfId="1" applyNumberFormat="1" applyFont="1" applyBorder="1" applyAlignment="1">
      <alignment horizontal="centerContinuous"/>
    </xf>
    <xf numFmtId="0" fontId="2" fillId="0" borderId="0" xfId="0" applyFont="1" applyBorder="1" applyAlignment="1">
      <alignment horizontal="center" wrapText="1"/>
    </xf>
    <xf numFmtId="165" fontId="2" fillId="0" borderId="0" xfId="1" applyNumberFormat="1" applyFont="1" applyBorder="1" applyAlignment="1">
      <alignment horizontal="center" wrapText="1"/>
    </xf>
    <xf numFmtId="0" fontId="2" fillId="0" borderId="1" xfId="0" applyFont="1" applyBorder="1" applyAlignment="1"/>
    <xf numFmtId="165" fontId="2" fillId="0" borderId="1" xfId="1" applyNumberFormat="1" applyFont="1" applyBorder="1" applyAlignment="1">
      <alignment horizontal="centerContinuous" wrapText="1"/>
    </xf>
    <xf numFmtId="43" fontId="2" fillId="0" borderId="0" xfId="0" applyNumberFormat="1" applyFont="1"/>
    <xf numFmtId="165" fontId="1" fillId="0" borderId="0" xfId="1" applyNumberFormat="1"/>
    <xf numFmtId="0" fontId="2" fillId="0" borderId="0" xfId="0" applyNumberFormat="1" applyFont="1"/>
    <xf numFmtId="0" fontId="2" fillId="0" borderId="0" xfId="0" applyNumberFormat="1" applyFont="1" applyAlignment="1">
      <alignment horizontal="center" wrapText="1"/>
    </xf>
    <xf numFmtId="14" fontId="2" fillId="0" borderId="0" xfId="0" applyNumberFormat="1" applyFont="1"/>
    <xf numFmtId="37" fontId="2" fillId="0" borderId="0" xfId="0" applyNumberFormat="1" applyFont="1"/>
    <xf numFmtId="0" fontId="2" fillId="2" borderId="0" xfId="0" applyFont="1" applyFill="1"/>
    <xf numFmtId="0" fontId="2" fillId="2" borderId="0" xfId="0" applyFont="1" applyFill="1" applyAlignment="1">
      <alignment horizontal="center" wrapText="1"/>
    </xf>
    <xf numFmtId="165" fontId="2" fillId="2" borderId="0" xfId="0" applyNumberFormat="1" applyFont="1" applyFill="1"/>
    <xf numFmtId="165" fontId="2" fillId="2" borderId="0" xfId="1" applyNumberFormat="1" applyFont="1" applyFill="1"/>
    <xf numFmtId="175" fontId="2" fillId="0" borderId="1" xfId="2" applyNumberFormat="1" applyFont="1" applyBorder="1" applyAlignment="1">
      <alignment horizontal="centerContinuous"/>
    </xf>
    <xf numFmtId="175" fontId="2" fillId="0" borderId="0" xfId="2" applyNumberFormat="1" applyFont="1" applyAlignment="1">
      <alignment horizontal="center"/>
    </xf>
    <xf numFmtId="175" fontId="2" fillId="0" borderId="0" xfId="2" applyNumberFormat="1" applyFont="1" applyAlignment="1">
      <alignment horizontal="right"/>
    </xf>
    <xf numFmtId="168" fontId="2" fillId="0" borderId="0" xfId="1" applyNumberFormat="1" applyFont="1"/>
    <xf numFmtId="168" fontId="2" fillId="0" borderId="0" xfId="0" applyNumberFormat="1" applyFont="1"/>
    <xf numFmtId="43" fontId="0" fillId="0" borderId="0" xfId="1" applyFont="1"/>
    <xf numFmtId="0" fontId="0" fillId="0" borderId="0" xfId="0" applyAlignment="1">
      <alignment horizontal="center" wrapText="1"/>
    </xf>
    <xf numFmtId="43" fontId="0" fillId="0" borderId="0" xfId="1" applyFont="1" applyAlignment="1">
      <alignment horizontal="center" wrapText="1"/>
    </xf>
    <xf numFmtId="9" fontId="0" fillId="0" borderId="0" xfId="0" applyNumberFormat="1"/>
    <xf numFmtId="17" fontId="0" fillId="0" borderId="0" xfId="0" applyNumberFormat="1"/>
    <xf numFmtId="165" fontId="0" fillId="0" borderId="0" xfId="1" applyNumberFormat="1" applyFont="1" applyAlignment="1">
      <alignment horizontal="center" wrapText="1"/>
    </xf>
    <xf numFmtId="10" fontId="0" fillId="0" borderId="0" xfId="0" applyNumberFormat="1"/>
    <xf numFmtId="43" fontId="0" fillId="0" borderId="0" xfId="0" applyNumberFormat="1"/>
    <xf numFmtId="169" fontId="2" fillId="0" borderId="0" xfId="1" applyNumberFormat="1" applyFont="1"/>
    <xf numFmtId="167" fontId="2" fillId="0" borderId="0" xfId="1" applyNumberFormat="1" applyFont="1" applyAlignment="1">
      <alignment horizontal="center" wrapText="1"/>
    </xf>
    <xf numFmtId="17" fontId="2" fillId="3" borderId="0" xfId="0" applyNumberFormat="1" applyFont="1" applyFill="1"/>
    <xf numFmtId="175" fontId="2" fillId="3" borderId="0" xfId="2" applyNumberFormat="1" applyFont="1" applyFill="1"/>
    <xf numFmtId="10" fontId="2" fillId="3" borderId="0" xfId="3" applyNumberFormat="1" applyFont="1" applyFill="1"/>
    <xf numFmtId="10" fontId="2" fillId="3" borderId="0" xfId="0" applyNumberFormat="1" applyFont="1" applyFill="1"/>
    <xf numFmtId="0" fontId="2" fillId="3" borderId="0" xfId="0" applyFont="1" applyFill="1"/>
    <xf numFmtId="172" fontId="2" fillId="3" borderId="0" xfId="0" applyNumberFormat="1" applyFont="1" applyFill="1"/>
    <xf numFmtId="175" fontId="2" fillId="3" borderId="0" xfId="0" applyNumberFormat="1" applyFont="1" applyFill="1"/>
    <xf numFmtId="167" fontId="2" fillId="3" borderId="0" xfId="1" applyNumberFormat="1" applyFont="1" applyFill="1" applyAlignment="1">
      <alignment horizontal="center" wrapText="1"/>
    </xf>
    <xf numFmtId="0" fontId="2" fillId="3" borderId="0" xfId="0" applyFont="1" applyFill="1" applyAlignment="1">
      <alignment horizontal="center" wrapText="1"/>
    </xf>
    <xf numFmtId="167" fontId="2" fillId="0" borderId="0" xfId="1" applyNumberFormat="1" applyFont="1" applyAlignment="1">
      <alignment horizontal="center"/>
    </xf>
    <xf numFmtId="167" fontId="2" fillId="3" borderId="0" xfId="1" applyNumberFormat="1" applyFont="1" applyFill="1"/>
    <xf numFmtId="6" fontId="2" fillId="0" borderId="0" xfId="0" applyNumberFormat="1" applyFont="1"/>
    <xf numFmtId="182" fontId="0" fillId="0" borderId="0" xfId="2" applyNumberFormat="1" applyFont="1"/>
    <xf numFmtId="173" fontId="0" fillId="0" borderId="0" xfId="3" applyNumberFormat="1" applyFont="1"/>
    <xf numFmtId="6" fontId="0" fillId="0" borderId="0" xfId="0" applyNumberForma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2000%20FINANCING\20%20yr%20with%20phases%20IV%20&amp;%20V.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e/CTRADE/FPL/FPLMISC/PANNAT~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Joe/CTRADE/FPL/FPLMISC/NEWSU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Joe/CTRADE/FPL/FPLMISC/FPLLEVS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o Analysis"/>
      <sheetName val="CITRUS CON"/>
      <sheetName val="FGT CON"/>
      <sheetName val="062"/>
      <sheetName val="P3"/>
      <sheetName val="P4&amp;5"/>
      <sheetName val="536"/>
      <sheetName val="711"/>
      <sheetName val="Trade"/>
      <sheetName val="CESI"/>
      <sheetName val="Corp"/>
      <sheetName val="Elim"/>
      <sheetName val="Assumptions"/>
      <sheetName val="Depreciation"/>
      <sheetName val="New LTD"/>
      <sheetName val="LTD"/>
      <sheetName val="TAX"/>
      <sheetName val="Trading Summary"/>
      <sheetName val="Con Summary"/>
      <sheetName val="FGT CON SUMMARY"/>
      <sheetName val="Module1"/>
    </sheetNames>
    <sheetDataSet>
      <sheetData sheetId="0"/>
      <sheetData sheetId="1"/>
      <sheetData sheetId="2"/>
      <sheetData sheetId="3">
        <row r="50">
          <cell r="N50">
            <v>925000</v>
          </cell>
          <cell r="P50">
            <v>925000</v>
          </cell>
          <cell r="Q50">
            <v>925000</v>
          </cell>
          <cell r="R50">
            <v>925000</v>
          </cell>
          <cell r="S50">
            <v>925000</v>
          </cell>
          <cell r="T50">
            <v>925000</v>
          </cell>
          <cell r="U50">
            <v>925000</v>
          </cell>
          <cell r="V50">
            <v>925000</v>
          </cell>
          <cell r="W50">
            <v>925000</v>
          </cell>
          <cell r="X50">
            <v>925000</v>
          </cell>
          <cell r="Y50">
            <v>925000</v>
          </cell>
          <cell r="Z50">
            <v>925000</v>
          </cell>
        </row>
        <row r="56">
          <cell r="N56">
            <v>125949</v>
          </cell>
          <cell r="P56">
            <v>134404</v>
          </cell>
          <cell r="Q56">
            <v>134404</v>
          </cell>
          <cell r="R56">
            <v>134404</v>
          </cell>
          <cell r="S56">
            <v>134404</v>
          </cell>
          <cell r="T56">
            <v>134404</v>
          </cell>
          <cell r="U56">
            <v>134404</v>
          </cell>
          <cell r="V56">
            <v>134404</v>
          </cell>
          <cell r="W56">
            <v>134404</v>
          </cell>
          <cell r="X56">
            <v>134404</v>
          </cell>
          <cell r="Y56">
            <v>134404</v>
          </cell>
          <cell r="Z56">
            <v>134404</v>
          </cell>
        </row>
      </sheetData>
      <sheetData sheetId="4"/>
      <sheetData sheetId="5"/>
      <sheetData sheetId="6"/>
      <sheetData sheetId="7"/>
      <sheetData sheetId="8"/>
      <sheetData sheetId="9"/>
      <sheetData sheetId="10"/>
      <sheetData sheetId="11"/>
      <sheetData sheetId="12">
        <row r="9">
          <cell r="N9">
            <v>365</v>
          </cell>
          <cell r="P9">
            <v>365</v>
          </cell>
          <cell r="Q9">
            <v>365</v>
          </cell>
          <cell r="R9">
            <v>365</v>
          </cell>
          <cell r="S9">
            <v>366</v>
          </cell>
          <cell r="T9">
            <v>365</v>
          </cell>
          <cell r="U9">
            <v>365</v>
          </cell>
          <cell r="V9">
            <v>365</v>
          </cell>
          <cell r="W9">
            <v>366</v>
          </cell>
          <cell r="X9">
            <v>365</v>
          </cell>
          <cell r="Y9">
            <v>365</v>
          </cell>
          <cell r="Z9">
            <v>365</v>
          </cell>
        </row>
      </sheetData>
      <sheetData sheetId="13"/>
      <sheetData sheetId="14"/>
      <sheetData sheetId="15"/>
      <sheetData sheetId="16"/>
      <sheetData sheetId="17"/>
      <sheetData sheetId="18"/>
      <sheetData sheetId="19"/>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NAT~1"/>
    </sheetNames>
    <sheetDataSet>
      <sheetData sheetId="0">
        <row r="12">
          <cell r="AL12">
            <v>216274.51827774849</v>
          </cell>
        </row>
        <row r="13">
          <cell r="AL13">
            <v>45619.371347643435</v>
          </cell>
        </row>
        <row r="14">
          <cell r="AL14">
            <v>216274.51827774849</v>
          </cell>
        </row>
        <row r="15">
          <cell r="AL15">
            <v>90464.266360053793</v>
          </cell>
        </row>
        <row r="16">
          <cell r="AL16">
            <v>146131.16099847853</v>
          </cell>
        </row>
        <row r="17">
          <cell r="AL17">
            <v>107695.31709530205</v>
          </cell>
        </row>
        <row r="18">
          <cell r="AL18">
            <v>146131.16099847853</v>
          </cell>
        </row>
        <row r="19">
          <cell r="AL19">
            <v>170387.48163493723</v>
          </cell>
        </row>
        <row r="20">
          <cell r="AL20">
            <v>125571.59513058513</v>
          </cell>
        </row>
        <row r="21">
          <cell r="AL21">
            <v>170387.48163493723</v>
          </cell>
        </row>
        <row r="22">
          <cell r="AL22">
            <v>125571.59513058513</v>
          </cell>
        </row>
        <row r="23">
          <cell r="AL23">
            <v>170387.48163493723</v>
          </cell>
        </row>
        <row r="24">
          <cell r="AL24">
            <v>170387.48163493723</v>
          </cell>
        </row>
        <row r="25">
          <cell r="AL25">
            <v>80755.708626233041</v>
          </cell>
        </row>
        <row r="26">
          <cell r="AL26">
            <v>170387.48163493723</v>
          </cell>
        </row>
        <row r="27">
          <cell r="AL27">
            <v>125571.59513058513</v>
          </cell>
        </row>
        <row r="28">
          <cell r="AL28">
            <v>170387.48163493723</v>
          </cell>
        </row>
        <row r="29">
          <cell r="AL29">
            <v>125571.59513058513</v>
          </cell>
        </row>
        <row r="30">
          <cell r="AL30">
            <v>170387.48163493723</v>
          </cell>
        </row>
        <row r="31">
          <cell r="AL31">
            <v>118982.45146353543</v>
          </cell>
        </row>
        <row r="32">
          <cell r="AL32">
            <v>87687.372384067625</v>
          </cell>
        </row>
        <row r="33">
          <cell r="AL33">
            <v>118982.45146353915</v>
          </cell>
        </row>
        <row r="34">
          <cell r="AL34">
            <v>87687.372384067625</v>
          </cell>
        </row>
        <row r="35">
          <cell r="AL35">
            <v>118982.45146353915</v>
          </cell>
        </row>
        <row r="36">
          <cell r="AL36">
            <v>118982.45146353543</v>
          </cell>
        </row>
        <row r="37">
          <cell r="AL37">
            <v>25097.214225132018</v>
          </cell>
        </row>
        <row r="38">
          <cell r="AL38">
            <v>118982.45146353915</v>
          </cell>
        </row>
        <row r="39">
          <cell r="AL39">
            <v>87687.37238407135</v>
          </cell>
        </row>
        <row r="40">
          <cell r="AL40">
            <v>118982.45146353543</v>
          </cell>
        </row>
        <row r="41">
          <cell r="AL41">
            <v>87687.37238407135</v>
          </cell>
        </row>
        <row r="42">
          <cell r="AL42">
            <v>118982.45146353543</v>
          </cell>
        </row>
        <row r="43">
          <cell r="AL43">
            <v>810446.82753258944</v>
          </cell>
        </row>
        <row r="44">
          <cell r="AL44">
            <v>784303.38148315251</v>
          </cell>
        </row>
        <row r="45">
          <cell r="AL45">
            <v>810446.82753258944</v>
          </cell>
        </row>
        <row r="46">
          <cell r="AL46">
            <v>784303.38148315251</v>
          </cell>
        </row>
        <row r="47">
          <cell r="AL47">
            <v>810446.82753258944</v>
          </cell>
        </row>
        <row r="48">
          <cell r="AL48">
            <v>810446.82753258944</v>
          </cell>
        </row>
        <row r="49">
          <cell r="AL49">
            <v>732016.4893842712</v>
          </cell>
        </row>
        <row r="50">
          <cell r="AL50">
            <v>810446.82753258944</v>
          </cell>
        </row>
        <row r="51">
          <cell r="AL51">
            <v>784303.38148315251</v>
          </cell>
        </row>
        <row r="52">
          <cell r="AL52">
            <v>810446.8275325892</v>
          </cell>
        </row>
        <row r="53">
          <cell r="AL53">
            <v>784303.38148315088</v>
          </cell>
        </row>
        <row r="54">
          <cell r="AL54">
            <v>810446.8275325892</v>
          </cell>
        </row>
        <row r="55">
          <cell r="AL55">
            <v>764635.60641451972</v>
          </cell>
        </row>
        <row r="56">
          <cell r="AL56">
            <v>739969.94169147068</v>
          </cell>
        </row>
        <row r="57">
          <cell r="AL57">
            <v>764635.60641451972</v>
          </cell>
        </row>
        <row r="58">
          <cell r="AL58">
            <v>739969.94169147068</v>
          </cell>
        </row>
        <row r="59">
          <cell r="AL59">
            <v>764635.60641451972</v>
          </cell>
        </row>
        <row r="60">
          <cell r="AL60">
            <v>764635.60641451972</v>
          </cell>
        </row>
        <row r="61">
          <cell r="AL61">
            <v>690638.61224537261</v>
          </cell>
        </row>
        <row r="62">
          <cell r="AL62">
            <v>764635.60641451972</v>
          </cell>
        </row>
        <row r="63">
          <cell r="AL63">
            <v>739969.94169147068</v>
          </cell>
        </row>
        <row r="64">
          <cell r="AL64">
            <v>764635.60641451972</v>
          </cell>
        </row>
        <row r="65">
          <cell r="AL65">
            <v>739969.94169147068</v>
          </cell>
        </row>
        <row r="66">
          <cell r="AL66">
            <v>764635.60641451972</v>
          </cell>
        </row>
        <row r="67">
          <cell r="AL67">
            <v>763215.32511060953</v>
          </cell>
        </row>
        <row r="68">
          <cell r="AL68">
            <v>738595.47591349308</v>
          </cell>
        </row>
        <row r="69">
          <cell r="AL69">
            <v>763215.32511060953</v>
          </cell>
        </row>
        <row r="70">
          <cell r="AL70">
            <v>738595.47591349308</v>
          </cell>
        </row>
        <row r="71">
          <cell r="AL71">
            <v>763215.32511060953</v>
          </cell>
        </row>
        <row r="72">
          <cell r="AL72">
            <v>762567.14303902641</v>
          </cell>
        </row>
        <row r="73">
          <cell r="AL73">
            <v>713369.26284296019</v>
          </cell>
        </row>
        <row r="74">
          <cell r="AL74">
            <v>762567.14303902641</v>
          </cell>
        </row>
        <row r="75">
          <cell r="AL75">
            <v>737968.20294099324</v>
          </cell>
        </row>
        <row r="76">
          <cell r="AL76">
            <v>762567.14303902641</v>
          </cell>
        </row>
        <row r="77">
          <cell r="AL77">
            <v>737968.20294099324</v>
          </cell>
        </row>
        <row r="78">
          <cell r="AL78">
            <v>762567.14303902641</v>
          </cell>
        </row>
        <row r="79">
          <cell r="AL79">
            <v>762567.14303902641</v>
          </cell>
        </row>
        <row r="80">
          <cell r="AL80">
            <v>737968.20294099324</v>
          </cell>
        </row>
        <row r="81">
          <cell r="AL81">
            <v>762567.14303902641</v>
          </cell>
        </row>
        <row r="82">
          <cell r="AL82">
            <v>737968.20294099324</v>
          </cell>
        </row>
        <row r="83">
          <cell r="AL83">
            <v>762567.14303902641</v>
          </cell>
        </row>
        <row r="84">
          <cell r="AL84">
            <v>762567.14303902641</v>
          </cell>
        </row>
        <row r="85">
          <cell r="AL85">
            <v>688770.32274492702</v>
          </cell>
        </row>
        <row r="86">
          <cell r="AL86">
            <v>762567.14303902641</v>
          </cell>
        </row>
        <row r="87">
          <cell r="AL87">
            <v>737968.20294099324</v>
          </cell>
        </row>
        <row r="88">
          <cell r="AL88">
            <v>762567.14303902641</v>
          </cell>
        </row>
        <row r="89">
          <cell r="AL89">
            <v>737968.20294099324</v>
          </cell>
        </row>
        <row r="90">
          <cell r="AL90">
            <v>762567.14303902641</v>
          </cell>
        </row>
        <row r="91">
          <cell r="AL91">
            <v>762567.14303902641</v>
          </cell>
        </row>
        <row r="92">
          <cell r="AL92">
            <v>737968.20294099324</v>
          </cell>
        </row>
        <row r="93">
          <cell r="AL93">
            <v>762567.14303902641</v>
          </cell>
        </row>
        <row r="94">
          <cell r="AL94">
            <v>737968.20294099324</v>
          </cell>
        </row>
        <row r="95">
          <cell r="AL95">
            <v>762567.14303902641</v>
          </cell>
        </row>
        <row r="96">
          <cell r="AL96">
            <v>762567.14303902641</v>
          </cell>
        </row>
        <row r="97">
          <cell r="AL97">
            <v>688770.32274492702</v>
          </cell>
        </row>
        <row r="98">
          <cell r="AL98">
            <v>762567.14303902641</v>
          </cell>
        </row>
        <row r="99">
          <cell r="AL99">
            <v>737968.20294099324</v>
          </cell>
        </row>
        <row r="100">
          <cell r="AL100">
            <v>762567.14303902641</v>
          </cell>
        </row>
        <row r="101">
          <cell r="AL101">
            <v>737968.20294099324</v>
          </cell>
        </row>
        <row r="102">
          <cell r="AL102">
            <v>762567.14303902641</v>
          </cell>
        </row>
        <row r="103">
          <cell r="AL103">
            <v>762567.14303902641</v>
          </cell>
        </row>
        <row r="104">
          <cell r="AL104">
            <v>737968.20294099324</v>
          </cell>
        </row>
        <row r="105">
          <cell r="AL105">
            <v>762567.14303902641</v>
          </cell>
        </row>
        <row r="106">
          <cell r="AL106">
            <v>737968.20294099324</v>
          </cell>
        </row>
        <row r="107">
          <cell r="AL107">
            <v>762567.14303902641</v>
          </cell>
        </row>
        <row r="108">
          <cell r="AL108">
            <v>762567.14303902641</v>
          </cell>
        </row>
        <row r="109">
          <cell r="AL109">
            <v>688770.32274492702</v>
          </cell>
        </row>
        <row r="110">
          <cell r="AL110">
            <v>762567.14303902641</v>
          </cell>
        </row>
        <row r="111">
          <cell r="AL111">
            <v>737968.20294099324</v>
          </cell>
        </row>
        <row r="112">
          <cell r="AL112">
            <v>762567.14303902641</v>
          </cell>
        </row>
        <row r="113">
          <cell r="AL113">
            <v>737968.20294099324</v>
          </cell>
        </row>
        <row r="114">
          <cell r="AL114">
            <v>762567.14303902641</v>
          </cell>
        </row>
        <row r="115">
          <cell r="AL115">
            <v>762567.14303902641</v>
          </cell>
        </row>
        <row r="116">
          <cell r="AL116">
            <v>737968.20294099324</v>
          </cell>
        </row>
        <row r="117">
          <cell r="AL117">
            <v>762567.14303902641</v>
          </cell>
        </row>
        <row r="118">
          <cell r="AL118">
            <v>737968.20294099324</v>
          </cell>
        </row>
        <row r="119">
          <cell r="AL119">
            <v>762567.14303902641</v>
          </cell>
        </row>
        <row r="120">
          <cell r="AL120">
            <v>762567.14303902641</v>
          </cell>
        </row>
        <row r="121">
          <cell r="AL121">
            <v>713369.26284296019</v>
          </cell>
        </row>
        <row r="122">
          <cell r="AL122">
            <v>762567.14303902641</v>
          </cell>
        </row>
        <row r="123">
          <cell r="AL123">
            <v>737968.20294099324</v>
          </cell>
        </row>
        <row r="124">
          <cell r="AL124">
            <v>762567.14303902641</v>
          </cell>
        </row>
        <row r="125">
          <cell r="AL125">
            <v>737968.20294099324</v>
          </cell>
        </row>
        <row r="126">
          <cell r="AL126">
            <v>762567.14303902641</v>
          </cell>
        </row>
        <row r="127">
          <cell r="AL127">
            <v>762567.14303902641</v>
          </cell>
        </row>
        <row r="128">
          <cell r="AL128">
            <v>737968.20294099324</v>
          </cell>
        </row>
        <row r="129">
          <cell r="AL129">
            <v>762567.14303902641</v>
          </cell>
        </row>
        <row r="130">
          <cell r="AL130">
            <v>737968.20294099324</v>
          </cell>
        </row>
        <row r="131">
          <cell r="AL131">
            <v>762567.14303902641</v>
          </cell>
        </row>
        <row r="132">
          <cell r="AL132">
            <v>762567.14303902641</v>
          </cell>
        </row>
        <row r="133">
          <cell r="AL133">
            <v>688770.32274492702</v>
          </cell>
        </row>
        <row r="134">
          <cell r="AL134">
            <v>762567.14303902641</v>
          </cell>
        </row>
        <row r="135">
          <cell r="AL135">
            <v>737968.20294099324</v>
          </cell>
        </row>
        <row r="136">
          <cell r="AL136">
            <v>762567.14303902641</v>
          </cell>
        </row>
        <row r="137">
          <cell r="AL137">
            <v>737968.20294099324</v>
          </cell>
        </row>
        <row r="138">
          <cell r="AL138">
            <v>762567.14303902641</v>
          </cell>
        </row>
        <row r="139">
          <cell r="AL139">
            <v>762567.14303902641</v>
          </cell>
        </row>
      </sheetData>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sheetData sheetId="1">
        <row r="13">
          <cell r="O13">
            <v>525297.33613643632</v>
          </cell>
        </row>
        <row r="14">
          <cell r="O14">
            <v>542807.24734098429</v>
          </cell>
        </row>
        <row r="16">
          <cell r="O16">
            <v>494844.37988353183</v>
          </cell>
        </row>
        <row r="17">
          <cell r="O17">
            <v>446956.21408835141</v>
          </cell>
        </row>
        <row r="18">
          <cell r="O18">
            <v>494844.37988353183</v>
          </cell>
        </row>
        <row r="19">
          <cell r="O19">
            <v>478881.65795180493</v>
          </cell>
        </row>
        <row r="20">
          <cell r="O20">
            <v>709276.94449972897</v>
          </cell>
        </row>
        <row r="21">
          <cell r="O21">
            <v>686397.04306425387</v>
          </cell>
        </row>
        <row r="22">
          <cell r="O22">
            <v>709276.94449972897</v>
          </cell>
        </row>
        <row r="23">
          <cell r="O23">
            <v>709276.94449972897</v>
          </cell>
        </row>
        <row r="24">
          <cell r="O24">
            <v>686397.04306425387</v>
          </cell>
        </row>
        <row r="25">
          <cell r="O25">
            <v>494844.37988353183</v>
          </cell>
        </row>
        <row r="26">
          <cell r="O26">
            <v>478881.65795180504</v>
          </cell>
        </row>
        <row r="27">
          <cell r="O27">
            <v>494844.37988353183</v>
          </cell>
        </row>
        <row r="29">
          <cell r="O29">
            <v>446881.51242607983</v>
          </cell>
        </row>
        <row r="30">
          <cell r="O30">
            <v>403634.91444936238</v>
          </cell>
        </row>
        <row r="31">
          <cell r="O31">
            <v>446881.51242607983</v>
          </cell>
        </row>
        <row r="32">
          <cell r="O32">
            <v>432465.97976717388</v>
          </cell>
        </row>
        <row r="33">
          <cell r="O33">
            <v>640530.16781071411</v>
          </cell>
        </row>
        <row r="34">
          <cell r="O34">
            <v>619867.90433294931</v>
          </cell>
        </row>
        <row r="35">
          <cell r="O35">
            <v>300518.71254303266</v>
          </cell>
        </row>
        <row r="36">
          <cell r="O36">
            <v>300518.71254303266</v>
          </cell>
        </row>
        <row r="37">
          <cell r="O37">
            <v>290824.56052551547</v>
          </cell>
        </row>
        <row r="38">
          <cell r="O38">
            <v>175524.2037861961</v>
          </cell>
        </row>
        <row r="39">
          <cell r="O39">
            <v>169862.13269631879</v>
          </cell>
        </row>
        <row r="40">
          <cell r="O40">
            <v>175524.2037861961</v>
          </cell>
        </row>
        <row r="42">
          <cell r="O42">
            <v>112213.21874235899</v>
          </cell>
        </row>
        <row r="43">
          <cell r="O43">
            <v>104973.65624285192</v>
          </cell>
        </row>
        <row r="44">
          <cell r="O44">
            <v>112213.21874235899</v>
          </cell>
        </row>
        <row r="45">
          <cell r="O45">
            <v>108593.43749260542</v>
          </cell>
        </row>
        <row r="46">
          <cell r="O46">
            <v>192122.63208919036</v>
          </cell>
        </row>
        <row r="47">
          <cell r="O47">
            <v>185925.12782824878</v>
          </cell>
        </row>
        <row r="48">
          <cell r="O48">
            <v>192122.63208919036</v>
          </cell>
        </row>
        <row r="49">
          <cell r="O49">
            <v>192122.63208919036</v>
          </cell>
        </row>
        <row r="50">
          <cell r="O50">
            <v>185925.12782824878</v>
          </cell>
        </row>
        <row r="51">
          <cell r="O51">
            <v>112213.21874235899</v>
          </cell>
        </row>
        <row r="52">
          <cell r="O52">
            <v>108593.43749260542</v>
          </cell>
        </row>
        <row r="53">
          <cell r="O53">
            <v>112213.21874235899</v>
          </cell>
        </row>
        <row r="55">
          <cell r="O55">
            <v>27798.572017242986</v>
          </cell>
        </row>
        <row r="56">
          <cell r="O56">
            <v>25108.387628477532</v>
          </cell>
        </row>
        <row r="57">
          <cell r="O57">
            <v>27798.572017242986</v>
          </cell>
        </row>
        <row r="58">
          <cell r="O58">
            <v>26901.843887654482</v>
          </cell>
        </row>
        <row r="59">
          <cell r="O59">
            <v>47594.524817400845</v>
          </cell>
        </row>
        <row r="60">
          <cell r="O60">
            <v>46059.217565226601</v>
          </cell>
        </row>
        <row r="61">
          <cell r="O61">
            <v>47594.524817400845</v>
          </cell>
        </row>
        <row r="62">
          <cell r="O62">
            <v>47594.524817400845</v>
          </cell>
        </row>
        <row r="63">
          <cell r="O63">
            <v>46059.217565226601</v>
          </cell>
        </row>
        <row r="64">
          <cell r="O64">
            <v>27798.572017242986</v>
          </cell>
        </row>
        <row r="65">
          <cell r="O65">
            <v>26901.843887654482</v>
          </cell>
        </row>
        <row r="66">
          <cell r="O66">
            <v>27798.572017242986</v>
          </cell>
        </row>
        <row r="68">
          <cell r="O68">
            <v>-14408.751345315075</v>
          </cell>
        </row>
        <row r="69">
          <cell r="O69">
            <v>-13014.356053832977</v>
          </cell>
        </row>
        <row r="70">
          <cell r="O70">
            <v>-14408.751345315075</v>
          </cell>
        </row>
        <row r="71">
          <cell r="O71">
            <v>-13943.952914821071</v>
          </cell>
        </row>
        <row r="72">
          <cell r="O72">
            <v>-24669.528818494</v>
          </cell>
        </row>
        <row r="73">
          <cell r="O73">
            <v>-23873.737566284544</v>
          </cell>
        </row>
        <row r="74">
          <cell r="O74">
            <v>-24669.528818494</v>
          </cell>
        </row>
        <row r="75">
          <cell r="O75">
            <v>-24669.528818494</v>
          </cell>
        </row>
        <row r="76">
          <cell r="O76">
            <v>-23873.737566284544</v>
          </cell>
        </row>
        <row r="77">
          <cell r="O77">
            <v>-14408.751345315075</v>
          </cell>
        </row>
        <row r="78">
          <cell r="O78">
            <v>-13943.952914821071</v>
          </cell>
        </row>
        <row r="79">
          <cell r="O79">
            <v>-14408.751345315075</v>
          </cell>
        </row>
        <row r="81">
          <cell r="O81">
            <v>-56616.074707873078</v>
          </cell>
        </row>
        <row r="82">
          <cell r="O82">
            <v>-51137.099736143427</v>
          </cell>
        </row>
        <row r="83">
          <cell r="O83">
            <v>-56616.074707873078</v>
          </cell>
        </row>
        <row r="84">
          <cell r="O84">
            <v>-54789.749717296538</v>
          </cell>
        </row>
        <row r="85">
          <cell r="O85">
            <v>-96933.582454388787</v>
          </cell>
        </row>
        <row r="86">
          <cell r="O86">
            <v>-93806.692697795632</v>
          </cell>
        </row>
        <row r="87">
          <cell r="O87">
            <v>-96933.582454388787</v>
          </cell>
        </row>
        <row r="88">
          <cell r="O88">
            <v>-96933.582454388787</v>
          </cell>
        </row>
        <row r="89">
          <cell r="O89">
            <v>-93806.692697795632</v>
          </cell>
        </row>
        <row r="90">
          <cell r="O90">
            <v>-56616.074707873078</v>
          </cell>
        </row>
        <row r="91">
          <cell r="O91">
            <v>-54789.749717296538</v>
          </cell>
        </row>
        <row r="92">
          <cell r="O92">
            <v>-56616.074707873078</v>
          </cell>
        </row>
        <row r="94">
          <cell r="O94">
            <v>-98823.398070431052</v>
          </cell>
        </row>
        <row r="95">
          <cell r="O95">
            <v>-92447.694969112941</v>
          </cell>
        </row>
        <row r="96">
          <cell r="O96">
            <v>-98823.398070431052</v>
          </cell>
        </row>
        <row r="97">
          <cell r="O97">
            <v>-95635.546519772019</v>
          </cell>
        </row>
        <row r="98">
          <cell r="O98">
            <v>-169197.63609028351</v>
          </cell>
        </row>
        <row r="99">
          <cell r="O99">
            <v>-163739.64782930666</v>
          </cell>
        </row>
        <row r="100">
          <cell r="O100">
            <v>-169197.63609028351</v>
          </cell>
        </row>
        <row r="101">
          <cell r="O101">
            <v>-169197.63609028351</v>
          </cell>
        </row>
        <row r="102">
          <cell r="O102">
            <v>-163739.64782930666</v>
          </cell>
        </row>
        <row r="103">
          <cell r="O103">
            <v>-98823.398070431052</v>
          </cell>
        </row>
        <row r="104">
          <cell r="O104">
            <v>-95635.546519772019</v>
          </cell>
        </row>
        <row r="105">
          <cell r="O105">
            <v>-98823.398070431052</v>
          </cell>
        </row>
        <row r="107">
          <cell r="O107">
            <v>-141030.72143298911</v>
          </cell>
        </row>
        <row r="108">
          <cell r="O108">
            <v>-127382.58710076439</v>
          </cell>
        </row>
        <row r="109">
          <cell r="O109">
            <v>-141030.72143298911</v>
          </cell>
        </row>
        <row r="110">
          <cell r="O110">
            <v>-136481.34332224756</v>
          </cell>
        </row>
        <row r="111">
          <cell r="O111">
            <v>-241461.68972617836</v>
          </cell>
        </row>
        <row r="112">
          <cell r="O112">
            <v>-233672.60296081781</v>
          </cell>
        </row>
        <row r="113">
          <cell r="O113">
            <v>-241461.68972617836</v>
          </cell>
        </row>
        <row r="114">
          <cell r="O114">
            <v>-213682.91126210472</v>
          </cell>
        </row>
        <row r="115">
          <cell r="O115">
            <v>-206789.91412461747</v>
          </cell>
        </row>
        <row r="116">
          <cell r="O116">
            <v>-141030.72143298911</v>
          </cell>
        </row>
        <row r="117">
          <cell r="O117">
            <v>-136481.34332224756</v>
          </cell>
        </row>
        <row r="118">
          <cell r="O118">
            <v>-141030.72143298911</v>
          </cell>
        </row>
        <row r="120">
          <cell r="O120">
            <v>-183238.04479554712</v>
          </cell>
        </row>
        <row r="121">
          <cell r="O121">
            <v>-165505.33078307484</v>
          </cell>
        </row>
        <row r="122">
          <cell r="O122">
            <v>-183238.04479554712</v>
          </cell>
        </row>
        <row r="123">
          <cell r="O123">
            <v>-177327.14012472305</v>
          </cell>
        </row>
        <row r="124">
          <cell r="O124">
            <v>-277633.40120537439</v>
          </cell>
        </row>
        <row r="125">
          <cell r="O125">
            <v>-268677.48503745912</v>
          </cell>
        </row>
        <row r="126">
          <cell r="O126">
            <v>-277633.40120537439</v>
          </cell>
        </row>
        <row r="127">
          <cell r="O127">
            <v>-277633.40120537439</v>
          </cell>
        </row>
        <row r="128">
          <cell r="O128">
            <v>-268677.48503745912</v>
          </cell>
        </row>
        <row r="129">
          <cell r="O129">
            <v>-183238.04479554712</v>
          </cell>
        </row>
        <row r="130">
          <cell r="O130">
            <v>-177327.14012472305</v>
          </cell>
        </row>
        <row r="131">
          <cell r="O131">
            <v>-183238.04479554712</v>
          </cell>
        </row>
        <row r="133">
          <cell r="O133">
            <v>-225445.36815810515</v>
          </cell>
        </row>
        <row r="134">
          <cell r="O134">
            <v>-203628.07446538532</v>
          </cell>
        </row>
        <row r="135">
          <cell r="O135">
            <v>-225445.36815810515</v>
          </cell>
        </row>
        <row r="136">
          <cell r="O136">
            <v>-218172.93692719855</v>
          </cell>
        </row>
        <row r="137">
          <cell r="O137">
            <v>-341583.89114864415</v>
          </cell>
        </row>
        <row r="138">
          <cell r="O138">
            <v>-330565.05595030083</v>
          </cell>
        </row>
        <row r="139">
          <cell r="O139">
            <v>-341583.89114864415</v>
          </cell>
        </row>
        <row r="140">
          <cell r="O140">
            <v>-341583.89114864415</v>
          </cell>
        </row>
        <row r="141">
          <cell r="O141">
            <v>-330565.05595030083</v>
          </cell>
        </row>
        <row r="142">
          <cell r="O142">
            <v>-225445.36815810515</v>
          </cell>
        </row>
        <row r="143">
          <cell r="O143">
            <v>-218172.93692719855</v>
          </cell>
        </row>
        <row r="144">
          <cell r="O144">
            <v>-225445.36815810515</v>
          </cell>
        </row>
        <row r="146">
          <cell r="O146">
            <v>-267652.69152066321</v>
          </cell>
        </row>
        <row r="147">
          <cell r="O147">
            <v>-250384.77593868494</v>
          </cell>
        </row>
        <row r="148">
          <cell r="O148">
            <v>-267652.69152066321</v>
          </cell>
        </row>
        <row r="149">
          <cell r="O149">
            <v>-259018.73372967407</v>
          </cell>
        </row>
        <row r="150">
          <cell r="O150">
            <v>-405534.38109191391</v>
          </cell>
        </row>
        <row r="151">
          <cell r="O151">
            <v>-392452.62686314248</v>
          </cell>
        </row>
        <row r="152">
          <cell r="O152">
            <v>-405534.38109191391</v>
          </cell>
        </row>
        <row r="153">
          <cell r="O153">
            <v>-405534.38109191391</v>
          </cell>
        </row>
        <row r="154">
          <cell r="O154">
            <v>-392452.62686314248</v>
          </cell>
        </row>
        <row r="155">
          <cell r="O155">
            <v>-267652.69152066321</v>
          </cell>
        </row>
        <row r="156">
          <cell r="O156">
            <v>-259018.73372967407</v>
          </cell>
        </row>
        <row r="157">
          <cell r="O157">
            <v>-267652.69152066321</v>
          </cell>
        </row>
        <row r="159">
          <cell r="O159">
            <v>-309860.01488322119</v>
          </cell>
        </row>
        <row r="160">
          <cell r="O160">
            <v>-279873.56183000625</v>
          </cell>
        </row>
        <row r="161">
          <cell r="O161">
            <v>-309860.01488322119</v>
          </cell>
        </row>
        <row r="162">
          <cell r="O162">
            <v>-299864.5305321496</v>
          </cell>
        </row>
        <row r="163">
          <cell r="O163">
            <v>-469484.87103518361</v>
          </cell>
        </row>
        <row r="164">
          <cell r="O164">
            <v>-454340.19777598418</v>
          </cell>
        </row>
        <row r="165">
          <cell r="O165">
            <v>-469484.87103518361</v>
          </cell>
        </row>
        <row r="166">
          <cell r="O166">
            <v>-469484.87103518361</v>
          </cell>
        </row>
        <row r="167">
          <cell r="O167">
            <v>-454340.19777598418</v>
          </cell>
        </row>
        <row r="168">
          <cell r="O168">
            <v>-309860.01488322119</v>
          </cell>
        </row>
        <row r="169">
          <cell r="O169">
            <v>-299864.5305321496</v>
          </cell>
        </row>
        <row r="170">
          <cell r="O170">
            <v>-309860.01488322119</v>
          </cell>
        </row>
        <row r="172">
          <cell r="O172">
            <v>-309860.01488322119</v>
          </cell>
        </row>
        <row r="173">
          <cell r="O173">
            <v>-279873.56183000625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Term Deals"/>
      <sheetName val="Prices&amp;Fuel"/>
    </sheetNames>
    <sheetDataSet>
      <sheetData sheetId="0">
        <row r="4">
          <cell r="Z4">
            <v>127773.39806539769</v>
          </cell>
        </row>
        <row r="5">
          <cell r="Z5">
            <v>132032.51133424431</v>
          </cell>
        </row>
        <row r="6">
          <cell r="Z6">
            <v>132032.51133424431</v>
          </cell>
        </row>
        <row r="7">
          <cell r="Z7">
            <v>118520.09480319548</v>
          </cell>
        </row>
        <row r="8">
          <cell r="Z8">
            <v>131218.67638925213</v>
          </cell>
        </row>
        <row r="9">
          <cell r="Z9">
            <v>126985.81586056657</v>
          </cell>
        </row>
        <row r="10">
          <cell r="Z10">
            <v>245187.21782459883</v>
          </cell>
        </row>
        <row r="11">
          <cell r="Z11">
            <v>237277.95273348276</v>
          </cell>
        </row>
        <row r="12">
          <cell r="Z12">
            <v>245187.21782459883</v>
          </cell>
        </row>
        <row r="13">
          <cell r="Z13">
            <v>252636.51782459451</v>
          </cell>
        </row>
        <row r="14">
          <cell r="Z14">
            <v>244486.95273347863</v>
          </cell>
        </row>
        <row r="15">
          <cell r="Z15">
            <v>138667.97638925241</v>
          </cell>
        </row>
        <row r="16">
          <cell r="Z16">
            <v>134194.81586056686</v>
          </cell>
        </row>
        <row r="17">
          <cell r="Z17">
            <v>138667.97638925241</v>
          </cell>
        </row>
        <row r="18">
          <cell r="Z18">
            <v>138667.97638925241</v>
          </cell>
        </row>
        <row r="19">
          <cell r="Z19">
            <v>125248.49480319573</v>
          </cell>
        </row>
        <row r="20">
          <cell r="Z20">
            <v>138667.97638925241</v>
          </cell>
        </row>
        <row r="21">
          <cell r="Z21">
            <v>134194.81586056686</v>
          </cell>
        </row>
        <row r="22">
          <cell r="Z22">
            <v>252636.51782459451</v>
          </cell>
        </row>
        <row r="23">
          <cell r="Z23">
            <v>244486.95273347863</v>
          </cell>
        </row>
        <row r="24">
          <cell r="Z24">
            <v>-44141.076883592425</v>
          </cell>
        </row>
        <row r="25">
          <cell r="Z25">
            <v>-44025.601883592884</v>
          </cell>
        </row>
        <row r="26">
          <cell r="Z26">
            <v>-42605.421177670534</v>
          </cell>
        </row>
        <row r="27">
          <cell r="Z27">
            <v>-34947.762969705596</v>
          </cell>
        </row>
        <row r="28">
          <cell r="Z28">
            <v>-33820.415777134454</v>
          </cell>
        </row>
        <row r="29">
          <cell r="Z29">
            <v>-34895.062969705476</v>
          </cell>
        </row>
        <row r="30">
          <cell r="Z30">
            <v>-34895.062969705476</v>
          </cell>
        </row>
        <row r="31">
          <cell r="Z31">
            <v>-32643.768584563186</v>
          </cell>
        </row>
        <row r="32">
          <cell r="Z32">
            <v>-34895.062969705476</v>
          </cell>
        </row>
        <row r="33">
          <cell r="Z33">
            <v>-33769.415777134331</v>
          </cell>
        </row>
        <row r="34">
          <cell r="Z34">
            <v>-43972.901883593106</v>
          </cell>
        </row>
        <row r="35">
          <cell r="Z35">
            <v>-42554.421177670738</v>
          </cell>
        </row>
        <row r="36">
          <cell r="Z36">
            <v>-43972.901883593106</v>
          </cell>
        </row>
        <row r="37">
          <cell r="Z37">
            <v>-43972.901883593106</v>
          </cell>
        </row>
        <row r="38">
          <cell r="Z38">
            <v>-42554.421177670738</v>
          </cell>
        </row>
        <row r="39">
          <cell r="Z39">
            <v>-34895.062969705476</v>
          </cell>
        </row>
        <row r="40">
          <cell r="Z40">
            <v>-33769.415777134331</v>
          </cell>
        </row>
        <row r="41">
          <cell r="Z41">
            <v>-34895.062969705476</v>
          </cell>
        </row>
        <row r="42">
          <cell r="Z42">
            <v>-34895.062969705476</v>
          </cell>
        </row>
        <row r="43">
          <cell r="Z43">
            <v>-31518.121391992048</v>
          </cell>
        </row>
        <row r="44">
          <cell r="Z44">
            <v>-34895.062969705476</v>
          </cell>
        </row>
        <row r="45">
          <cell r="Z45">
            <v>-33769.415777134331</v>
          </cell>
        </row>
        <row r="46">
          <cell r="Z46">
            <v>-43972.901883593106</v>
          </cell>
        </row>
        <row r="47">
          <cell r="Z47">
            <v>-42554.421177670738</v>
          </cell>
        </row>
        <row r="48">
          <cell r="Z48">
            <v>-43972.901883593106</v>
          </cell>
        </row>
        <row r="49">
          <cell r="Z49">
            <v>-43972.901883593106</v>
          </cell>
        </row>
        <row r="50">
          <cell r="Z50">
            <v>-42554.421177670738</v>
          </cell>
        </row>
        <row r="51">
          <cell r="Z51">
            <v>-34895.062969705476</v>
          </cell>
        </row>
        <row r="52">
          <cell r="Z52">
            <v>-33769.415777134331</v>
          </cell>
        </row>
        <row r="53">
          <cell r="Z53">
            <v>-34895.062969705476</v>
          </cell>
        </row>
        <row r="54">
          <cell r="Z54">
            <v>-34895.062969705476</v>
          </cell>
        </row>
        <row r="55">
          <cell r="Z55">
            <v>-31518.121391992048</v>
          </cell>
        </row>
        <row r="56">
          <cell r="Z56">
            <v>-34895.062969705476</v>
          </cell>
        </row>
        <row r="57">
          <cell r="Z57">
            <v>-33769.415777134331</v>
          </cell>
        </row>
        <row r="58">
          <cell r="Z58">
            <v>-43972.901883593106</v>
          </cell>
        </row>
        <row r="59">
          <cell r="Z59">
            <v>-42554.421177670738</v>
          </cell>
        </row>
        <row r="60">
          <cell r="Z60">
            <v>-43972.901883593106</v>
          </cell>
        </row>
        <row r="61">
          <cell r="Z61">
            <v>-43972.901883593106</v>
          </cell>
        </row>
        <row r="62">
          <cell r="Z62">
            <v>-42554.421177670738</v>
          </cell>
        </row>
        <row r="63">
          <cell r="Z63">
            <v>-34895.062969705476</v>
          </cell>
        </row>
        <row r="64">
          <cell r="Z64">
            <v>-33769.415777134331</v>
          </cell>
        </row>
        <row r="65">
          <cell r="Z65">
            <v>-34895.062969705476</v>
          </cell>
        </row>
        <row r="66">
          <cell r="Z66">
            <v>-34895.062969705476</v>
          </cell>
        </row>
        <row r="67">
          <cell r="Z67">
            <v>-31518.121391992048</v>
          </cell>
        </row>
        <row r="68">
          <cell r="Z68">
            <v>-34895.062969705476</v>
          </cell>
        </row>
        <row r="69">
          <cell r="Z69">
            <v>-33769.415777134331</v>
          </cell>
        </row>
        <row r="70">
          <cell r="Z70">
            <v>-43972.901883593106</v>
          </cell>
        </row>
        <row r="71">
          <cell r="Z71">
            <v>-42554.421177670738</v>
          </cell>
        </row>
        <row r="72">
          <cell r="Z72">
            <v>-43972.901883593106</v>
          </cell>
        </row>
        <row r="73">
          <cell r="Z73">
            <v>-43972.901883593106</v>
          </cell>
        </row>
        <row r="74">
          <cell r="Z74">
            <v>-42554.421177670738</v>
          </cell>
        </row>
        <row r="75">
          <cell r="Z75">
            <v>-34895.062969705476</v>
          </cell>
        </row>
        <row r="76">
          <cell r="Z76">
            <v>-33769.415777134331</v>
          </cell>
        </row>
        <row r="77">
          <cell r="Z77">
            <v>-34895.062969705476</v>
          </cell>
        </row>
        <row r="78">
          <cell r="Z78">
            <v>-34895.062969705476</v>
          </cell>
        </row>
        <row r="79">
          <cell r="Z79">
            <v>-32643.768584563186</v>
          </cell>
        </row>
        <row r="80">
          <cell r="Z80">
            <v>-34895.062969705476</v>
          </cell>
        </row>
        <row r="81">
          <cell r="Z81">
            <v>-33769.415777134331</v>
          </cell>
        </row>
        <row r="82">
          <cell r="Z82">
            <v>-43972.901883593106</v>
          </cell>
        </row>
        <row r="83">
          <cell r="Z83">
            <v>-42554.421177670738</v>
          </cell>
        </row>
        <row r="84">
          <cell r="Z84">
            <v>-43972.901883593106</v>
          </cell>
        </row>
        <row r="85">
          <cell r="Z85">
            <v>-43972.901883593106</v>
          </cell>
        </row>
        <row r="86">
          <cell r="Z86">
            <v>-42554.421177670738</v>
          </cell>
        </row>
        <row r="87">
          <cell r="Z87">
            <v>-34895.062969705476</v>
          </cell>
        </row>
        <row r="88">
          <cell r="Z88">
            <v>-33769.415777134331</v>
          </cell>
        </row>
        <row r="89">
          <cell r="Z89">
            <v>-34895.062969705476</v>
          </cell>
        </row>
        <row r="90">
          <cell r="Z90">
            <v>-34895.062969705476</v>
          </cell>
        </row>
        <row r="91">
          <cell r="Z91">
            <v>-31518.121391992048</v>
          </cell>
        </row>
        <row r="92">
          <cell r="Z92">
            <v>-34895.062969705476</v>
          </cell>
        </row>
        <row r="93">
          <cell r="Z93">
            <v>-33769.415777134331</v>
          </cell>
        </row>
        <row r="94">
          <cell r="Z94">
            <v>-43972.901883593106</v>
          </cell>
        </row>
        <row r="95">
          <cell r="Z95">
            <v>-42554.421177670738</v>
          </cell>
        </row>
        <row r="96">
          <cell r="Z96">
            <v>-43972.901883593106</v>
          </cell>
        </row>
        <row r="97">
          <cell r="Z97">
            <v>-43972.901883593106</v>
          </cell>
        </row>
        <row r="98">
          <cell r="Z98">
            <v>17445.578822329902</v>
          </cell>
        </row>
        <row r="99">
          <cell r="Z99">
            <v>10529.101554715919</v>
          </cell>
        </row>
        <row r="100">
          <cell r="Z100">
            <v>10189.453117467026</v>
          </cell>
        </row>
        <row r="101">
          <cell r="Z101">
            <v>10529.101554715919</v>
          </cell>
        </row>
        <row r="102">
          <cell r="Z102">
            <v>10529.101554715919</v>
          </cell>
        </row>
        <row r="103">
          <cell r="Z103">
            <v>9510.1562429692131</v>
          </cell>
        </row>
        <row r="104">
          <cell r="Z104">
            <v>10529.101554715919</v>
          </cell>
        </row>
        <row r="105">
          <cell r="Z105">
            <v>10189.453117467026</v>
          </cell>
        </row>
        <row r="106">
          <cell r="Z106">
            <v>15953.184173812013</v>
          </cell>
        </row>
        <row r="107">
          <cell r="Z107">
            <v>15438.565329495468</v>
          </cell>
        </row>
        <row r="108">
          <cell r="Z108">
            <v>15953.184173812013</v>
          </cell>
        </row>
        <row r="109">
          <cell r="Z109">
            <v>15953.184173812013</v>
          </cell>
        </row>
        <row r="110">
          <cell r="Z110">
            <v>15438.565329495468</v>
          </cell>
        </row>
        <row r="111">
          <cell r="Z111">
            <v>10529.101554715919</v>
          </cell>
        </row>
        <row r="112">
          <cell r="Z112">
            <v>10189.453117467026</v>
          </cell>
        </row>
        <row r="113">
          <cell r="Z113">
            <v>10529.101554715919</v>
          </cell>
        </row>
        <row r="114">
          <cell r="Z114">
            <v>10529.101554715919</v>
          </cell>
        </row>
        <row r="115">
          <cell r="Z115">
            <v>9510.1562429692131</v>
          </cell>
        </row>
        <row r="116">
          <cell r="Z116">
            <v>10529.101554715919</v>
          </cell>
        </row>
        <row r="117">
          <cell r="Z117">
            <v>10189.453117467026</v>
          </cell>
        </row>
        <row r="118">
          <cell r="Z118">
            <v>15953.184173812013</v>
          </cell>
        </row>
        <row r="119">
          <cell r="Z119">
            <v>15438.565329495468</v>
          </cell>
        </row>
        <row r="120">
          <cell r="Z120">
            <v>15953.184173812013</v>
          </cell>
        </row>
        <row r="121">
          <cell r="Z121">
            <v>15953.184173812013</v>
          </cell>
        </row>
        <row r="122">
          <cell r="Z122">
            <v>15438.565329495468</v>
          </cell>
        </row>
        <row r="123">
          <cell r="Z123">
            <v>10529.101554715919</v>
          </cell>
        </row>
        <row r="124">
          <cell r="Z124">
            <v>10189.453117467026</v>
          </cell>
        </row>
        <row r="125">
          <cell r="Z125">
            <v>10529.101554715919</v>
          </cell>
        </row>
        <row r="126">
          <cell r="Z126">
            <v>-31548.019267906231</v>
          </cell>
        </row>
        <row r="127">
          <cell r="Z127">
            <v>-29512.663186105827</v>
          </cell>
        </row>
        <row r="128">
          <cell r="Z128">
            <v>-31548.019267906231</v>
          </cell>
        </row>
        <row r="129">
          <cell r="Z129">
            <v>-30530.341227006029</v>
          </cell>
        </row>
        <row r="130">
          <cell r="Z130">
            <v>-47800.029193797323</v>
          </cell>
        </row>
        <row r="131">
          <cell r="Z131">
            <v>-46258.092768190952</v>
          </cell>
        </row>
        <row r="132">
          <cell r="Z132">
            <v>-47800.029193797323</v>
          </cell>
        </row>
        <row r="133">
          <cell r="Z133">
            <v>-47800.029193797323</v>
          </cell>
        </row>
        <row r="134">
          <cell r="Z134">
            <v>-46258.092768190952</v>
          </cell>
        </row>
        <row r="135">
          <cell r="Z135">
            <v>-31548.019267906231</v>
          </cell>
        </row>
        <row r="136">
          <cell r="Z136">
            <v>-30530.341227006029</v>
          </cell>
        </row>
        <row r="137">
          <cell r="Z137">
            <v>-31548.019267906231</v>
          </cell>
        </row>
        <row r="138">
          <cell r="Z138">
            <v>-31548.019267906231</v>
          </cell>
        </row>
        <row r="139">
          <cell r="Z139">
            <v>-28494.985145205632</v>
          </cell>
        </row>
        <row r="140">
          <cell r="Z140">
            <v>-31548.019267906231</v>
          </cell>
        </row>
        <row r="141">
          <cell r="Z141">
            <v>-30530.341227006029</v>
          </cell>
        </row>
        <row r="142">
          <cell r="Z142">
            <v>-47800.029193797323</v>
          </cell>
        </row>
        <row r="143">
          <cell r="Z143">
            <v>-46258.092768190952</v>
          </cell>
        </row>
        <row r="144">
          <cell r="Z144">
            <v>-47800.029193797323</v>
          </cell>
        </row>
        <row r="145">
          <cell r="Z145">
            <v>-47800.029193797323</v>
          </cell>
        </row>
        <row r="146">
          <cell r="Z146">
            <v>-46258.092768190952</v>
          </cell>
        </row>
        <row r="147">
          <cell r="Z147">
            <v>-31548.019267906231</v>
          </cell>
        </row>
        <row r="148">
          <cell r="Z148">
            <v>-30530.341227006029</v>
          </cell>
        </row>
        <row r="149">
          <cell r="Z149">
            <v>-31548.019267906231</v>
          </cell>
        </row>
        <row r="150">
          <cell r="Z150">
            <v>-31548.019267906231</v>
          </cell>
        </row>
        <row r="151">
          <cell r="Z151">
            <v>-28494.985145205632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212"/>
  <sheetViews>
    <sheetView zoomScale="75" workbookViewId="0">
      <pane xSplit="1" ySplit="4" topLeftCell="I19" activePane="bottomRight" state="frozen"/>
      <selection activeCell="BD42" sqref="BD42"/>
      <selection pane="topRight" activeCell="BD42" sqref="BD42"/>
      <selection pane="bottomLeft" activeCell="BD42" sqref="BD42"/>
      <selection pane="bottomRight" activeCell="Q23" sqref="Q23"/>
    </sheetView>
  </sheetViews>
  <sheetFormatPr defaultColWidth="9.109375" defaultRowHeight="13.2" x14ac:dyDescent="0.25"/>
  <cols>
    <col min="1" max="1" width="9.109375" style="3"/>
    <col min="2" max="2" width="6.88671875" style="3" customWidth="1"/>
    <col min="3" max="3" width="6.6640625" style="3" customWidth="1"/>
    <col min="4" max="4" width="7.109375" style="3" customWidth="1"/>
    <col min="5" max="8" width="9.109375" style="3"/>
    <col min="9" max="9" width="10.5546875" style="3" customWidth="1"/>
    <col min="10" max="10" width="6.6640625" style="3" customWidth="1"/>
    <col min="11" max="11" width="10.44140625" style="3" customWidth="1"/>
    <col min="12" max="14" width="9.109375" style="3"/>
    <col min="15" max="15" width="11.6640625" style="3" customWidth="1"/>
    <col min="16" max="16" width="9.33203125" customWidth="1"/>
    <col min="17" max="17" width="10.33203125" customWidth="1"/>
    <col min="18" max="19" width="9.109375" style="3"/>
    <col min="20" max="21" width="12" style="3" customWidth="1"/>
    <col min="22" max="23" width="10.88671875" style="3" customWidth="1"/>
    <col min="24" max="24" width="9.88671875" style="3" customWidth="1"/>
    <col min="25" max="27" width="9.109375" style="3"/>
    <col min="28" max="28" width="8.44140625" style="3" customWidth="1"/>
    <col min="29" max="16384" width="9.109375" style="3"/>
  </cols>
  <sheetData>
    <row r="3" spans="1:28" ht="19.2" customHeight="1" x14ac:dyDescent="0.25">
      <c r="B3" s="39" t="s">
        <v>0</v>
      </c>
      <c r="C3" s="5"/>
      <c r="D3" s="16"/>
      <c r="E3" s="16"/>
      <c r="F3" s="16"/>
      <c r="G3" s="16"/>
      <c r="H3" s="5"/>
      <c r="I3" s="5"/>
      <c r="J3" s="5"/>
      <c r="K3" s="16"/>
      <c r="L3" s="5"/>
      <c r="M3" s="5"/>
      <c r="N3" s="5"/>
      <c r="O3" s="31"/>
      <c r="R3" s="5"/>
      <c r="S3" s="5"/>
      <c r="T3" s="5"/>
      <c r="U3" s="5"/>
      <c r="V3" s="5"/>
      <c r="W3" s="5"/>
    </row>
    <row r="4" spans="1:28" s="8" customFormat="1" ht="61.2" x14ac:dyDescent="0.2">
      <c r="A4" s="8" t="s">
        <v>1</v>
      </c>
      <c r="B4" s="8" t="s">
        <v>2</v>
      </c>
      <c r="C4" s="8" t="s">
        <v>3</v>
      </c>
      <c r="D4" s="8" t="s">
        <v>4</v>
      </c>
      <c r="E4" s="8" t="s">
        <v>5</v>
      </c>
      <c r="F4" s="8" t="s">
        <v>6</v>
      </c>
      <c r="G4" s="8" t="s">
        <v>7</v>
      </c>
      <c r="H4" s="6" t="s">
        <v>8</v>
      </c>
      <c r="I4" s="7" t="s">
        <v>9</v>
      </c>
      <c r="J4" s="7" t="s">
        <v>10</v>
      </c>
      <c r="K4" s="8" t="s">
        <v>11</v>
      </c>
      <c r="L4" s="6" t="s">
        <v>12</v>
      </c>
      <c r="M4" s="7" t="s">
        <v>13</v>
      </c>
      <c r="N4" s="6" t="s">
        <v>14</v>
      </c>
      <c r="O4" s="6" t="s">
        <v>15</v>
      </c>
      <c r="P4" s="6" t="s">
        <v>16</v>
      </c>
      <c r="Q4" s="6" t="s">
        <v>17</v>
      </c>
      <c r="R4" s="8" t="s">
        <v>18</v>
      </c>
      <c r="S4" s="8" t="s">
        <v>19</v>
      </c>
      <c r="T4" s="8" t="s">
        <v>20</v>
      </c>
      <c r="U4" s="8" t="s">
        <v>21</v>
      </c>
      <c r="V4" s="8" t="s">
        <v>22</v>
      </c>
      <c r="W4" s="8" t="s">
        <v>23</v>
      </c>
      <c r="X4" s="8" t="s">
        <v>24</v>
      </c>
      <c r="Y4" s="8" t="s">
        <v>25</v>
      </c>
      <c r="Z4" s="8" t="s">
        <v>26</v>
      </c>
      <c r="AA4" s="8" t="s">
        <v>27</v>
      </c>
      <c r="AB4" s="8" t="s">
        <v>28</v>
      </c>
    </row>
    <row r="5" spans="1:28" hidden="1" x14ac:dyDescent="0.25">
      <c r="A5" s="10">
        <v>35749</v>
      </c>
      <c r="B5" s="6"/>
      <c r="C5" s="6"/>
      <c r="F5" s="1">
        <f>(700+1000)/(1-'Prices&amp;Fuel'!F5)</f>
        <v>1753.4811758638473</v>
      </c>
      <c r="H5" s="11">
        <f t="shared" ref="H5:H11" si="0">(2.79*700+2.68*1000)/F5</f>
        <v>2.6421726470588238</v>
      </c>
      <c r="K5" s="14">
        <f>(B5+C5+D5+E5+F5+G5)*H5*'Prices&amp;Fuel'!H5</f>
        <v>138990</v>
      </c>
      <c r="L5" s="3">
        <f t="shared" ref="L5:L11" si="1">2.54</f>
        <v>2.54</v>
      </c>
      <c r="R5" s="14"/>
      <c r="S5" s="14"/>
      <c r="V5" s="1">
        <f>L5*F5*'Prices&amp;Fuel'!H5</f>
        <v>133615.26560082517</v>
      </c>
      <c r="W5" s="6">
        <f t="shared" ref="W5:W11" si="2">K5-V5</f>
        <v>5374.7343991748348</v>
      </c>
    </row>
    <row r="6" spans="1:28" hidden="1" x14ac:dyDescent="0.25">
      <c r="A6" s="10">
        <f t="shared" ref="A6:A30" si="3">+A5+365/12</f>
        <v>35779.416666666664</v>
      </c>
      <c r="B6" s="6"/>
      <c r="C6" s="6"/>
      <c r="F6" s="1">
        <f>(700+1000)/(1-'Prices&amp;Fuel'!F6)</f>
        <v>1753.4811758638473</v>
      </c>
      <c r="H6" s="11">
        <f t="shared" si="0"/>
        <v>2.6421726470588238</v>
      </c>
      <c r="K6" s="14">
        <f>(B6+C6+D6+E6+F6+G6)*H6*'Prices&amp;Fuel'!H6</f>
        <v>143623</v>
      </c>
      <c r="L6" s="3">
        <f t="shared" si="1"/>
        <v>2.54</v>
      </c>
      <c r="R6" s="14"/>
      <c r="S6" s="14"/>
      <c r="V6" s="1">
        <f>L6*F6*'Prices&amp;Fuel'!H6</f>
        <v>138069.10778751934</v>
      </c>
      <c r="W6" s="6">
        <f t="shared" si="2"/>
        <v>5553.8922124806559</v>
      </c>
    </row>
    <row r="7" spans="1:28" hidden="1" x14ac:dyDescent="0.25">
      <c r="A7" s="10">
        <f t="shared" si="3"/>
        <v>35809.833333333328</v>
      </c>
      <c r="B7" s="6"/>
      <c r="C7" s="6"/>
      <c r="F7" s="1">
        <f>(700+1000)/(1-'Prices&amp;Fuel'!F7)</f>
        <v>1753.4811758638473</v>
      </c>
      <c r="H7" s="11">
        <f t="shared" si="0"/>
        <v>2.6421726470588238</v>
      </c>
      <c r="K7" s="14">
        <f>(B7+C7+D7+E7+F7+G7)*H7*'Prices&amp;Fuel'!H7</f>
        <v>143623</v>
      </c>
      <c r="L7" s="3">
        <f t="shared" si="1"/>
        <v>2.54</v>
      </c>
      <c r="R7" s="14"/>
      <c r="S7" s="14"/>
      <c r="V7" s="1">
        <f>L7*F7*'Prices&amp;Fuel'!H7</f>
        <v>138069.10778751934</v>
      </c>
      <c r="W7" s="6">
        <f t="shared" si="2"/>
        <v>5553.8922124806559</v>
      </c>
    </row>
    <row r="8" spans="1:28" hidden="1" x14ac:dyDescent="0.25">
      <c r="A8" s="10">
        <f t="shared" si="3"/>
        <v>35840.249999999993</v>
      </c>
      <c r="B8" s="6"/>
      <c r="C8" s="6"/>
      <c r="F8" s="1">
        <f>(700+1000)/(1-'Prices&amp;Fuel'!F8)</f>
        <v>1748.0719794344473</v>
      </c>
      <c r="H8" s="11">
        <f t="shared" si="0"/>
        <v>2.6503485294117648</v>
      </c>
      <c r="K8" s="14">
        <f>(B8+C8+D8+E8+F8+G8)*H8*'Prices&amp;Fuel'!H8</f>
        <v>129724</v>
      </c>
      <c r="L8" s="3">
        <f t="shared" si="1"/>
        <v>2.54</v>
      </c>
      <c r="R8" s="14"/>
      <c r="S8" s="14"/>
      <c r="V8" s="1">
        <f>L8*F8*'Prices&amp;Fuel'!H8</f>
        <v>124322.87917737788</v>
      </c>
      <c r="W8" s="6">
        <f t="shared" si="2"/>
        <v>5401.1208226221206</v>
      </c>
    </row>
    <row r="9" spans="1:28" hidden="1" x14ac:dyDescent="0.25">
      <c r="A9" s="10">
        <f t="shared" si="3"/>
        <v>35870.666666666657</v>
      </c>
      <c r="B9" s="6"/>
      <c r="C9" s="6"/>
      <c r="F9" s="1">
        <f>(700+1000)/(1-'Prices&amp;Fuel'!F9)</f>
        <v>1748.0719794344473</v>
      </c>
      <c r="H9" s="11">
        <f t="shared" si="0"/>
        <v>2.6503485294117648</v>
      </c>
      <c r="K9" s="14">
        <f>(B9+C9+D9+E9+F9+G9)*H9*'Prices&amp;Fuel'!H9</f>
        <v>143623</v>
      </c>
      <c r="L9" s="3">
        <f t="shared" si="1"/>
        <v>2.54</v>
      </c>
      <c r="R9" s="14"/>
      <c r="S9" s="14"/>
      <c r="V9" s="1">
        <f>L9*F9*'Prices&amp;Fuel'!H9</f>
        <v>137643.18766066837</v>
      </c>
      <c r="W9" s="6">
        <f t="shared" si="2"/>
        <v>5979.8123393316346</v>
      </c>
    </row>
    <row r="10" spans="1:28" hidden="1" x14ac:dyDescent="0.25">
      <c r="A10" s="10">
        <f t="shared" si="3"/>
        <v>35901.083333333321</v>
      </c>
      <c r="B10" s="6"/>
      <c r="C10" s="6"/>
      <c r="F10" s="1">
        <f>(700+1000)/(1-'Prices&amp;Fuel'!F10)</f>
        <v>1760.9281126993992</v>
      </c>
      <c r="H10" s="11">
        <f t="shared" si="0"/>
        <v>2.6309989411764705</v>
      </c>
      <c r="K10" s="14">
        <f>(B10+C10+D10+E10+F10+G10)*H10*'Prices&amp;Fuel'!H10</f>
        <v>138990</v>
      </c>
      <c r="L10" s="3">
        <f t="shared" si="1"/>
        <v>2.54</v>
      </c>
      <c r="R10" s="14"/>
      <c r="S10" s="14"/>
      <c r="V10" s="1">
        <f>L10*F10*'Prices&amp;Fuel'!H10</f>
        <v>134182.72218769422</v>
      </c>
      <c r="W10" s="6">
        <f t="shared" si="2"/>
        <v>4807.2778123057797</v>
      </c>
    </row>
    <row r="11" spans="1:28" hidden="1" x14ac:dyDescent="0.25">
      <c r="A11" s="10">
        <f t="shared" si="3"/>
        <v>35931.499999999985</v>
      </c>
      <c r="B11" s="6"/>
      <c r="C11" s="6"/>
      <c r="F11" s="1">
        <f>(700+1000)/(1-'Prices&amp;Fuel'!F11)</f>
        <v>1751.8549051937346</v>
      </c>
      <c r="H11" s="11">
        <f t="shared" si="0"/>
        <v>2.6446254117647059</v>
      </c>
      <c r="K11" s="14">
        <f>(B11+C11+D11+E11+F11+G11)*H11*'Prices&amp;Fuel'!H11</f>
        <v>143623</v>
      </c>
      <c r="L11" s="3">
        <f t="shared" si="1"/>
        <v>2.54</v>
      </c>
      <c r="R11" s="14"/>
      <c r="S11" s="14"/>
      <c r="V11" s="1">
        <f>L11*F11*'Prices&amp;Fuel'!H11</f>
        <v>137941.05523495466</v>
      </c>
      <c r="W11" s="6">
        <f t="shared" si="2"/>
        <v>5681.9447650453367</v>
      </c>
    </row>
    <row r="12" spans="1:28" hidden="1" x14ac:dyDescent="0.25">
      <c r="A12" s="10">
        <f t="shared" si="3"/>
        <v>35961.91666666665</v>
      </c>
      <c r="B12" s="6"/>
      <c r="C12" s="6"/>
    </row>
    <row r="13" spans="1:28" hidden="1" x14ac:dyDescent="0.25">
      <c r="A13" s="10">
        <f t="shared" si="3"/>
        <v>35992.333333333314</v>
      </c>
      <c r="B13" s="6"/>
      <c r="C13" s="6"/>
    </row>
    <row r="14" spans="1:28" hidden="1" x14ac:dyDescent="0.25">
      <c r="A14" s="10">
        <f t="shared" si="3"/>
        <v>36022.749999999978</v>
      </c>
      <c r="B14" s="6"/>
      <c r="C14" s="6"/>
    </row>
    <row r="15" spans="1:28" hidden="1" x14ac:dyDescent="0.25">
      <c r="A15" s="10">
        <f t="shared" si="3"/>
        <v>36053.166666666642</v>
      </c>
      <c r="B15" s="14"/>
      <c r="C15" s="14"/>
      <c r="D15" s="14"/>
    </row>
    <row r="16" spans="1:28" hidden="1" x14ac:dyDescent="0.25">
      <c r="A16" s="10">
        <f t="shared" si="3"/>
        <v>36083.583333333307</v>
      </c>
      <c r="B16" s="6"/>
      <c r="C16" s="14"/>
      <c r="D16" s="14"/>
      <c r="E16" s="14"/>
      <c r="F16" s="14"/>
      <c r="G16" s="14"/>
      <c r="H16" s="25"/>
      <c r="I16" s="14"/>
      <c r="J16" s="14"/>
      <c r="K16" s="14"/>
      <c r="L16" s="25"/>
      <c r="M16" s="25"/>
      <c r="N16" s="25"/>
      <c r="O16" s="25"/>
      <c r="R16" s="14"/>
      <c r="S16" s="14"/>
      <c r="T16" s="14"/>
      <c r="U16" s="14"/>
      <c r="V16" s="14"/>
      <c r="W16" s="6"/>
    </row>
    <row r="17" spans="1:28" hidden="1" x14ac:dyDescent="0.25">
      <c r="A17" s="10">
        <f t="shared" si="3"/>
        <v>36113.999999999971</v>
      </c>
      <c r="B17" s="6">
        <f>IF(Y17-((E17+F17+G17)*(1-'Prices&amp;Fuel'!F17))&lt;'Prices&amp;Fuel'!R17,(Y17-(E17+F17+G17)*(1-'Prices&amp;Fuel'!F17)),'Prices&amp;Fuel'!R17)/(1-'Prices&amp;Fuel'!F17)</f>
        <v>4329.9711815561959</v>
      </c>
      <c r="C17" s="14">
        <f>(Y17/(1-'Prices&amp;Fuel'!F17))-D17-E17-F17-G17-B17</f>
        <v>0</v>
      </c>
      <c r="D17" s="14">
        <f>ROUND(IF(Y17/(1-'Prices&amp;Fuel'!F17)-E17-F17-G17-B17&gt;'Prices&amp;Fuel'!T17,'Prices&amp;Fuel'!T17,Y17/(1-'Prices&amp;Fuel'!F17)-E17-F17-G17-B17),9)</f>
        <v>0</v>
      </c>
      <c r="E17" s="14">
        <f>'Prices&amp;Fuel'!U17/(1-'Prices&amp;Fuel'!F17)</f>
        <v>2637.9168382050225</v>
      </c>
      <c r="F17" s="14">
        <f>('Prices&amp;Fuel'!V17+'Prices&amp;Fuel'!X17)/(1-'Prices&amp;Fuel'!F17)</f>
        <v>3648.6208316179495</v>
      </c>
      <c r="G17" s="14">
        <f>'Prices&amp;Fuel'!W17/(1-'Prices&amp;Fuel'!F17)</f>
        <v>1734.2527789213668</v>
      </c>
      <c r="H17" s="25">
        <f>('Prices&amp;Fuel'!C17+'Prices&amp;Fuel'!D17)/2-0.05+('Prices&amp;Fuel'!M17+'Prices&amp;Fuel'!P17)</f>
        <v>2.7292999999999998</v>
      </c>
      <c r="I17" s="14">
        <f>IF(FPL!L17=80000,0,B17)</f>
        <v>0</v>
      </c>
      <c r="J17" s="14"/>
      <c r="K17" s="14">
        <f>(B17+C17+D17+E17+F17+G17)*H17*'Prices&amp;Fuel'!H17</f>
        <v>1011268.0115273774</v>
      </c>
      <c r="L17" s="25">
        <f>(((B17+E17)*('Prices&amp;Fuel'!B17+0.025))+(('Prices&amp;Fuel'!D17+0.025)*(D17+G17))+(('Prices&amp;Fuel'!C17+0.025)*(C17+F17))-(I17+J17)*0.025)/(B17+C17+D17+E17+F17+G17)</f>
        <v>1.964275</v>
      </c>
      <c r="M17" s="25"/>
      <c r="N17" s="25"/>
      <c r="O17" s="25"/>
      <c r="R17" s="14">
        <f>'Prices&amp;Fuel'!X17*('Prices&amp;Fuel'!N17+'Prices&amp;Fuel'!O17)*'Prices&amp;Fuel'!H17</f>
        <v>4720.8960000000006</v>
      </c>
      <c r="S17" s="14">
        <f>('Prices&amp;Fuel'!U17+'Prices&amp;Fuel'!V17+'Prices&amp;Fuel'!W17)*('Prices&amp;Fuel'!L17+'Prices&amp;Fuel'!O17)*'Prices&amp;Fuel'!H17</f>
        <v>86941.079999999987</v>
      </c>
      <c r="T17" s="14">
        <f>((B17+C17+D17)*(1-'Prices&amp;Fuel'!G17))*('Prices&amp;Fuel'!M17+'Prices&amp;Fuel'!P17)*'Prices&amp;Fuel'!H17</f>
        <v>104665.95299999998</v>
      </c>
      <c r="U17" s="14">
        <f>((B17+C17+D17+E17+F17+G17)/(1-'Prices&amp;Fuel'!F17))*(1-'Prices&amp;Fuel'!F17)*'Prices&amp;Fuel'!H17*0.005</f>
        <v>1852.6142445450801</v>
      </c>
      <c r="V17" s="14">
        <f>((D17+C17+B17+E17+F17+G17)*L17*'Prices&amp;Fuel'!H17)+R17+S17+T17+U17</f>
        <v>925989.31228530244</v>
      </c>
      <c r="W17" s="6">
        <f t="shared" ref="W17:W30" si="4">K17-V17</f>
        <v>85278.699242074974</v>
      </c>
      <c r="Y17" s="3">
        <v>12000</v>
      </c>
    </row>
    <row r="18" spans="1:28" hidden="1" x14ac:dyDescent="0.25">
      <c r="A18" s="10">
        <f t="shared" si="3"/>
        <v>36144.416666666635</v>
      </c>
      <c r="B18" s="6">
        <f>IF(Y18-((E18+F18+G18)*(1-'Prices&amp;Fuel'!F18))&lt;'Prices&amp;Fuel'!R18,(Y18-(E18+F18+G18)*(1-'Prices&amp;Fuel'!F18)),'Prices&amp;Fuel'!R18)/(1-'Prices&amp;Fuel'!F18)</f>
        <v>4329.9711815561959</v>
      </c>
      <c r="C18" s="14">
        <f>(Y18/(1-'Prices&amp;Fuel'!F18))-D18-E18-F18-G18-B18</f>
        <v>0</v>
      </c>
      <c r="D18" s="14">
        <f>ROUND(IF(Y18/(1-'Prices&amp;Fuel'!F18)-E18-F18-G18-B18&gt;'Prices&amp;Fuel'!T18,'Prices&amp;Fuel'!T18,Y18/(1-'Prices&amp;Fuel'!F18)-E18-F18-G18-B18),9)</f>
        <v>0</v>
      </c>
      <c r="E18" s="14">
        <f>'Prices&amp;Fuel'!U18/(1-'Prices&amp;Fuel'!F18)</f>
        <v>2637.9168382050225</v>
      </c>
      <c r="F18" s="14">
        <f>('Prices&amp;Fuel'!V18+'Prices&amp;Fuel'!X18)/(1-'Prices&amp;Fuel'!F18)</f>
        <v>3648.6208316179495</v>
      </c>
      <c r="G18" s="14">
        <f>'Prices&amp;Fuel'!W18/(1-'Prices&amp;Fuel'!F18)</f>
        <v>1734.2527789213668</v>
      </c>
      <c r="H18" s="25">
        <f>('Prices&amp;Fuel'!C18+'Prices&amp;Fuel'!D18)/2-0.05+('Prices&amp;Fuel'!M18+'Prices&amp;Fuel'!P18)</f>
        <v>2.8742999999999999</v>
      </c>
      <c r="I18" s="14">
        <f>IF(FPL!L18=80000,0,B18)</f>
        <v>0</v>
      </c>
      <c r="J18" s="14"/>
      <c r="K18" s="14">
        <f>(B18+C18+D18+E18+F18+G18)*H18*'Prices&amp;Fuel'!H18</f>
        <v>1100493.6187731577</v>
      </c>
      <c r="L18" s="25">
        <f>(((B18+E18)*('Prices&amp;Fuel'!B18+0.025))+(('Prices&amp;Fuel'!D18+0.025)*(D18+G18))+(('Prices&amp;Fuel'!C18+0.025)*(C18+F18))-(I18+J18)*0.025)/(B18+C18+D18+E18+F18+G18)</f>
        <v>2.1097708333333332</v>
      </c>
      <c r="M18" s="25"/>
      <c r="N18" s="25"/>
      <c r="O18" s="25"/>
      <c r="R18" s="14">
        <f>'Prices&amp;Fuel'!X18*('Prices&amp;Fuel'!N18+'Prices&amp;Fuel'!O18)*'Prices&amp;Fuel'!H18</f>
        <v>4878.2592000000004</v>
      </c>
      <c r="S18" s="14">
        <f>('Prices&amp;Fuel'!U18+'Prices&amp;Fuel'!V18+'Prices&amp;Fuel'!W18)*('Prices&amp;Fuel'!L18+'Prices&amp;Fuel'!O18)*'Prices&amp;Fuel'!H18</f>
        <v>89839.115999999995</v>
      </c>
      <c r="T18" s="14">
        <f>((B18+C18+D18)*(1-'Prices&amp;Fuel'!G18))*('Prices&amp;Fuel'!M18+'Prices&amp;Fuel'!P18)*'Prices&amp;Fuel'!H18</f>
        <v>108154.81809999999</v>
      </c>
      <c r="U18" s="14">
        <f>((B18+C18+D18+E18+F18+G18)/(1-'Prices&amp;Fuel'!F18))*(1-'Prices&amp;Fuel'!F18)*'Prices&amp;Fuel'!H18*0.005</f>
        <v>1914.3680526965827</v>
      </c>
      <c r="V18" s="14">
        <f>((D18+C18+B18+E18+F18+G18)*L18*'Prices&amp;Fuel'!H18)+R18+S18+T18+U18</f>
        <v>1012562.1377215727</v>
      </c>
      <c r="W18" s="6">
        <f t="shared" si="4"/>
        <v>87931.481051585055</v>
      </c>
      <c r="Y18" s="3">
        <f>Y17</f>
        <v>12000</v>
      </c>
    </row>
    <row r="19" spans="1:28" x14ac:dyDescent="0.25">
      <c r="A19" s="10">
        <f t="shared" si="3"/>
        <v>36174.833333333299</v>
      </c>
      <c r="B19" s="6">
        <f>IF(Y19-((E19+F19+G19)*(1-'Prices&amp;Fuel'!F19))&lt;'Prices&amp;Fuel'!R19,(Y19-(E19+F19+G19)*(1-'Prices&amp;Fuel'!F19)),'Prices&amp;Fuel'!R19)/(1-'Prices&amp;Fuel'!F19)</f>
        <v>4314.8717948717949</v>
      </c>
      <c r="C19" s="14">
        <f>(Y19/(1-'Prices&amp;Fuel'!F19))-D19-E19-F19-G19-B19</f>
        <v>0</v>
      </c>
      <c r="D19" s="14">
        <f>ROUND(IF(Y19/(1-'Prices&amp;Fuel'!F19)-E19-F19-G19-B19&gt;'Prices&amp;Fuel'!T19,'Prices&amp;Fuel'!T19,Y19/(1-'Prices&amp;Fuel'!F19)-E19-F19-G19-B19),9)</f>
        <v>0</v>
      </c>
      <c r="E19" s="14">
        <f>'Prices&amp;Fuel'!U19/(1-'Prices&amp;Fuel'!F19)</f>
        <v>2628.7179487179487</v>
      </c>
      <c r="F19" s="14">
        <f>('Prices&amp;Fuel'!V19+'Prices&amp;Fuel'!X19)/(1-'Prices&amp;Fuel'!F19)</f>
        <v>3635.897435897436</v>
      </c>
      <c r="G19" s="14">
        <f>'Prices&amp;Fuel'!W19/(1-'Prices&amp;Fuel'!F19)</f>
        <v>1728.2051282051282</v>
      </c>
      <c r="H19" s="25">
        <f>(1.99-0.05)+(('Prices&amp;Fuel'!M19+'Prices&amp;Fuel'!P19)*(1-'Prices&amp;Fuel'!F19))</f>
        <v>2.7464225</v>
      </c>
      <c r="I19" s="14">
        <f>IF(FPL!L19=80000,0,B19)</f>
        <v>0</v>
      </c>
      <c r="J19" s="14"/>
      <c r="K19" s="14">
        <f>(B19+C19+D19+E19+F19+G19)*H19*'Prices&amp;Fuel'!H19</f>
        <v>1047865.8153846156</v>
      </c>
      <c r="L19" s="25">
        <f>(((B19+E19)*('Prices&amp;Fuel'!B19+0.025))+(('Prices&amp;Fuel'!D19+0.025)*(D19+G19))+(('Prices&amp;Fuel'!C19+0.025)*(C19+F19))-(I19+J19)*0.025)/(B19+C19+D19+E19+F19+G19)</f>
        <v>1.7697708333333331</v>
      </c>
      <c r="M19" s="25">
        <f>1.99-(('Prices&amp;Fuel'!C19+'Prices&amp;Fuel'!D19)/2)</f>
        <v>0.2350000000000001</v>
      </c>
      <c r="N19" s="25">
        <f>L19+M19</f>
        <v>2.0047708333333332</v>
      </c>
      <c r="O19" s="14">
        <f>(B19+C19+D19+E19+F19+G19)*0.5*L19*'Prices&amp;Fuel'!H19</f>
        <v>337617.8205128205</v>
      </c>
      <c r="P19" s="1">
        <f>(B19+C19+D19+E19+F19+G19)*0.5*N19*'Prices&amp;Fuel'!H19</f>
        <v>382448.58974358975</v>
      </c>
      <c r="Q19" s="21">
        <f>(B19+C19+D19+E19+F19+G19)*0.5*M19*'Prices&amp;Fuel'!H19</f>
        <v>44830.769230769256</v>
      </c>
      <c r="R19" s="14">
        <f>'Prices&amp;Fuel'!X19*('Prices&amp;Fuel'!N19+'Prices&amp;Fuel'!O19)*'Prices&amp;Fuel'!H19</f>
        <v>4850.7343000000001</v>
      </c>
      <c r="S19" s="14">
        <f>('Prices&amp;Fuel'!U19+'Prices&amp;Fuel'!V19+'Prices&amp;Fuel'!W19)*('Prices&amp;Fuel'!L19+'Prices&amp;Fuel'!O19)*'Prices&amp;Fuel'!H19</f>
        <v>89354.214000000007</v>
      </c>
      <c r="T19" s="14">
        <f>((B19+C19+D19)*(1-'Prices&amp;Fuel'!G19))*('Prices&amp;Fuel'!M19+'Prices&amp;Fuel'!P19)*'Prices&amp;Fuel'!H19</f>
        <v>107867.9007</v>
      </c>
      <c r="U19" s="14">
        <f>((B19+C19+D19+E19+F19+G19)/(1-'Prices&amp;Fuel'!F19))*(1-'Prices&amp;Fuel'!F19)*'Prices&amp;Fuel'!H19*0.005</f>
        <v>1907.6923076923078</v>
      </c>
      <c r="V19" s="14">
        <f>O19+P19+Q19+S19+T19+U19+R19</f>
        <v>968877.7207948718</v>
      </c>
      <c r="W19" s="6">
        <f t="shared" si="4"/>
        <v>78988.094589743763</v>
      </c>
      <c r="X19" s="65">
        <f>W19/(B19+C19+D19+E19+F19+G19)/'Prices&amp;Fuel'!H19</f>
        <v>0.20702524791666713</v>
      </c>
      <c r="Y19" s="3">
        <f>Y18</f>
        <v>12000</v>
      </c>
      <c r="Z19" s="28">
        <f>'Prices&amp;Fuel'!B19+'FP Corp1999 fixed price'!$M19</f>
        <v>1.9650000000000001</v>
      </c>
      <c r="AA19" s="28">
        <f>'Prices&amp;Fuel'!C19+'FP Corp1999 fixed price'!$M19</f>
        <v>2.0150000000000001</v>
      </c>
      <c r="AB19" s="28">
        <f>'Prices&amp;Fuel'!D19+'FP Corp1999 fixed price'!$M19</f>
        <v>1.9650000000000001</v>
      </c>
    </row>
    <row r="20" spans="1:28" x14ac:dyDescent="0.25">
      <c r="A20" s="10">
        <f t="shared" si="3"/>
        <v>36205.249999999964</v>
      </c>
      <c r="B20" s="6">
        <f>IF(Y20-((E20+F20+G20)*(1-'Prices&amp;Fuel'!F20))&lt;'Prices&amp;Fuel'!R20,(Y20-(E20+F20+G20)*(1-'Prices&amp;Fuel'!F20)),'Prices&amp;Fuel'!R20)/(1-'Prices&amp;Fuel'!F20)</f>
        <v>4314.8717948717949</v>
      </c>
      <c r="C20" s="14">
        <f>(Y20/(1-'Prices&amp;Fuel'!F20))-D20-E20-F20-G20-B20</f>
        <v>0</v>
      </c>
      <c r="D20" s="14">
        <f>ROUND(IF(Y20/(1-'Prices&amp;Fuel'!F20)-E20-F20-G20-B20&gt;'Prices&amp;Fuel'!T20,'Prices&amp;Fuel'!T20,Y20/(1-'Prices&amp;Fuel'!F20)-E20-F20-G20-B20),9)</f>
        <v>0</v>
      </c>
      <c r="E20" s="14">
        <f>'Prices&amp;Fuel'!U20/(1-'Prices&amp;Fuel'!F20)</f>
        <v>2628.7179487179487</v>
      </c>
      <c r="F20" s="14">
        <f>('Prices&amp;Fuel'!V20+'Prices&amp;Fuel'!X20)/(1-'Prices&amp;Fuel'!F20)</f>
        <v>3635.897435897436</v>
      </c>
      <c r="G20" s="14">
        <f>'Prices&amp;Fuel'!W20/(1-'Prices&amp;Fuel'!F20)</f>
        <v>1728.2051282051282</v>
      </c>
      <c r="H20" s="25">
        <f>(1.99-0.05)+(('Prices&amp;Fuel'!M20+'Prices&amp;Fuel'!P20)*(1-'Prices&amp;Fuel'!F20))</f>
        <v>2.7464225</v>
      </c>
      <c r="I20" s="14">
        <f>IF(FPL!L20=80000,0,B20)</f>
        <v>0</v>
      </c>
      <c r="J20" s="14"/>
      <c r="K20" s="14">
        <f>(B20+C20+D20+E20+F20+G20)*H20*'Prices&amp;Fuel'!H20</f>
        <v>946459.44615384634</v>
      </c>
      <c r="L20" s="25">
        <f>(((B20+E20)*('Prices&amp;Fuel'!B20+0.025))+(('Prices&amp;Fuel'!D20+0.025)*(D20+G20))+(('Prices&amp;Fuel'!C20+0.025)*(C20+F20))-(I20+J20)*0.025)/(B20+C20+D20+E20+F20+G20)</f>
        <v>1.7738624999999999</v>
      </c>
      <c r="M20" s="25">
        <f>1.99-(('Prices&amp;Fuel'!C20+'Prices&amp;Fuel'!D20)/2)</f>
        <v>0.2350000000000001</v>
      </c>
      <c r="N20" s="25">
        <f>L20+M20</f>
        <v>2.0088625000000002</v>
      </c>
      <c r="O20" s="14">
        <f>(B20+C20+D20+E20+F20+G20)*0.5*L20*'Prices&amp;Fuel'!H20</f>
        <v>305650.15384615387</v>
      </c>
      <c r="P20" s="1">
        <f>(B20+C20+D20+E20+F20+G20)*0.5*N20*'Prices&amp;Fuel'!H20</f>
        <v>346142.46153846162</v>
      </c>
      <c r="Q20" s="21">
        <f>(B20+C20+D20+E20+F20+G20)*0.5*M20*'Prices&amp;Fuel'!H20</f>
        <v>40492.30769230771</v>
      </c>
      <c r="R20" s="14">
        <f>'Prices&amp;Fuel'!X20*('Prices&amp;Fuel'!N20+'Prices&amp;Fuel'!O20)*'Prices&amp;Fuel'!H20</f>
        <v>4381.3083999999999</v>
      </c>
      <c r="S20" s="14">
        <f>('Prices&amp;Fuel'!U20+'Prices&amp;Fuel'!V20+'Prices&amp;Fuel'!W20)*('Prices&amp;Fuel'!L20+'Prices&amp;Fuel'!O20)*'Prices&amp;Fuel'!H20</f>
        <v>80707.032000000007</v>
      </c>
      <c r="T20" s="14">
        <f>((B20+C20+D20)*(1-'Prices&amp;Fuel'!G20))*('Prices&amp;Fuel'!M20+'Prices&amp;Fuel'!P20)*'Prices&amp;Fuel'!H20</f>
        <v>97429.071599999996</v>
      </c>
      <c r="U20" s="14">
        <f>((B20+C20+D20+E20+F20+G20)/(1-'Prices&amp;Fuel'!F20))*(1-'Prices&amp;Fuel'!F20)*'Prices&amp;Fuel'!H20*0.005</f>
        <v>1723.0769230769231</v>
      </c>
      <c r="V20" s="14">
        <f>O20+P20+Q20+S20+T20+U20+R20</f>
        <v>876525.41200000013</v>
      </c>
      <c r="W20" s="6">
        <f t="shared" si="4"/>
        <v>69934.034153846209</v>
      </c>
      <c r="X20" s="65">
        <f>W20/(B20+C20+D20+E20+F20+G20)/'Prices&amp;Fuel'!H20</f>
        <v>0.20293358125000016</v>
      </c>
      <c r="Y20" s="3">
        <f>Y19</f>
        <v>12000</v>
      </c>
      <c r="Z20" s="28">
        <f>'Prices&amp;Fuel'!B20+'FP Corp1999 fixed price'!$M20</f>
        <v>1.9750000000000001</v>
      </c>
      <c r="AA20" s="28">
        <f>'Prices&amp;Fuel'!C20+'FP Corp1999 fixed price'!$M20</f>
        <v>2.0049999999999999</v>
      </c>
      <c r="AB20" s="28">
        <f>'Prices&amp;Fuel'!D20+'FP Corp1999 fixed price'!$M20</f>
        <v>1.9750000000000001</v>
      </c>
    </row>
    <row r="21" spans="1:28" x14ac:dyDescent="0.25">
      <c r="A21" s="10">
        <f t="shared" si="3"/>
        <v>36235.666666666628</v>
      </c>
      <c r="B21" s="6">
        <f>IF(Y21-((E21+F21+G21)*(1-'Prices&amp;Fuel'!F21))&lt;'Prices&amp;Fuel'!R21,(Y21-(E21+F21+G21)*(1-'Prices&amp;Fuel'!F21)),'Prices&amp;Fuel'!R21)/(1-'Prices&amp;Fuel'!F21)</f>
        <v>4314.8717948717949</v>
      </c>
      <c r="C21" s="14">
        <f>(Y21/(1-'Prices&amp;Fuel'!F21))-D21-E21-F21-G21-B21</f>
        <v>0</v>
      </c>
      <c r="D21" s="14">
        <f>ROUND(IF(Y21/(1-'Prices&amp;Fuel'!F21)-E21-F21-G21-B21&gt;'Prices&amp;Fuel'!T21,'Prices&amp;Fuel'!T21,Y21/(1-'Prices&amp;Fuel'!F21)-E21-F21-G21-B21),9)</f>
        <v>0</v>
      </c>
      <c r="E21" s="14">
        <f>'Prices&amp;Fuel'!U21/(1-'Prices&amp;Fuel'!F21)</f>
        <v>2628.7179487179487</v>
      </c>
      <c r="F21" s="14">
        <f>('Prices&amp;Fuel'!V21+'Prices&amp;Fuel'!X21)/(1-'Prices&amp;Fuel'!F21)</f>
        <v>3635.897435897436</v>
      </c>
      <c r="G21" s="14">
        <f>'Prices&amp;Fuel'!W21/(1-'Prices&amp;Fuel'!F21)</f>
        <v>1728.2051282051282</v>
      </c>
      <c r="H21" s="25">
        <f>(1.99-0.05)+(('Prices&amp;Fuel'!M21+'Prices&amp;Fuel'!P21)*(1-'Prices&amp;Fuel'!F21))</f>
        <v>2.7117125</v>
      </c>
      <c r="I21" s="14">
        <f>IF(FPL!L21=80000,0,B21)</f>
        <v>0</v>
      </c>
      <c r="J21" s="14"/>
      <c r="K21" s="14">
        <f>(B21+C21+D21+E21+F21+G21)*H21*'Prices&amp;Fuel'!H21</f>
        <v>1034622.6153846154</v>
      </c>
      <c r="L21" s="25">
        <f>(((B21+E21)*('Prices&amp;Fuel'!B21+0.025))+(('Prices&amp;Fuel'!D21+0.025)*(D21+G21))+(('Prices&amp;Fuel'!C21+0.025)*(C21+F21))-(I21+J21)*0.025)/(B21+C21+D21+E21+F21+G21)</f>
        <v>1.6282208333333335</v>
      </c>
      <c r="M21" s="25">
        <f>1.99-(('Prices&amp;Fuel'!C21+'Prices&amp;Fuel'!D21)/2)</f>
        <v>0.375</v>
      </c>
      <c r="N21" s="25">
        <f>L21+M21</f>
        <v>2.0032208333333337</v>
      </c>
      <c r="O21" s="14">
        <f>(B21+C21+D21+E21+F21+G21)*0.5*L21*'Prices&amp;Fuel'!H21</f>
        <v>310614.43589743593</v>
      </c>
      <c r="P21" s="1">
        <f>(B21+C21+D21+E21+F21+G21)*0.5*N21*'Prices&amp;Fuel'!H21</f>
        <v>382152.89743589755</v>
      </c>
      <c r="Q21" s="21">
        <f>(B21+C21+D21+E21+F21+G21)*0.5*M21*'Prices&amp;Fuel'!H21</f>
        <v>71538.461538461532</v>
      </c>
      <c r="R21" s="14">
        <f>'Prices&amp;Fuel'!X21*('Prices&amp;Fuel'!N21+'Prices&amp;Fuel'!O21)*'Prices&amp;Fuel'!H21</f>
        <v>4850.7343000000001</v>
      </c>
      <c r="S21" s="14">
        <f>('Prices&amp;Fuel'!U21+'Prices&amp;Fuel'!V21+'Prices&amp;Fuel'!W21)*('Prices&amp;Fuel'!L21+'Prices&amp;Fuel'!O21)*'Prices&amp;Fuel'!H21</f>
        <v>89354.214000000007</v>
      </c>
      <c r="T21" s="14">
        <f>((B21+C21+D21)*(1-'Prices&amp;Fuel'!G21))*('Prices&amp;Fuel'!M21+'Prices&amp;Fuel'!P21)*'Prices&amp;Fuel'!H21</f>
        <v>103225.0555</v>
      </c>
      <c r="U21" s="14">
        <f>((B21+C21+D21+E21+F21+G21)/(1-'Prices&amp;Fuel'!F21))*(1-'Prices&amp;Fuel'!F21)*'Prices&amp;Fuel'!H21*0.005</f>
        <v>1907.6923076923078</v>
      </c>
      <c r="V21" s="14">
        <f>O21+P21+Q21+S21+T21+U21+R21</f>
        <v>963643.49097948731</v>
      </c>
      <c r="W21" s="6">
        <f t="shared" si="4"/>
        <v>70979.124405128066</v>
      </c>
      <c r="X21" s="65">
        <f>W21/(B21+C21+D21+E21+F21+G21)/'Prices&amp;Fuel'!H21</f>
        <v>0.18603399541666629</v>
      </c>
      <c r="Y21" s="3">
        <f>Y20</f>
        <v>12000</v>
      </c>
      <c r="Z21" s="28">
        <f>'Prices&amp;Fuel'!B21+'FP Corp1999 fixed price'!$M21</f>
        <v>1.9650000000000001</v>
      </c>
      <c r="AA21" s="28">
        <f>'Prices&amp;Fuel'!C21+'FP Corp1999 fixed price'!$M21</f>
        <v>2.0049999999999999</v>
      </c>
      <c r="AB21" s="28">
        <f>'Prices&amp;Fuel'!D21+'FP Corp1999 fixed price'!$M21</f>
        <v>1.9750000000000001</v>
      </c>
    </row>
    <row r="22" spans="1:28" x14ac:dyDescent="0.25">
      <c r="A22" s="10">
        <f t="shared" si="3"/>
        <v>36266.083333333292</v>
      </c>
      <c r="B22" s="6">
        <f>IF(Y22-((E22+F22+G22)*(1-'Prices&amp;Fuel'!F22))&lt;'Prices&amp;Fuel'!R22,(Y22-(E22+F22+G22)*(1-'Prices&amp;Fuel'!F22)),'Prices&amp;Fuel'!R22)/(1-'Prices&amp;Fuel'!F22)</f>
        <v>6262.5641025641025</v>
      </c>
      <c r="C22" s="14">
        <f>(Y22/(1-'Prices&amp;Fuel'!F22))-D22-E22-F22-G22-B22</f>
        <v>0</v>
      </c>
      <c r="D22" s="14">
        <f>ROUND(IF(Y22/(1-'Prices&amp;Fuel'!F22)-E22-F22-G22-B22&gt;'Prices&amp;Fuel'!T22,'Prices&amp;Fuel'!T22,Y22/(1-'Prices&amp;Fuel'!F22)-E22-F22-G22-B22),9)</f>
        <v>0</v>
      </c>
      <c r="E22" s="14">
        <f>'Prices&amp;Fuel'!U22/(1-'Prices&amp;Fuel'!F22)</f>
        <v>1928.2051282051282</v>
      </c>
      <c r="F22" s="14">
        <f>('Prices&amp;Fuel'!V22+'Prices&amp;Fuel'!X22)/(1-'Prices&amp;Fuel'!F22)</f>
        <v>2826.6666666666665</v>
      </c>
      <c r="G22" s="14">
        <f>'Prices&amp;Fuel'!W22/(1-'Prices&amp;Fuel'!F22)</f>
        <v>1290.2564102564104</v>
      </c>
      <c r="H22" s="25">
        <f>(1.99-0.05)+(('Prices&amp;Fuel'!M22+'Prices&amp;Fuel'!P22)*(1-'Prices&amp;Fuel'!F22))</f>
        <v>2.7183424999999999</v>
      </c>
      <c r="I22" s="14">
        <f>IF(FPL!L22=80000,0,B22)</f>
        <v>0</v>
      </c>
      <c r="J22" s="14"/>
      <c r="K22" s="14">
        <f>(B22+C22+D22+E22+F22+G22)*H22*'Prices&amp;Fuel'!H22</f>
        <v>1003695.692307692</v>
      </c>
      <c r="L22" s="25">
        <f>(((B22+E22)*('Prices&amp;Fuel'!B22+0.025))+(('Prices&amp;Fuel'!D22+0.025)*(D22+G22))+(('Prices&amp;Fuel'!C22+0.025)*(C22+F22))-(I22+J22)*0.025)/(B22+C22+D22+E22+F22+G22)</f>
        <v>1.875235</v>
      </c>
      <c r="M22" s="25">
        <f>1.99-(('Prices&amp;Fuel'!C22+'Prices&amp;Fuel'!D22)/2)</f>
        <v>0.125</v>
      </c>
      <c r="N22" s="25">
        <f t="shared" ref="N22:N30" si="5">L22+M22</f>
        <v>2.000235</v>
      </c>
      <c r="O22" s="14">
        <f>(B22+C22+D22+E22+F22+G22)*0.5*L22*'Prices&amp;Fuel'!H22</f>
        <v>346197.23076923075</v>
      </c>
      <c r="P22" s="1">
        <f>(B22+C22+D22+E22+F22+G22)*0.5*N22*'Prices&amp;Fuel'!H22</f>
        <v>369274.15384615381</v>
      </c>
      <c r="Q22" s="21">
        <f>(B22+C22+D22+E22+F22+G22)*0.5*M22*'Prices&amp;Fuel'!H22</f>
        <v>23076.923076923074</v>
      </c>
      <c r="R22" s="14">
        <f>'Prices&amp;Fuel'!X22*('Prices&amp;Fuel'!N22+'Prices&amp;Fuel'!O22)*'Prices&amp;Fuel'!H22</f>
        <v>4833.5909999999994</v>
      </c>
      <c r="S22" s="14">
        <f>('Prices&amp;Fuel'!U22+'Prices&amp;Fuel'!V22+'Prices&amp;Fuel'!W22)*('Prices&amp;Fuel'!L22+'Prices&amp;Fuel'!O22)*'Prices&amp;Fuel'!H22</f>
        <v>64439.226000000002</v>
      </c>
      <c r="T22" s="14">
        <f>((B22+C22+D22)*(1-'Prices&amp;Fuel'!G22))*('Prices&amp;Fuel'!M22+'Prices&amp;Fuel'!P22)*'Prices&amp;Fuel'!H22</f>
        <v>146232.59400000001</v>
      </c>
      <c r="U22" s="14">
        <f>((B22+C22+D22+E22+F22+G22)/(1-'Prices&amp;Fuel'!F22))*(1-'Prices&amp;Fuel'!F22)*'Prices&amp;Fuel'!H22*0.005</f>
        <v>1846.153846153846</v>
      </c>
      <c r="V22" s="14">
        <f t="shared" ref="V22:V30" si="6">O22+P22+Q22+S22+T22+U22+R22</f>
        <v>955899.87253846158</v>
      </c>
      <c r="W22" s="6">
        <f t="shared" si="4"/>
        <v>47795.819769230438</v>
      </c>
      <c r="X22" s="65">
        <f>W22/(B22+C22+D22+E22+F22+G22)/'Prices&amp;Fuel'!H22</f>
        <v>0.12944701187499913</v>
      </c>
      <c r="Y22" s="3">
        <f>Y21</f>
        <v>12000</v>
      </c>
      <c r="Z22" s="28">
        <f>'Prices&amp;Fuel'!B22+'FP Corp1999 fixed price'!$M22</f>
        <v>1.9650000000000001</v>
      </c>
      <c r="AA22" s="28">
        <f>'Prices&amp;Fuel'!C22+'FP Corp1999 fixed price'!$M22</f>
        <v>2.0049999999999999</v>
      </c>
      <c r="AB22" s="28">
        <f>'Prices&amp;Fuel'!D22+'FP Corp1999 fixed price'!$M22</f>
        <v>1.9750000000000001</v>
      </c>
    </row>
    <row r="23" spans="1:28" x14ac:dyDescent="0.25">
      <c r="A23" s="10">
        <f t="shared" si="3"/>
        <v>36296.499999999956</v>
      </c>
      <c r="B23" s="6">
        <f>IF(Y23-((E23+F23+G23)*(1-'Prices&amp;Fuel'!F23))&lt;'Prices&amp;Fuel'!R23,(Y23-(E23+F23+G23)*(1-'Prices&amp;Fuel'!F23)),'Prices&amp;Fuel'!R23)/(1-'Prices&amp;Fuel'!F23)</f>
        <v>9000</v>
      </c>
      <c r="C23" s="14">
        <f>(Y23/(1-'Prices&amp;Fuel'!F23))-D23-E23-F23-G23-B23</f>
        <v>-3.383320290595293E-10</v>
      </c>
      <c r="D23" s="14">
        <f>ROUND(IF(Y23/(1-'Prices&amp;Fuel'!F23)-E23-F23-G23-B23&gt;'Prices&amp;Fuel'!T23,'Prices&amp;Fuel'!T23,Y23/(1-'Prices&amp;Fuel'!F23)-E23-F23-G23-B23),9)</f>
        <v>6573.1958762889999</v>
      </c>
      <c r="E23" s="14">
        <f>'Prices&amp;Fuel'!U23/(1-'Prices&amp;Fuel'!F23)</f>
        <v>1938.1443298969073</v>
      </c>
      <c r="F23" s="14">
        <f>('Prices&amp;Fuel'!V23+'Prices&amp;Fuel'!X23)/(1-'Prices&amp;Fuel'!F23)</f>
        <v>3070.1030927835054</v>
      </c>
      <c r="G23" s="14">
        <f>'Prices&amp;Fuel'!W23/(1-'Prices&amp;Fuel'!F23)</f>
        <v>1068.0412371134021</v>
      </c>
      <c r="H23" s="25">
        <f>(1.99-0.05)+(('Prices&amp;Fuel'!M23+'Prices&amp;Fuel'!P23)*(1-'Prices&amp;Fuel'!F23))</f>
        <v>2.7143510000000002</v>
      </c>
      <c r="I23" s="14">
        <f>IF(FPL!L23=80000,0,B23)</f>
        <v>0</v>
      </c>
      <c r="J23" s="14"/>
      <c r="K23" s="14">
        <f>(B23+C23+D23+E23+F23+G23)*H23*'Prices&amp;Fuel'!H23</f>
        <v>1821693.3</v>
      </c>
      <c r="L23" s="25">
        <f>(((B23+E23)*('Prices&amp;Fuel'!B23+0.025))+(('Prices&amp;Fuel'!D23+0.025)*(D23+G23))+(('Prices&amp;Fuel'!C23+0.025)*(C23+F23))-(I23+J23)*0.025)/(B23+C23+D23+E23+F23+G23)</f>
        <v>2.3320904761904755</v>
      </c>
      <c r="M23" s="25">
        <f>1.99-(('Prices&amp;Fuel'!C23+'Prices&amp;Fuel'!D23)/2)</f>
        <v>-0.33500000000000019</v>
      </c>
      <c r="N23" s="25">
        <f t="shared" si="5"/>
        <v>1.9970904761904753</v>
      </c>
      <c r="O23" s="14">
        <f>(B23+C23+D23+E23+F23+G23)*0.5*L23*'Prices&amp;Fuel'!H23</f>
        <v>782572.62886597915</v>
      </c>
      <c r="P23" s="1">
        <f>(B23+C23+D23+E23+F23+G23)*0.5*N23*'Prices&amp;Fuel'!H23</f>
        <v>670157.68041237083</v>
      </c>
      <c r="Q23" s="21">
        <f>(B23+C23+D23+E23+F23+G23)*0.5*M23*'Prices&amp;Fuel'!H23</f>
        <v>-112414.9484536083</v>
      </c>
      <c r="R23" s="14">
        <f>'Prices&amp;Fuel'!X23*('Prices&amp;Fuel'!N23+'Prices&amp;Fuel'!O23)*'Prices&amp;Fuel'!H23</f>
        <v>4994.7106999999996</v>
      </c>
      <c r="S23" s="14">
        <f>('Prices&amp;Fuel'!U23+'Prices&amp;Fuel'!V23+'Prices&amp;Fuel'!W23)*('Prices&amp;Fuel'!L23+'Prices&amp;Fuel'!O23)*'Prices&amp;Fuel'!H23</f>
        <v>66587.200200000007</v>
      </c>
      <c r="T23" s="14">
        <f>((B23+C23+D23)*(1-'Prices&amp;Fuel'!G23))*('Prices&amp;Fuel'!M23+'Prices&amp;Fuel'!P23)*'Prices&amp;Fuel'!H23</f>
        <v>373832.71380000009</v>
      </c>
      <c r="U23" s="14">
        <f>((B23+C23+D23+E23+F23+G23)/(1-'Prices&amp;Fuel'!F23))*(1-'Prices&amp;Fuel'!F23)*'Prices&amp;Fuel'!H23*0.005</f>
        <v>3355.6701030927834</v>
      </c>
      <c r="V23" s="14">
        <f t="shared" si="6"/>
        <v>1789085.6556278344</v>
      </c>
      <c r="W23" s="6">
        <f t="shared" si="4"/>
        <v>32607.644372165669</v>
      </c>
      <c r="X23" s="65">
        <f>W23/(B23+C23+D23+E23+F23+G23)/'Prices&amp;Fuel'!H23</f>
        <v>4.8585891000001075E-2</v>
      </c>
      <c r="Y23" s="3">
        <v>21000</v>
      </c>
      <c r="Z23" s="28">
        <f>'Prices&amp;Fuel'!B23+'FP Corp1999 fixed price'!$M23</f>
        <v>1.9649999999999996</v>
      </c>
      <c r="AA23" s="28">
        <f>'Prices&amp;Fuel'!C23+'FP Corp1999 fixed price'!$M23</f>
        <v>2.0149999999999997</v>
      </c>
      <c r="AB23" s="28">
        <f>'Prices&amp;Fuel'!D23+'FP Corp1999 fixed price'!$M23</f>
        <v>1.9649999999999996</v>
      </c>
    </row>
    <row r="24" spans="1:28" x14ac:dyDescent="0.25">
      <c r="A24" s="10">
        <f t="shared" si="3"/>
        <v>36326.916666666621</v>
      </c>
      <c r="B24" s="6">
        <f>IF(Y24-((E24+F24+G24)*(1-'Prices&amp;Fuel'!F24))&lt;'Prices&amp;Fuel'!R24,(Y24-(E24+F24+G24)*(1-'Prices&amp;Fuel'!F24)),'Prices&amp;Fuel'!R24)/(1-'Prices&amp;Fuel'!F24)</f>
        <v>9000</v>
      </c>
      <c r="C24" s="14">
        <f>(Y24/(1-'Prices&amp;Fuel'!F24))-D24-E24-F24-G24-B24</f>
        <v>-3.383320290595293E-10</v>
      </c>
      <c r="D24" s="14">
        <f>ROUND(IF(Y24/(1-'Prices&amp;Fuel'!F24)-E24-F24-G24-B24&gt;'Prices&amp;Fuel'!T24,'Prices&amp;Fuel'!T24,Y24/(1-'Prices&amp;Fuel'!F24)-E24-F24-G24-B24),9)</f>
        <v>6573.1958762889999</v>
      </c>
      <c r="E24" s="14">
        <f>'Prices&amp;Fuel'!U24/(1-'Prices&amp;Fuel'!F24)</f>
        <v>1938.1443298969073</v>
      </c>
      <c r="F24" s="14">
        <f>('Prices&amp;Fuel'!V24+'Prices&amp;Fuel'!X24)/(1-'Prices&amp;Fuel'!F24)</f>
        <v>3070.1030927835054</v>
      </c>
      <c r="G24" s="14">
        <f>'Prices&amp;Fuel'!W24/(1-'Prices&amp;Fuel'!F24)</f>
        <v>1068.0412371134021</v>
      </c>
      <c r="H24" s="25">
        <f>(1.99-0.05)+(('Prices&amp;Fuel'!M24+'Prices&amp;Fuel'!P24)*(1-'Prices&amp;Fuel'!F24))</f>
        <v>2.7143510000000002</v>
      </c>
      <c r="I24" s="14">
        <f>IF(FPL!L24=80000,0,B24)</f>
        <v>0</v>
      </c>
      <c r="J24" s="14"/>
      <c r="K24" s="14">
        <f>(B24+C24+D24+E24+F24+G24)*H24*'Prices&amp;Fuel'!H24</f>
        <v>1762929</v>
      </c>
      <c r="L24" s="25">
        <f>(((B24+E24)*('Prices&amp;Fuel'!B24+0.025))+(('Prices&amp;Fuel'!D24+0.025)*(D24+G24))+(('Prices&amp;Fuel'!C24+0.025)*(C24+F24))-(I24+J24)*0.025)/(B24+C24+D24+E24+F24+G24)</f>
        <v>2.2327838095238093</v>
      </c>
      <c r="M24" s="25">
        <f>1.99-(('Prices&amp;Fuel'!C24+'Prices&amp;Fuel'!D24)/2)</f>
        <v>-0.22999999999999976</v>
      </c>
      <c r="N24" s="25">
        <f t="shared" si="5"/>
        <v>2.0027838095238097</v>
      </c>
      <c r="O24" s="14">
        <f>(B24+C24+D24+E24+F24+G24)*0.5*L24*'Prices&amp;Fuel'!H24</f>
        <v>725079.27835051541</v>
      </c>
      <c r="P24" s="1">
        <f>(B24+C24+D24+E24+F24+G24)*0.5*N24*'Prices&amp;Fuel'!H24</f>
        <v>650388.55670103093</v>
      </c>
      <c r="Q24" s="21">
        <f>(B24+C24+D24+E24+F24+G24)*0.5*M24*'Prices&amp;Fuel'!H24</f>
        <v>-74690.721649484462</v>
      </c>
      <c r="R24" s="14">
        <f>'Prices&amp;Fuel'!X24*('Prices&amp;Fuel'!N24+'Prices&amp;Fuel'!O24)*'Prices&amp;Fuel'!H24</f>
        <v>4833.5909999999994</v>
      </c>
      <c r="S24" s="14">
        <f>('Prices&amp;Fuel'!U24+'Prices&amp;Fuel'!V24+'Prices&amp;Fuel'!W24)*('Prices&amp;Fuel'!L24+'Prices&amp;Fuel'!O24)*'Prices&amp;Fuel'!H24</f>
        <v>64439.226000000002</v>
      </c>
      <c r="T24" s="14">
        <f>((B24+C24+D24)*(1-'Prices&amp;Fuel'!G24))*('Prices&amp;Fuel'!M24+'Prices&amp;Fuel'!P24)*'Prices&amp;Fuel'!H24</f>
        <v>361773.59400000004</v>
      </c>
      <c r="U24" s="14">
        <f>((B24+C24+D24+E24+F24+G24)/(1-'Prices&amp;Fuel'!F24))*(1-'Prices&amp;Fuel'!F24)*'Prices&amp;Fuel'!H24*0.005</f>
        <v>3247.4226804123709</v>
      </c>
      <c r="V24" s="14">
        <f t="shared" si="6"/>
        <v>1735070.9470824744</v>
      </c>
      <c r="W24" s="6">
        <f t="shared" si="4"/>
        <v>27858.052917525638</v>
      </c>
      <c r="X24" s="65">
        <f>W24/(B24+C24+D24+E24+F24+G24)/'Prices&amp;Fuel'!H24</f>
        <v>4.2892557666666463E-2</v>
      </c>
      <c r="Y24" s="3">
        <f>Y23</f>
        <v>21000</v>
      </c>
      <c r="Z24" s="28">
        <f>'Prices&amp;Fuel'!B24+'FP Corp1999 fixed price'!$M24</f>
        <v>1.9700000000000004</v>
      </c>
      <c r="AA24" s="28">
        <f>'Prices&amp;Fuel'!C24+'FP Corp1999 fixed price'!$M24</f>
        <v>2</v>
      </c>
      <c r="AB24" s="28">
        <f>'Prices&amp;Fuel'!D24+'FP Corp1999 fixed price'!$M24</f>
        <v>1.9800000000000002</v>
      </c>
    </row>
    <row r="25" spans="1:28" x14ac:dyDescent="0.25">
      <c r="A25" s="10">
        <f t="shared" si="3"/>
        <v>36357.333333333285</v>
      </c>
      <c r="B25" s="6">
        <f>IF(Y25-((E25+F25+G25)*(1-'Prices&amp;Fuel'!F25))&lt;'Prices&amp;Fuel'!R25,(Y25-(E25+F25+G25)*(1-'Prices&amp;Fuel'!F25)),'Prices&amp;Fuel'!R25)/(1-'Prices&amp;Fuel'!F25)</f>
        <v>9000</v>
      </c>
      <c r="C25" s="14">
        <f>(Y25/(1-'Prices&amp;Fuel'!F25))-D25-E25-F25-G25-B25</f>
        <v>-3.383320290595293E-10</v>
      </c>
      <c r="D25" s="14">
        <f>ROUND(IF(Y25/(1-'Prices&amp;Fuel'!F25)-E25-F25-G25-B25&gt;'Prices&amp;Fuel'!T25,'Prices&amp;Fuel'!T25,Y25/(1-'Prices&amp;Fuel'!F25)-E25-F25-G25-B25),9)</f>
        <v>6573.1958762889999</v>
      </c>
      <c r="E25" s="14">
        <f>'Prices&amp;Fuel'!U25/(1-'Prices&amp;Fuel'!F25)</f>
        <v>1938.1443298969073</v>
      </c>
      <c r="F25" s="14">
        <f>('Prices&amp;Fuel'!V25+'Prices&amp;Fuel'!X25)/(1-'Prices&amp;Fuel'!F25)</f>
        <v>3070.1030927835054</v>
      </c>
      <c r="G25" s="14">
        <f>'Prices&amp;Fuel'!W25/(1-'Prices&amp;Fuel'!F25)</f>
        <v>1068.0412371134021</v>
      </c>
      <c r="H25" s="25">
        <f>(1.99-0.05)+(('Prices&amp;Fuel'!M25+'Prices&amp;Fuel'!P25)*(1-'Prices&amp;Fuel'!F25))</f>
        <v>2.7143510000000002</v>
      </c>
      <c r="I25" s="14">
        <f>IF(FPL!L25=80000,0,B25)</f>
        <v>0</v>
      </c>
      <c r="J25" s="14">
        <v>217</v>
      </c>
      <c r="K25" s="14">
        <f>(B25+C25+D25+E25+F25+G25)*H25*'Prices&amp;Fuel'!H25</f>
        <v>1821693.3</v>
      </c>
      <c r="L25" s="25">
        <f>(((B25+E25)*('Prices&amp;Fuel'!B25+0.025))+(('Prices&amp;Fuel'!D25+0.025)*(D25+G25))+(('Prices&amp;Fuel'!C25+0.025)*(C25+F25))-(I25+J25)*0.025)/(B25+C25+D25+E25+F25+G25)</f>
        <v>2.2690037023809522</v>
      </c>
      <c r="M25" s="25">
        <f>1.99-(('Prices&amp;Fuel'!C25+'Prices&amp;Fuel'!D25)/2)</f>
        <v>-0.2649999999999999</v>
      </c>
      <c r="N25" s="25">
        <f t="shared" si="5"/>
        <v>2.0040037023809525</v>
      </c>
      <c r="O25" s="14">
        <f>(B25+C25+D25+E25+F25+G25)*0.5*L25*'Prices&amp;Fuel'!H25</f>
        <v>761402.78878865961</v>
      </c>
      <c r="P25" s="1">
        <f>(B25+C25+D25+E25+F25+G25)*0.5*N25*'Prices&amp;Fuel'!H25</f>
        <v>672477.53105670097</v>
      </c>
      <c r="Q25" s="21">
        <f>(B25+C25+D25+E25+F25+G25)*0.5*M25*'Prices&amp;Fuel'!H25</f>
        <v>-88925.257731958714</v>
      </c>
      <c r="R25" s="14">
        <f>'Prices&amp;Fuel'!X25*('Prices&amp;Fuel'!N25+'Prices&amp;Fuel'!O25)*'Prices&amp;Fuel'!H25</f>
        <v>4994.7106999999996</v>
      </c>
      <c r="S25" s="14">
        <f>('Prices&amp;Fuel'!U25+'Prices&amp;Fuel'!V25+'Prices&amp;Fuel'!W25)*('Prices&amp;Fuel'!L25+'Prices&amp;Fuel'!O25)*'Prices&amp;Fuel'!H25</f>
        <v>66587.200200000007</v>
      </c>
      <c r="T25" s="14">
        <f>((B25+C25+D25)*(1-'Prices&amp;Fuel'!G25))*('Prices&amp;Fuel'!M25+'Prices&amp;Fuel'!P25)*'Prices&amp;Fuel'!H25</f>
        <v>373832.71380000009</v>
      </c>
      <c r="U25" s="14">
        <f>((B25+C25+D25+E25+F25+G25)/(1-'Prices&amp;Fuel'!F25))*(1-'Prices&amp;Fuel'!F25)*'Prices&amp;Fuel'!H25*0.005</f>
        <v>3355.6701030927834</v>
      </c>
      <c r="V25" s="14">
        <f t="shared" si="6"/>
        <v>1793725.3569164947</v>
      </c>
      <c r="W25" s="6">
        <f t="shared" si="4"/>
        <v>27967.943083505379</v>
      </c>
      <c r="X25" s="65">
        <f>W25/(B25+C25+D25+E25+F25+G25)/'Prices&amp;Fuel'!H25</f>
        <v>4.1672664809524147E-2</v>
      </c>
      <c r="Y25" s="3">
        <f>Y24</f>
        <v>21000</v>
      </c>
      <c r="Z25" s="28">
        <f>'Prices&amp;Fuel'!B25+'FP Corp1999 fixed price'!$M25</f>
        <v>1.9750000000000003</v>
      </c>
      <c r="AA25" s="28">
        <f>'Prices&amp;Fuel'!C25+'FP Corp1999 fixed price'!$M25</f>
        <v>2.0049999999999999</v>
      </c>
      <c r="AB25" s="28">
        <f>'Prices&amp;Fuel'!D25+'FP Corp1999 fixed price'!$M25</f>
        <v>1.9750000000000003</v>
      </c>
    </row>
    <row r="26" spans="1:28" x14ac:dyDescent="0.25">
      <c r="A26" s="10">
        <f t="shared" si="3"/>
        <v>36387.749999999949</v>
      </c>
      <c r="B26" s="6">
        <f>IF(Y26-((E26+F26+G26)*(1-'Prices&amp;Fuel'!F26))&lt;'Prices&amp;Fuel'!R26,(Y26-(E26+F26+G26)*(1-'Prices&amp;Fuel'!F26)),'Prices&amp;Fuel'!R26)/(1-'Prices&amp;Fuel'!F26)</f>
        <v>9000</v>
      </c>
      <c r="C26" s="14">
        <f>(Y26/(1-'Prices&amp;Fuel'!F26))-D26-E26-F26-G26-B26</f>
        <v>-3.383320290595293E-10</v>
      </c>
      <c r="D26" s="14">
        <f>ROUND(IF(Y26/(1-'Prices&amp;Fuel'!F26)-E26-F26-G26-B26&gt;'Prices&amp;Fuel'!T26,'Prices&amp;Fuel'!T26,Y26/(1-'Prices&amp;Fuel'!F26)-E26-F26-G26-B26),9)</f>
        <v>6573.1958762889999</v>
      </c>
      <c r="E26" s="14">
        <f>'Prices&amp;Fuel'!U26/(1-'Prices&amp;Fuel'!F26)</f>
        <v>1938.1443298969073</v>
      </c>
      <c r="F26" s="14">
        <f>('Prices&amp;Fuel'!V26+'Prices&amp;Fuel'!X26)/(1-'Prices&amp;Fuel'!F26)</f>
        <v>3070.1030927835054</v>
      </c>
      <c r="G26" s="14">
        <f>'Prices&amp;Fuel'!W26/(1-'Prices&amp;Fuel'!F26)</f>
        <v>1068.0412371134021</v>
      </c>
      <c r="H26" s="25">
        <f>(1.99-0.05)+(('Prices&amp;Fuel'!M26+'Prices&amp;Fuel'!P26)*(1-'Prices&amp;Fuel'!F26))</f>
        <v>2.7143510000000002</v>
      </c>
      <c r="I26" s="14">
        <f>IF(FPL!L26=80000,0,B26)</f>
        <v>0</v>
      </c>
      <c r="J26" s="14">
        <v>68</v>
      </c>
      <c r="K26" s="14">
        <f>(B26+C26+D26+E26+F26+G26)*H26*'Prices&amp;Fuel'!H26</f>
        <v>1821693.3</v>
      </c>
      <c r="L26" s="25">
        <f>(((B26+E26)*('Prices&amp;Fuel'!B26+0.025))+(('Prices&amp;Fuel'!D26+0.025)*(D26+G26))+(('Prices&amp;Fuel'!C26+0.025)*(C26+F26))-(I26+J26)*0.025)/(B26+C26+D26+E26+F26+G26)</f>
        <v>2.6005938571428571</v>
      </c>
      <c r="M26" s="25">
        <f>1.99-(('Prices&amp;Fuel'!C26+'Prices&amp;Fuel'!D26)/2)</f>
        <v>-0.59999999999999987</v>
      </c>
      <c r="N26" s="25">
        <f t="shared" si="5"/>
        <v>2.0005938571428574</v>
      </c>
      <c r="O26" s="14">
        <f>(B26+C26+D26+E26+F26+G26)*0.5*L26*'Prices&amp;Fuel'!H26</f>
        <v>872673.50567010301</v>
      </c>
      <c r="P26" s="1">
        <f>(B26+C26+D26+E26+F26+G26)*0.5*N26*'Prices&amp;Fuel'!H26</f>
        <v>671333.29948453617</v>
      </c>
      <c r="Q26" s="21">
        <f>(B26+C26+D26+E26+F26+G26)*0.5*M26*'Prices&amp;Fuel'!H26</f>
        <v>-201340.20618556693</v>
      </c>
      <c r="R26" s="14">
        <f>'Prices&amp;Fuel'!X26*('Prices&amp;Fuel'!N26+'Prices&amp;Fuel'!O26)*'Prices&amp;Fuel'!H26</f>
        <v>4994.7106999999996</v>
      </c>
      <c r="S26" s="14">
        <f>('Prices&amp;Fuel'!U26+'Prices&amp;Fuel'!V26+'Prices&amp;Fuel'!W26)*('Prices&amp;Fuel'!L26+'Prices&amp;Fuel'!O26)*'Prices&amp;Fuel'!H26</f>
        <v>66587.200200000007</v>
      </c>
      <c r="T26" s="14">
        <f>((B26+C26+D26)*(1-'Prices&amp;Fuel'!G26))*('Prices&amp;Fuel'!M26+'Prices&amp;Fuel'!P26)*'Prices&amp;Fuel'!H26</f>
        <v>373832.71380000009</v>
      </c>
      <c r="U26" s="14">
        <f>((B26+C26+D26+E26+F26+G26)/(1-'Prices&amp;Fuel'!F26))*(1-'Prices&amp;Fuel'!F26)*'Prices&amp;Fuel'!H26*0.005</f>
        <v>3355.6701030927834</v>
      </c>
      <c r="V26" s="14">
        <f t="shared" si="6"/>
        <v>1791436.8937721651</v>
      </c>
      <c r="W26" s="6">
        <f t="shared" si="4"/>
        <v>30256.406227834988</v>
      </c>
      <c r="X26" s="65">
        <f>W26/(B26+C26+D26+E26+F26+G26)/'Prices&amp;Fuel'!H26</f>
        <v>4.5082510047618957E-2</v>
      </c>
      <c r="Y26" s="3">
        <f>Y25</f>
        <v>21000</v>
      </c>
      <c r="Z26" s="28">
        <f>'Prices&amp;Fuel'!B26+'FP Corp1999 fixed price'!$M26</f>
        <v>1.97</v>
      </c>
      <c r="AA26" s="28">
        <f>'Prices&amp;Fuel'!C26+'FP Corp1999 fixed price'!$M26</f>
        <v>2.0099999999999998</v>
      </c>
      <c r="AB26" s="28">
        <f>'Prices&amp;Fuel'!D26+'FP Corp1999 fixed price'!$M26</f>
        <v>1.97</v>
      </c>
    </row>
    <row r="27" spans="1:28" x14ac:dyDescent="0.25">
      <c r="A27" s="10">
        <f t="shared" si="3"/>
        <v>36418.166666666613</v>
      </c>
      <c r="B27" s="6">
        <f>IF(Y27-((E27+F27+G27)*(1-'Prices&amp;Fuel'!F27))&lt;'Prices&amp;Fuel'!R27,(Y27-(E27+F27+G27)*(1-'Prices&amp;Fuel'!F27)),'Prices&amp;Fuel'!R27)/(1-'Prices&amp;Fuel'!F27)</f>
        <v>9000</v>
      </c>
      <c r="C27" s="14">
        <f>(Y27/(1-'Prices&amp;Fuel'!F27))-D27-E27-F27-G27-B27</f>
        <v>-3.383320290595293E-10</v>
      </c>
      <c r="D27" s="14">
        <f>ROUND(IF(Y27/(1-'Prices&amp;Fuel'!F27)-E27-F27-G27-B27&gt;'Prices&amp;Fuel'!T27,'Prices&amp;Fuel'!T27,Y27/(1-'Prices&amp;Fuel'!F27)-E27-F27-G27-B27),9)</f>
        <v>6573.1958762889999</v>
      </c>
      <c r="E27" s="14">
        <f>'Prices&amp;Fuel'!U27/(1-'Prices&amp;Fuel'!F27)</f>
        <v>1938.1443298969073</v>
      </c>
      <c r="F27" s="14">
        <f>('Prices&amp;Fuel'!V27+'Prices&amp;Fuel'!X27)/(1-'Prices&amp;Fuel'!F27)</f>
        <v>3070.1030927835054</v>
      </c>
      <c r="G27" s="14">
        <f>'Prices&amp;Fuel'!W27/(1-'Prices&amp;Fuel'!F27)</f>
        <v>1068.0412371134021</v>
      </c>
      <c r="H27" s="25">
        <f>(1.99-0.05)+(('Prices&amp;Fuel'!M27+'Prices&amp;Fuel'!P27)*(1-'Prices&amp;Fuel'!F27))</f>
        <v>2.7143510000000002</v>
      </c>
      <c r="I27" s="14">
        <f>IF(FPL!L27=80000,0,B27)</f>
        <v>0</v>
      </c>
      <c r="J27" s="14">
        <v>68</v>
      </c>
      <c r="K27" s="14">
        <f>(B27+C27+D27+E27+F27+G27)*H27*'Prices&amp;Fuel'!H27</f>
        <v>1762929</v>
      </c>
      <c r="L27" s="25">
        <f>(((B27+E27)*('Prices&amp;Fuel'!B27+0.025))+(('Prices&amp;Fuel'!D27+0.025)*(D27+G27))+(('Prices&amp;Fuel'!C27+0.025)*(C27+F27))-(I27+J27)*0.025)/(B27+C27+D27+E27+F27+G27)</f>
        <v>2.8905938571428571</v>
      </c>
      <c r="M27" s="25">
        <f>1.99-(('Prices&amp;Fuel'!C27+'Prices&amp;Fuel'!D27)/2)</f>
        <v>-0.8899999999999999</v>
      </c>
      <c r="N27" s="25">
        <f t="shared" si="5"/>
        <v>2.0005938571428574</v>
      </c>
      <c r="O27" s="14">
        <f>(B27+C27+D27+E27+F27+G27)*0.5*L27*'Prices&amp;Fuel'!H27</f>
        <v>938698.00515463913</v>
      </c>
      <c r="P27" s="1">
        <f>(B27+C27+D27+E27+F27+G27)*0.5*N27*'Prices&amp;Fuel'!H27</f>
        <v>649677.38659793825</v>
      </c>
      <c r="Q27" s="21">
        <f>(B27+C27+D27+E27+F27+G27)*0.5*M27*'Prices&amp;Fuel'!H27</f>
        <v>-289020.61855670094</v>
      </c>
      <c r="R27" s="14">
        <f>'Prices&amp;Fuel'!X27*('Prices&amp;Fuel'!N27+'Prices&amp;Fuel'!O27)*'Prices&amp;Fuel'!H27</f>
        <v>4833.5909999999994</v>
      </c>
      <c r="S27" s="14">
        <f>('Prices&amp;Fuel'!U27+'Prices&amp;Fuel'!V27+'Prices&amp;Fuel'!W27)*('Prices&amp;Fuel'!L27+'Prices&amp;Fuel'!O27)*'Prices&amp;Fuel'!H27</f>
        <v>64439.226000000002</v>
      </c>
      <c r="T27" s="14">
        <f>((B27+C27+D27)*(1-'Prices&amp;Fuel'!G27))*('Prices&amp;Fuel'!M27+'Prices&amp;Fuel'!P27)*'Prices&amp;Fuel'!H27</f>
        <v>361773.59400000004</v>
      </c>
      <c r="U27" s="14">
        <f>((B27+C27+D27+E27+F27+G27)/(1-'Prices&amp;Fuel'!F27))*(1-'Prices&amp;Fuel'!F27)*'Prices&amp;Fuel'!H27*0.005</f>
        <v>3247.4226804123709</v>
      </c>
      <c r="V27" s="14">
        <f t="shared" si="6"/>
        <v>1733648.606876289</v>
      </c>
      <c r="W27" s="6">
        <f t="shared" si="4"/>
        <v>29280.393123710994</v>
      </c>
      <c r="X27" s="65">
        <f>W27/(B27+C27+D27+E27+F27+G27)/'Prices&amp;Fuel'!H27</f>
        <v>4.5082510047618519E-2</v>
      </c>
      <c r="Y27" s="3">
        <f>Y26</f>
        <v>21000</v>
      </c>
      <c r="Z27" s="28">
        <f>'Prices&amp;Fuel'!B27+'FP Corp1999 fixed price'!$M27</f>
        <v>1.97</v>
      </c>
      <c r="AA27" s="28">
        <f>'Prices&amp;Fuel'!C27+'FP Corp1999 fixed price'!$M27</f>
        <v>2.0099999999999998</v>
      </c>
      <c r="AB27" s="28">
        <f>'Prices&amp;Fuel'!D27+'FP Corp1999 fixed price'!$M27</f>
        <v>1.97</v>
      </c>
    </row>
    <row r="28" spans="1:28" x14ac:dyDescent="0.25">
      <c r="A28" s="10">
        <f t="shared" si="3"/>
        <v>36448.583333333278</v>
      </c>
      <c r="B28" s="6">
        <f>IF(Y28-((E28+F28+G28)*(1-'Prices&amp;Fuel'!F28))&lt;'Prices&amp;Fuel'!R28,(Y28-(E28+F28+G28)*(1-'Prices&amp;Fuel'!F28)),'Prices&amp;Fuel'!R28)/(1-'Prices&amp;Fuel'!F28)</f>
        <v>8976.8637532133671</v>
      </c>
      <c r="C28" s="14">
        <f>(Y28/(1-'Prices&amp;Fuel'!F28))-D28-E28-F28-G28-B28</f>
        <v>2.0190782379359007E-10</v>
      </c>
      <c r="D28" s="14">
        <f>ROUND(IF(Y28/(1-'Prices&amp;Fuel'!F28)-E28-F28-G28-B28&gt;'Prices&amp;Fuel'!T28,'Prices&amp;Fuel'!T28,Y28/(1-'Prices&amp;Fuel'!F28)-E28-F28-G28-B28),9)</f>
        <v>3514.6529562979999</v>
      </c>
      <c r="E28" s="14">
        <f>'Prices&amp;Fuel'!U28/(1-'Prices&amp;Fuel'!F28)</f>
        <v>2910.025706940874</v>
      </c>
      <c r="F28" s="14">
        <f>('Prices&amp;Fuel'!V28+'Prices&amp;Fuel'!X28)/(1-'Prices&amp;Fuel'!F28)</f>
        <v>4628.2776349614396</v>
      </c>
      <c r="G28" s="14">
        <f>'Prices&amp;Fuel'!W28/(1-'Prices&amp;Fuel'!F28)</f>
        <v>1564.0102827763496</v>
      </c>
      <c r="H28" s="25">
        <f>(1.99-0.05)+(('Prices&amp;Fuel'!M28+'Prices&amp;Fuel'!P28)*(1-'Prices&amp;Fuel'!F28))</f>
        <v>2.7239322499999998</v>
      </c>
      <c r="I28" s="14">
        <f>IF(FPL!L28=80000,0,B28)</f>
        <v>8976.8637532133671</v>
      </c>
      <c r="J28" s="14">
        <v>68</v>
      </c>
      <c r="K28" s="14">
        <f>(B28+C28+D28+E28+F28+G28)*H28*'Prices&amp;Fuel'!H28</f>
        <v>1823424.0562982005</v>
      </c>
      <c r="L28" s="25">
        <f>(((B28+E28)*('Prices&amp;Fuel'!B28+0.025))+(('Prices&amp;Fuel'!D28+0.025)*(D28+G28))+(('Prices&amp;Fuel'!C28+0.025)*(C28+F28))-(I28+J28)*0.025)/(B28+C28+D28+E28+F28+G28)</f>
        <v>2.5131017500000006</v>
      </c>
      <c r="M28" s="25">
        <f>1.99-(('Prices&amp;Fuel'!C28+'Prices&amp;Fuel'!D28)/2)</f>
        <v>-0.5199999999999998</v>
      </c>
      <c r="N28" s="25">
        <f t="shared" si="5"/>
        <v>1.9931017500000008</v>
      </c>
      <c r="O28" s="14">
        <f>(B28+C28+D28+E28+F28+G28)*0.5*L28*'Prices&amp;Fuel'!H28</f>
        <v>841146.1384318769</v>
      </c>
      <c r="P28" s="1">
        <f>(B28+C28+D28+E28+F28+G28)*0.5*N28*'Prices&amp;Fuel'!H28</f>
        <v>667099.86593830364</v>
      </c>
      <c r="Q28" s="21">
        <f>(B28+C28+D28+E28+F28+G28)*0.5*M28*'Prices&amp;Fuel'!H28</f>
        <v>-174046.2724935732</v>
      </c>
      <c r="R28" s="14">
        <f>'Prices&amp;Fuel'!X28*('Prices&amp;Fuel'!N28+'Prices&amp;Fuel'!O28)*'Prices&amp;Fuel'!H28</f>
        <v>7562.2547000000013</v>
      </c>
      <c r="S28" s="14">
        <f>('Prices&amp;Fuel'!U28+'Prices&amp;Fuel'!V28+'Prices&amp;Fuel'!W28)*('Prices&amp;Fuel'!L28+'Prices&amp;Fuel'!O28)*'Prices&amp;Fuel'!H28</f>
        <v>102220.02000000002</v>
      </c>
      <c r="T28" s="14">
        <f>((B28+C28+D28)*(1-'Prices&amp;Fuel'!G28))*('Prices&amp;Fuel'!M28+'Prices&amp;Fuel'!P28)*'Prices&amp;Fuel'!H28</f>
        <v>303567.58679999999</v>
      </c>
      <c r="U28" s="14">
        <f>((B28+C28+D28+E28+F28+G28)/(1-'Prices&amp;Fuel'!F28))*(1-'Prices&amp;Fuel'!F28)*'Prices&amp;Fuel'!H28*0.005</f>
        <v>3347.0437017994859</v>
      </c>
      <c r="V28" s="14">
        <f t="shared" si="6"/>
        <v>1750896.6370784068</v>
      </c>
      <c r="W28" s="6">
        <f t="shared" si="4"/>
        <v>72527.419219793752</v>
      </c>
      <c r="X28" s="65">
        <f>W28/(B28+C28+D28+E28+F28+G28)/'Prices&amp;Fuel'!H28</f>
        <v>0.10834549184523722</v>
      </c>
      <c r="Y28" s="3">
        <f>Y27</f>
        <v>21000</v>
      </c>
      <c r="Z28" s="28">
        <f>'Prices&amp;Fuel'!B28+'FP Corp1999 fixed price'!$M28</f>
        <v>1.9700000000000004</v>
      </c>
      <c r="AA28" s="28">
        <f>'Prices&amp;Fuel'!C28+'FP Corp1999 fixed price'!$M28</f>
        <v>2.0099999999999998</v>
      </c>
      <c r="AB28" s="28">
        <f>'Prices&amp;Fuel'!D28+'FP Corp1999 fixed price'!$M28</f>
        <v>1.9700000000000004</v>
      </c>
    </row>
    <row r="29" spans="1:28" x14ac:dyDescent="0.25">
      <c r="A29" s="10">
        <f t="shared" si="3"/>
        <v>36478.999999999942</v>
      </c>
      <c r="B29" s="6">
        <f>IF(Y29-((E29+F29+G29)*(1-'Prices&amp;Fuel'!F29))&lt;'Prices&amp;Fuel'!R29,(Y29-(E29+F29+G29)*(1-'Prices&amp;Fuel'!F29)),'Prices&amp;Fuel'!R29)/(1-'Prices&amp;Fuel'!F29)</f>
        <v>4325.9640102827761</v>
      </c>
      <c r="C29" s="14">
        <f>(Y29/(1-'Prices&amp;Fuel'!F29))-D29-E29-F29-G29-B29</f>
        <v>0</v>
      </c>
      <c r="D29" s="14">
        <f>ROUND(IF(Y29/(1-'Prices&amp;Fuel'!F29)-E29-F29-G29-B29&gt;'Prices&amp;Fuel'!T29,'Prices&amp;Fuel'!T29,Y29/(1-'Prices&amp;Fuel'!F29)-E29-F29-G29-B29),9)</f>
        <v>0</v>
      </c>
      <c r="E29" s="14">
        <f>'Prices&amp;Fuel'!U29/(1-'Prices&amp;Fuel'!F29)</f>
        <v>2635.4755784061695</v>
      </c>
      <c r="F29" s="14">
        <f>('Prices&amp;Fuel'!V29+'Prices&amp;Fuel'!X29)/(1-'Prices&amp;Fuel'!F29)</f>
        <v>3645.2442159383031</v>
      </c>
      <c r="G29" s="14">
        <f>'Prices&amp;Fuel'!W29/(1-'Prices&amp;Fuel'!F29)</f>
        <v>1732.6478149100255</v>
      </c>
      <c r="H29" s="25">
        <f>(1.99-0.05)+(('Prices&amp;Fuel'!M29+'Prices&amp;Fuel'!P29)*(1-'Prices&amp;Fuel'!F29))</f>
        <v>2.7239322499999998</v>
      </c>
      <c r="I29" s="14">
        <f>IF(FPL!L29=80000,0,B29)</f>
        <v>4325.9640102827761</v>
      </c>
      <c r="J29" s="14">
        <v>68</v>
      </c>
      <c r="K29" s="14">
        <f>(B29+C29+D29+E29+F29+G29)*H29*'Prices&amp;Fuel'!H29</f>
        <v>1008345.1002570693</v>
      </c>
      <c r="L29" s="25">
        <f>(((B29+E29)*('Prices&amp;Fuel'!B29+0.025))+(('Prices&amp;Fuel'!D29+0.025)*(D29+G29))+(('Prices&amp;Fuel'!C29+0.025)*(C29+F29))-(I29+J29)*0.025)/(B29+C29+D29+E29+F29+G29)</f>
        <v>3.0079143125000001</v>
      </c>
      <c r="M29" s="25">
        <f>1.99-(('Prices&amp;Fuel'!C29+'Prices&amp;Fuel'!D29)/2)</f>
        <v>-1.01</v>
      </c>
      <c r="N29" s="25">
        <f t="shared" si="5"/>
        <v>1.9979143125000001</v>
      </c>
      <c r="O29" s="14">
        <f>(B29+C29+D29+E29+F29+G29)*0.5*L29*'Prices&amp;Fuel'!H29</f>
        <v>556734.78277634957</v>
      </c>
      <c r="P29" s="1">
        <f>(B29+C29+D29+E29+F29+G29)*0.5*N29*'Prices&amp;Fuel'!H29</f>
        <v>369793.90874035982</v>
      </c>
      <c r="Q29" s="21">
        <f>(B29+C29+D29+E29+F29+G29)*0.5*M29*'Prices&amp;Fuel'!H29</f>
        <v>-186940.87403598972</v>
      </c>
      <c r="R29" s="14">
        <f>'Prices&amp;Fuel'!X29*('Prices&amp;Fuel'!N29+'Prices&amp;Fuel'!O29)*'Prices&amp;Fuel'!H29</f>
        <v>4993.4130000000005</v>
      </c>
      <c r="S29" s="14">
        <f>('Prices&amp;Fuel'!U29+'Prices&amp;Fuel'!V29+'Prices&amp;Fuel'!W29)*('Prices&amp;Fuel'!L29+'Prices&amp;Fuel'!O29)*'Prices&amp;Fuel'!H29</f>
        <v>89586.000000000015</v>
      </c>
      <c r="T29" s="14">
        <f>((B29+C29+D29)*(1-'Prices&amp;Fuel'!G29))*('Prices&amp;Fuel'!M29+'Prices&amp;Fuel'!P29)*'Prices&amp;Fuel'!H29</f>
        <v>101737.88100000001</v>
      </c>
      <c r="U29" s="14">
        <f>((B29+C29+D29+E29+F29+G29)/(1-'Prices&amp;Fuel'!F29))*(1-'Prices&amp;Fuel'!F29)*'Prices&amp;Fuel'!H29*0.005</f>
        <v>1850.8997429305912</v>
      </c>
      <c r="V29" s="14">
        <f t="shared" si="6"/>
        <v>937756.0112236503</v>
      </c>
      <c r="W29" s="6">
        <f t="shared" si="4"/>
        <v>70589.089033419034</v>
      </c>
      <c r="X29" s="65">
        <f>W29/(B29+C29+D29+E29+F29+G29)/'Prices&amp;Fuel'!H29</f>
        <v>0.1906885807916667</v>
      </c>
      <c r="Y29" s="3">
        <v>12000</v>
      </c>
      <c r="Z29" s="28">
        <f>'Prices&amp;Fuel'!B29+'FP Corp1999 fixed price'!$M29</f>
        <v>1.97</v>
      </c>
      <c r="AA29" s="28">
        <f>'Prices&amp;Fuel'!C29+'FP Corp1999 fixed price'!$M29</f>
        <v>2.0099999999999998</v>
      </c>
      <c r="AB29" s="28">
        <f>'Prices&amp;Fuel'!D29+'FP Corp1999 fixed price'!$M29</f>
        <v>1.97</v>
      </c>
    </row>
    <row r="30" spans="1:28" x14ac:dyDescent="0.25">
      <c r="A30" s="10">
        <f t="shared" si="3"/>
        <v>36509.416666666606</v>
      </c>
      <c r="B30" s="6">
        <f>IF(Y30-((E30+F30+G30)*(1-'Prices&amp;Fuel'!F30))&lt;'Prices&amp;Fuel'!R30,(Y30-(E30+F30+G30)*(1-'Prices&amp;Fuel'!F30)),'Prices&amp;Fuel'!R30)/(1-'Prices&amp;Fuel'!F30)</f>
        <v>4325.9640102827761</v>
      </c>
      <c r="C30" s="14">
        <f>(Y30/(1-'Prices&amp;Fuel'!F30))-D30-E30-F30-G30-B30</f>
        <v>0</v>
      </c>
      <c r="D30" s="14">
        <f>ROUND(IF(Y30/(1-'Prices&amp;Fuel'!F30)-E30-F30-G30-B30&gt;'Prices&amp;Fuel'!T30,'Prices&amp;Fuel'!T30,Y30/(1-'Prices&amp;Fuel'!F30)-E30-F30-G30-B30),9)</f>
        <v>0</v>
      </c>
      <c r="E30" s="14">
        <f>'Prices&amp;Fuel'!U30/(1-'Prices&amp;Fuel'!F30)</f>
        <v>2635.4755784061695</v>
      </c>
      <c r="F30" s="14">
        <f>('Prices&amp;Fuel'!V30+'Prices&amp;Fuel'!X30)/(1-'Prices&amp;Fuel'!F30)</f>
        <v>3645.2442159383031</v>
      </c>
      <c r="G30" s="14">
        <f>'Prices&amp;Fuel'!W30/(1-'Prices&amp;Fuel'!F30)</f>
        <v>1732.6478149100255</v>
      </c>
      <c r="H30" s="25">
        <f>(1.99-0.05)+(('Prices&amp;Fuel'!M30+'Prices&amp;Fuel'!P30)*(1-'Prices&amp;Fuel'!F30))</f>
        <v>2.7239322499999998</v>
      </c>
      <c r="I30" s="14">
        <f>IF(FPL!L30=80000,0,B30)</f>
        <v>4325.9640102827761</v>
      </c>
      <c r="J30" s="14">
        <v>68</v>
      </c>
      <c r="K30" s="14">
        <f>(B30+C30+D30+E30+F30+G30)*H30*'Prices&amp;Fuel'!H30</f>
        <v>1041956.6035989716</v>
      </c>
      <c r="L30" s="25">
        <f>(((B30+E30)*('Prices&amp;Fuel'!B30+0.025))+(('Prices&amp;Fuel'!D30+0.025)*(D30+G30))+(('Prices&amp;Fuel'!C30+0.025)*(C30+F30))-(I30+J30)*0.025)/(B30+C30+D30+E30+F30+G30)</f>
        <v>2.1279143125000002</v>
      </c>
      <c r="M30" s="25">
        <f>1.99-(('Prices&amp;Fuel'!C30+'Prices&amp;Fuel'!D30)/2)</f>
        <v>-0.13000000000000012</v>
      </c>
      <c r="N30" s="25">
        <f t="shared" si="5"/>
        <v>1.9979143125000001</v>
      </c>
      <c r="O30" s="14">
        <f>(B30+C30+D30+E30+F30+G30)*0.5*L30*'Prices&amp;Fuel'!H30</f>
        <v>406984.12557840615</v>
      </c>
      <c r="P30" s="1">
        <f>(B30+C30+D30+E30+F30+G30)*0.5*N30*'Prices&amp;Fuel'!H30</f>
        <v>382120.37236503849</v>
      </c>
      <c r="Q30" s="21">
        <f>(B30+C30+D30+E30+F30+G30)*0.5*M30*'Prices&amp;Fuel'!H30</f>
        <v>-24863.753213367629</v>
      </c>
      <c r="R30" s="14">
        <f>'Prices&amp;Fuel'!X30*('Prices&amp;Fuel'!N30+'Prices&amp;Fuel'!O30)*'Prices&amp;Fuel'!H30</f>
        <v>5159.8600999999999</v>
      </c>
      <c r="S30" s="14">
        <f>('Prices&amp;Fuel'!U30+'Prices&amp;Fuel'!V30+'Prices&amp;Fuel'!W30)*('Prices&amp;Fuel'!L30+'Prices&amp;Fuel'!O30)*'Prices&amp;Fuel'!H30</f>
        <v>92572.200000000012</v>
      </c>
      <c r="T30" s="14">
        <f>((B30+C30+D30)*(1-'Prices&amp;Fuel'!G30))*('Prices&amp;Fuel'!M30+'Prices&amp;Fuel'!P30)*'Prices&amp;Fuel'!H30</f>
        <v>105129.1437</v>
      </c>
      <c r="U30" s="14">
        <f>((B30+C30+D30+E30+F30+G30)/(1-'Prices&amp;Fuel'!F30))*(1-'Prices&amp;Fuel'!F30)*'Prices&amp;Fuel'!H30*0.005</f>
        <v>1912.5964010282776</v>
      </c>
      <c r="V30" s="14">
        <f t="shared" si="6"/>
        <v>969014.54493110534</v>
      </c>
      <c r="W30" s="6">
        <f t="shared" si="4"/>
        <v>72942.05866786628</v>
      </c>
      <c r="X30" s="65">
        <f>W30/(B30+C30+D30+E30+F30+G30)/'Prices&amp;Fuel'!H30</f>
        <v>0.19068858079166659</v>
      </c>
      <c r="Y30" s="3">
        <f>Y29</f>
        <v>12000</v>
      </c>
      <c r="Z30" s="28">
        <f>'Prices&amp;Fuel'!B30+'FP Corp1999 fixed price'!$M30</f>
        <v>1.97</v>
      </c>
      <c r="AA30" s="28">
        <f>'Prices&amp;Fuel'!C30+'FP Corp1999 fixed price'!$M30</f>
        <v>2.0099999999999998</v>
      </c>
      <c r="AB30" s="28">
        <f>'Prices&amp;Fuel'!D30+'FP Corp1999 fixed price'!$M30</f>
        <v>1.97</v>
      </c>
    </row>
    <row r="31" spans="1:28" x14ac:dyDescent="0.25">
      <c r="P31" s="3"/>
      <c r="Q31" s="21">
        <f>(B31+C31+D31+E31+F31+G31)*0.5*M31*'Prices&amp;Fuel'!H31</f>
        <v>0</v>
      </c>
    </row>
    <row r="32" spans="1:28" ht="10.199999999999999" x14ac:dyDescent="0.2">
      <c r="P32" s="3"/>
      <c r="Q32" s="3"/>
    </row>
    <row r="33" spans="16:17" ht="10.199999999999999" x14ac:dyDescent="0.2">
      <c r="P33" s="3"/>
      <c r="Q33" s="3"/>
    </row>
    <row r="34" spans="16:17" ht="10.199999999999999" x14ac:dyDescent="0.2">
      <c r="P34" s="3"/>
      <c r="Q34" s="3"/>
    </row>
    <row r="35" spans="16:17" ht="10.199999999999999" x14ac:dyDescent="0.2">
      <c r="P35" s="3"/>
      <c r="Q35" s="3"/>
    </row>
    <row r="36" spans="16:17" ht="10.199999999999999" x14ac:dyDescent="0.2">
      <c r="P36" s="3"/>
      <c r="Q36" s="3"/>
    </row>
    <row r="37" spans="16:17" ht="10.199999999999999" x14ac:dyDescent="0.2">
      <c r="P37" s="3"/>
      <c r="Q37" s="3"/>
    </row>
    <row r="38" spans="16:17" ht="10.199999999999999" x14ac:dyDescent="0.2">
      <c r="P38" s="3"/>
      <c r="Q38" s="3"/>
    </row>
    <row r="39" spans="16:17" ht="10.199999999999999" x14ac:dyDescent="0.2">
      <c r="P39" s="3"/>
      <c r="Q39" s="3"/>
    </row>
    <row r="40" spans="16:17" ht="10.199999999999999" x14ac:dyDescent="0.2">
      <c r="P40" s="3"/>
      <c r="Q40" s="3"/>
    </row>
    <row r="41" spans="16:17" ht="10.199999999999999" x14ac:dyDescent="0.2">
      <c r="P41" s="3"/>
      <c r="Q41" s="3"/>
    </row>
    <row r="42" spans="16:17" ht="10.199999999999999" x14ac:dyDescent="0.2">
      <c r="P42" s="3"/>
      <c r="Q42" s="3"/>
    </row>
    <row r="43" spans="16:17" ht="10.199999999999999" x14ac:dyDescent="0.2">
      <c r="P43" s="3"/>
      <c r="Q43" s="3"/>
    </row>
    <row r="44" spans="16:17" ht="10.199999999999999" x14ac:dyDescent="0.2">
      <c r="P44" s="3"/>
      <c r="Q44" s="3"/>
    </row>
    <row r="45" spans="16:17" ht="10.199999999999999" x14ac:dyDescent="0.2">
      <c r="P45" s="3"/>
      <c r="Q45" s="3"/>
    </row>
    <row r="46" spans="16:17" ht="10.199999999999999" x14ac:dyDescent="0.2">
      <c r="P46" s="3"/>
      <c r="Q46" s="3"/>
    </row>
    <row r="47" spans="16:17" ht="10.199999999999999" x14ac:dyDescent="0.2">
      <c r="P47" s="3"/>
      <c r="Q47" s="3"/>
    </row>
    <row r="48" spans="16:17" ht="10.199999999999999" x14ac:dyDescent="0.2">
      <c r="P48" s="3"/>
      <c r="Q48" s="3"/>
    </row>
    <row r="49" spans="16:17" ht="10.199999999999999" x14ac:dyDescent="0.2">
      <c r="P49" s="3"/>
      <c r="Q49" s="3"/>
    </row>
    <row r="50" spans="16:17" ht="10.199999999999999" x14ac:dyDescent="0.2">
      <c r="P50" s="3"/>
      <c r="Q50" s="3"/>
    </row>
    <row r="51" spans="16:17" ht="10.199999999999999" x14ac:dyDescent="0.2">
      <c r="P51" s="3"/>
      <c r="Q51" s="3"/>
    </row>
    <row r="52" spans="16:17" ht="10.199999999999999" x14ac:dyDescent="0.2">
      <c r="P52" s="3"/>
      <c r="Q52" s="3"/>
    </row>
    <row r="53" spans="16:17" ht="10.199999999999999" x14ac:dyDescent="0.2">
      <c r="P53" s="3"/>
      <c r="Q53" s="3"/>
    </row>
    <row r="54" spans="16:17" ht="10.199999999999999" x14ac:dyDescent="0.2">
      <c r="P54" s="3"/>
      <c r="Q54" s="3"/>
    </row>
    <row r="55" spans="16:17" ht="10.199999999999999" x14ac:dyDescent="0.2">
      <c r="P55" s="3"/>
      <c r="Q55" s="3"/>
    </row>
    <row r="56" spans="16:17" ht="10.199999999999999" x14ac:dyDescent="0.2">
      <c r="P56" s="3"/>
      <c r="Q56" s="3"/>
    </row>
    <row r="57" spans="16:17" ht="10.199999999999999" x14ac:dyDescent="0.2">
      <c r="P57" s="3"/>
      <c r="Q57" s="3"/>
    </row>
    <row r="58" spans="16:17" ht="10.199999999999999" x14ac:dyDescent="0.2">
      <c r="P58" s="3"/>
      <c r="Q58" s="3"/>
    </row>
    <row r="59" spans="16:17" ht="10.199999999999999" x14ac:dyDescent="0.2">
      <c r="P59" s="3"/>
      <c r="Q59" s="3"/>
    </row>
    <row r="60" spans="16:17" ht="10.199999999999999" x14ac:dyDescent="0.2">
      <c r="P60" s="3"/>
      <c r="Q60" s="3"/>
    </row>
    <row r="61" spans="16:17" ht="10.199999999999999" x14ac:dyDescent="0.2">
      <c r="P61" s="3"/>
      <c r="Q61" s="3"/>
    </row>
    <row r="62" spans="16:17" ht="10.199999999999999" x14ac:dyDescent="0.2">
      <c r="P62" s="3"/>
      <c r="Q62" s="3"/>
    </row>
    <row r="63" spans="16:17" ht="10.199999999999999" x14ac:dyDescent="0.2">
      <c r="P63" s="3"/>
      <c r="Q63" s="3"/>
    </row>
    <row r="64" spans="16:17" ht="10.199999999999999" x14ac:dyDescent="0.2">
      <c r="P64" s="3"/>
      <c r="Q64" s="3"/>
    </row>
    <row r="65" spans="16:17" ht="10.199999999999999" x14ac:dyDescent="0.2">
      <c r="P65" s="3"/>
      <c r="Q65" s="3"/>
    </row>
    <row r="66" spans="16:17" ht="10.199999999999999" x14ac:dyDescent="0.2">
      <c r="P66" s="3"/>
      <c r="Q66" s="3"/>
    </row>
    <row r="67" spans="16:17" ht="10.199999999999999" x14ac:dyDescent="0.2">
      <c r="P67" s="3"/>
      <c r="Q67" s="3"/>
    </row>
    <row r="68" spans="16:17" ht="10.199999999999999" x14ac:dyDescent="0.2">
      <c r="P68" s="3"/>
      <c r="Q68" s="3"/>
    </row>
    <row r="69" spans="16:17" ht="10.199999999999999" x14ac:dyDescent="0.2">
      <c r="P69" s="3"/>
      <c r="Q69" s="3"/>
    </row>
    <row r="70" spans="16:17" ht="10.199999999999999" x14ac:dyDescent="0.2">
      <c r="P70" s="3"/>
      <c r="Q70" s="3"/>
    </row>
    <row r="71" spans="16:17" ht="10.199999999999999" x14ac:dyDescent="0.2">
      <c r="P71" s="3"/>
      <c r="Q71" s="3"/>
    </row>
    <row r="72" spans="16:17" ht="10.199999999999999" x14ac:dyDescent="0.2">
      <c r="P72" s="3"/>
      <c r="Q72" s="3"/>
    </row>
    <row r="73" spans="16:17" ht="10.199999999999999" x14ac:dyDescent="0.2">
      <c r="P73" s="3"/>
      <c r="Q73" s="3"/>
    </row>
    <row r="74" spans="16:17" ht="10.199999999999999" x14ac:dyDescent="0.2">
      <c r="P74" s="3"/>
      <c r="Q74" s="3"/>
    </row>
    <row r="75" spans="16:17" ht="10.199999999999999" x14ac:dyDescent="0.2">
      <c r="P75" s="3"/>
      <c r="Q75" s="3"/>
    </row>
    <row r="76" spans="16:17" ht="10.199999999999999" x14ac:dyDescent="0.2">
      <c r="P76" s="3"/>
      <c r="Q76" s="3"/>
    </row>
    <row r="77" spans="16:17" ht="10.199999999999999" x14ac:dyDescent="0.2">
      <c r="P77" s="3"/>
      <c r="Q77" s="3"/>
    </row>
    <row r="78" spans="16:17" ht="10.199999999999999" x14ac:dyDescent="0.2">
      <c r="P78" s="3"/>
      <c r="Q78" s="3"/>
    </row>
    <row r="79" spans="16:17" ht="10.199999999999999" x14ac:dyDescent="0.2">
      <c r="P79" s="3"/>
      <c r="Q79" s="3"/>
    </row>
    <row r="80" spans="16:17" ht="10.199999999999999" x14ac:dyDescent="0.2">
      <c r="P80" s="3"/>
      <c r="Q80" s="3"/>
    </row>
    <row r="81" spans="16:17" ht="10.199999999999999" x14ac:dyDescent="0.2">
      <c r="P81" s="3"/>
      <c r="Q81" s="3"/>
    </row>
    <row r="82" spans="16:17" ht="10.199999999999999" x14ac:dyDescent="0.2">
      <c r="P82" s="3"/>
      <c r="Q82" s="3"/>
    </row>
    <row r="83" spans="16:17" ht="10.199999999999999" x14ac:dyDescent="0.2">
      <c r="P83" s="3"/>
      <c r="Q83" s="3"/>
    </row>
    <row r="84" spans="16:17" ht="10.199999999999999" x14ac:dyDescent="0.2">
      <c r="P84" s="3"/>
      <c r="Q84" s="3"/>
    </row>
    <row r="85" spans="16:17" ht="10.199999999999999" x14ac:dyDescent="0.2">
      <c r="P85" s="3"/>
      <c r="Q85" s="3"/>
    </row>
    <row r="86" spans="16:17" ht="10.199999999999999" x14ac:dyDescent="0.2">
      <c r="P86" s="3"/>
      <c r="Q86" s="3"/>
    </row>
    <row r="87" spans="16:17" ht="10.199999999999999" x14ac:dyDescent="0.2">
      <c r="P87" s="3"/>
      <c r="Q87" s="3"/>
    </row>
    <row r="88" spans="16:17" ht="10.199999999999999" x14ac:dyDescent="0.2">
      <c r="P88" s="3"/>
      <c r="Q88" s="3"/>
    </row>
    <row r="89" spans="16:17" ht="10.199999999999999" x14ac:dyDescent="0.2">
      <c r="P89" s="3"/>
      <c r="Q89" s="3"/>
    </row>
    <row r="90" spans="16:17" ht="10.199999999999999" x14ac:dyDescent="0.2">
      <c r="P90" s="3"/>
      <c r="Q90" s="3"/>
    </row>
    <row r="91" spans="16:17" ht="10.199999999999999" x14ac:dyDescent="0.2">
      <c r="P91" s="3"/>
      <c r="Q91" s="3"/>
    </row>
    <row r="92" spans="16:17" ht="10.199999999999999" x14ac:dyDescent="0.2">
      <c r="P92" s="3"/>
      <c r="Q92" s="3"/>
    </row>
    <row r="93" spans="16:17" ht="10.199999999999999" x14ac:dyDescent="0.2">
      <c r="P93" s="3"/>
      <c r="Q93" s="3"/>
    </row>
    <row r="94" spans="16:17" ht="10.199999999999999" x14ac:dyDescent="0.2">
      <c r="P94" s="3"/>
      <c r="Q94" s="3"/>
    </row>
    <row r="95" spans="16:17" ht="10.199999999999999" x14ac:dyDescent="0.2">
      <c r="P95" s="3"/>
      <c r="Q95" s="3"/>
    </row>
    <row r="96" spans="16:17" ht="10.199999999999999" x14ac:dyDescent="0.2">
      <c r="P96" s="3"/>
      <c r="Q96" s="3"/>
    </row>
    <row r="97" spans="16:17" ht="10.199999999999999" x14ac:dyDescent="0.2">
      <c r="P97" s="3"/>
      <c r="Q97" s="3"/>
    </row>
    <row r="98" spans="16:17" ht="10.199999999999999" x14ac:dyDescent="0.2">
      <c r="P98" s="3"/>
      <c r="Q98" s="3"/>
    </row>
    <row r="99" spans="16:17" ht="10.199999999999999" x14ac:dyDescent="0.2">
      <c r="P99" s="3"/>
      <c r="Q99" s="3"/>
    </row>
    <row r="100" spans="16:17" ht="10.199999999999999" x14ac:dyDescent="0.2">
      <c r="P100" s="3"/>
      <c r="Q100" s="3"/>
    </row>
    <row r="101" spans="16:17" ht="10.199999999999999" x14ac:dyDescent="0.2">
      <c r="P101" s="3"/>
      <c r="Q101" s="3"/>
    </row>
    <row r="102" spans="16:17" ht="10.199999999999999" x14ac:dyDescent="0.2">
      <c r="P102" s="3"/>
      <c r="Q102" s="3"/>
    </row>
    <row r="103" spans="16:17" ht="10.199999999999999" x14ac:dyDescent="0.2">
      <c r="P103" s="3"/>
      <c r="Q103" s="3"/>
    </row>
    <row r="104" spans="16:17" ht="10.199999999999999" x14ac:dyDescent="0.2">
      <c r="P104" s="3"/>
      <c r="Q104" s="3"/>
    </row>
    <row r="105" spans="16:17" ht="10.199999999999999" x14ac:dyDescent="0.2">
      <c r="P105" s="3"/>
      <c r="Q105" s="3"/>
    </row>
    <row r="106" spans="16:17" ht="10.199999999999999" x14ac:dyDescent="0.2">
      <c r="P106" s="3"/>
      <c r="Q106" s="3"/>
    </row>
    <row r="107" spans="16:17" ht="10.199999999999999" x14ac:dyDescent="0.2">
      <c r="P107" s="3"/>
      <c r="Q107" s="3"/>
    </row>
    <row r="108" spans="16:17" ht="10.199999999999999" x14ac:dyDescent="0.2">
      <c r="P108" s="3"/>
      <c r="Q108" s="3"/>
    </row>
    <row r="109" spans="16:17" ht="10.199999999999999" x14ac:dyDescent="0.2">
      <c r="P109" s="3"/>
      <c r="Q109" s="3"/>
    </row>
    <row r="110" spans="16:17" ht="10.199999999999999" x14ac:dyDescent="0.2">
      <c r="P110" s="3"/>
      <c r="Q110" s="3"/>
    </row>
    <row r="111" spans="16:17" ht="10.199999999999999" x14ac:dyDescent="0.2">
      <c r="P111" s="3"/>
      <c r="Q111" s="3"/>
    </row>
    <row r="112" spans="16:17" ht="10.199999999999999" x14ac:dyDescent="0.2">
      <c r="P112" s="3"/>
      <c r="Q112" s="3"/>
    </row>
    <row r="113" spans="16:17" ht="10.199999999999999" x14ac:dyDescent="0.2">
      <c r="P113" s="3"/>
      <c r="Q113" s="3"/>
    </row>
    <row r="114" spans="16:17" ht="10.199999999999999" x14ac:dyDescent="0.2">
      <c r="P114" s="3"/>
      <c r="Q114" s="3"/>
    </row>
    <row r="115" spans="16:17" ht="10.199999999999999" x14ac:dyDescent="0.2">
      <c r="P115" s="3"/>
      <c r="Q115" s="3"/>
    </row>
    <row r="116" spans="16:17" ht="10.199999999999999" x14ac:dyDescent="0.2">
      <c r="P116" s="3"/>
      <c r="Q116" s="3"/>
    </row>
    <row r="117" spans="16:17" ht="10.199999999999999" x14ac:dyDescent="0.2">
      <c r="P117" s="3"/>
      <c r="Q117" s="3"/>
    </row>
    <row r="118" spans="16:17" ht="10.199999999999999" x14ac:dyDescent="0.2">
      <c r="P118" s="3"/>
      <c r="Q118" s="3"/>
    </row>
    <row r="119" spans="16:17" ht="10.199999999999999" x14ac:dyDescent="0.2">
      <c r="P119" s="3"/>
      <c r="Q119" s="3"/>
    </row>
    <row r="120" spans="16:17" ht="10.199999999999999" x14ac:dyDescent="0.2">
      <c r="P120" s="3"/>
      <c r="Q120" s="3"/>
    </row>
    <row r="121" spans="16:17" ht="10.199999999999999" x14ac:dyDescent="0.2">
      <c r="P121" s="3"/>
      <c r="Q121" s="3"/>
    </row>
    <row r="122" spans="16:17" ht="10.199999999999999" x14ac:dyDescent="0.2">
      <c r="P122" s="3"/>
      <c r="Q122" s="3"/>
    </row>
    <row r="123" spans="16:17" ht="10.199999999999999" x14ac:dyDescent="0.2">
      <c r="P123" s="3"/>
      <c r="Q123" s="3"/>
    </row>
    <row r="124" spans="16:17" ht="10.199999999999999" x14ac:dyDescent="0.2">
      <c r="P124" s="3"/>
      <c r="Q124" s="3"/>
    </row>
    <row r="125" spans="16:17" ht="10.199999999999999" x14ac:dyDescent="0.2">
      <c r="P125" s="3"/>
      <c r="Q125" s="3"/>
    </row>
    <row r="126" spans="16:17" ht="10.199999999999999" x14ac:dyDescent="0.2">
      <c r="P126" s="3"/>
      <c r="Q126" s="3"/>
    </row>
    <row r="127" spans="16:17" ht="10.199999999999999" x14ac:dyDescent="0.2">
      <c r="P127" s="3"/>
      <c r="Q127" s="3"/>
    </row>
    <row r="128" spans="16:17" ht="10.199999999999999" x14ac:dyDescent="0.2">
      <c r="P128" s="3"/>
      <c r="Q128" s="3"/>
    </row>
    <row r="129" spans="16:17" ht="10.199999999999999" x14ac:dyDescent="0.2">
      <c r="P129" s="3"/>
      <c r="Q129" s="3"/>
    </row>
    <row r="130" spans="16:17" ht="10.199999999999999" x14ac:dyDescent="0.2">
      <c r="P130" s="3"/>
      <c r="Q130" s="3"/>
    </row>
    <row r="131" spans="16:17" ht="10.199999999999999" x14ac:dyDescent="0.2">
      <c r="P131" s="3"/>
      <c r="Q131" s="3"/>
    </row>
    <row r="132" spans="16:17" ht="10.199999999999999" x14ac:dyDescent="0.2">
      <c r="P132" s="3"/>
      <c r="Q132" s="3"/>
    </row>
    <row r="133" spans="16:17" ht="10.199999999999999" x14ac:dyDescent="0.2">
      <c r="P133" s="3"/>
      <c r="Q133" s="3"/>
    </row>
    <row r="134" spans="16:17" ht="10.199999999999999" x14ac:dyDescent="0.2">
      <c r="P134" s="3"/>
      <c r="Q134" s="3"/>
    </row>
    <row r="135" spans="16:17" ht="10.199999999999999" x14ac:dyDescent="0.2">
      <c r="P135" s="3"/>
      <c r="Q135" s="3"/>
    </row>
    <row r="136" spans="16:17" ht="10.199999999999999" x14ac:dyDescent="0.2">
      <c r="P136" s="3"/>
      <c r="Q136" s="3"/>
    </row>
    <row r="137" spans="16:17" ht="10.199999999999999" x14ac:dyDescent="0.2">
      <c r="P137" s="3"/>
      <c r="Q137" s="3"/>
    </row>
    <row r="138" spans="16:17" ht="10.199999999999999" x14ac:dyDescent="0.2">
      <c r="P138" s="3"/>
      <c r="Q138" s="3"/>
    </row>
    <row r="139" spans="16:17" ht="10.199999999999999" x14ac:dyDescent="0.2">
      <c r="P139" s="3"/>
      <c r="Q139" s="3"/>
    </row>
    <row r="140" spans="16:17" ht="10.199999999999999" x14ac:dyDescent="0.2">
      <c r="P140" s="3"/>
      <c r="Q140" s="3"/>
    </row>
    <row r="141" spans="16:17" ht="10.199999999999999" x14ac:dyDescent="0.2">
      <c r="P141" s="3"/>
      <c r="Q141" s="3"/>
    </row>
    <row r="142" spans="16:17" ht="10.199999999999999" x14ac:dyDescent="0.2">
      <c r="P142" s="3"/>
      <c r="Q142" s="3"/>
    </row>
    <row r="143" spans="16:17" ht="10.199999999999999" x14ac:dyDescent="0.2">
      <c r="P143" s="3"/>
      <c r="Q143" s="3"/>
    </row>
    <row r="144" spans="16:17" ht="10.199999999999999" x14ac:dyDescent="0.2">
      <c r="P144" s="3"/>
      <c r="Q144" s="3"/>
    </row>
    <row r="145" spans="16:17" ht="10.199999999999999" x14ac:dyDescent="0.2">
      <c r="P145" s="3"/>
      <c r="Q145" s="3"/>
    </row>
    <row r="146" spans="16:17" ht="10.199999999999999" x14ac:dyDescent="0.2">
      <c r="P146" s="3"/>
      <c r="Q146" s="3"/>
    </row>
    <row r="147" spans="16:17" ht="10.199999999999999" x14ac:dyDescent="0.2">
      <c r="P147" s="3"/>
      <c r="Q147" s="3"/>
    </row>
    <row r="148" spans="16:17" ht="10.199999999999999" x14ac:dyDescent="0.2">
      <c r="P148" s="3"/>
      <c r="Q148" s="3"/>
    </row>
    <row r="149" spans="16:17" ht="10.199999999999999" x14ac:dyDescent="0.2">
      <c r="P149" s="3"/>
      <c r="Q149" s="3"/>
    </row>
    <row r="150" spans="16:17" ht="10.199999999999999" x14ac:dyDescent="0.2">
      <c r="P150" s="3"/>
      <c r="Q150" s="3"/>
    </row>
    <row r="151" spans="16:17" ht="10.199999999999999" x14ac:dyDescent="0.2">
      <c r="P151" s="3"/>
      <c r="Q151" s="3"/>
    </row>
    <row r="152" spans="16:17" ht="10.199999999999999" x14ac:dyDescent="0.2">
      <c r="P152" s="3"/>
      <c r="Q152" s="3"/>
    </row>
    <row r="153" spans="16:17" ht="10.199999999999999" x14ac:dyDescent="0.2">
      <c r="P153" s="3"/>
      <c r="Q153" s="3"/>
    </row>
    <row r="154" spans="16:17" ht="10.199999999999999" x14ac:dyDescent="0.2">
      <c r="P154" s="3"/>
      <c r="Q154" s="3"/>
    </row>
    <row r="155" spans="16:17" ht="10.199999999999999" x14ac:dyDescent="0.2">
      <c r="P155" s="3"/>
      <c r="Q155" s="3"/>
    </row>
    <row r="156" spans="16:17" ht="10.199999999999999" x14ac:dyDescent="0.2">
      <c r="P156" s="3"/>
      <c r="Q156" s="3"/>
    </row>
    <row r="157" spans="16:17" ht="10.199999999999999" x14ac:dyDescent="0.2">
      <c r="P157" s="3"/>
      <c r="Q157" s="3"/>
    </row>
    <row r="158" spans="16:17" ht="10.199999999999999" x14ac:dyDescent="0.2">
      <c r="P158" s="3"/>
      <c r="Q158" s="3"/>
    </row>
    <row r="159" spans="16:17" ht="10.199999999999999" x14ac:dyDescent="0.2">
      <c r="P159" s="3"/>
      <c r="Q159" s="3"/>
    </row>
    <row r="160" spans="16:17" ht="10.199999999999999" x14ac:dyDescent="0.2">
      <c r="P160" s="3"/>
      <c r="Q160" s="3"/>
    </row>
    <row r="161" spans="16:17" ht="10.199999999999999" x14ac:dyDescent="0.2">
      <c r="P161" s="3"/>
      <c r="Q161" s="3"/>
    </row>
    <row r="162" spans="16:17" ht="10.199999999999999" x14ac:dyDescent="0.2">
      <c r="P162" s="3"/>
      <c r="Q162" s="3"/>
    </row>
    <row r="163" spans="16:17" ht="10.199999999999999" x14ac:dyDescent="0.2">
      <c r="P163" s="3"/>
      <c r="Q163" s="3"/>
    </row>
    <row r="164" spans="16:17" ht="10.199999999999999" x14ac:dyDescent="0.2">
      <c r="P164" s="3"/>
      <c r="Q164" s="3"/>
    </row>
    <row r="165" spans="16:17" ht="10.199999999999999" x14ac:dyDescent="0.2">
      <c r="P165" s="3"/>
      <c r="Q165" s="3"/>
    </row>
    <row r="166" spans="16:17" ht="10.199999999999999" x14ac:dyDescent="0.2">
      <c r="P166" s="3"/>
      <c r="Q166" s="3"/>
    </row>
    <row r="167" spans="16:17" ht="10.199999999999999" x14ac:dyDescent="0.2">
      <c r="P167" s="3"/>
      <c r="Q167" s="3"/>
    </row>
    <row r="168" spans="16:17" ht="10.199999999999999" x14ac:dyDescent="0.2">
      <c r="P168" s="3"/>
      <c r="Q168" s="3"/>
    </row>
    <row r="169" spans="16:17" ht="10.199999999999999" x14ac:dyDescent="0.2">
      <c r="P169" s="3"/>
      <c r="Q169" s="3"/>
    </row>
    <row r="170" spans="16:17" ht="10.199999999999999" x14ac:dyDescent="0.2">
      <c r="P170" s="3"/>
      <c r="Q170" s="3"/>
    </row>
    <row r="171" spans="16:17" ht="10.199999999999999" x14ac:dyDescent="0.2">
      <c r="P171" s="3"/>
      <c r="Q171" s="3"/>
    </row>
    <row r="172" spans="16:17" ht="10.199999999999999" x14ac:dyDescent="0.2">
      <c r="P172" s="3"/>
      <c r="Q172" s="3"/>
    </row>
    <row r="173" spans="16:17" ht="10.199999999999999" x14ac:dyDescent="0.2">
      <c r="P173" s="3"/>
      <c r="Q173" s="3"/>
    </row>
    <row r="174" spans="16:17" ht="10.199999999999999" x14ac:dyDescent="0.2">
      <c r="P174" s="3"/>
      <c r="Q174" s="3"/>
    </row>
    <row r="175" spans="16:17" ht="10.199999999999999" x14ac:dyDescent="0.2">
      <c r="P175" s="3"/>
      <c r="Q175" s="3"/>
    </row>
    <row r="176" spans="16:17" ht="10.199999999999999" x14ac:dyDescent="0.2">
      <c r="P176" s="3"/>
      <c r="Q176" s="3"/>
    </row>
    <row r="177" spans="16:17" ht="10.199999999999999" x14ac:dyDescent="0.2">
      <c r="P177" s="3"/>
      <c r="Q177" s="3"/>
    </row>
    <row r="178" spans="16:17" ht="10.199999999999999" x14ac:dyDescent="0.2">
      <c r="P178" s="3"/>
      <c r="Q178" s="3"/>
    </row>
    <row r="179" spans="16:17" ht="10.199999999999999" x14ac:dyDescent="0.2">
      <c r="P179" s="3"/>
      <c r="Q179" s="3"/>
    </row>
    <row r="180" spans="16:17" ht="10.199999999999999" x14ac:dyDescent="0.2">
      <c r="P180" s="3"/>
      <c r="Q180" s="3"/>
    </row>
    <row r="181" spans="16:17" ht="10.199999999999999" x14ac:dyDescent="0.2">
      <c r="P181" s="3"/>
      <c r="Q181" s="3"/>
    </row>
    <row r="182" spans="16:17" ht="10.199999999999999" x14ac:dyDescent="0.2">
      <c r="P182" s="3"/>
      <c r="Q182" s="3"/>
    </row>
    <row r="183" spans="16:17" ht="10.199999999999999" x14ac:dyDescent="0.2">
      <c r="P183" s="3"/>
      <c r="Q183" s="3"/>
    </row>
    <row r="184" spans="16:17" ht="10.199999999999999" x14ac:dyDescent="0.2">
      <c r="P184" s="3"/>
      <c r="Q184" s="3"/>
    </row>
    <row r="185" spans="16:17" ht="10.199999999999999" x14ac:dyDescent="0.2">
      <c r="P185" s="3"/>
      <c r="Q185" s="3"/>
    </row>
    <row r="186" spans="16:17" ht="10.199999999999999" x14ac:dyDescent="0.2">
      <c r="P186" s="3"/>
      <c r="Q186" s="3"/>
    </row>
    <row r="187" spans="16:17" ht="10.199999999999999" x14ac:dyDescent="0.2">
      <c r="P187" s="3"/>
      <c r="Q187" s="3"/>
    </row>
    <row r="188" spans="16:17" ht="10.199999999999999" x14ac:dyDescent="0.2">
      <c r="P188" s="3"/>
      <c r="Q188" s="3"/>
    </row>
    <row r="189" spans="16:17" ht="10.199999999999999" x14ac:dyDescent="0.2">
      <c r="P189" s="3"/>
      <c r="Q189" s="3"/>
    </row>
    <row r="190" spans="16:17" ht="10.199999999999999" x14ac:dyDescent="0.2">
      <c r="P190" s="3"/>
      <c r="Q190" s="3"/>
    </row>
    <row r="191" spans="16:17" ht="10.199999999999999" x14ac:dyDescent="0.2">
      <c r="P191" s="3"/>
      <c r="Q191" s="3"/>
    </row>
    <row r="192" spans="16:17" ht="10.199999999999999" x14ac:dyDescent="0.2">
      <c r="P192" s="3"/>
      <c r="Q192" s="3"/>
    </row>
    <row r="193" spans="16:17" ht="10.199999999999999" x14ac:dyDescent="0.2">
      <c r="P193" s="3"/>
      <c r="Q193" s="3"/>
    </row>
    <row r="194" spans="16:17" ht="10.199999999999999" x14ac:dyDescent="0.2">
      <c r="P194" s="3"/>
      <c r="Q194" s="3"/>
    </row>
    <row r="195" spans="16:17" ht="10.199999999999999" x14ac:dyDescent="0.2">
      <c r="P195" s="3"/>
      <c r="Q195" s="3"/>
    </row>
    <row r="196" spans="16:17" ht="10.199999999999999" x14ac:dyDescent="0.2">
      <c r="P196" s="3"/>
      <c r="Q196" s="3"/>
    </row>
    <row r="197" spans="16:17" ht="10.199999999999999" x14ac:dyDescent="0.2">
      <c r="P197" s="3"/>
      <c r="Q197" s="3"/>
    </row>
    <row r="198" spans="16:17" ht="10.199999999999999" x14ac:dyDescent="0.2">
      <c r="P198" s="3"/>
      <c r="Q198" s="3"/>
    </row>
    <row r="199" spans="16:17" ht="10.199999999999999" x14ac:dyDescent="0.2">
      <c r="P199" s="3"/>
      <c r="Q199" s="3"/>
    </row>
    <row r="200" spans="16:17" ht="10.199999999999999" x14ac:dyDescent="0.2">
      <c r="P200" s="3"/>
      <c r="Q200" s="3"/>
    </row>
    <row r="201" spans="16:17" ht="10.199999999999999" x14ac:dyDescent="0.2">
      <c r="P201" s="3"/>
      <c r="Q201" s="3"/>
    </row>
    <row r="202" spans="16:17" ht="10.199999999999999" x14ac:dyDescent="0.2">
      <c r="P202" s="3"/>
      <c r="Q202" s="3"/>
    </row>
    <row r="203" spans="16:17" ht="10.199999999999999" x14ac:dyDescent="0.2">
      <c r="P203" s="3"/>
      <c r="Q203" s="3"/>
    </row>
    <row r="204" spans="16:17" ht="10.199999999999999" x14ac:dyDescent="0.2">
      <c r="P204" s="3"/>
      <c r="Q204" s="3"/>
    </row>
    <row r="205" spans="16:17" ht="10.199999999999999" x14ac:dyDescent="0.2">
      <c r="P205" s="3"/>
      <c r="Q205" s="3"/>
    </row>
    <row r="206" spans="16:17" ht="10.199999999999999" x14ac:dyDescent="0.2">
      <c r="P206" s="3"/>
      <c r="Q206" s="3"/>
    </row>
    <row r="207" spans="16:17" ht="10.199999999999999" x14ac:dyDescent="0.2">
      <c r="P207" s="3"/>
      <c r="Q207" s="3"/>
    </row>
    <row r="208" spans="16:17" ht="10.199999999999999" x14ac:dyDescent="0.2">
      <c r="P208" s="3"/>
      <c r="Q208" s="3"/>
    </row>
    <row r="209" spans="16:17" ht="10.199999999999999" x14ac:dyDescent="0.2">
      <c r="P209" s="3"/>
      <c r="Q209" s="3"/>
    </row>
    <row r="210" spans="16:17" ht="10.199999999999999" x14ac:dyDescent="0.2">
      <c r="P210" s="3"/>
      <c r="Q210" s="3"/>
    </row>
    <row r="211" spans="16:17" ht="10.199999999999999" x14ac:dyDescent="0.2">
      <c r="P211" s="3"/>
      <c r="Q211" s="3"/>
    </row>
    <row r="212" spans="16:17" ht="10.199999999999999" x14ac:dyDescent="0.2">
      <c r="P212" s="3"/>
      <c r="Q212" s="3"/>
    </row>
  </sheetData>
  <printOptions horizontalCentered="1" gridLines="1" gridLinesSet="0"/>
  <pageMargins left="0" right="0" top="0.25" bottom="0.25" header="0" footer="0"/>
  <pageSetup paperSize="5" scale="80"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225"/>
  <sheetViews>
    <sheetView zoomScale="75" workbookViewId="0">
      <pane xSplit="1" ySplit="4" topLeftCell="AH31" activePane="bottomRight" state="frozen"/>
      <selection activeCell="N24" sqref="N24"/>
      <selection pane="topRight" activeCell="N24" sqref="N24"/>
      <selection pane="bottomLeft" activeCell="N24" sqref="N24"/>
      <selection pane="bottomRight" activeCell="AV31" sqref="AV31"/>
    </sheetView>
  </sheetViews>
  <sheetFormatPr defaultColWidth="9.109375" defaultRowHeight="13.2" x14ac:dyDescent="0.25"/>
  <cols>
    <col min="1" max="1" width="9.109375" style="3"/>
    <col min="2" max="6" width="0" style="1" hidden="1" customWidth="1"/>
    <col min="7" max="7" width="0" style="3" hidden="1" customWidth="1"/>
    <col min="8" max="9" width="0" style="1" hidden="1" customWidth="1"/>
    <col min="10" max="10" width="0" style="3" hidden="1" customWidth="1"/>
    <col min="11" max="11" width="11.5546875" style="3" hidden="1" customWidth="1"/>
    <col min="12" max="12" width="10.44140625" hidden="1" customWidth="1"/>
    <col min="13" max="13" width="0" hidden="1" customWidth="1"/>
    <col min="14" max="14" width="2.6640625" style="3" customWidth="1"/>
    <col min="15" max="17" width="9.109375" style="3"/>
    <col min="18" max="19" width="9.109375" style="11"/>
    <col min="20" max="20" width="9.88671875" style="11" customWidth="1"/>
    <col min="21" max="21" width="10.33203125" style="11" customWidth="1"/>
    <col min="22" max="22" width="9.6640625" customWidth="1"/>
    <col min="23" max="23" width="2.6640625" style="3" customWidth="1"/>
    <col min="24" max="27" width="9.109375" style="3"/>
    <col min="28" max="28" width="10.109375" style="3" customWidth="1"/>
    <col min="29" max="29" width="10.33203125" style="3" customWidth="1"/>
    <col min="30" max="30" width="9.5546875" style="3" customWidth="1"/>
    <col min="31" max="31" width="2.6640625" style="3" customWidth="1"/>
    <col min="32" max="32" width="10.33203125" style="3" customWidth="1"/>
    <col min="33" max="33" width="10.109375" style="1" customWidth="1"/>
    <col min="34" max="37" width="10.88671875" style="3" customWidth="1"/>
    <col min="38" max="38" width="12" style="3" customWidth="1"/>
    <col min="39" max="39" width="9.88671875" style="3" customWidth="1"/>
    <col min="40" max="41" width="10.6640625" style="3" customWidth="1"/>
    <col min="42" max="43" width="10.5546875" style="3" customWidth="1"/>
    <col min="44" max="44" width="9.6640625" style="3" customWidth="1"/>
    <col min="45" max="45" width="9.88671875" style="3" customWidth="1"/>
    <col min="46" max="46" width="11.6640625" style="3" customWidth="1"/>
    <col min="47" max="47" width="9" style="3" customWidth="1"/>
    <col min="48" max="48" width="7.6640625" style="1" customWidth="1"/>
    <col min="49" max="49" width="7.33203125" style="3" customWidth="1"/>
    <col min="50" max="50" width="8.5546875" style="3" customWidth="1"/>
    <col min="51" max="51" width="11.5546875" style="3" customWidth="1"/>
    <col min="52" max="52" width="12" style="3" customWidth="1"/>
    <col min="53" max="53" width="11.44140625" style="3" customWidth="1"/>
    <col min="54" max="54" width="9.44140625" style="3" customWidth="1"/>
    <col min="55" max="55" width="11.6640625" style="3" customWidth="1"/>
    <col min="56" max="60" width="9.109375" style="3"/>
    <col min="61" max="62" width="10.5546875" style="3" customWidth="1"/>
    <col min="63" max="63" width="9.109375" style="3"/>
    <col min="64" max="64" width="10.44140625" style="3" customWidth="1"/>
    <col min="65" max="66" width="9.109375" style="3"/>
    <col min="67" max="67" width="12" style="3" customWidth="1"/>
    <col min="68" max="69" width="10.88671875" style="3" customWidth="1"/>
    <col min="70" max="71" width="9.6640625" style="1" customWidth="1"/>
    <col min="72" max="75" width="9.6640625" style="3" customWidth="1"/>
    <col min="76" max="79" width="9.109375" style="3"/>
    <col min="80" max="80" width="10.5546875" style="3" customWidth="1"/>
    <col min="81" max="81" width="10.88671875" style="3" customWidth="1"/>
    <col min="82" max="82" width="12.33203125" style="3" customWidth="1"/>
    <col min="83" max="83" width="11" style="3" customWidth="1"/>
    <col min="84" max="87" width="9.109375" style="3"/>
    <col min="88" max="88" width="11.5546875" style="3" customWidth="1"/>
    <col min="89" max="89" width="11" style="3" customWidth="1"/>
    <col min="90" max="90" width="10.6640625" style="3" customWidth="1"/>
    <col min="91" max="91" width="10.5546875" style="3" customWidth="1"/>
    <col min="92" max="92" width="11.5546875" style="3" customWidth="1"/>
    <col min="93" max="93" width="11.109375" style="3" customWidth="1"/>
    <col min="94" max="94" width="9.109375" style="3"/>
    <col min="95" max="95" width="9.109375" style="1"/>
    <col min="96" max="96" width="10.5546875" style="1" customWidth="1"/>
    <col min="97" max="97" width="9.33203125" style="3" customWidth="1"/>
    <col min="98" max="98" width="10.33203125" style="3" customWidth="1"/>
    <col min="99" max="99" width="9.88671875" style="3" customWidth="1"/>
    <col min="100" max="100" width="10.33203125" customWidth="1"/>
    <col min="101" max="101" width="10" style="3" customWidth="1"/>
    <col min="102" max="102" width="9.88671875" style="3" customWidth="1"/>
    <col min="103" max="16384" width="9.109375" style="3"/>
  </cols>
  <sheetData>
    <row r="1" spans="1:109" x14ac:dyDescent="0.25">
      <c r="CN1"/>
      <c r="CO1"/>
      <c r="CV1" s="58"/>
    </row>
    <row r="2" spans="1:109" x14ac:dyDescent="0.25">
      <c r="CV2" s="58"/>
    </row>
    <row r="3" spans="1:109" ht="19.2" customHeight="1" x14ac:dyDescent="0.25">
      <c r="B3" s="4" t="s">
        <v>129</v>
      </c>
      <c r="C3" s="4"/>
      <c r="D3" s="4"/>
      <c r="E3" s="4"/>
      <c r="F3" s="4"/>
      <c r="G3" s="5"/>
      <c r="H3" s="4"/>
      <c r="I3" s="4"/>
      <c r="J3" s="5"/>
      <c r="K3" s="5"/>
      <c r="L3" s="16"/>
      <c r="M3" s="16"/>
      <c r="O3" s="5" t="s">
        <v>130</v>
      </c>
      <c r="P3" s="5"/>
      <c r="Q3" s="5"/>
      <c r="R3" s="17"/>
      <c r="S3" s="17"/>
      <c r="T3" s="17"/>
      <c r="U3" s="17"/>
      <c r="X3" s="5" t="s">
        <v>131</v>
      </c>
      <c r="Y3" s="5"/>
      <c r="Z3" s="5"/>
      <c r="AA3" s="5"/>
      <c r="AB3" s="5"/>
      <c r="AC3" s="5"/>
      <c r="AD3" s="5"/>
      <c r="AF3" s="5" t="s">
        <v>132</v>
      </c>
      <c r="AG3" s="4"/>
      <c r="AH3" s="5"/>
      <c r="AI3" s="5"/>
      <c r="AJ3" s="5"/>
      <c r="AK3" s="5"/>
      <c r="AL3" s="5"/>
      <c r="AM3" s="5"/>
      <c r="AN3" s="5"/>
      <c r="AO3" s="5"/>
      <c r="AP3" s="5"/>
      <c r="AQ3" s="5"/>
      <c r="AR3" s="5"/>
      <c r="AS3" s="5"/>
      <c r="AT3" s="5"/>
      <c r="AU3" s="5"/>
      <c r="AV3" s="4"/>
      <c r="AW3" s="5"/>
      <c r="AX3" s="5"/>
      <c r="AY3" s="5"/>
      <c r="AZ3" s="5"/>
      <c r="BA3" s="5"/>
      <c r="BB3" s="39" t="s">
        <v>0</v>
      </c>
      <c r="BC3" s="5"/>
      <c r="BD3" s="16"/>
      <c r="BE3" s="16"/>
      <c r="BF3" s="16"/>
      <c r="BG3" s="16"/>
      <c r="BH3" s="5"/>
      <c r="BI3" s="5"/>
      <c r="BJ3" s="5"/>
      <c r="BK3" s="5"/>
      <c r="BL3" s="16"/>
      <c r="BM3" s="5"/>
      <c r="BN3" s="5"/>
      <c r="BO3" s="5"/>
      <c r="BP3" s="5"/>
      <c r="BQ3" s="5"/>
      <c r="BR3" s="51" t="s">
        <v>133</v>
      </c>
      <c r="BS3" s="4"/>
      <c r="BT3" s="5"/>
      <c r="BU3" s="5"/>
      <c r="BV3" s="5"/>
      <c r="BW3" s="5"/>
      <c r="BX3" s="5"/>
      <c r="BY3" s="5"/>
      <c r="BZ3" s="5"/>
      <c r="CA3" s="50"/>
      <c r="CB3" s="50"/>
      <c r="CC3" s="50" t="s">
        <v>134</v>
      </c>
      <c r="CD3" s="50"/>
      <c r="CE3" s="50"/>
      <c r="CF3" s="5" t="s">
        <v>100</v>
      </c>
      <c r="CG3" s="5"/>
      <c r="CH3" s="5"/>
      <c r="CI3" s="5"/>
      <c r="CJ3" s="5" t="s">
        <v>135</v>
      </c>
      <c r="CK3" s="5"/>
      <c r="CL3" s="5"/>
      <c r="CV3" s="58"/>
    </row>
    <row r="4" spans="1:109" s="8" customFormat="1" ht="41.4" x14ac:dyDescent="0.25">
      <c r="A4" s="8" t="s">
        <v>1</v>
      </c>
      <c r="B4" s="6" t="s">
        <v>136</v>
      </c>
      <c r="C4" s="6" t="s">
        <v>137</v>
      </c>
      <c r="D4" s="6" t="s">
        <v>138</v>
      </c>
      <c r="E4" s="6" t="s">
        <v>139</v>
      </c>
      <c r="F4" s="6" t="s">
        <v>140</v>
      </c>
      <c r="G4" s="6" t="s">
        <v>141</v>
      </c>
      <c r="H4" s="7" t="s">
        <v>142</v>
      </c>
      <c r="I4" s="6" t="s">
        <v>143</v>
      </c>
      <c r="J4" s="6" t="s">
        <v>144</v>
      </c>
      <c r="K4" s="8" t="s">
        <v>11</v>
      </c>
      <c r="L4" s="8" t="s">
        <v>22</v>
      </c>
      <c r="M4" s="8" t="s">
        <v>23</v>
      </c>
      <c r="O4" s="6" t="s">
        <v>136</v>
      </c>
      <c r="P4" s="6" t="s">
        <v>137</v>
      </c>
      <c r="Q4" s="6" t="s">
        <v>138</v>
      </c>
      <c r="R4" s="18" t="s">
        <v>8</v>
      </c>
      <c r="S4" s="18" t="s">
        <v>32</v>
      </c>
      <c r="T4" s="8" t="s">
        <v>11</v>
      </c>
      <c r="U4" s="8" t="s">
        <v>22</v>
      </c>
      <c r="V4" s="8" t="s">
        <v>23</v>
      </c>
      <c r="X4" s="6" t="s">
        <v>136</v>
      </c>
      <c r="Y4" s="6" t="s">
        <v>138</v>
      </c>
      <c r="Z4" s="6" t="s">
        <v>8</v>
      </c>
      <c r="AA4" s="6" t="s">
        <v>32</v>
      </c>
      <c r="AB4" s="8" t="s">
        <v>11</v>
      </c>
      <c r="AC4" s="8" t="s">
        <v>22</v>
      </c>
      <c r="AD4" s="8" t="s">
        <v>23</v>
      </c>
      <c r="AF4" s="6" t="s">
        <v>136</v>
      </c>
      <c r="AG4" s="6" t="s">
        <v>137</v>
      </c>
      <c r="AH4" s="6" t="s">
        <v>145</v>
      </c>
      <c r="AI4" s="7" t="s">
        <v>146</v>
      </c>
      <c r="AJ4" s="7" t="s">
        <v>147</v>
      </c>
      <c r="AK4" s="7" t="s">
        <v>148</v>
      </c>
      <c r="AL4" s="7" t="s">
        <v>149</v>
      </c>
      <c r="AM4" s="9" t="s">
        <v>150</v>
      </c>
      <c r="AN4" s="9" t="s">
        <v>151</v>
      </c>
      <c r="AO4" s="9" t="s">
        <v>152</v>
      </c>
      <c r="AP4" s="9" t="s">
        <v>153</v>
      </c>
      <c r="AQ4" s="9" t="s">
        <v>154</v>
      </c>
      <c r="AR4" s="9" t="s">
        <v>155</v>
      </c>
      <c r="AS4" s="9" t="s">
        <v>156</v>
      </c>
      <c r="AT4" s="9" t="s">
        <v>157</v>
      </c>
      <c r="AU4" s="8" t="s">
        <v>158</v>
      </c>
      <c r="AV4" s="7" t="s">
        <v>159</v>
      </c>
      <c r="AW4" s="8" t="s">
        <v>160</v>
      </c>
      <c r="AX4" s="8" t="s">
        <v>161</v>
      </c>
      <c r="AY4" s="8" t="s">
        <v>11</v>
      </c>
      <c r="AZ4" s="8" t="s">
        <v>22</v>
      </c>
      <c r="BA4" s="8" t="s">
        <v>23</v>
      </c>
      <c r="BB4" s="8" t="s">
        <v>29</v>
      </c>
      <c r="BC4" s="8" t="s">
        <v>30</v>
      </c>
      <c r="BD4" s="8" t="s">
        <v>31</v>
      </c>
      <c r="BE4" s="8" t="s">
        <v>5</v>
      </c>
      <c r="BF4" s="8" t="s">
        <v>6</v>
      </c>
      <c r="BG4" s="8" t="s">
        <v>7</v>
      </c>
      <c r="BH4" s="6" t="s">
        <v>8</v>
      </c>
      <c r="BI4" s="7" t="s">
        <v>9</v>
      </c>
      <c r="BJ4" s="7" t="s">
        <v>10</v>
      </c>
      <c r="BK4" s="6" t="s">
        <v>32</v>
      </c>
      <c r="BL4" s="8" t="s">
        <v>11</v>
      </c>
      <c r="BM4" s="8" t="s">
        <v>18</v>
      </c>
      <c r="BN4" s="8" t="s">
        <v>19</v>
      </c>
      <c r="BO4" s="8" t="s">
        <v>20</v>
      </c>
      <c r="BP4" s="8" t="s">
        <v>22</v>
      </c>
      <c r="BQ4" s="8" t="s">
        <v>23</v>
      </c>
      <c r="BR4" s="26" t="s">
        <v>162</v>
      </c>
      <c r="BS4" s="22"/>
      <c r="BT4" s="27" t="s">
        <v>8</v>
      </c>
      <c r="BU4" s="24"/>
      <c r="BV4" s="27" t="s">
        <v>32</v>
      </c>
      <c r="BW4" s="24"/>
      <c r="BX4" s="8" t="s">
        <v>11</v>
      </c>
      <c r="BY4" s="8" t="s">
        <v>22</v>
      </c>
      <c r="BZ4" s="8" t="s">
        <v>23</v>
      </c>
      <c r="CA4" s="8" t="s">
        <v>163</v>
      </c>
      <c r="CB4" s="8" t="s">
        <v>164</v>
      </c>
      <c r="CC4" s="8" t="s">
        <v>11</v>
      </c>
      <c r="CD4" s="8" t="s">
        <v>22</v>
      </c>
      <c r="CE4" s="8" t="s">
        <v>23</v>
      </c>
      <c r="CF4" s="8" t="s">
        <v>11</v>
      </c>
      <c r="CG4" s="8" t="s">
        <v>165</v>
      </c>
      <c r="CH4" s="8" t="s">
        <v>22</v>
      </c>
      <c r="CI4" s="8" t="s">
        <v>23</v>
      </c>
      <c r="CJ4" s="8" t="s">
        <v>11</v>
      </c>
      <c r="CK4" s="8" t="s">
        <v>22</v>
      </c>
      <c r="CL4" s="8" t="s">
        <v>23</v>
      </c>
      <c r="CN4" s="8" t="s">
        <v>166</v>
      </c>
      <c r="CO4" s="8" t="s">
        <v>167</v>
      </c>
      <c r="CP4" s="8" t="s">
        <v>72</v>
      </c>
      <c r="CQ4" s="7" t="s">
        <v>121</v>
      </c>
      <c r="CR4" s="7" t="s">
        <v>122</v>
      </c>
      <c r="CS4" s="8" t="s">
        <v>168</v>
      </c>
      <c r="CT4" s="8" t="s">
        <v>169</v>
      </c>
      <c r="CU4" s="8" t="s">
        <v>170</v>
      </c>
      <c r="CV4" s="59" t="s">
        <v>23</v>
      </c>
      <c r="CW4" s="8" t="s">
        <v>171</v>
      </c>
      <c r="CX4" s="8" t="s">
        <v>24</v>
      </c>
      <c r="CZ4" s="8" t="s">
        <v>172</v>
      </c>
      <c r="DA4" s="8" t="s">
        <v>173</v>
      </c>
      <c r="DB4" s="8" t="s">
        <v>174</v>
      </c>
      <c r="DC4" s="8" t="s">
        <v>175</v>
      </c>
      <c r="DD4" s="8" t="s">
        <v>176</v>
      </c>
      <c r="DE4" s="8" t="s">
        <v>177</v>
      </c>
    </row>
    <row r="5" spans="1:109" ht="10.199999999999999" hidden="1" x14ac:dyDescent="0.2">
      <c r="A5" s="10">
        <v>35749</v>
      </c>
      <c r="B5" s="1">
        <v>4921</v>
      </c>
      <c r="C5" s="1">
        <v>4177</v>
      </c>
      <c r="D5" s="1">
        <v>1094</v>
      </c>
      <c r="E5" s="11">
        <f>IF(1.99*1.03*1.03*1.03&gt;'Prices&amp;Fuel'!B5+0.01,1.99*1.03*1.03*1.03,'Prices&amp;Fuel'!B5+0.01)</f>
        <v>3.21</v>
      </c>
      <c r="F5" s="11">
        <f>IF(2.035*1.03*1.03*1.03&gt;'Prices&amp;Fuel'!C5+0.01,2.035*1.03*1.03*1.03,'Prices&amp;Fuel'!C5+0.01)</f>
        <v>3.2699999999999996</v>
      </c>
      <c r="G5" s="11">
        <f>IF(2.049*1.03*1.03*1.03&gt;'Prices&amp;Fuel'!D5+0.01,2.049*1.03*1.03*1.03,'Prices&amp;Fuel'!D5+0.01)</f>
        <v>3.21</v>
      </c>
      <c r="H5" s="11">
        <f t="shared" ref="H5:J15" si="0">E5-0.01</f>
        <v>3.2</v>
      </c>
      <c r="I5" s="11">
        <f t="shared" si="0"/>
        <v>3.26</v>
      </c>
      <c r="J5" s="11">
        <f t="shared" si="0"/>
        <v>3.2</v>
      </c>
      <c r="K5" s="1">
        <f>((B5*E5)+(C5*F5)+(D5*G5))*'Prices&amp;Fuel'!H5</f>
        <v>989008.19999999984</v>
      </c>
      <c r="L5" s="1">
        <f>(($B5*H5)+($C5*I5)+($D5*J5))*'Prices&amp;Fuel'!$H5</f>
        <v>985950.60000000009</v>
      </c>
      <c r="M5" s="13">
        <f t="shared" ref="M5:M20" si="1">K5-L5</f>
        <v>3057.5999999997439</v>
      </c>
      <c r="O5" s="1">
        <v>9036</v>
      </c>
      <c r="P5" s="1">
        <v>10794</v>
      </c>
      <c r="Q5" s="1">
        <v>5270</v>
      </c>
      <c r="R5" s="11">
        <v>2.1585000000000001</v>
      </c>
      <c r="S5" s="11">
        <v>2.1478999999999999</v>
      </c>
      <c r="T5" s="1">
        <f>(($O5*R5)+($P5*R5)+($Q5*R5))*'Prices&amp;Fuel'!$H5</f>
        <v>1625350.5000000002</v>
      </c>
      <c r="U5" s="1">
        <f>(($O5*S5)+($P5*S5)+($Q5*S5))*'Prices&amp;Fuel'!$H5</f>
        <v>1617368.7</v>
      </c>
      <c r="V5" s="13">
        <f t="shared" ref="V5:V20" si="2">T5-U5</f>
        <v>7981.8000000002794</v>
      </c>
      <c r="X5" s="1">
        <f t="shared" ref="X5:X15" si="3">7000*0.5</f>
        <v>3500</v>
      </c>
      <c r="Y5" s="1">
        <f t="shared" ref="Y5:Y36" si="4">X5</f>
        <v>3500</v>
      </c>
      <c r="Z5" s="12">
        <v>2.2000000000000002</v>
      </c>
      <c r="AA5" s="12">
        <v>2.1800000000000002</v>
      </c>
      <c r="AB5" s="1">
        <f>($X5+$Y5)*Z5*'Prices&amp;Fuel'!$H5</f>
        <v>462000.00000000006</v>
      </c>
      <c r="AC5" s="1">
        <f>($X5+$Y5)*AA5*'Prices&amp;Fuel'!$H5</f>
        <v>457800.00000000006</v>
      </c>
      <c r="AD5" s="13">
        <f t="shared" ref="AD5:AD20" si="5">AB5-AC5</f>
        <v>4200</v>
      </c>
      <c r="AF5" s="1">
        <f>((93404/(1-'Prices&amp;Fuel'!F5))+(25000/(1-'Prices&amp;Fuel'!G5))-AI5)</f>
        <v>95953.592439401749</v>
      </c>
      <c r="AG5" s="1">
        <f>((106596/(1-'Prices&amp;Fuel'!F5))-AJ5)</f>
        <v>21838.058483754518</v>
      </c>
      <c r="AH5" s="1">
        <f>((75000/(1-'Prices&amp;Fuel'!G5))-AK5)</f>
        <v>44147.513641052094</v>
      </c>
      <c r="AI5" s="1">
        <v>26175.34</v>
      </c>
      <c r="AJ5" s="1">
        <v>88111.4</v>
      </c>
      <c r="AK5" s="1">
        <v>33211.949999999997</v>
      </c>
      <c r="AL5" s="1">
        <f>SUM(AI5:AK5)</f>
        <v>147498.69</v>
      </c>
      <c r="AM5" s="1">
        <f>ROUND((((93404/(1-'Prices&amp;Fuel'!F5))+(25000/(1-'Prices&amp;Fuel'!G5)))-80000-26175.34)/2,0)</f>
        <v>7977</v>
      </c>
      <c r="AN5" s="1">
        <f>ROUND(((106596/(1-'Prices&amp;Fuel'!F5))-5023-88111.4)/2,0)</f>
        <v>8408</v>
      </c>
      <c r="AO5" s="1">
        <f>ROUND((75000/(1-'Prices&amp;Fuel'!G5)-AV5-AK5)/2,0)</f>
        <v>14085</v>
      </c>
      <c r="AP5" s="1">
        <f t="shared" ref="AP5:AP20" si="6">IF(80000&gt;AF5,AF5,80000)</f>
        <v>80000</v>
      </c>
      <c r="AQ5" s="1">
        <v>5023</v>
      </c>
      <c r="AR5" s="13">
        <f>AM5</f>
        <v>7977</v>
      </c>
      <c r="AS5" s="13">
        <f>AN5</f>
        <v>8408</v>
      </c>
      <c r="AT5" s="13">
        <f>AH5-AO5-AV5</f>
        <v>14084.513641052094</v>
      </c>
      <c r="AU5" s="13">
        <f>AL5*AX5*'Prices&amp;Fuel'!H5</f>
        <v>221248.035</v>
      </c>
      <c r="AV5" s="1">
        <f>(479340)/30</f>
        <v>15978</v>
      </c>
      <c r="AW5" s="20">
        <v>0.15</v>
      </c>
      <c r="AX5" s="20">
        <v>0.05</v>
      </c>
      <c r="AY5" s="6">
        <f>('Prices&amp;Fuel'!H5*('Prices&amp;Fuel'!B5+AW5)*'Long Term Deals'!AF5)+('Prices&amp;Fuel'!H5*('Prices&amp;Fuel'!C5+'Long Term Deals'!AW5)*'Long Term Deals'!AG5)+(AH5*('Prices&amp;Fuel'!C5+AW5)*'Prices&amp;Fuel'!H5)+(AW5*AL5*'Prices&amp;Fuel'!H5)</f>
        <v>17057404.173527591</v>
      </c>
      <c r="AZ5" s="6">
        <f>(AP5*'Prices&amp;Fuel'!H5*'Prices&amp;Fuel'!B5)+(AQ5*'Prices&amp;Fuel'!C5*'Prices&amp;Fuel'!H5)+((AM5+AR5)*('Prices&amp;Fuel'!B5+'Long Term Deals'!AX5)*'Prices&amp;Fuel'!H5)+((AN5+AS5)*('Prices&amp;Fuel'!C5+'Long Term Deals'!AX5)*'Prices&amp;Fuel'!H5)+((AO5+AT5)*('Prices&amp;Fuel'!D5+'Long Term Deals'!AX5)*'Prices&amp;Fuel'!H5)+(AV5*'Prices&amp;Fuel'!H5*'Prices&amp;Fuel'!Q5)+AU5</f>
        <v>15885148.555002579</v>
      </c>
      <c r="BA5" s="6">
        <f t="shared" ref="BA5:BA20" si="7">AY5-AZ5</f>
        <v>1172255.6185250115</v>
      </c>
      <c r="BB5" s="6"/>
      <c r="BC5" s="6"/>
      <c r="BF5" s="1">
        <f>(700+1000)/(1-'Prices&amp;Fuel'!F5)</f>
        <v>1753.4811758638473</v>
      </c>
      <c r="BH5" s="11">
        <f>(2.79*700+2.68*1000)/BF5</f>
        <v>2.6421726470588238</v>
      </c>
      <c r="BK5" s="3">
        <f>2.54</f>
        <v>2.54</v>
      </c>
      <c r="BL5" s="14">
        <f>(BB5+BC5+BD5+BE5+BF5+BG5)*BH5*'Prices&amp;Fuel'!H5</f>
        <v>138990</v>
      </c>
      <c r="BM5" s="14"/>
      <c r="BN5" s="14"/>
      <c r="BP5" s="1">
        <f>BK5*BF5*'Prices&amp;Fuel'!H5</f>
        <v>133615.26560082517</v>
      </c>
      <c r="BQ5" s="6">
        <f t="shared" ref="BQ5:BQ11" si="8">BL5-BP5</f>
        <v>5374.7343991748348</v>
      </c>
      <c r="BR5" s="1">
        <v>1000</v>
      </c>
      <c r="BS5" s="1">
        <v>5000</v>
      </c>
      <c r="BT5" s="11">
        <f>IF('Prices&amp;Fuel'!$E5&lt;1.89,1.89,'Prices&amp;Fuel'!$E5)</f>
        <v>3.5060000000000002</v>
      </c>
      <c r="BU5" s="11">
        <f>IF('Prices&amp;Fuel'!$E5&lt;1.99,1.99,'Prices&amp;Fuel'!$E5)</f>
        <v>3.5060000000000002</v>
      </c>
      <c r="BV5" s="28">
        <f t="shared" ref="BV5:BW9" si="9">BT5</f>
        <v>3.5060000000000002</v>
      </c>
      <c r="BW5" s="28">
        <f t="shared" si="9"/>
        <v>3.5060000000000002</v>
      </c>
      <c r="BX5" s="1">
        <f>(BR5*BT5+BS5*BU5)*'Prices&amp;Fuel'!H5</f>
        <v>631080</v>
      </c>
      <c r="BY5" s="1">
        <f>($BR5*BV5+$BS5*BW5)*'Prices&amp;Fuel'!H5</f>
        <v>631080</v>
      </c>
      <c r="BZ5" s="6">
        <f t="shared" ref="BZ5:BZ19" si="10">BX5-BY5</f>
        <v>0</v>
      </c>
      <c r="CA5" s="6">
        <f>(AF5+AG5+AH5+AL5)*0.005*'Prices&amp;Fuel'!H5</f>
        <v>46415.678184631259</v>
      </c>
      <c r="CB5" s="6">
        <f>(B5+C5+D5+O5+P5+Q5+X5+Y5+((BB5+BC5+BD5+BE5+BF5+BG5))+BR5+BS5)*0.005*'Prices&amp;Fuel'!H5</f>
        <v>7506.8221763795773</v>
      </c>
      <c r="CC5" s="1">
        <f>K5+T5+AB5+AY5+BL5+BX5</f>
        <v>20903832.87352759</v>
      </c>
      <c r="CD5" s="1">
        <f>L5+U5+AC5+AZ5+BP5+BY5+CA5+CB5</f>
        <v>19764885.620964415</v>
      </c>
      <c r="CE5" s="1">
        <f>CC5-CD5</f>
        <v>1138947.2525631748</v>
      </c>
      <c r="CF5" s="1">
        <f>'Index Price Deals'!AR5</f>
        <v>738720.02297375002</v>
      </c>
      <c r="CG5" s="1">
        <f>'Index Price Deals'!AS5</f>
        <v>1004.0321925</v>
      </c>
      <c r="CH5" s="1">
        <f>'Index Price Deals'!AT5</f>
        <v>721312.89176289993</v>
      </c>
      <c r="CI5" s="1">
        <f>'Index Price Deals'!AU5</f>
        <v>17407.131210850086</v>
      </c>
      <c r="CJ5" s="1">
        <f t="shared" ref="CJ5:CJ20" si="11">CC5+CF5</f>
        <v>21642552.89650134</v>
      </c>
      <c r="CK5" s="1">
        <f t="shared" ref="CK5:CL24" si="12">CD5+CH5</f>
        <v>20486198.512727316</v>
      </c>
      <c r="CL5" s="1">
        <f t="shared" si="12"/>
        <v>1156354.3837740249</v>
      </c>
      <c r="CM5" s="30"/>
      <c r="CN5" s="1">
        <f>Transport!U5</f>
        <v>1055120.5256008252</v>
      </c>
      <c r="CO5" s="1"/>
      <c r="CP5" s="13">
        <f>CL5-CN5</f>
        <v>101233.8581731997</v>
      </c>
      <c r="CQ5" s="1">
        <f>((($B5+$C5+$D5+$O5+$P5+$Q5)*0.5)+BR5+BS5)*(0.005*'Prices&amp;Fuel'!$H5)+'Index Price Deals'!AV5</f>
        <v>4166.2308149999999</v>
      </c>
      <c r="CR5" s="1">
        <f>((($B5+$C5+$D5+$O5+$P5+$Q5)*0.5)+X5+Y5+BF5)*(0.005*'Prices&amp;Fuel'!$H5)+CA5+'Index Price Deals'!AW5</f>
        <v>50760.30173851084</v>
      </c>
      <c r="CT5" s="1">
        <f>[3]Sheet1!$O13</f>
        <v>525297.33613643632</v>
      </c>
      <c r="CU5" s="1">
        <f>'[4]Long Term Deals'!$Z4</f>
        <v>127773.39806539769</v>
      </c>
      <c r="CV5" s="60">
        <f>CL5-CN5-CT5+CU5+CS5+CO5</f>
        <v>-296290.07989783894</v>
      </c>
      <c r="CW5" s="13">
        <f>((B5+C5+D5+O5+P5+Q5+X5+Y5+AF5+AG5+AH5+BB5+BC5+BD5+BE5+BF5+BG5+BR5+BS5)+('Index Price Deals'!B5+'Index Price Deals'!C5+'Index Price Deals'!D5+'Index Price Deals'!L5+'Index Price Deals'!M5+'Index Price Deals'!N5+'Index Price Deals'!AD5+'Index Price Deals'!AE5+'Index Price Deals'!AF5+'Index Price Deals'!AK5+'Index Price Deals'!AL5+'Index Price Deals'!AM5))*'Prices&amp;Fuel'!H5</f>
        <v>6560434.535202167</v>
      </c>
      <c r="DA5" s="3">
        <f>(B5+C5+D5)*'Prices&amp;Fuel'!H5</f>
        <v>305760</v>
      </c>
    </row>
    <row r="6" spans="1:109" ht="10.199999999999999" hidden="1" x14ac:dyDescent="0.2">
      <c r="A6" s="10">
        <f t="shared" ref="A6:A16" si="13">+A5+365/12</f>
        <v>35779.416666666664</v>
      </c>
      <c r="B6" s="1">
        <v>4921</v>
      </c>
      <c r="C6" s="1">
        <v>1874</v>
      </c>
      <c r="E6" s="11">
        <f>IF(1.99*1.03*1.03*1.03&gt;'Prices&amp;Fuel'!B6+0.01,1.99*1.03*1.03*1.03,'Prices&amp;Fuel'!B6+0.01)</f>
        <v>2.46</v>
      </c>
      <c r="F6" s="11">
        <f>IF(2.035*1.03*1.03*1.03&gt;'Prices&amp;Fuel'!C6+0.01,2.035*1.03*1.03*1.03,'Prices&amp;Fuel'!C6+0.01)</f>
        <v>2.5599999999999996</v>
      </c>
      <c r="G6" s="11">
        <f>IF(2.049*1.03*1.03*1.03&gt;'Prices&amp;Fuel'!D6+0.01,2.049*1.03*1.03*1.03,'Prices&amp;Fuel'!D6+0.01)</f>
        <v>2.5</v>
      </c>
      <c r="H6" s="11">
        <f t="shared" si="0"/>
        <v>2.4500000000000002</v>
      </c>
      <c r="I6" s="11">
        <f t="shared" si="0"/>
        <v>2.5499999999999998</v>
      </c>
      <c r="J6" s="11">
        <f t="shared" si="0"/>
        <v>2.4900000000000002</v>
      </c>
      <c r="K6" s="1">
        <f>((B6*E6)+(C6*F6)+(D6*G6))*'Prices&amp;Fuel'!H6</f>
        <v>523996.1</v>
      </c>
      <c r="L6" s="1">
        <f>(($B6*H6)+($C6*I6)+($D6*J6))*'Prices&amp;Fuel'!$H6</f>
        <v>521889.65</v>
      </c>
      <c r="M6" s="13">
        <f t="shared" si="1"/>
        <v>2106.4499999999534</v>
      </c>
      <c r="O6" s="1">
        <v>9036</v>
      </c>
      <c r="P6" s="1">
        <v>10794</v>
      </c>
      <c r="Q6" s="1">
        <v>5270</v>
      </c>
      <c r="R6" s="11">
        <f t="shared" ref="R6:S12" si="14">R5</f>
        <v>2.1585000000000001</v>
      </c>
      <c r="S6" s="11">
        <f t="shared" si="14"/>
        <v>2.1478999999999999</v>
      </c>
      <c r="T6" s="1">
        <f>(($O6*R6)+($P6*R6)+($Q6*R6))*'Prices&amp;Fuel'!$H6</f>
        <v>1679528.85</v>
      </c>
      <c r="U6" s="1">
        <f>(($O6*S6)+($P6*S6)+($Q6*S6))*'Prices&amp;Fuel'!$H6</f>
        <v>1671280.99</v>
      </c>
      <c r="V6" s="13">
        <f t="shared" si="2"/>
        <v>8247.8600000001024</v>
      </c>
      <c r="X6" s="1">
        <f t="shared" si="3"/>
        <v>3500</v>
      </c>
      <c r="Y6" s="1">
        <f t="shared" si="4"/>
        <v>3500</v>
      </c>
      <c r="Z6" s="12">
        <v>2.2000000000000002</v>
      </c>
      <c r="AA6" s="12">
        <v>2.1800000000000002</v>
      </c>
      <c r="AB6" s="1">
        <f>($X6+$Y6)*Z6*'Prices&amp;Fuel'!$H6</f>
        <v>477400.00000000006</v>
      </c>
      <c r="AC6" s="1">
        <f>($X6+$Y6)*AA6*'Prices&amp;Fuel'!$H6</f>
        <v>473060.00000000006</v>
      </c>
      <c r="AD6" s="13">
        <f t="shared" si="5"/>
        <v>4340</v>
      </c>
      <c r="AF6" s="1">
        <f>((93404/(1-'Prices&amp;Fuel'!F6))+(25000/(1-'Prices&amp;Fuel'!G6))-AI6)</f>
        <v>91879.319236719952</v>
      </c>
      <c r="AG6" s="1">
        <f>((106596/(1-'Prices&amp;Fuel'!F6))-AJ6)</f>
        <v>25818.65394533264</v>
      </c>
      <c r="AH6" s="1">
        <f>((75000/(1-'Prices&amp;Fuel'!G6))-AK6)</f>
        <v>18454.682826199074</v>
      </c>
      <c r="AI6" s="1">
        <f>29327/(1-'Prices&amp;Fuel'!$F6)</f>
        <v>30249.613202681794</v>
      </c>
      <c r="AJ6" s="1">
        <f>81400/(1-'Prices&amp;Fuel'!$F6)+85+85</f>
        <v>84130.804538421871</v>
      </c>
      <c r="AK6" s="1">
        <f>57273/(1-'Prices&amp;Fuel'!$F6)-85-85</f>
        <v>58904.780814853017</v>
      </c>
      <c r="AL6" s="1">
        <f>SUM(AI6:AK6)</f>
        <v>173285.19855595668</v>
      </c>
      <c r="AM6" s="1">
        <f t="shared" ref="AM6:AN8" si="15">(AF6-AP6)/2</f>
        <v>5939.6596183599759</v>
      </c>
      <c r="AN6" s="1">
        <f t="shared" si="15"/>
        <v>10397.82697266632</v>
      </c>
      <c r="AO6" s="1">
        <f>ROUND((75000/(1-'Prices&amp;Fuel'!G6)-AV6-AK6)/2,0)</f>
        <v>0</v>
      </c>
      <c r="AP6" s="1">
        <f t="shared" si="6"/>
        <v>80000</v>
      </c>
      <c r="AQ6" s="1">
        <f t="shared" ref="AQ6:AQ13" si="16">+AQ5</f>
        <v>5023</v>
      </c>
      <c r="AR6" s="13">
        <f t="shared" ref="AR6:AS8" si="17">AF6-AM6-AP6</f>
        <v>5939.6596183599759</v>
      </c>
      <c r="AS6" s="13">
        <f t="shared" si="17"/>
        <v>10397.82697266632</v>
      </c>
      <c r="AT6" s="13">
        <f>AH6-AO6-AV6</f>
        <v>-0.22039960737674846</v>
      </c>
      <c r="AU6" s="13">
        <f>AL6*AX6*'Prices&amp;Fuel'!H6</f>
        <v>268592.0577617329</v>
      </c>
      <c r="AV6" s="1">
        <f>286051*2/31</f>
        <v>18454.903225806451</v>
      </c>
      <c r="AW6" s="20">
        <f>AW5</f>
        <v>0.15</v>
      </c>
      <c r="AX6" s="20">
        <f>AX5</f>
        <v>0.05</v>
      </c>
      <c r="AY6" s="6">
        <f>('Prices&amp;Fuel'!H6*('Prices&amp;Fuel'!B6+AW6)*'Long Term Deals'!AF6)+('Prices&amp;Fuel'!H6*('Prices&amp;Fuel'!C6+'Long Term Deals'!AW6)*'Long Term Deals'!AG6)+(AH6*('Prices&amp;Fuel'!C6+AW6)*'Prices&amp;Fuel'!H6)+(AW6*AL6*'Prices&amp;Fuel'!H6)</f>
        <v>11916927.591542033</v>
      </c>
      <c r="AZ6" s="6">
        <f>(AP6*'Prices&amp;Fuel'!H6*'Prices&amp;Fuel'!B6)+(AQ6*'Prices&amp;Fuel'!C6*'Prices&amp;Fuel'!H6)+((AM6+AR6)*('Prices&amp;Fuel'!B6+'Long Term Deals'!AX6)*'Prices&amp;Fuel'!H6)+((AN6+AS6)*('Prices&amp;Fuel'!C6+'Long Term Deals'!AX6)*'Prices&amp;Fuel'!H6)+((AO6+AT6)*('Prices&amp;Fuel'!D6+'Long Term Deals'!AX6)*'Prices&amp;Fuel'!H6)+(AV6*'Prices&amp;Fuel'!H6*'Prices&amp;Fuel'!Q6)+AU6</f>
        <v>10754939.142336255</v>
      </c>
      <c r="BA6" s="6">
        <f t="shared" si="7"/>
        <v>1161988.4492057785</v>
      </c>
      <c r="BB6" s="6"/>
      <c r="BC6" s="6"/>
      <c r="BF6" s="1">
        <f>(700+1000)/(1-'Prices&amp;Fuel'!F6)</f>
        <v>1753.4811758638473</v>
      </c>
      <c r="BH6" s="11">
        <f t="shared" ref="BH6:BH11" si="18">(2.79*700+2.68*1000)/BF6</f>
        <v>2.6421726470588238</v>
      </c>
      <c r="BK6" s="3">
        <f t="shared" ref="BK6:BK11" si="19">2.54</f>
        <v>2.54</v>
      </c>
      <c r="BL6" s="14">
        <f>(BB6+BC6+BD6+BE6+BF6+BG6)*BH6*'Prices&amp;Fuel'!H6</f>
        <v>143623</v>
      </c>
      <c r="BM6" s="14"/>
      <c r="BN6" s="14"/>
      <c r="BP6" s="1">
        <f>BK6*BF6*'Prices&amp;Fuel'!H6</f>
        <v>138069.10778751934</v>
      </c>
      <c r="BQ6" s="6">
        <f t="shared" si="8"/>
        <v>5553.8922124806559</v>
      </c>
      <c r="BR6" s="1">
        <v>1000</v>
      </c>
      <c r="BS6" s="1">
        <v>5000</v>
      </c>
      <c r="BT6" s="11">
        <f>IF('Prices&amp;Fuel'!$E6&lt;1.89,1.89,'Prices&amp;Fuel'!$E6)</f>
        <v>2.6823000000000001</v>
      </c>
      <c r="BU6" s="11">
        <f>IF('Prices&amp;Fuel'!$E6&lt;1.99,1.99,'Prices&amp;Fuel'!$E6)</f>
        <v>2.6823000000000001</v>
      </c>
      <c r="BV6" s="28">
        <f t="shared" si="9"/>
        <v>2.6823000000000001</v>
      </c>
      <c r="BW6" s="28">
        <f t="shared" si="9"/>
        <v>2.6823000000000001</v>
      </c>
      <c r="BX6" s="1">
        <f>(BR6*BT6+BS6*BU6)*'Prices&amp;Fuel'!H6</f>
        <v>498907.8</v>
      </c>
      <c r="BY6" s="1">
        <f>($BR6*BV6+$BS6*BW6)*'Prices&amp;Fuel'!H6</f>
        <v>498907.8</v>
      </c>
      <c r="BZ6" s="6">
        <f t="shared" si="10"/>
        <v>0</v>
      </c>
      <c r="CA6" s="6">
        <f>(AF6+AG6+AH6+AL6)*0.005*'Prices&amp;Fuel'!H6</f>
        <v>47962.867457452288</v>
      </c>
      <c r="CB6" s="6">
        <f>(B6+C6+D6+O6+P6+Q6+X6+Y6+((BB6+BC6+BD6+BE6+BF6+BG6))+BR6+BS6)*0.005*'Prices&amp;Fuel'!H6</f>
        <v>7230.5145822588956</v>
      </c>
      <c r="CC6" s="1">
        <f t="shared" ref="CC6:CC21" si="20">K6+T6+AB6+AY6+BL6+BX6</f>
        <v>15240383.341542035</v>
      </c>
      <c r="CD6" s="1">
        <f t="shared" ref="CD6:CD21" si="21">L6+U6+AC6+AZ6+BP6+BY6+CA6+CB6</f>
        <v>14113340.072163489</v>
      </c>
      <c r="CE6" s="1">
        <f t="shared" ref="CE6:CE21" si="22">CC6-CD6</f>
        <v>1127043.2693785466</v>
      </c>
      <c r="CF6" s="1">
        <f>'Index Price Deals'!AR6</f>
        <v>767560.40574328683</v>
      </c>
      <c r="CG6" s="1">
        <f>'Index Price Deals'!AS6</f>
        <v>1295.9549999999999</v>
      </c>
      <c r="CH6" s="1">
        <f>'Index Price Deals'!AT6</f>
        <v>749491.43378938385</v>
      </c>
      <c r="CI6" s="1">
        <f>'Index Price Deals'!AU6</f>
        <v>18068.971953902976</v>
      </c>
      <c r="CJ6" s="1">
        <f t="shared" si="11"/>
        <v>16007943.747285321</v>
      </c>
      <c r="CK6" s="1">
        <f t="shared" si="12"/>
        <v>14862831.505952872</v>
      </c>
      <c r="CL6" s="1">
        <f t="shared" si="12"/>
        <v>1145112.2413324495</v>
      </c>
      <c r="CM6" s="1">
        <f>SUM(CL5:CL6)</f>
        <v>2301466.6251064744</v>
      </c>
      <c r="CN6" s="1">
        <f>Transport!U6</f>
        <v>1090291.2097875194</v>
      </c>
      <c r="CO6" s="1"/>
      <c r="CP6" s="13">
        <f>CL6-CN6</f>
        <v>54821.031544930069</v>
      </c>
      <c r="CQ6" s="1">
        <f>((($B6+$C6+$D6+$O6+$P6+$Q6)*0.5)+BR6+BS6)*(0.005*'Prices&amp;Fuel'!$H6)+'Index Price Deals'!AV6</f>
        <v>4316.0525000000007</v>
      </c>
      <c r="CR6" s="1">
        <f>((($B6+$C6+$D6+$O6+$P6+$Q6)*0.5)+X6+Y6+BF6)*(0.005*'Prices&amp;Fuel'!$H6)+CA6+'Index Price Deals'!AW6</f>
        <v>52173.284539711181</v>
      </c>
      <c r="CT6" s="1">
        <f>[3]Sheet1!$O14</f>
        <v>542807.24734098429</v>
      </c>
      <c r="CU6" s="1">
        <f>'[4]Long Term Deals'!$Z5</f>
        <v>132032.51133424431</v>
      </c>
      <c r="CV6" s="60">
        <f t="shared" ref="CV6:CV69" si="23">CL6-CN6-CT6+CU6+CS6+CO6</f>
        <v>-355953.70446180995</v>
      </c>
      <c r="CW6" s="13">
        <f>((B6+C6+D6+O6+P6+Q6+X6+Y6+AF6+AG6+AH6+BB6+BC6+BD6+BE6+BF6+BG6+BR6+BS6)+('Index Price Deals'!B6+'Index Price Deals'!C6+'Index Price Deals'!D6+'Index Price Deals'!L6+'Index Price Deals'!M6+'Index Price Deals'!N6+'Index Price Deals'!AD6+'Index Price Deals'!AE6+'Index Price Deals'!AF6+'Index Price Deals'!AK6+'Index Price Deals'!AL6+'Index Price Deals'!AM6))*'Prices&amp;Fuel'!H6</f>
        <v>5926026.252707582</v>
      </c>
      <c r="DA6" s="3">
        <f>(B6+C6+D6)*'Prices&amp;Fuel'!H6</f>
        <v>210645</v>
      </c>
    </row>
    <row r="7" spans="1:109" ht="10.199999999999999" hidden="1" x14ac:dyDescent="0.2">
      <c r="A7" s="10">
        <f t="shared" si="13"/>
        <v>35809.833333333328</v>
      </c>
      <c r="B7" s="1">
        <v>4921</v>
      </c>
      <c r="C7" s="1">
        <v>1874</v>
      </c>
      <c r="E7" s="11">
        <f>IF(1.99*1.03*1.03*1.03&gt;'Prices&amp;Fuel'!B7+0.01,1.99*1.03*1.03*1.03,'Prices&amp;Fuel'!B7+0.01)</f>
        <v>2.2199999999999998</v>
      </c>
      <c r="F7" s="11">
        <f>IF(2.035*1.03*1.03*1.03&gt;'Prices&amp;Fuel'!C7+0.01,2.035*1.03*1.03*1.03,'Prices&amp;Fuel'!C7+0.01)</f>
        <v>2.2899999999999996</v>
      </c>
      <c r="G7" s="11">
        <f>IF(2.049*1.03*1.03*1.03&gt;'Prices&amp;Fuel'!D7+0.01,2.049*1.03*1.03*1.03,'Prices&amp;Fuel'!D7+0.01)</f>
        <v>2.2399999999999998</v>
      </c>
      <c r="H7" s="11">
        <f t="shared" si="0"/>
        <v>2.21</v>
      </c>
      <c r="I7" s="11">
        <f t="shared" si="0"/>
        <v>2.2799999999999998</v>
      </c>
      <c r="J7" s="11">
        <f t="shared" si="0"/>
        <v>2.23</v>
      </c>
      <c r="K7" s="1">
        <f>((B7*E7)+(C7*F7)+(D7*G7))*'Prices&amp;Fuel'!H7</f>
        <v>471698.47999999992</v>
      </c>
      <c r="L7" s="1">
        <f>(($B7*H7)+($C7*I7)+($D7*J7))*'Prices&amp;Fuel'!$H7</f>
        <v>469592.02999999997</v>
      </c>
      <c r="M7" s="13">
        <f t="shared" si="1"/>
        <v>2106.4499999999534</v>
      </c>
      <c r="O7" s="1">
        <v>9036</v>
      </c>
      <c r="P7" s="1">
        <v>10794</v>
      </c>
      <c r="Q7" s="1">
        <v>5270</v>
      </c>
      <c r="R7" s="11">
        <f t="shared" si="14"/>
        <v>2.1585000000000001</v>
      </c>
      <c r="S7" s="11">
        <f t="shared" si="14"/>
        <v>2.1478999999999999</v>
      </c>
      <c r="T7" s="1">
        <f>(($O7*R7)+($P7*R7)+($Q7*R7))*'Prices&amp;Fuel'!$H7</f>
        <v>1679528.85</v>
      </c>
      <c r="U7" s="1">
        <f>(($O7*S7)+($P7*S7)+($Q7*S7))*'Prices&amp;Fuel'!$H7</f>
        <v>1671280.99</v>
      </c>
      <c r="V7" s="13">
        <f t="shared" si="2"/>
        <v>8247.8600000001024</v>
      </c>
      <c r="X7" s="1">
        <f t="shared" si="3"/>
        <v>3500</v>
      </c>
      <c r="Y7" s="1">
        <f t="shared" si="4"/>
        <v>3500</v>
      </c>
      <c r="Z7" s="12">
        <v>2.2000000000000002</v>
      </c>
      <c r="AA7" s="12">
        <v>2.1800000000000002</v>
      </c>
      <c r="AB7" s="1">
        <f>($X7+$Y7)*Z7*'Prices&amp;Fuel'!$H7</f>
        <v>477400.00000000006</v>
      </c>
      <c r="AC7" s="1">
        <f>($X7+$Y7)*AA7*'Prices&amp;Fuel'!$H7</f>
        <v>473060.00000000006</v>
      </c>
      <c r="AD7" s="13">
        <f t="shared" si="5"/>
        <v>4340</v>
      </c>
      <c r="AF7" s="1">
        <f>((93404/(1-'Prices&amp;Fuel'!F7))+(25000/(1-'Prices&amp;Fuel'!G7))-AI7)</f>
        <v>91879.319236719952</v>
      </c>
      <c r="AG7" s="1">
        <f>((106596/(1-'Prices&amp;Fuel'!F7))-AJ7)</f>
        <v>25988.65394533264</v>
      </c>
      <c r="AH7" s="1">
        <f>((75000/(1-'Prices&amp;Fuel'!G7))-AK7)</f>
        <v>18284.682826199074</v>
      </c>
      <c r="AI7" s="1">
        <f>29327/(1-'Prices&amp;Fuel'!$F7)</f>
        <v>30249.613202681794</v>
      </c>
      <c r="AJ7" s="1">
        <f>81400/(1-'Prices&amp;Fuel'!$F7)</f>
        <v>83960.804538421871</v>
      </c>
      <c r="AK7" s="1">
        <f>57273/(1-'Prices&amp;Fuel'!$F7)</f>
        <v>59074.780814853017</v>
      </c>
      <c r="AL7" s="1">
        <f>SUM(AI7:AK7)</f>
        <v>173285.19855595668</v>
      </c>
      <c r="AM7" s="1">
        <f t="shared" si="15"/>
        <v>5939.6596183599759</v>
      </c>
      <c r="AN7" s="1">
        <f t="shared" si="15"/>
        <v>10482.82697266632</v>
      </c>
      <c r="AO7" s="1">
        <f>ROUND((75000/(1-'Prices&amp;Fuel'!G7)-AV7-AK7)/2,0)</f>
        <v>339</v>
      </c>
      <c r="AP7" s="1">
        <f t="shared" si="6"/>
        <v>80000</v>
      </c>
      <c r="AQ7" s="1">
        <f t="shared" si="16"/>
        <v>5023</v>
      </c>
      <c r="AR7" s="13">
        <f t="shared" si="17"/>
        <v>5939.6596183599759</v>
      </c>
      <c r="AS7" s="13">
        <f t="shared" si="17"/>
        <v>10482.82697266632</v>
      </c>
      <c r="AT7" s="13">
        <f>AH7-AO7-AV7</f>
        <v>339.68282619907404</v>
      </c>
      <c r="AU7" s="13">
        <f>AL7*AX7*'Prices&amp;Fuel'!H7</f>
        <v>268592.0577617329</v>
      </c>
      <c r="AV7" s="1">
        <f>(272893*2)/31</f>
        <v>17606</v>
      </c>
      <c r="AW7" s="20">
        <v>0.14499999999999999</v>
      </c>
      <c r="AX7" s="20">
        <f t="shared" ref="AX7:AX24" si="24">AX6</f>
        <v>0.05</v>
      </c>
      <c r="AY7" s="6">
        <f>('Prices&amp;Fuel'!H7*('Prices&amp;Fuel'!B7+AW7)*'Long Term Deals'!AF7)+('Prices&amp;Fuel'!H7*('Prices&amp;Fuel'!C7+'Long Term Deals'!AW7)*'Long Term Deals'!AG7)+(AH7*('Prices&amp;Fuel'!C7+AW7)*'Prices&amp;Fuel'!H7)+(AW7*AL7*'Prices&amp;Fuel'!H7)</f>
        <v>10814814.760185663</v>
      </c>
      <c r="AZ7" s="6">
        <f>(AP7*'Prices&amp;Fuel'!H7*'Prices&amp;Fuel'!B7)+(AQ7*'Prices&amp;Fuel'!C7*'Prices&amp;Fuel'!H7)+((AM7+AR7)*('Prices&amp;Fuel'!B7+'Long Term Deals'!AX7)*'Prices&amp;Fuel'!H7)+((AN7+AS7)*('Prices&amp;Fuel'!C7+'Long Term Deals'!AX7)*'Prices&amp;Fuel'!H7)+((AO7+AT7)*('Prices&amp;Fuel'!D7+'Long Term Deals'!AX7)*'Prices&amp;Fuel'!H7)+(AV7*'Prices&amp;Fuel'!H7*'Prices&amp;Fuel'!Q7)+AU7</f>
        <v>9711033.7901134603</v>
      </c>
      <c r="BA7" s="6">
        <f t="shared" si="7"/>
        <v>1103780.9700722024</v>
      </c>
      <c r="BB7" s="6"/>
      <c r="BC7" s="6"/>
      <c r="BF7" s="1">
        <f>(700+1000)/(1-'Prices&amp;Fuel'!F7)</f>
        <v>1753.4811758638473</v>
      </c>
      <c r="BH7" s="11">
        <f t="shared" si="18"/>
        <v>2.6421726470588238</v>
      </c>
      <c r="BK7" s="3">
        <f t="shared" si="19"/>
        <v>2.54</v>
      </c>
      <c r="BL7" s="14">
        <f>(BB7+BC7+BD7+BE7+BF7+BG7)*BH7*'Prices&amp;Fuel'!H7</f>
        <v>143623</v>
      </c>
      <c r="BM7" s="14"/>
      <c r="BN7" s="14"/>
      <c r="BP7" s="1">
        <f>BK7*BF7*'Prices&amp;Fuel'!H7</f>
        <v>138069.10778751934</v>
      </c>
      <c r="BQ7" s="6">
        <f t="shared" si="8"/>
        <v>5553.8922124806559</v>
      </c>
      <c r="BR7" s="1">
        <v>1000</v>
      </c>
      <c r="BS7" s="1">
        <v>5000</v>
      </c>
      <c r="BT7" s="11">
        <f>IF('Prices&amp;Fuel'!$E7&lt;1.89,1.89,'Prices&amp;Fuel'!$E7)</f>
        <v>2.2690000000000001</v>
      </c>
      <c r="BU7" s="11">
        <f>IF('Prices&amp;Fuel'!$E7&lt;1.99,1.99,'Prices&amp;Fuel'!$E7)</f>
        <v>2.2690000000000001</v>
      </c>
      <c r="BV7" s="28">
        <f t="shared" si="9"/>
        <v>2.2690000000000001</v>
      </c>
      <c r="BW7" s="28">
        <f t="shared" si="9"/>
        <v>2.2690000000000001</v>
      </c>
      <c r="BX7" s="1">
        <f>(BR7*BT7+BS7*BU7)*'Prices&amp;Fuel'!H7</f>
        <v>422034</v>
      </c>
      <c r="BY7" s="1">
        <f>($BR7*BV7+$BS7*BW7)*'Prices&amp;Fuel'!H7</f>
        <v>422034</v>
      </c>
      <c r="BZ7" s="6">
        <f t="shared" si="10"/>
        <v>0</v>
      </c>
      <c r="CA7" s="6">
        <f>(AF7+AG7+AH7+AL7)*0.005*'Prices&amp;Fuel'!H7</f>
        <v>47962.867457452288</v>
      </c>
      <c r="CB7" s="6">
        <f>(B7+C7+D7+O7+P7+Q7+X7+Y7+((BB7+BC7+BD7+BE7+BF7+BG7))+BR7+BS7)*0.005*'Prices&amp;Fuel'!H7</f>
        <v>7230.5145822588956</v>
      </c>
      <c r="CC7" s="1">
        <f t="shared" si="20"/>
        <v>14009099.090185663</v>
      </c>
      <c r="CD7" s="1">
        <f t="shared" si="21"/>
        <v>12940263.299940692</v>
      </c>
      <c r="CE7" s="1">
        <f t="shared" si="22"/>
        <v>1068835.7902449705</v>
      </c>
      <c r="CF7" s="1">
        <f>'Index Price Deals'!AR7</f>
        <v>622335.22684651869</v>
      </c>
      <c r="CG7" s="1">
        <f>'Index Price Deals'!AS7</f>
        <v>1159.8650000000002</v>
      </c>
      <c r="CH7" s="1">
        <f>'Index Price Deals'!AT7</f>
        <v>606240.6213045381</v>
      </c>
      <c r="CI7" s="1">
        <f>'Index Price Deals'!AU7</f>
        <v>16094.605541980593</v>
      </c>
      <c r="CJ7" s="1">
        <f t="shared" si="11"/>
        <v>14631434.317032181</v>
      </c>
      <c r="CK7" s="1">
        <f t="shared" si="12"/>
        <v>13546503.92124523</v>
      </c>
      <c r="CL7" s="1">
        <f t="shared" si="12"/>
        <v>1084930.3957869511</v>
      </c>
      <c r="CM7" s="30"/>
      <c r="CN7" s="1">
        <f>Transport!U7</f>
        <v>1094525.8097875195</v>
      </c>
      <c r="CO7" s="1"/>
      <c r="CP7" s="13">
        <f>CL7-CN7</f>
        <v>-9595.4140005684458</v>
      </c>
      <c r="CQ7" s="1">
        <f>((($B7+$C7+$D7+$O7+$P7+$Q7)*0.5)+BR7+BS7)*(0.005*'Prices&amp;Fuel'!$H7)+'Index Price Deals'!AV7</f>
        <v>4189.2625000000007</v>
      </c>
      <c r="CR7" s="1">
        <f>((($B7+$C7+$D7+$O7+$P7+$Q7)*0.5)+X7+Y7+BF7)*(0.005*'Prices&amp;Fuel'!$H7)+CA7+'Index Price Deals'!AW7</f>
        <v>52163.984539711179</v>
      </c>
      <c r="CS7" s="1">
        <v>50782.949500000002</v>
      </c>
      <c r="CT7" s="1">
        <f>[3]Sheet1!$O16</f>
        <v>494844.37988353183</v>
      </c>
      <c r="CU7" s="1">
        <f>'[4]Long Term Deals'!$Z6</f>
        <v>132032.51133424431</v>
      </c>
      <c r="CV7" s="60">
        <f t="shared" si="23"/>
        <v>-321624.33304985601</v>
      </c>
      <c r="CW7" s="13">
        <f>((B7+C7+D7+O7+P7+Q7+X7+Y7+AF7+AG7+AH7+BB7+BC7+BD7+BE7+BF7+BG7+BR7+BS7)+('Index Price Deals'!B7+'Index Price Deals'!C7+'Index Price Deals'!D7+'Index Price Deals'!L7+'Index Price Deals'!M7+'Index Price Deals'!N7+'Index Price Deals'!AD7+'Index Price Deals'!AE7+'Index Price Deals'!AF7+'Index Price Deals'!AK7+'Index Price Deals'!AL7+'Index Price Deals'!AM7))*'Prices&amp;Fuel'!H7</f>
        <v>5898808.252707582</v>
      </c>
      <c r="DA7" s="3">
        <f>(B7+C7+D7)*'Prices&amp;Fuel'!H7</f>
        <v>210645</v>
      </c>
    </row>
    <row r="8" spans="1:109" ht="10.199999999999999" hidden="1" x14ac:dyDescent="0.2">
      <c r="A8" s="10">
        <f t="shared" si="13"/>
        <v>35840.249999999993</v>
      </c>
      <c r="B8" s="1">
        <v>4921</v>
      </c>
      <c r="C8" s="1">
        <v>1874</v>
      </c>
      <c r="E8" s="11">
        <f>IF(1.99*1.03*1.03*1.03&gt;'Prices&amp;Fuel'!B8+0.01,1.99*1.03*1.03*1.03,'Prices&amp;Fuel'!B8+0.01)</f>
        <v>2.1745267300000002</v>
      </c>
      <c r="F8" s="11">
        <f>IF(2.035*1.03*1.03*1.03&gt;'Prices&amp;Fuel'!C8+0.01,2.035*1.03*1.03*1.03,'Prices&amp;Fuel'!C8+0.01)</f>
        <v>2.2236994450000007</v>
      </c>
      <c r="G8" s="11">
        <f>IF(2.049*1.03*1.03*1.03&gt;'Prices&amp;Fuel'!D8+0.01,2.049*1.03*1.03*1.03,'Prices&amp;Fuel'!D8+0.01)</f>
        <v>2.2389976229999999</v>
      </c>
      <c r="H8" s="11">
        <f t="shared" si="0"/>
        <v>2.1645267300000004</v>
      </c>
      <c r="I8" s="11">
        <f t="shared" si="0"/>
        <v>2.2136994450000009</v>
      </c>
      <c r="J8" s="11">
        <f t="shared" si="0"/>
        <v>2.2289976230000002</v>
      </c>
      <c r="K8" s="1">
        <f>((B8*E8)+(C8*F8)+(D8*G8))*'Prices&amp;Fuel'!H8</f>
        <v>416305.64635128004</v>
      </c>
      <c r="L8" s="1">
        <f>(($B8*H8)+($C8*I8)+($D8*J8))*'Prices&amp;Fuel'!$H8</f>
        <v>414403.04635128012</v>
      </c>
      <c r="M8" s="13">
        <f t="shared" si="1"/>
        <v>1902.5999999999185</v>
      </c>
      <c r="O8" s="1">
        <v>9036</v>
      </c>
      <c r="P8" s="1">
        <v>10794</v>
      </c>
      <c r="Q8" s="1">
        <v>5270</v>
      </c>
      <c r="R8" s="11">
        <f t="shared" si="14"/>
        <v>2.1585000000000001</v>
      </c>
      <c r="S8" s="11">
        <f t="shared" si="14"/>
        <v>2.1478999999999999</v>
      </c>
      <c r="T8" s="1">
        <f>(($O8*R8)+($P8*R8)+($Q8*R8))*'Prices&amp;Fuel'!$H8</f>
        <v>1516993.8000000003</v>
      </c>
      <c r="U8" s="1">
        <f>(($O8*S8)+($P8*S8)+($Q8*S8))*'Prices&amp;Fuel'!$H8</f>
        <v>1509544.12</v>
      </c>
      <c r="V8" s="13">
        <f t="shared" si="2"/>
        <v>7449.6800000001676</v>
      </c>
      <c r="X8" s="1">
        <f t="shared" si="3"/>
        <v>3500</v>
      </c>
      <c r="Y8" s="1">
        <f t="shared" si="4"/>
        <v>3500</v>
      </c>
      <c r="Z8" s="12">
        <v>2.2000000000000002</v>
      </c>
      <c r="AA8" s="12">
        <v>2.1800000000000002</v>
      </c>
      <c r="AB8" s="1">
        <f>($X8+$Y8)*Z8*'Prices&amp;Fuel'!$H8</f>
        <v>431200.00000000006</v>
      </c>
      <c r="AC8" s="1">
        <f>($X8+$Y8)*AA8*'Prices&amp;Fuel'!$H8</f>
        <v>427280.00000000006</v>
      </c>
      <c r="AD8" s="13">
        <f t="shared" si="5"/>
        <v>3920</v>
      </c>
      <c r="AF8" s="1">
        <f>((93404/(1-'Prices&amp;Fuel'!F8))+(25000/(1-'Prices&amp;Fuel'!G8))-AI8)</f>
        <v>91595.886889460162</v>
      </c>
      <c r="AG8" s="1">
        <f>((106596/(1-'Prices&amp;Fuel'!F8))-AJ8)</f>
        <v>25908.483290488439</v>
      </c>
      <c r="AH8" s="1">
        <f>((75000/(1-'Prices&amp;Fuel'!G8))-AK8)</f>
        <v>18228.277634961443</v>
      </c>
      <c r="AI8" s="1">
        <f>29327/(1-'Prices&amp;Fuel'!$F8)</f>
        <v>30156.298200514138</v>
      </c>
      <c r="AJ8" s="1">
        <f>81400/(1-'Prices&amp;Fuel'!$F8)</f>
        <v>83701.799485861178</v>
      </c>
      <c r="AK8" s="1">
        <f>57273/(1-'Prices&amp;Fuel'!$F8)</f>
        <v>58892.544987146524</v>
      </c>
      <c r="AL8" s="1">
        <f>SUM(AI8:AK8)</f>
        <v>172750.64267352183</v>
      </c>
      <c r="AM8" s="1">
        <f t="shared" si="15"/>
        <v>5797.943444730081</v>
      </c>
      <c r="AN8" s="1">
        <f t="shared" si="15"/>
        <v>10442.741645244219</v>
      </c>
      <c r="AO8" s="1">
        <f>ROUND((75000/(1-'Prices&amp;Fuel'!G8)-AV8-AK8)/2,0)</f>
        <v>4304</v>
      </c>
      <c r="AP8" s="1">
        <f t="shared" si="6"/>
        <v>80000</v>
      </c>
      <c r="AQ8" s="1">
        <f t="shared" si="16"/>
        <v>5023</v>
      </c>
      <c r="AR8" s="13">
        <f t="shared" si="17"/>
        <v>5797.9434447300737</v>
      </c>
      <c r="AS8" s="13">
        <f t="shared" si="17"/>
        <v>10442.741645244219</v>
      </c>
      <c r="AT8" s="13">
        <f t="shared" ref="AT8:AT71" si="25">AH8-AO8-AV8</f>
        <v>4304.2776349614433</v>
      </c>
      <c r="AU8" s="13">
        <f>AL8*AX8*'Prices&amp;Fuel'!H8</f>
        <v>241850.89974293057</v>
      </c>
      <c r="AV8" s="1">
        <f>(134680*2)/28</f>
        <v>9620</v>
      </c>
      <c r="AW8" s="20">
        <f t="shared" ref="AW8:AW18" si="26">AW7</f>
        <v>0.14499999999999999</v>
      </c>
      <c r="AX8" s="20">
        <f t="shared" si="24"/>
        <v>0.05</v>
      </c>
      <c r="AY8" s="6">
        <f>('Prices&amp;Fuel'!H8*('Prices&amp;Fuel'!B8+AW8)*'Long Term Deals'!AF8)+('Prices&amp;Fuel'!H8*('Prices&amp;Fuel'!C8+'Long Term Deals'!AW8)*'Long Term Deals'!AG8)+(AH8*('Prices&amp;Fuel'!C8+AW8)*'Prices&amp;Fuel'!H8)+(AW8*AL8*'Prices&amp;Fuel'!H8)</f>
        <v>8724305.9331619535</v>
      </c>
      <c r="AZ8" s="6">
        <f>(AP8*'Prices&amp;Fuel'!H8*'Prices&amp;Fuel'!B8)+(AQ8*'Prices&amp;Fuel'!C8*'Prices&amp;Fuel'!H8)+((AM8+AR8)*('Prices&amp;Fuel'!B8+'Long Term Deals'!AX8)*'Prices&amp;Fuel'!H8)+((AN8+AS8)*('Prices&amp;Fuel'!C8+'Long Term Deals'!AX8)*'Prices&amp;Fuel'!H8)+((AO8+AT8)*('Prices&amp;Fuel'!D8+'Long Term Deals'!AX8)*'Prices&amp;Fuel'!H8)+(AV8*'Prices&amp;Fuel'!H8*'Prices&amp;Fuel'!Q8)+AU8</f>
        <v>7739728.4740359904</v>
      </c>
      <c r="BA8" s="6">
        <f t="shared" si="7"/>
        <v>984577.45912596304</v>
      </c>
      <c r="BB8" s="6"/>
      <c r="BC8" s="6"/>
      <c r="BF8" s="1">
        <f>(700+1000)/(1-'Prices&amp;Fuel'!F8)</f>
        <v>1748.0719794344473</v>
      </c>
      <c r="BH8" s="11">
        <f t="shared" si="18"/>
        <v>2.6503485294117648</v>
      </c>
      <c r="BK8" s="3">
        <f t="shared" si="19"/>
        <v>2.54</v>
      </c>
      <c r="BL8" s="14">
        <f>(BB8+BC8+BD8+BE8+BF8+BG8)*BH8*'Prices&amp;Fuel'!H8</f>
        <v>129724</v>
      </c>
      <c r="BM8" s="14"/>
      <c r="BN8" s="14"/>
      <c r="BP8" s="1">
        <f>BK8*BF8*'Prices&amp;Fuel'!H8</f>
        <v>124322.87917737788</v>
      </c>
      <c r="BQ8" s="6">
        <f t="shared" si="8"/>
        <v>5401.1208226221206</v>
      </c>
      <c r="BR8" s="1">
        <v>1000</v>
      </c>
      <c r="BS8" s="1">
        <v>5000</v>
      </c>
      <c r="BT8" s="11">
        <f>IF('Prices&amp;Fuel'!$E8&lt;1.89,1.89,'Prices&amp;Fuel'!$E8)</f>
        <v>2.0356666666666663</v>
      </c>
      <c r="BU8" s="11">
        <f>IF('Prices&amp;Fuel'!$E8&lt;1.99,1.99,'Prices&amp;Fuel'!$E8)</f>
        <v>2.0356666666666663</v>
      </c>
      <c r="BV8" s="28">
        <f t="shared" si="9"/>
        <v>2.0356666666666663</v>
      </c>
      <c r="BW8" s="28">
        <f t="shared" si="9"/>
        <v>2.0356666666666663</v>
      </c>
      <c r="BX8" s="1">
        <f>(BR8*BT8+BS8*BU8)*'Prices&amp;Fuel'!H8</f>
        <v>341991.99999999994</v>
      </c>
      <c r="BY8" s="1">
        <f>($BR8*BV8+$BS8*BW8)*'Prices&amp;Fuel'!H8</f>
        <v>341991.99999999994</v>
      </c>
      <c r="BZ8" s="6">
        <f t="shared" si="10"/>
        <v>0</v>
      </c>
      <c r="CA8" s="6">
        <f>(AF8+AG8+AH8+AL8)*0.005*'Prices&amp;Fuel'!H8</f>
        <v>43187.660668380464</v>
      </c>
      <c r="CB8" s="6">
        <f>(B8+C8+D8+O8+P8+Q8+X8+Y8+((BB8+BC8+BD8+BE8+BF8+BG8))+BR8+BS8)*0.005*'Prices&amp;Fuel'!H8</f>
        <v>6530.0300771208231</v>
      </c>
      <c r="CC8" s="1">
        <f t="shared" si="20"/>
        <v>11560521.379513234</v>
      </c>
      <c r="CD8" s="1">
        <f t="shared" si="21"/>
        <v>10606988.21031015</v>
      </c>
      <c r="CE8" s="1">
        <f t="shared" si="22"/>
        <v>953533.16920308396</v>
      </c>
      <c r="CF8" s="1">
        <f>'Index Price Deals'!AR8</f>
        <v>484285.58980111731</v>
      </c>
      <c r="CG8" s="1">
        <f>'Index Price Deals'!AS8</f>
        <v>989.11999999960005</v>
      </c>
      <c r="CH8" s="1">
        <f>'Index Price Deals'!AT8</f>
        <v>470558.71455643571</v>
      </c>
      <c r="CI8" s="1">
        <f>'Index Price Deals'!AU8</f>
        <v>13726.875244681607</v>
      </c>
      <c r="CJ8" s="1">
        <f t="shared" si="11"/>
        <v>12044806.969314352</v>
      </c>
      <c r="CK8" s="1">
        <f t="shared" si="12"/>
        <v>11077546.924866585</v>
      </c>
      <c r="CL8" s="1">
        <f t="shared" si="12"/>
        <v>967260.04444776557</v>
      </c>
      <c r="CM8" s="30"/>
      <c r="CN8" s="1">
        <f>Transport!U8</f>
        <v>988219.25517737796</v>
      </c>
      <c r="CQ8" s="1">
        <f>((($B8+$C8+$D8+$O8+$P8+$Q8)*0.5)+BR8+BS8)*(0.005*'Prices&amp;Fuel'!$H8)+'Index Price Deals'!AV8</f>
        <v>3799.0750000000003</v>
      </c>
      <c r="CR8" s="1">
        <f>((($B8+$C8+$D8+$O8+$P8+$Q8)*0.5)+X8+Y8+BF8)*(0.005*'Prices&amp;Fuel'!$H8)+CA8+'Index Price Deals'!AW8</f>
        <v>46907.73574550089</v>
      </c>
      <c r="CS8" s="1">
        <v>36881.858</v>
      </c>
      <c r="CT8" s="1">
        <f>[3]Sheet1!$O17</f>
        <v>446956.21408835141</v>
      </c>
      <c r="CU8" s="1">
        <f>'[4]Long Term Deals'!$Z7</f>
        <v>118520.09480319548</v>
      </c>
      <c r="CV8" s="60">
        <f t="shared" si="23"/>
        <v>-312513.47201476828</v>
      </c>
      <c r="CW8" s="13">
        <f>((B8+C8+D8+O8+P8+Q8+X8+Y8+AF8+AG8+AH8+BB8+BC8+BD8+BE8+BF8+BG8+BR8+BS8)+('Index Price Deals'!B8+'Index Price Deals'!C8+'Index Price Deals'!D8+'Index Price Deals'!L8+'Index Price Deals'!M8+'Index Price Deals'!N8+'Index Price Deals'!AD8+'Index Price Deals'!AE8+'Index Price Deals'!AF8+'Index Price Deals'!AK8+'Index Price Deals'!AL8+'Index Price Deals'!AM8))*'Prices&amp;Fuel'!H8</f>
        <v>5304344.1542415647</v>
      </c>
      <c r="DA8" s="3">
        <f>(B8+C8+D8)*'Prices&amp;Fuel'!H8</f>
        <v>190260</v>
      </c>
    </row>
    <row r="9" spans="1:109" ht="10.199999999999999" hidden="1" x14ac:dyDescent="0.2">
      <c r="A9" s="10">
        <f t="shared" si="13"/>
        <v>35870.666666666657</v>
      </c>
      <c r="B9" s="1">
        <v>4921</v>
      </c>
      <c r="C9" s="1">
        <v>4177</v>
      </c>
      <c r="D9" s="1">
        <v>1094</v>
      </c>
      <c r="E9" s="11">
        <f>IF(1.766*1.03*1.03*1.03&gt;'Prices&amp;Fuel'!B9+0.01,1.766*1.03*1.03*1.03,'Prices&amp;Fuel'!B9+0.01)</f>
        <v>2.1999999999999997</v>
      </c>
      <c r="F9" s="11">
        <f>IF(1.83*1.03*1.03*1.03&gt;'Prices&amp;Fuel'!C9+0.01,1.83*1.03*1.03*1.03,'Prices&amp;Fuel'!C9+0.01)</f>
        <v>2.2599999999999998</v>
      </c>
      <c r="G9" s="11">
        <f>IF(1.859*1.03*1.03*1.03&gt;'Prices&amp;Fuel'!D9+0.01,1.859*1.03*1.03*1.03,'Prices&amp;Fuel'!D9+0.01)</f>
        <v>2.1999999999999997</v>
      </c>
      <c r="H9" s="11">
        <f t="shared" si="0"/>
        <v>2.19</v>
      </c>
      <c r="I9" s="11">
        <f t="shared" si="0"/>
        <v>2.25</v>
      </c>
      <c r="J9" s="11">
        <f t="shared" si="0"/>
        <v>2.19</v>
      </c>
      <c r="K9" s="1">
        <f>((B9*E9)+(C9*F9)+(D9*G9))*'Prices&amp;Fuel'!H9</f>
        <v>702863.61999999988</v>
      </c>
      <c r="L9" s="1">
        <f>(($B9*H9)+($C9*I9)+($D9*J9))*'Prices&amp;Fuel'!$H9</f>
        <v>699704.1</v>
      </c>
      <c r="M9" s="13">
        <f t="shared" si="1"/>
        <v>3159.5199999999022</v>
      </c>
      <c r="O9" s="1">
        <v>9036</v>
      </c>
      <c r="P9" s="1">
        <v>10794</v>
      </c>
      <c r="Q9" s="1">
        <v>5270</v>
      </c>
      <c r="R9" s="11">
        <f t="shared" si="14"/>
        <v>2.1585000000000001</v>
      </c>
      <c r="S9" s="11">
        <f t="shared" si="14"/>
        <v>2.1478999999999999</v>
      </c>
      <c r="T9" s="1">
        <f>(($O9*R9)+($P9*R9)+($Q9*R9))*'Prices&amp;Fuel'!$H9</f>
        <v>1679528.85</v>
      </c>
      <c r="U9" s="1">
        <f>(($O9*S9)+($P9*S9)+($Q9*S9))*'Prices&amp;Fuel'!$H9</f>
        <v>1671280.99</v>
      </c>
      <c r="V9" s="13">
        <f t="shared" si="2"/>
        <v>8247.8600000001024</v>
      </c>
      <c r="X9" s="1">
        <f t="shared" si="3"/>
        <v>3500</v>
      </c>
      <c r="Y9" s="1">
        <f t="shared" si="4"/>
        <v>3500</v>
      </c>
      <c r="Z9" s="12">
        <v>2.2000000000000002</v>
      </c>
      <c r="AA9" s="12">
        <v>2.1800000000000002</v>
      </c>
      <c r="AB9" s="1">
        <f>($X9+$Y9)*Z9*'Prices&amp;Fuel'!$H9</f>
        <v>477400.00000000006</v>
      </c>
      <c r="AC9" s="1">
        <f>($X9+$Y9)*AA9*'Prices&amp;Fuel'!$H9</f>
        <v>473060.00000000006</v>
      </c>
      <c r="AD9" s="13">
        <f t="shared" si="5"/>
        <v>4340</v>
      </c>
      <c r="AF9" s="1">
        <f>(93404/(1-'Prices&amp;Fuel'!F9))+(25000/(1-'Prices&amp;Fuel'!G9))-AI9</f>
        <v>91595.886889460162</v>
      </c>
      <c r="AG9" s="1">
        <f>(106596/(1-'Prices&amp;Fuel'!F9))-AJ9</f>
        <v>25908.483290488439</v>
      </c>
      <c r="AH9" s="1">
        <f>(75000/(1-'Prices&amp;Fuel'!G9))-AK9</f>
        <v>18228.277634961443</v>
      </c>
      <c r="AI9" s="1">
        <f>29327/(1-'Prices&amp;Fuel'!$F9)</f>
        <v>30156.298200514138</v>
      </c>
      <c r="AJ9" s="1">
        <f>81400/(1-'Prices&amp;Fuel'!$F9)</f>
        <v>83701.799485861178</v>
      </c>
      <c r="AK9" s="1">
        <f>57273/(1-'Prices&amp;Fuel'!$F9)</f>
        <v>58892.544987146524</v>
      </c>
      <c r="AL9" s="1">
        <f>ROUND((300000/(1-'Prices&amp;Fuel'!F9))-AF9-AG9-AH9,0)</f>
        <v>172751</v>
      </c>
      <c r="AM9" s="1">
        <f>ROUND((((93404/(1-'Prices&amp;Fuel'!F9))+(25000/(1-'Prices&amp;Fuel'!G9)))-80000)/2,0)-AI9/2</f>
        <v>5797.8508997429308</v>
      </c>
      <c r="AN9" s="1">
        <f>ROUND(((106596/(1-'Prices&amp;Fuel'!F9))-AQ9-AJ9)/2,0)</f>
        <v>10443</v>
      </c>
      <c r="AO9" s="1">
        <f>ROUND((75000/(1-'Prices&amp;Fuel'!G9)-AV9-AK9)/2,0)</f>
        <v>9114</v>
      </c>
      <c r="AP9" s="1">
        <f t="shared" si="6"/>
        <v>80000</v>
      </c>
      <c r="AQ9" s="1">
        <f t="shared" si="16"/>
        <v>5023</v>
      </c>
      <c r="AR9" s="13">
        <f>AM9</f>
        <v>5797.8508997429308</v>
      </c>
      <c r="AS9" s="13">
        <f>AN9</f>
        <v>10443</v>
      </c>
      <c r="AT9" s="13">
        <f t="shared" si="25"/>
        <v>9114.2776349614433</v>
      </c>
      <c r="AU9" s="13">
        <f>AL9*AX9*'Prices&amp;Fuel'!H9</f>
        <v>267764.05000000005</v>
      </c>
      <c r="AW9" s="20">
        <f t="shared" si="26"/>
        <v>0.14499999999999999</v>
      </c>
      <c r="AX9" s="20">
        <f t="shared" si="24"/>
        <v>0.05</v>
      </c>
      <c r="AY9" s="6">
        <f>('Prices&amp;Fuel'!H9*('Prices&amp;Fuel'!B9+AW9)*'Long Term Deals'!AF9)+('Prices&amp;Fuel'!H9*('Prices&amp;Fuel'!C9+'Long Term Deals'!AW9)*'Long Term Deals'!AG9)+(AH9*('Prices&amp;Fuel'!C9+AW9)*'Prices&amp;Fuel'!H9)+(AW9*AL9*'Prices&amp;Fuel'!H9)</f>
        <v>10683617.8324036</v>
      </c>
      <c r="AZ9" s="6">
        <f>(AP9*'Prices&amp;Fuel'!H9*'Prices&amp;Fuel'!B9)+(AQ9*'Prices&amp;Fuel'!C9*'Prices&amp;Fuel'!H9)+((AM9+AR9)*('Prices&amp;Fuel'!B9+'Long Term Deals'!AX9)*'Prices&amp;Fuel'!H9)+((AN9+AS9)*('Prices&amp;Fuel'!C9+'Long Term Deals'!AX9)*'Prices&amp;Fuel'!H9)+((AO9+AT9)*('Prices&amp;Fuel'!D9+'Long Term Deals'!AX9)*'Prices&amp;Fuel'!H9)+(AV9*'Prices&amp;Fuel'!H9*'Prices&amp;Fuel'!Q9)+AU9</f>
        <v>9609467.2319280207</v>
      </c>
      <c r="BA9" s="6">
        <f t="shared" si="7"/>
        <v>1074150.6004755795</v>
      </c>
      <c r="BB9" s="6"/>
      <c r="BC9" s="6"/>
      <c r="BF9" s="1">
        <f>(700+1000)/(1-'Prices&amp;Fuel'!F9)</f>
        <v>1748.0719794344473</v>
      </c>
      <c r="BH9" s="11">
        <f t="shared" si="18"/>
        <v>2.6503485294117648</v>
      </c>
      <c r="BK9" s="3">
        <f t="shared" si="19"/>
        <v>2.54</v>
      </c>
      <c r="BL9" s="14">
        <f>(BB9+BC9+BD9+BE9+BF9+BG9)*BH9*'Prices&amp;Fuel'!H9</f>
        <v>143623</v>
      </c>
      <c r="BM9" s="14"/>
      <c r="BN9" s="14"/>
      <c r="BP9" s="1">
        <f>BK9*BF9*'Prices&amp;Fuel'!H9</f>
        <v>137643.18766066837</v>
      </c>
      <c r="BQ9" s="6">
        <f t="shared" si="8"/>
        <v>5979.8123393316346</v>
      </c>
      <c r="BR9" s="1">
        <v>1000</v>
      </c>
      <c r="BS9" s="1">
        <v>5000</v>
      </c>
      <c r="BT9" s="11">
        <f>IF('Prices&amp;Fuel'!$E9&lt;1.89,1.89,'Prices&amp;Fuel'!$E9)</f>
        <v>2.2269999999999999</v>
      </c>
      <c r="BU9" s="11">
        <f>IF('Prices&amp;Fuel'!$E9&lt;1.99,1.99,'Prices&amp;Fuel'!$E9)</f>
        <v>2.2269999999999999</v>
      </c>
      <c r="BV9" s="28">
        <f t="shared" si="9"/>
        <v>2.2269999999999999</v>
      </c>
      <c r="BW9" s="28">
        <f t="shared" si="9"/>
        <v>2.2269999999999999</v>
      </c>
      <c r="BX9" s="1">
        <f>(BR9*BT9+BS9*BU9)*'Prices&amp;Fuel'!H9</f>
        <v>414222</v>
      </c>
      <c r="BY9" s="1">
        <f>($BR9*BV9+$BS9*BW9)*'Prices&amp;Fuel'!H9</f>
        <v>414222</v>
      </c>
      <c r="BZ9" s="6">
        <f t="shared" si="10"/>
        <v>0</v>
      </c>
      <c r="CA9" s="6">
        <f>(AF9+AG9+AH9+AL9)*0.005*'Prices&amp;Fuel'!H9</f>
        <v>47814.965411311059</v>
      </c>
      <c r="CB9" s="6">
        <f>(B9+C9+D9+O9+P9+Q9+X9+Y9+((BB9+BC9+BD9+BE9+BF9+BG9))+BR9+BS9)*0.005*'Prices&amp;Fuel'!H9</f>
        <v>7756.2111568123391</v>
      </c>
      <c r="CC9" s="1">
        <f t="shared" si="20"/>
        <v>14101255.302403599</v>
      </c>
      <c r="CD9" s="1">
        <f t="shared" si="21"/>
        <v>13060948.686156811</v>
      </c>
      <c r="CE9" s="1">
        <f t="shared" si="22"/>
        <v>1040306.6162467878</v>
      </c>
      <c r="CF9" s="1">
        <f>'Index Price Deals'!AR9</f>
        <v>450938.29545089975</v>
      </c>
      <c r="CG9" s="1">
        <f>'Index Price Deals'!AS9</f>
        <v>850.6</v>
      </c>
      <c r="CH9" s="1">
        <f>'Index Price Deals'!AT9</f>
        <v>440417.89932353236</v>
      </c>
      <c r="CI9" s="1">
        <f>'Index Price Deals'!AU9</f>
        <v>10520.396127367392</v>
      </c>
      <c r="CJ9" s="1">
        <f t="shared" si="11"/>
        <v>14552193.597854499</v>
      </c>
      <c r="CK9" s="1">
        <f t="shared" si="12"/>
        <v>13501366.585480344</v>
      </c>
      <c r="CL9" s="1">
        <f t="shared" si="12"/>
        <v>1050827.0123741552</v>
      </c>
      <c r="CM9" s="30"/>
      <c r="CN9" s="1">
        <f>Transport!U9</f>
        <v>1094099.8896606686</v>
      </c>
      <c r="CQ9" s="1">
        <f>((($B9+$C9+$D9+$O9+$P9+$Q9)*0.5)+BR9+BS9)*(0.005*'Prices&amp;Fuel'!$H9)+'Index Price Deals'!AV9</f>
        <v>4228.6050000000005</v>
      </c>
      <c r="CR9" s="1">
        <f>((($B9+$C9+$D9+$O9+$P9+$Q9)*0.5)+X9+Y9+BF9)*(0.005*'Prices&amp;Fuel'!$H9)+CA9+'Index Price Deals'!AW9</f>
        <v>52193.171568123398</v>
      </c>
      <c r="CS9" s="1">
        <v>64880.382367095102</v>
      </c>
      <c r="CT9" s="1">
        <f>[3]Sheet1!$O18</f>
        <v>494844.37988353183</v>
      </c>
      <c r="CU9" s="1">
        <f>'[4]Long Term Deals'!$Z8</f>
        <v>131218.67638925213</v>
      </c>
      <c r="CV9" s="60">
        <f t="shared" si="23"/>
        <v>-342018.19841369794</v>
      </c>
      <c r="CW9" s="13">
        <f>((B9+C9+D9+O9+P9+Q9+X9+Y9+AF9+AG9+AH9+BB9+BC9+BD9+BE9+BF9+BG9+BR9+BS9)+('Index Price Deals'!B9+'Index Price Deals'!C9+'Index Price Deals'!D9+'Index Price Deals'!L9+'Index Price Deals'!M9+'Index Price Deals'!N9+'Index Price Deals'!AD9+'Index Price Deals'!AE9+'Index Price Deals'!AF9+'Index Price Deals'!AK9+'Index Price Deals'!AL9+'Index Price Deals'!AM9))*'Prices&amp;Fuel'!H9</f>
        <v>5929074.3136246782</v>
      </c>
      <c r="DA9" s="3">
        <f>(B9+C9+D9)*'Prices&amp;Fuel'!H9</f>
        <v>315952</v>
      </c>
    </row>
    <row r="10" spans="1:109" hidden="1" x14ac:dyDescent="0.25">
      <c r="A10" s="10">
        <f t="shared" si="13"/>
        <v>35901.083333333321</v>
      </c>
      <c r="B10" s="1">
        <v>4921</v>
      </c>
      <c r="C10" s="1">
        <v>4419</v>
      </c>
      <c r="D10" s="1">
        <v>852</v>
      </c>
      <c r="E10" s="11">
        <f>IF(1.766*1.03*1.03*1.03&gt;'Prices&amp;Fuel'!B10+0.01,1.766*1.03*1.03*1.03,'Prices&amp;Fuel'!B10+0.01)</f>
        <v>2.2599999999999998</v>
      </c>
      <c r="F10" s="11">
        <f>IF(1.83*1.03*1.03*1.03&gt;'Prices&amp;Fuel'!C10+0.01,1.83*1.03*1.03*1.03,'Prices&amp;Fuel'!C10+0.01)</f>
        <v>2.2999999999999998</v>
      </c>
      <c r="G10" s="11">
        <f>IF(1.859*1.03*1.03*1.03&gt;'Prices&amp;Fuel'!D10+0.01,1.859*1.03*1.03*1.03,'Prices&amp;Fuel'!D10+0.01)</f>
        <v>2.2799999999999998</v>
      </c>
      <c r="H10" s="11">
        <f t="shared" si="0"/>
        <v>2.25</v>
      </c>
      <c r="I10" s="11">
        <f t="shared" si="0"/>
        <v>2.29</v>
      </c>
      <c r="J10" s="11">
        <f t="shared" si="0"/>
        <v>2.27</v>
      </c>
      <c r="K10" s="1">
        <f>((B10*E10)+(C10*F10)+(D10*G10))*'Prices&amp;Fuel'!H10</f>
        <v>696831.6</v>
      </c>
      <c r="L10" s="1">
        <f>(($B10*H10)+($C10*I10)+($D10*J10))*'Prices&amp;Fuel'!$H10</f>
        <v>693774.00000000012</v>
      </c>
      <c r="M10" s="13">
        <f t="shared" si="1"/>
        <v>3057.5999999998603</v>
      </c>
      <c r="O10" s="1">
        <v>9036</v>
      </c>
      <c r="P10" s="1">
        <v>10794</v>
      </c>
      <c r="Q10" s="1">
        <v>5270</v>
      </c>
      <c r="R10" s="11">
        <f t="shared" si="14"/>
        <v>2.1585000000000001</v>
      </c>
      <c r="S10" s="11">
        <f t="shared" si="14"/>
        <v>2.1478999999999999</v>
      </c>
      <c r="T10" s="1">
        <f>(($O10*R10)+($P10*R10)+($Q10*R10))*'Prices&amp;Fuel'!$H10</f>
        <v>1625350.5000000002</v>
      </c>
      <c r="U10" s="1">
        <f>(($O10*S10)+($P10*S10)+($Q10*S10))*'Prices&amp;Fuel'!$H10</f>
        <v>1617368.7</v>
      </c>
      <c r="V10" s="13">
        <f t="shared" si="2"/>
        <v>7981.8000000002794</v>
      </c>
      <c r="X10" s="1">
        <f t="shared" si="3"/>
        <v>3500</v>
      </c>
      <c r="Y10" s="1">
        <f t="shared" si="4"/>
        <v>3500</v>
      </c>
      <c r="Z10" s="12">
        <v>2.2000000000000002</v>
      </c>
      <c r="AA10" s="12">
        <v>2.1800000000000002</v>
      </c>
      <c r="AB10" s="1">
        <f>($X10+$Y10)*Z10*'Prices&amp;Fuel'!$H10</f>
        <v>462000.00000000006</v>
      </c>
      <c r="AC10" s="1">
        <f>($X10+$Y10)*AA10*'Prices&amp;Fuel'!$H10</f>
        <v>457800.00000000006</v>
      </c>
      <c r="AD10" s="13">
        <f t="shared" si="5"/>
        <v>4200</v>
      </c>
      <c r="AF10" s="1">
        <f>(102383/(1-'Prices&amp;Fuel'!F10))+(25000/(1-'Prices&amp;Fuel'!G10))-AI10</f>
        <v>131948.41516469856</v>
      </c>
      <c r="AG10" s="1">
        <f>(97617/(1-'Prices&amp;Fuel'!F10))-AJ10</f>
        <v>101115.59975139837</v>
      </c>
      <c r="AH10" s="1">
        <f>(75000/(1-'Prices&amp;Fuel'!G10))-AK10</f>
        <v>77688.004972032315</v>
      </c>
      <c r="AI10" s="1">
        <v>0</v>
      </c>
      <c r="AJ10" s="1">
        <v>0</v>
      </c>
      <c r="AK10" s="1">
        <v>0</v>
      </c>
      <c r="AL10" s="21">
        <f>ROUND((300000/(1-'Prices&amp;Fuel'!F10))-AF10-AG10-AH10,0)</f>
        <v>0</v>
      </c>
      <c r="AM10" s="1">
        <f>ROUND(((((99813+2570)/(1-'Prices&amp;Fuel'!F10))+(25000/(1-'Prices&amp;Fuel'!G10)))-80000)/2,0)-AI10/2</f>
        <v>25974</v>
      </c>
      <c r="AN10" s="1">
        <f>ROUND(((97617/(1-'Prices&amp;Fuel'!F10))-AQ10-AJ10)/2,0)</f>
        <v>48046</v>
      </c>
      <c r="AO10" s="1">
        <f>ROUND((75000/(1-'Prices&amp;Fuel'!G10)-AV10-AK10)/2,0)</f>
        <v>38844</v>
      </c>
      <c r="AP10" s="1">
        <f t="shared" si="6"/>
        <v>80000</v>
      </c>
      <c r="AQ10" s="1">
        <f t="shared" si="16"/>
        <v>5023</v>
      </c>
      <c r="AR10" s="13">
        <f>AM10</f>
        <v>25974</v>
      </c>
      <c r="AS10" s="13">
        <f>AN10</f>
        <v>48046</v>
      </c>
      <c r="AT10" s="13">
        <f t="shared" si="25"/>
        <v>38844.004972032315</v>
      </c>
      <c r="AU10" s="13">
        <f>AL10*AX10*'Prices&amp;Fuel'!H10</f>
        <v>0</v>
      </c>
      <c r="AW10" s="20">
        <f t="shared" si="26"/>
        <v>0.14499999999999999</v>
      </c>
      <c r="AX10" s="20">
        <f t="shared" si="24"/>
        <v>0.05</v>
      </c>
      <c r="AY10" s="6">
        <f>('Prices&amp;Fuel'!H10*('Prices&amp;Fuel'!B10+AW10)*'Long Term Deals'!AF10)+('Prices&amp;Fuel'!H10*('Prices&amp;Fuel'!C10+'Long Term Deals'!AW10)*'Long Term Deals'!AG10)+(AH10*('Prices&amp;Fuel'!C10+AW10)*'Prices&amp;Fuel'!H10)+(AW10*AL10*'Prices&amp;Fuel'!H10)</f>
        <v>22542096.954630204</v>
      </c>
      <c r="AZ10" s="6">
        <f>(AP10*'Prices&amp;Fuel'!H10*'Prices&amp;Fuel'!B10)+(AQ10*'Prices&amp;Fuel'!C10*'Prices&amp;Fuel'!H10)+((AM10+AR10)*('Prices&amp;Fuel'!B10+'Long Term Deals'!AX10)*'Prices&amp;Fuel'!H10)+((AN10+AS10)*('Prices&amp;Fuel'!C10+'Long Term Deals'!AX10)*'Prices&amp;Fuel'!H10)+((AO10+AT10)*('Prices&amp;Fuel'!D10+'Long Term Deals'!AX10)*'Prices&amp;Fuel'!H10)+(AV10*'Prices&amp;Fuel'!H10*'Prices&amp;Fuel'!Q10)+AU10</f>
        <v>21482235.646053448</v>
      </c>
      <c r="BA10" s="6">
        <f t="shared" si="7"/>
        <v>1059861.3085767552</v>
      </c>
      <c r="BB10" s="6"/>
      <c r="BC10" s="6"/>
      <c r="BF10" s="1">
        <f>(700+1000)/(1-'Prices&amp;Fuel'!F10)</f>
        <v>1760.9281126993992</v>
      </c>
      <c r="BH10" s="11">
        <f t="shared" si="18"/>
        <v>2.6309989411764705</v>
      </c>
      <c r="BK10" s="3">
        <f t="shared" si="19"/>
        <v>2.54</v>
      </c>
      <c r="BL10" s="14">
        <f>(BB10+BC10+BD10+BE10+BF10+BG10)*BH10*'Prices&amp;Fuel'!H10</f>
        <v>138990</v>
      </c>
      <c r="BM10" s="14"/>
      <c r="BN10" s="14"/>
      <c r="BP10" s="1">
        <f>BK10*BF10*'Prices&amp;Fuel'!H10</f>
        <v>134182.72218769422</v>
      </c>
      <c r="BQ10" s="6">
        <f t="shared" si="8"/>
        <v>4807.2778123057797</v>
      </c>
      <c r="BR10" s="1">
        <v>1000</v>
      </c>
      <c r="BT10" s="11">
        <f>IF('Prices&amp;Fuel'!$E10&lt;1.89,1.89,'Prices&amp;Fuel'!$E10)</f>
        <v>2.3342999999999998</v>
      </c>
      <c r="BU10" s="11"/>
      <c r="BV10" s="28">
        <f t="shared" ref="BV10:BV36" si="27">BT10</f>
        <v>2.3342999999999998</v>
      </c>
      <c r="BW10" s="28"/>
      <c r="BX10" s="1">
        <f>(BR10*BT10+BS10*BU10)*'Prices&amp;Fuel'!H10</f>
        <v>70028.999999999985</v>
      </c>
      <c r="BY10" s="1">
        <f>($BR10*BV10+$BS10*BW10)*'Prices&amp;Fuel'!H10</f>
        <v>70028.999999999985</v>
      </c>
      <c r="BZ10" s="6">
        <f t="shared" si="10"/>
        <v>0</v>
      </c>
      <c r="CA10" s="6">
        <f>(AF10+AG10+AH10+AL10)*0.005*'Prices&amp;Fuel'!H10</f>
        <v>46612.802983219393</v>
      </c>
      <c r="CB10" s="6">
        <f>(B10+C10+D10+O10+P10+Q10+X10+Y10+((BB10+BC10+BD10+BE10+BF10+BG10))+BR10+BS10)*0.005*'Prices&amp;Fuel'!H10</f>
        <v>6757.9392169049106</v>
      </c>
      <c r="CC10" s="1">
        <f t="shared" si="20"/>
        <v>25535298.054630205</v>
      </c>
      <c r="CD10" s="1">
        <f t="shared" si="21"/>
        <v>24508760.810441267</v>
      </c>
      <c r="CE10" s="1">
        <f t="shared" si="22"/>
        <v>1026537.2441889383</v>
      </c>
      <c r="CF10" s="1">
        <f>'Index Price Deals'!AR10</f>
        <v>557263.4296500932</v>
      </c>
      <c r="CG10" s="1">
        <f>'Index Price Deals'!AS10</f>
        <v>1004.9499999999998</v>
      </c>
      <c r="CH10" s="1">
        <f>'Index Price Deals'!AT10</f>
        <v>543203.52872569952</v>
      </c>
      <c r="CI10" s="1">
        <f>'Index Price Deals'!AU10</f>
        <v>14059.900924393674</v>
      </c>
      <c r="CJ10" s="1">
        <f t="shared" si="11"/>
        <v>26092561.484280299</v>
      </c>
      <c r="CK10" s="1">
        <f t="shared" si="12"/>
        <v>25051964.339166965</v>
      </c>
      <c r="CL10" s="1">
        <f t="shared" si="12"/>
        <v>1040597.145113332</v>
      </c>
      <c r="CM10" s="30"/>
      <c r="CN10" s="1">
        <f>Transport!U10</f>
        <v>1039102.6981876942</v>
      </c>
      <c r="CO10" s="57">
        <f>SUM([2]Sheet1!$AL$12:$AL$51)</f>
        <v>11090229.409451433</v>
      </c>
      <c r="CQ10" s="1">
        <f>((($B10+$C10+$D10+$O10+$P10+$Q10)*0.5)+BR10+BS10)*(0.005*'Prices&amp;Fuel'!$H10)+'Index Price Deals'!AV10</f>
        <v>3552.85</v>
      </c>
      <c r="CR10" s="1">
        <f>((($B10+$C10+$D10+$O10+$P10+$Q10)*0.5)+X10+Y10+BF10)*(0.005*'Prices&amp;Fuel'!$H10)+CA10+'Index Price Deals'!AW10</f>
        <v>50822.842200124302</v>
      </c>
      <c r="CS10" s="1">
        <v>115163.353731282</v>
      </c>
      <c r="CT10" s="1">
        <f>[3]Sheet1!$O19</f>
        <v>478881.65795180493</v>
      </c>
      <c r="CU10" s="1">
        <f>'[4]Long Term Deals'!$Z9</f>
        <v>126985.81586056657</v>
      </c>
      <c r="CV10" s="60">
        <f t="shared" si="23"/>
        <v>10854991.368017115</v>
      </c>
      <c r="CW10" s="13">
        <f>((B10+C10+D10+O10+P10+Q10+X10+Y10+AF10+AG10+AH10+BB10+BC10+BD10+BE10+BF10+BG10+BR10+BS10)+('Index Price Deals'!B10+'Index Price Deals'!C10+'Index Price Deals'!D10+'Index Price Deals'!L10+'Index Price Deals'!M10+'Index Price Deals'!N10+'Index Price Deals'!AD10+'Index Price Deals'!AE10+'Index Price Deals'!AF10+'Index Price Deals'!AK10+'Index Price Deals'!AL10+'Index Price Deals'!AM10))*'Prices&amp;Fuel'!H10</f>
        <v>10875138.44002486</v>
      </c>
      <c r="DA10" s="3">
        <f>(B10+C10+D10)*'Prices&amp;Fuel'!H10</f>
        <v>305760</v>
      </c>
    </row>
    <row r="11" spans="1:109" hidden="1" x14ac:dyDescent="0.25">
      <c r="A11" s="10">
        <f t="shared" si="13"/>
        <v>35931.499999999985</v>
      </c>
      <c r="B11" s="1">
        <v>7255</v>
      </c>
      <c r="C11" s="1">
        <v>9300</v>
      </c>
      <c r="D11" s="1">
        <v>3478</v>
      </c>
      <c r="E11" s="11">
        <f>IF(1.766*1.03*1.03*1.03*1.03&gt;'Prices&amp;Fuel'!B11,1.766*1.03*1.03*1.03*1.03,'Prices&amp;Fuel'!B11)</f>
        <v>2.2000000000000002</v>
      </c>
      <c r="F11" s="11">
        <f>IF(1.83*1.03*1.03*1.03*1.03&gt;'Prices&amp;Fuel'!C11,1.83*1.03*1.03*1.03*1.03,'Prices&amp;Fuel'!C11)</f>
        <v>2.25</v>
      </c>
      <c r="G11" s="11">
        <f>IF(1.859*1.03*1.03*1.03*1.03&gt;'Prices&amp;Fuel'!D11,1.859*1.03*1.03*1.03*1.03,'Prices&amp;Fuel'!D11)</f>
        <v>2.2200000000000002</v>
      </c>
      <c r="H11" s="11">
        <f t="shared" si="0"/>
        <v>2.1900000000000004</v>
      </c>
      <c r="I11" s="11">
        <f t="shared" si="0"/>
        <v>2.2400000000000002</v>
      </c>
      <c r="J11" s="11">
        <f t="shared" si="0"/>
        <v>2.2100000000000004</v>
      </c>
      <c r="K11" s="1">
        <f>((B11*E11)+(C11*F11)+(D11*G11))*'Prices&amp;Fuel'!H11</f>
        <v>1382821.9600000002</v>
      </c>
      <c r="L11" s="1">
        <f>(($B11*H11)+($C11*I11)+($D11*J11))*'Prices&amp;Fuel'!$H11</f>
        <v>1376611.73</v>
      </c>
      <c r="M11" s="13">
        <f t="shared" si="1"/>
        <v>6210.2300000002142</v>
      </c>
      <c r="O11" s="1">
        <v>9036</v>
      </c>
      <c r="P11" s="1">
        <v>10794</v>
      </c>
      <c r="Q11" s="1">
        <v>5270</v>
      </c>
      <c r="R11" s="11">
        <f t="shared" si="14"/>
        <v>2.1585000000000001</v>
      </c>
      <c r="S11" s="11">
        <f t="shared" si="14"/>
        <v>2.1478999999999999</v>
      </c>
      <c r="T11" s="1">
        <f>(($O11*R11)+($P11*R11)+($Q11*R11))*'Prices&amp;Fuel'!$H11</f>
        <v>1679528.85</v>
      </c>
      <c r="U11" s="1">
        <f>(($O11*S11)+($P11*S11)+($Q11*S11))*'Prices&amp;Fuel'!$H11</f>
        <v>1671280.99</v>
      </c>
      <c r="V11" s="13">
        <f t="shared" si="2"/>
        <v>8247.8600000001024</v>
      </c>
      <c r="X11" s="1">
        <f t="shared" si="3"/>
        <v>3500</v>
      </c>
      <c r="Y11" s="1">
        <f t="shared" si="4"/>
        <v>3500</v>
      </c>
      <c r="Z11" s="12">
        <v>2.2000000000000002</v>
      </c>
      <c r="AA11" s="12">
        <v>2.1800000000000002</v>
      </c>
      <c r="AB11" s="1">
        <f>($X11+$Y11)*Z11*'Prices&amp;Fuel'!$H11</f>
        <v>477400.00000000006</v>
      </c>
      <c r="AC11" s="1">
        <f>($X11+$Y11)*AA11*'Prices&amp;Fuel'!$H11</f>
        <v>473060.00000000006</v>
      </c>
      <c r="AD11" s="13">
        <f t="shared" si="5"/>
        <v>4340</v>
      </c>
      <c r="AF11" s="1">
        <f>(155295/(1-'Prices&amp;Fuel'!F11))+(25000/(1-'Prices&amp;Fuel'!G11))-AI11</f>
        <v>125885.51772464963</v>
      </c>
      <c r="AG11" s="1">
        <f>(174705/(1-'Prices&amp;Fuel'!F11))-AJ11</f>
        <v>74496.006595218467</v>
      </c>
      <c r="AH11" s="1">
        <f>(75000/(1-'Prices&amp;Fuel'!G11))-AK11</f>
        <v>32112.716405605926</v>
      </c>
      <c r="AI11" s="1">
        <v>59909</v>
      </c>
      <c r="AJ11" s="1">
        <v>105538</v>
      </c>
      <c r="AK11" s="1">
        <v>45175</v>
      </c>
      <c r="AL11" s="21">
        <f>ROUND((430000/(1-'Prices&amp;Fuel'!F11))-AF11-AG11-AH11,0)</f>
        <v>210622</v>
      </c>
      <c r="AM11" s="1">
        <f>(ROUND(((((29727+13743+1000+5000+4854+100971)/(1-'Prices&amp;Fuel'!$F11))+(25000/(1-'Prices&amp;Fuel'!$G11)))-80000),0)-57592-37849)/2+57592-AI11/2</f>
        <v>32814.5</v>
      </c>
      <c r="AN11" s="1">
        <f>ROUND(((174705/(1-'Prices&amp;Fuel'!F11))-AQ11-AJ11)/2,0)</f>
        <v>34737</v>
      </c>
      <c r="AO11" s="1">
        <f>((ROUND((75000/(1-'Prices&amp;Fuel'!G11)-AV11),0)-27628-47372-AK11)/2)+27628</f>
        <v>6184.5</v>
      </c>
      <c r="AP11" s="1">
        <f t="shared" si="6"/>
        <v>80000</v>
      </c>
      <c r="AQ11" s="1">
        <f t="shared" si="16"/>
        <v>5023</v>
      </c>
      <c r="AR11" s="1">
        <f>(ROUND(((((29727+13743+1000+5000+4854+100971)/(1-'Prices&amp;Fuel'!$F11))+(25000/(1-'Prices&amp;Fuel'!$G11)))-80000),0)-57592-37849-AI11)/2+37849</f>
        <v>13071.5</v>
      </c>
      <c r="AS11" s="1">
        <f t="shared" ref="AS11:AS24" si="28">AN11</f>
        <v>34737</v>
      </c>
      <c r="AT11" s="13">
        <f t="shared" si="25"/>
        <v>25928.216405605926</v>
      </c>
      <c r="AU11" s="13">
        <f>AL11*AX11*'Prices&amp;Fuel'!H11</f>
        <v>326464.10000000003</v>
      </c>
      <c r="AW11" s="20">
        <f t="shared" si="26"/>
        <v>0.14499999999999999</v>
      </c>
      <c r="AX11" s="20">
        <f t="shared" si="24"/>
        <v>0.05</v>
      </c>
      <c r="AY11" s="6">
        <f>('Prices&amp;Fuel'!H11*('Prices&amp;Fuel'!B11+AW11)*'Long Term Deals'!AF11)+('Prices&amp;Fuel'!H11*('Prices&amp;Fuel'!C11+'Long Term Deals'!AW11)*'Long Term Deals'!AG11)+(AH11*('Prices&amp;Fuel'!C11+AW11)*'Prices&amp;Fuel'!H11)+(AW11*AL11*'Prices&amp;Fuel'!H11)</f>
        <v>18013158.240189612</v>
      </c>
      <c r="AZ11" s="6">
        <f>(AP11*'Prices&amp;Fuel'!H11*'Prices&amp;Fuel'!B11)+(AQ11*'Prices&amp;Fuel'!C11*'Prices&amp;Fuel'!H11)+((AM11+AR11)*('Prices&amp;Fuel'!B11+'Long Term Deals'!AX11)*'Prices&amp;Fuel'!H11)+((AN11+AS11)*('Prices&amp;Fuel'!C11+'Long Term Deals'!AX11)*'Prices&amp;Fuel'!H11)+((AO11+AT11)*('Prices&amp;Fuel'!D11+'Long Term Deals'!AX11)*'Prices&amp;Fuel'!H11)+(AV11*'Prices&amp;Fuel'!H11*'Prices&amp;Fuel'!Q11)+AU11</f>
        <v>16546634.903462488</v>
      </c>
      <c r="BA11" s="6">
        <f t="shared" si="7"/>
        <v>1466523.3367271237</v>
      </c>
      <c r="BB11" s="6"/>
      <c r="BC11" s="6"/>
      <c r="BF11" s="1">
        <f>(700+1000)/(1-'Prices&amp;Fuel'!F11)</f>
        <v>1751.8549051937346</v>
      </c>
      <c r="BH11" s="11">
        <f t="shared" si="18"/>
        <v>2.6446254117647059</v>
      </c>
      <c r="BK11" s="3">
        <f t="shared" si="19"/>
        <v>2.54</v>
      </c>
      <c r="BL11" s="14">
        <f>(BB11+BC11+BD11+BE11+BF11+BG11)*BH11*'Prices&amp;Fuel'!H11</f>
        <v>143623</v>
      </c>
      <c r="BM11" s="14"/>
      <c r="BN11" s="14"/>
      <c r="BP11" s="1">
        <f>BK11*BF11*'Prices&amp;Fuel'!H11</f>
        <v>137941.05523495466</v>
      </c>
      <c r="BQ11" s="6">
        <f t="shared" si="8"/>
        <v>5681.9447650453367</v>
      </c>
      <c r="BR11" s="1">
        <v>1000</v>
      </c>
      <c r="BT11" s="11">
        <f>IF('Prices&amp;Fuel'!$E11&lt;1.89,1.89,'Prices&amp;Fuel'!$E11)</f>
        <v>2.2906666666666702</v>
      </c>
      <c r="BU11" s="11"/>
      <c r="BV11" s="28">
        <f t="shared" si="27"/>
        <v>2.2906666666666702</v>
      </c>
      <c r="BW11" s="28"/>
      <c r="BX11" s="1">
        <f>(BR11*BT11+BS11*BU11)*'Prices&amp;Fuel'!H11</f>
        <v>71010.666666666773</v>
      </c>
      <c r="BY11" s="1">
        <f>($BR11*BV11+$BS11*BW11)*'Prices&amp;Fuel'!H11</f>
        <v>71010.666666666773</v>
      </c>
      <c r="BZ11" s="6">
        <f t="shared" si="10"/>
        <v>0</v>
      </c>
      <c r="CA11" s="6">
        <f>(AF11+AG11+AH11+AL11)*0.005*'Prices&amp;Fuel'!H11</f>
        <v>68683.017312448472</v>
      </c>
      <c r="CB11" s="6">
        <f>(B11+C11+D11+O11+P11+Q11+X11+Y11+((BB11+BC11+BD11+BE11+BF11+BG11))+BR11+BS11)*0.005*'Prices&amp;Fuel'!H11</f>
        <v>8507.1525103050299</v>
      </c>
      <c r="CC11" s="1">
        <f t="shared" si="20"/>
        <v>21767542.716856282</v>
      </c>
      <c r="CD11" s="1">
        <f t="shared" si="21"/>
        <v>20353729.515186861</v>
      </c>
      <c r="CE11" s="1">
        <f t="shared" si="22"/>
        <v>1413813.201669421</v>
      </c>
      <c r="CF11" s="1">
        <f>'Index Price Deals'!AR11</f>
        <v>498109.95476735366</v>
      </c>
      <c r="CG11" s="1">
        <f>'Index Price Deals'!AS11</f>
        <v>898.08033333333321</v>
      </c>
      <c r="CH11" s="1">
        <f>'Index Price Deals'!AT11</f>
        <v>484846.60996289575</v>
      </c>
      <c r="CI11" s="1">
        <f>'Index Price Deals'!AU11</f>
        <v>13263.344804457913</v>
      </c>
      <c r="CJ11" s="1">
        <f t="shared" si="11"/>
        <v>22265652.671623636</v>
      </c>
      <c r="CK11" s="1">
        <f t="shared" si="12"/>
        <v>20838576.125149757</v>
      </c>
      <c r="CL11" s="1">
        <f t="shared" si="12"/>
        <v>1427076.5464738789</v>
      </c>
      <c r="CM11" s="30"/>
      <c r="CN11" s="1">
        <f>Transport!U11</f>
        <v>1199458.5304349547</v>
      </c>
      <c r="CO11" s="57">
        <f>[2]Sheet1!$AL52</f>
        <v>810446.8275325892</v>
      </c>
      <c r="CQ11" s="1">
        <f>((($B11+$C11+$D11+$O11+$P11+$Q11)*0.5)+BR11+BS11)*(0.005*'Prices&amp;Fuel'!$H11)+'Index Price Deals'!AV11</f>
        <v>4396.2908333333335</v>
      </c>
      <c r="CR11" s="1">
        <f>((($B11+$C11+$D11+$O11+$P11+$Q11)*0.5)+X11+Y11+BF11)*(0.005*'Prices&amp;Fuel'!$H11)+CA11+'Index Price Deals'!AW11</f>
        <v>73691.959322753493</v>
      </c>
      <c r="CS11" s="1">
        <v>114741.45779678501</v>
      </c>
      <c r="CT11" s="1">
        <f>[3]Sheet1!$O20</f>
        <v>709276.94449972897</v>
      </c>
      <c r="CU11" s="1">
        <f>'[4]Long Term Deals'!$Z10</f>
        <v>245187.21782459883</v>
      </c>
      <c r="CV11" s="60">
        <f t="shared" si="23"/>
        <v>688716.57469316828</v>
      </c>
      <c r="CW11" s="13">
        <f>((B11+C11+D11+O11+P11+Q11+X11+Y11+AF11+AG11+AH11+BB11+BC11+BD11+BE11+BF11+BG11+BR11+BS11)+('Index Price Deals'!B11+'Index Price Deals'!C11+'Index Price Deals'!D11+'Index Price Deals'!L11+'Index Price Deals'!M11+'Index Price Deals'!N11+'Index Price Deals'!AD11+'Index Price Deals'!AE11+'Index Price Deals'!AF11+'Index Price Deals'!AK11+'Index Price Deals'!AL11+'Index Price Deals'!AM11))*'Prices&amp;Fuel'!H11</f>
        <v>9088368.0312173665</v>
      </c>
      <c r="DA11" s="3">
        <f>(B11+C11+D11)*'Prices&amp;Fuel'!H11</f>
        <v>621023</v>
      </c>
    </row>
    <row r="12" spans="1:109" hidden="1" x14ac:dyDescent="0.25">
      <c r="A12" s="10">
        <f t="shared" si="13"/>
        <v>35961.91666666665</v>
      </c>
      <c r="B12" s="1">
        <v>7255</v>
      </c>
      <c r="C12" s="1">
        <v>9300</v>
      </c>
      <c r="D12" s="1">
        <v>3478</v>
      </c>
      <c r="E12" s="11">
        <f>IF(1.766*1.03*1.03*1.03*1.03&gt;'Prices&amp;Fuel'!B12,1.766*1.03*1.03*1.03*1.03,'Prices&amp;Fuel'!B12)</f>
        <v>1.9876485584600003</v>
      </c>
      <c r="F12" s="11">
        <f>IF(1.83*1.03*1.03*1.03*1.03&gt;'Prices&amp;Fuel'!C12,1.83*1.03*1.03*1.03*1.03,'Prices&amp;Fuel'!C12)</f>
        <v>2.0596811223000002</v>
      </c>
      <c r="G12" s="11">
        <f>IF(1.859*1.03*1.03*1.03*1.03&gt;'Prices&amp;Fuel'!D12,1.859*1.03*1.03*1.03*1.03,'Prices&amp;Fuel'!D12)</f>
        <v>2.0923208777900002</v>
      </c>
      <c r="H12" s="11">
        <f t="shared" si="0"/>
        <v>1.9776485584600003</v>
      </c>
      <c r="I12" s="11">
        <f t="shared" si="0"/>
        <v>2.0496811223000004</v>
      </c>
      <c r="J12" s="11">
        <f t="shared" si="0"/>
        <v>2.0823208777900004</v>
      </c>
      <c r="K12" s="1">
        <f>((B12*E12)+(C12*F12)+(D12*G12))*'Prices&amp;Fuel'!H12</f>
        <v>1225575.5022591276</v>
      </c>
      <c r="L12" s="1">
        <f>(($B12*H12)+($C12*I12)+($D12*J12))*'Prices&amp;Fuel'!$H12</f>
        <v>1219565.6022591279</v>
      </c>
      <c r="M12" s="13">
        <f t="shared" si="1"/>
        <v>6009.899999999674</v>
      </c>
      <c r="O12" s="1">
        <v>9036</v>
      </c>
      <c r="P12" s="1">
        <v>10794</v>
      </c>
      <c r="Q12" s="1">
        <v>5270</v>
      </c>
      <c r="R12" s="11">
        <f t="shared" si="14"/>
        <v>2.1585000000000001</v>
      </c>
      <c r="S12" s="11">
        <f t="shared" si="14"/>
        <v>2.1478999999999999</v>
      </c>
      <c r="T12" s="1">
        <f>(($O12*R12)+($P12*R12)+($Q12*R12))*'Prices&amp;Fuel'!$H12</f>
        <v>1625350.5000000002</v>
      </c>
      <c r="U12" s="1">
        <f>(($O12*S12)+($P12*S12)+($Q12*S12))*'Prices&amp;Fuel'!$H12</f>
        <v>1617368.7</v>
      </c>
      <c r="V12" s="13">
        <f t="shared" si="2"/>
        <v>7981.8000000002794</v>
      </c>
      <c r="X12" s="1">
        <f t="shared" si="3"/>
        <v>3500</v>
      </c>
      <c r="Y12" s="1">
        <f t="shared" si="4"/>
        <v>3500</v>
      </c>
      <c r="Z12" s="12">
        <v>2.2000000000000002</v>
      </c>
      <c r="AA12" s="12">
        <v>2.1800000000000002</v>
      </c>
      <c r="AB12" s="1">
        <f>($X12+$Y12)*Z12*'Prices&amp;Fuel'!$H12</f>
        <v>462000.00000000006</v>
      </c>
      <c r="AC12" s="1">
        <f>($X12+$Y12)*AA12*'Prices&amp;Fuel'!$H12</f>
        <v>457800.00000000006</v>
      </c>
      <c r="AD12" s="13">
        <f t="shared" si="5"/>
        <v>4200</v>
      </c>
      <c r="AF12" s="1">
        <f>(155295/(1-'Prices&amp;Fuel'!F12))+(25000/(1-'Prices&amp;Fuel'!G12))-AI12</f>
        <v>125885.51772464963</v>
      </c>
      <c r="AG12" s="1">
        <f>(174705/(1-'Prices&amp;Fuel'!F12))-AJ12</f>
        <v>74496.006595218467</v>
      </c>
      <c r="AH12" s="1">
        <f>(75000/(1-'Prices&amp;Fuel'!G12))-AK12</f>
        <v>32112.716405605926</v>
      </c>
      <c r="AI12" s="1">
        <v>59909</v>
      </c>
      <c r="AJ12" s="1">
        <v>105538</v>
      </c>
      <c r="AK12" s="1">
        <v>45175</v>
      </c>
      <c r="AL12" s="21">
        <f>ROUND((430000/(1-'Prices&amp;Fuel'!F12))-AF12-AG12-AH12,0)</f>
        <v>210622</v>
      </c>
      <c r="AM12" s="1">
        <f>(ROUND(((((29727+13743+1000+5000+4854+100971)/(1-'Prices&amp;Fuel'!$F12))+(25000/(1-'Prices&amp;Fuel'!$G12)))-80000),0)-57592-37849)/2+57592-AI12/2</f>
        <v>32814.5</v>
      </c>
      <c r="AN12" s="1">
        <f>ROUND(((174705/(1-'Prices&amp;Fuel'!F12))-AQ12-AJ12)/2,0)</f>
        <v>34737</v>
      </c>
      <c r="AO12" s="1">
        <f>((ROUND((75000/(1-'Prices&amp;Fuel'!G12)-AV12),0)-27628-47372-AK12)/2)+27628</f>
        <v>6184.5</v>
      </c>
      <c r="AP12" s="1">
        <f t="shared" si="6"/>
        <v>80000</v>
      </c>
      <c r="AQ12" s="1">
        <f t="shared" si="16"/>
        <v>5023</v>
      </c>
      <c r="AR12" s="1">
        <f>(ROUND(((((29727+13743+1000+5000+4854+100971)/(1-'Prices&amp;Fuel'!$F12))+(25000/(1-'Prices&amp;Fuel'!$G12)))-80000),0)-57592-37849-AI12)/2+37849</f>
        <v>13071.5</v>
      </c>
      <c r="AS12" s="1">
        <f t="shared" si="28"/>
        <v>34737</v>
      </c>
      <c r="AT12" s="13">
        <f t="shared" si="25"/>
        <v>25928.216405605926</v>
      </c>
      <c r="AU12" s="13">
        <f>AL12*AX12*'Prices&amp;Fuel'!H12</f>
        <v>315933</v>
      </c>
      <c r="AW12" s="20">
        <f t="shared" si="26"/>
        <v>0.14499999999999999</v>
      </c>
      <c r="AX12" s="20">
        <f t="shared" si="24"/>
        <v>0.05</v>
      </c>
      <c r="AY12" s="6">
        <f>('Prices&amp;Fuel'!H12*('Prices&amp;Fuel'!B12+AW12)*'Long Term Deals'!AF12)+('Prices&amp;Fuel'!H12*('Prices&amp;Fuel'!C12+'Long Term Deals'!AW12)*'Long Term Deals'!AG12)+(AH12*('Prices&amp;Fuel'!C12+AW12)*'Prices&amp;Fuel'!H12)+(AW12*AL12*'Prices&amp;Fuel'!H12)</f>
        <v>15897626.630750205</v>
      </c>
      <c r="AZ12" s="6">
        <f>(AP12*'Prices&amp;Fuel'!H12*'Prices&amp;Fuel'!B12)+(AQ12*'Prices&amp;Fuel'!C12*'Prices&amp;Fuel'!H12)+((AM12+AR12)*('Prices&amp;Fuel'!B12+'Long Term Deals'!AX12)*'Prices&amp;Fuel'!H12)+((AN12+AS12)*('Prices&amp;Fuel'!C12+'Long Term Deals'!AX12)*'Prices&amp;Fuel'!H12)+((AO12+AT12)*('Prices&amp;Fuel'!D12+'Long Term Deals'!AX12)*'Prices&amp;Fuel'!H12)+(AV12*'Prices&amp;Fuel'!H12*'Prices&amp;Fuel'!Q12)+AU12</f>
        <v>14459133.129101399</v>
      </c>
      <c r="BA12" s="6">
        <f t="shared" si="7"/>
        <v>1438493.501648806</v>
      </c>
      <c r="BB12" s="6"/>
      <c r="BC12" s="6"/>
      <c r="BR12" s="1">
        <v>1000</v>
      </c>
      <c r="BT12" s="11">
        <f>IF('Prices&amp;Fuel'!$E12&lt;1.89,1.89,'Prices&amp;Fuel'!$E12)</f>
        <v>2.0686666666666702</v>
      </c>
      <c r="BU12" s="11"/>
      <c r="BV12" s="28">
        <f t="shared" si="27"/>
        <v>2.0686666666666702</v>
      </c>
      <c r="BW12" s="28"/>
      <c r="BX12" s="1">
        <f>(BR12*BT12+BS12*BU12)*'Prices&amp;Fuel'!H12</f>
        <v>62060.000000000102</v>
      </c>
      <c r="BY12" s="1">
        <f>($BR12*BV12+$BS12*BW12)*'Prices&amp;Fuel'!H12</f>
        <v>62060.000000000102</v>
      </c>
      <c r="BZ12" s="6">
        <f t="shared" si="10"/>
        <v>0</v>
      </c>
      <c r="CA12" s="6">
        <f>(AF12+AG12+AH12+AL12)*0.005*'Prices&amp;Fuel'!H12</f>
        <v>66467.436108821101</v>
      </c>
      <c r="CB12" s="6">
        <f>(B12+C12+D12+O12+P12+Q12+X12+Y12+((BB12+BC12+BD12+BE12+BF12+BG12)*(1-'Prices&amp;Fuel'!F12))+BR12+BS12)*0.005*'Prices&amp;Fuel'!H12</f>
        <v>7969.9500000000007</v>
      </c>
      <c r="CC12" s="1">
        <f t="shared" si="20"/>
        <v>19272612.633009333</v>
      </c>
      <c r="CD12" s="1">
        <f t="shared" si="21"/>
        <v>17890364.817469347</v>
      </c>
      <c r="CE12" s="1">
        <f t="shared" si="22"/>
        <v>1382247.8155399859</v>
      </c>
      <c r="CF12" s="1">
        <f>'Index Price Deals'!AR12</f>
        <v>392512.25031162403</v>
      </c>
      <c r="CG12" s="1">
        <f>'Index Price Deals'!AS12</f>
        <v>780.4</v>
      </c>
      <c r="CH12" s="1">
        <f>'Index Price Deals'!AT12</f>
        <v>380933.29116075841</v>
      </c>
      <c r="CI12" s="1">
        <f>'Index Price Deals'!AU12</f>
        <v>11578.959150865616</v>
      </c>
      <c r="CJ12" s="1">
        <f t="shared" si="11"/>
        <v>19665124.883320957</v>
      </c>
      <c r="CK12" s="1">
        <f t="shared" si="12"/>
        <v>18271298.108630106</v>
      </c>
      <c r="CL12" s="1">
        <f t="shared" si="12"/>
        <v>1393826.7746908516</v>
      </c>
      <c r="CM12" s="30"/>
      <c r="CN12" s="1">
        <f>Transport!U12</f>
        <v>1164260.676</v>
      </c>
      <c r="CO12" s="57">
        <f>[2]Sheet1!$AL53</f>
        <v>784303.38148315088</v>
      </c>
      <c r="CQ12" s="1">
        <f>((($B12+$C12+$D12+$O12+$P12+$Q12)*0.5)+BR12+BS12)*(0.005*'Prices&amp;Fuel'!$H12)+'Index Price Deals'!AV12</f>
        <v>4105.9750000000004</v>
      </c>
      <c r="CR12" s="1">
        <f>((($B12+$C12+$D12+$O12+$P12+$Q12)*0.5)+X12+Y12)*(0.005*'Prices&amp;Fuel'!$H12)+CA12+'Index Price Deals'!AW12</f>
        <v>71111.811108821101</v>
      </c>
      <c r="CS12" s="1">
        <v>240357.980064303</v>
      </c>
      <c r="CT12" s="1">
        <f>[3]Sheet1!$O21</f>
        <v>686397.04306425387</v>
      </c>
      <c r="CU12" s="1">
        <f>'[4]Long Term Deals'!$Z11</f>
        <v>237277.95273348276</v>
      </c>
      <c r="CV12" s="60">
        <f t="shared" si="23"/>
        <v>805108.36990753433</v>
      </c>
      <c r="CW12" s="13">
        <f>((B12+C12+D12+O12+P12+Q12+X12+Y12+AF12+AG12+AH12+BB12+BC12+BD12+BE12+BF12+BG12+BR12+BS12)+('Index Price Deals'!B12+'Index Price Deals'!C12+'Index Price Deals'!D12+'Index Price Deals'!L12+'Index Price Deals'!M12+'Index Price Deals'!N12+'Index Price Deals'!AD12+'Index Price Deals'!AE12+'Index Price Deals'!AF12+'Index Price Deals'!AK12+'Index Price Deals'!AL12+'Index Price Deals'!AM12))*'Prices&amp;Fuel'!H12</f>
        <v>8724897.2217642218</v>
      </c>
      <c r="DA12" s="3">
        <f>(B12+C12+D12)*'Prices&amp;Fuel'!H12</f>
        <v>600990</v>
      </c>
    </row>
    <row r="13" spans="1:109" hidden="1" x14ac:dyDescent="0.25">
      <c r="A13" s="10">
        <f t="shared" si="13"/>
        <v>35992.333333333314</v>
      </c>
      <c r="B13" s="1">
        <v>7255</v>
      </c>
      <c r="C13" s="1">
        <v>9300</v>
      </c>
      <c r="D13" s="1">
        <v>3478</v>
      </c>
      <c r="E13" s="11">
        <f>IF(1.766*1.03*1.03*1.03*1.03&gt;'Prices&amp;Fuel'!B13,1.766*1.03*1.03*1.03*1.03,'Prices&amp;Fuel'!B13)</f>
        <v>2.31</v>
      </c>
      <c r="F13" s="11">
        <f>IF(1.83*1.03*1.03*1.03*1.03&gt;'Prices&amp;Fuel'!C13,1.83*1.03*1.03*1.03*1.03,'Prices&amp;Fuel'!C13)</f>
        <v>2.36</v>
      </c>
      <c r="G13" s="11">
        <f>IF(1.859*1.03*1.03*1.03*1.03&gt;'Prices&amp;Fuel'!D13,1.859*1.03*1.03*1.03*1.03,'Prices&amp;Fuel'!D13)</f>
        <v>2.29</v>
      </c>
      <c r="H13" s="11">
        <f t="shared" si="0"/>
        <v>2.3000000000000003</v>
      </c>
      <c r="I13" s="11">
        <f t="shared" si="0"/>
        <v>2.35</v>
      </c>
      <c r="J13" s="11">
        <f t="shared" si="0"/>
        <v>2.2800000000000002</v>
      </c>
      <c r="K13" s="1">
        <f>((B13*E13)+(C13*F13)+(D13*G13))*'Prices&amp;Fuel'!H13</f>
        <v>1446821.7700000003</v>
      </c>
      <c r="L13" s="1">
        <f>(($B13*H13)+($C13*I13)+($D13*J13))*'Prices&amp;Fuel'!$H13</f>
        <v>1440611.54</v>
      </c>
      <c r="M13" s="13">
        <f t="shared" si="1"/>
        <v>6210.2300000002142</v>
      </c>
      <c r="O13" s="1">
        <v>9036</v>
      </c>
      <c r="P13" s="1">
        <v>10794</v>
      </c>
      <c r="Q13" s="1">
        <v>5270</v>
      </c>
      <c r="R13" s="11">
        <f>ROUND(2.034*1.02*1.02*1.02*1.02,4)</f>
        <v>2.2017000000000002</v>
      </c>
      <c r="S13" s="11">
        <f>R13-ROUND(0.01*1.02*1.02*1.02*1.02,4)</f>
        <v>2.1909000000000001</v>
      </c>
      <c r="T13" s="1">
        <f>(($O13*R13)+($P13*R13)+($Q13*R13))*'Prices&amp;Fuel'!$H13</f>
        <v>1713142.7700000005</v>
      </c>
      <c r="U13" s="1">
        <f>(($O13*S13)+($P13*S13)+($Q13*S13))*'Prices&amp;Fuel'!$H13</f>
        <v>1704739.29</v>
      </c>
      <c r="V13" s="13">
        <f t="shared" si="2"/>
        <v>8403.480000000447</v>
      </c>
      <c r="X13" s="1">
        <f t="shared" si="3"/>
        <v>3500</v>
      </c>
      <c r="Y13" s="1">
        <f t="shared" si="4"/>
        <v>3500</v>
      </c>
      <c r="Z13" s="12">
        <v>2.2000000000000002</v>
      </c>
      <c r="AA13" s="12">
        <v>2.1800000000000002</v>
      </c>
      <c r="AB13" s="1">
        <f>($X13+$Y13)*Z13*'Prices&amp;Fuel'!$H13</f>
        <v>477400.00000000006</v>
      </c>
      <c r="AC13" s="1">
        <f>($X13+$Y13)*AA13*'Prices&amp;Fuel'!$H13</f>
        <v>473060.00000000006</v>
      </c>
      <c r="AD13" s="13">
        <f t="shared" si="5"/>
        <v>4340</v>
      </c>
      <c r="AF13" s="1">
        <f>(155295/(1-'Prices&amp;Fuel'!F13))+(25000/(1-'Prices&amp;Fuel'!G13))-AI13</f>
        <v>125885.51772464963</v>
      </c>
      <c r="AG13" s="1">
        <f>(174705/(1-'Prices&amp;Fuel'!F13))-AJ13</f>
        <v>74496.006595218467</v>
      </c>
      <c r="AH13" s="1">
        <f>(75000/(1-'Prices&amp;Fuel'!G13))-AK13</f>
        <v>32112.716405605926</v>
      </c>
      <c r="AI13" s="1">
        <v>59909</v>
      </c>
      <c r="AJ13" s="1">
        <v>105538</v>
      </c>
      <c r="AK13" s="1">
        <v>45175</v>
      </c>
      <c r="AL13" s="21">
        <f>ROUND((430000/(1-'Prices&amp;Fuel'!F13))-AF13-AG13-AH13,0)</f>
        <v>210622</v>
      </c>
      <c r="AM13" s="1">
        <f>(ROUND(((((29727+13743+1000+5000+4854+100971)/(1-'Prices&amp;Fuel'!$F13))+(25000/(1-'Prices&amp;Fuel'!$G13)))-80000),0)-57592-37849)/2+57592-AI13/2</f>
        <v>32814.5</v>
      </c>
      <c r="AN13" s="1">
        <f>ROUND(((174705/(1-'Prices&amp;Fuel'!F13))-AQ13-AJ13)/2,0)</f>
        <v>34737</v>
      </c>
      <c r="AO13" s="1">
        <f>((ROUND((75000/(1-'Prices&amp;Fuel'!G13)-AV13),0)-27628-47372-AK13)/2)+27628</f>
        <v>6184.5</v>
      </c>
      <c r="AP13" s="1">
        <f t="shared" si="6"/>
        <v>80000</v>
      </c>
      <c r="AQ13" s="1">
        <f t="shared" si="16"/>
        <v>5023</v>
      </c>
      <c r="AR13" s="1">
        <f>(ROUND(((((29727+13743+1000+5000+4854+100971)/(1-'Prices&amp;Fuel'!$F13))+(25000/(1-'Prices&amp;Fuel'!$G13)))-80000),0)-57592-37849-AI13)/2+37849</f>
        <v>13071.5</v>
      </c>
      <c r="AS13" s="1">
        <f t="shared" si="28"/>
        <v>34737</v>
      </c>
      <c r="AT13" s="13">
        <f t="shared" si="25"/>
        <v>25928.216405605926</v>
      </c>
      <c r="AU13" s="13">
        <f>AL13*AX13*'Prices&amp;Fuel'!H13</f>
        <v>326464.10000000003</v>
      </c>
      <c r="AW13" s="20">
        <f t="shared" si="26"/>
        <v>0.14499999999999999</v>
      </c>
      <c r="AX13" s="20">
        <f t="shared" si="24"/>
        <v>0.05</v>
      </c>
      <c r="AY13" s="6">
        <f>('Prices&amp;Fuel'!H13*('Prices&amp;Fuel'!B13+AW13)*'Long Term Deals'!AF13)+('Prices&amp;Fuel'!H13*('Prices&amp;Fuel'!C13+'Long Term Deals'!AW13)*'Long Term Deals'!AG13)+(AH13*('Prices&amp;Fuel'!C13+AW13)*'Prices&amp;Fuel'!H13)+(AW13*AL13*'Prices&amp;Fuel'!H13)</f>
        <v>18805963.601063479</v>
      </c>
      <c r="AZ13" s="6">
        <f>(AP13*'Prices&amp;Fuel'!H13*'Prices&amp;Fuel'!B13)+(AQ13*'Prices&amp;Fuel'!C13*'Prices&amp;Fuel'!H13)+((AM13+AR13)*('Prices&amp;Fuel'!B13+'Long Term Deals'!AX13)*'Prices&amp;Fuel'!H13)+((AN13+AS13)*('Prices&amp;Fuel'!C13+'Long Term Deals'!AX13)*'Prices&amp;Fuel'!H13)+((AO13+AT13)*('Prices&amp;Fuel'!D13+'Long Term Deals'!AX13)*'Prices&amp;Fuel'!H13)+(AV13*'Prices&amp;Fuel'!H13*'Prices&amp;Fuel'!Q13)+AU13</f>
        <v>17299625.528062653</v>
      </c>
      <c r="BA13" s="6">
        <f t="shared" si="7"/>
        <v>1506338.0730008259</v>
      </c>
      <c r="BB13" s="6"/>
      <c r="BC13" s="6"/>
      <c r="BR13" s="1">
        <v>1000</v>
      </c>
      <c r="BT13" s="11">
        <f>IF('Prices&amp;Fuel'!$E13&lt;1.89,1.89,'Prices&amp;Fuel'!$E13)</f>
        <v>2.35266666666667</v>
      </c>
      <c r="BU13" s="11"/>
      <c r="BV13" s="28">
        <f t="shared" si="27"/>
        <v>2.35266666666667</v>
      </c>
      <c r="BW13" s="28"/>
      <c r="BX13" s="1">
        <f>(BR13*BT13+BS13*BU13)*'Prices&amp;Fuel'!H13</f>
        <v>72932.666666666773</v>
      </c>
      <c r="BY13" s="1">
        <f>($BR13*BV13+$BS13*BW13)*'Prices&amp;Fuel'!H13</f>
        <v>72932.666666666773</v>
      </c>
      <c r="BZ13" s="6">
        <f t="shared" si="10"/>
        <v>0</v>
      </c>
      <c r="CA13" s="6">
        <f>(AF13+AG13+AH13+AL13)*0.005*'Prices&amp;Fuel'!H13</f>
        <v>68683.017312448472</v>
      </c>
      <c r="CB13" s="6">
        <f>(B13+C13+D13+O13+P13+Q13+X13+Y13+((BB13+BC13+BD13+BE13+BF13+BG13)*(1-'Prices&amp;Fuel'!F13))+BR13+BS13)*0.005*'Prices&amp;Fuel'!H13</f>
        <v>8235.6149999999998</v>
      </c>
      <c r="CC13" s="1">
        <f t="shared" si="20"/>
        <v>22516260.807730149</v>
      </c>
      <c r="CD13" s="1">
        <f t="shared" si="21"/>
        <v>21067887.657041769</v>
      </c>
      <c r="CE13" s="1">
        <f t="shared" si="22"/>
        <v>1448373.15068838</v>
      </c>
      <c r="CF13" s="1">
        <f>'Index Price Deals'!AR13</f>
        <v>499157.38646537508</v>
      </c>
      <c r="CG13" s="1">
        <f>'Index Price Deals'!AS13</f>
        <v>883.70666666666682</v>
      </c>
      <c r="CH13" s="1">
        <f>'Index Price Deals'!AT13</f>
        <v>486054.40956282819</v>
      </c>
      <c r="CI13" s="1">
        <f>'Index Price Deals'!AU13</f>
        <v>13102.976902546885</v>
      </c>
      <c r="CJ13" s="1">
        <f t="shared" si="11"/>
        <v>23015418.194195524</v>
      </c>
      <c r="CK13" s="1">
        <f t="shared" si="12"/>
        <v>21553942.066604599</v>
      </c>
      <c r="CL13" s="1">
        <f t="shared" si="12"/>
        <v>1461476.1275909268</v>
      </c>
      <c r="CM13" s="30"/>
      <c r="CN13" s="1">
        <f>Transport!U13</f>
        <v>1203069.3652000001</v>
      </c>
      <c r="CO13" s="57">
        <f>[2]Sheet1!$AL54</f>
        <v>810446.8275325892</v>
      </c>
      <c r="CQ13" s="1">
        <f>((($B13+$C13+$D13+$O13+$P13+$Q13)*0.5)+BR13+BS13)*(0.005*'Prices&amp;Fuel'!$H13)+'Index Price Deals'!AV13</f>
        <v>4318.1191666666664</v>
      </c>
      <c r="CR13" s="1">
        <f>((($B13+$C13+$D13+$O13+$P13+$Q13)*0.5)+X13+Y13)*(0.005*'Prices&amp;Fuel'!$H13)+CA13+'Index Price Deals'!AW13</f>
        <v>73484.219812448471</v>
      </c>
      <c r="CS13" s="1">
        <v>150529.7298992</v>
      </c>
      <c r="CT13" s="1">
        <f>[3]Sheet1!$O22</f>
        <v>709276.94449972897</v>
      </c>
      <c r="CU13" s="1">
        <f>'[4]Long Term Deals'!$Z12</f>
        <v>245187.21782459883</v>
      </c>
      <c r="CV13" s="60">
        <f t="shared" si="23"/>
        <v>755293.59314758575</v>
      </c>
      <c r="CW13" s="13">
        <f>((B13+C13+D13+O13+P13+Q13+X13+Y13+AF13+AG13+AH13+BB13+BC13+BD13+BE13+BF13+BG13+BR13+BS13)+('Index Price Deals'!B13+'Index Price Deals'!C13+'Index Price Deals'!D13+'Index Price Deals'!L13+'Index Price Deals'!M13+'Index Price Deals'!N13+'Index Price Deals'!AD13+'Index Price Deals'!AE13+'Index Price Deals'!AF13+'Index Price Deals'!AK13+'Index Price Deals'!AL13+'Index Price Deals'!AM13))*'Prices&amp;Fuel'!H13</f>
        <v>9031185.7958230283</v>
      </c>
      <c r="DA13" s="3">
        <f>(B13+C13+D13)*'Prices&amp;Fuel'!H13</f>
        <v>621023</v>
      </c>
    </row>
    <row r="14" spans="1:109" hidden="1" x14ac:dyDescent="0.25">
      <c r="A14" s="10">
        <f t="shared" si="13"/>
        <v>36022.749999999978</v>
      </c>
      <c r="B14" s="1">
        <v>7255</v>
      </c>
      <c r="C14" s="1">
        <v>9300</v>
      </c>
      <c r="D14" s="1">
        <v>3478</v>
      </c>
      <c r="E14" s="11">
        <f>IF(1.766*1.03*1.03*1.03*1.03&gt;'Prices&amp;Fuel'!B14,1.766*1.03*1.03*1.03*1.03,'Prices&amp;Fuel'!B14)</f>
        <v>1.9876485584600003</v>
      </c>
      <c r="F14" s="11">
        <f>IF(1.83*1.03*1.03*1.03*1.03&gt;'Prices&amp;Fuel'!C14,1.83*1.03*1.03*1.03*1.03,'Prices&amp;Fuel'!C14)</f>
        <v>2.0596811223000002</v>
      </c>
      <c r="G14" s="11">
        <f>IF(1.859*1.03*1.03*1.03*1.03&gt;'Prices&amp;Fuel'!D14,1.859*1.03*1.03*1.03*1.03,'Prices&amp;Fuel'!D14)</f>
        <v>2.0923208777900002</v>
      </c>
      <c r="H14" s="11">
        <f t="shared" si="0"/>
        <v>1.9776485584600003</v>
      </c>
      <c r="I14" s="11">
        <f t="shared" si="0"/>
        <v>2.0496811223000004</v>
      </c>
      <c r="J14" s="11">
        <f t="shared" si="0"/>
        <v>2.0823208777900004</v>
      </c>
      <c r="K14" s="1">
        <f>((B14*E14)+(C14*F14)+(D14*G14))*'Prices&amp;Fuel'!H14</f>
        <v>1266428.0190010983</v>
      </c>
      <c r="L14" s="1">
        <f>(($B14*H14)+($C14*I14)+($D14*J14))*'Prices&amp;Fuel'!$H14</f>
        <v>1260217.7890010988</v>
      </c>
      <c r="M14" s="13">
        <f t="shared" si="1"/>
        <v>6210.2299999995157</v>
      </c>
      <c r="O14" s="1">
        <v>9036</v>
      </c>
      <c r="P14" s="1">
        <v>10794</v>
      </c>
      <c r="Q14" s="1">
        <v>5270</v>
      </c>
      <c r="R14" s="11">
        <f t="shared" ref="R14:R24" si="29">R13</f>
        <v>2.2017000000000002</v>
      </c>
      <c r="S14" s="11">
        <f t="shared" ref="S14:S24" si="30">S13</f>
        <v>2.1909000000000001</v>
      </c>
      <c r="T14" s="1">
        <f>(($O14*R14)+($P14*R14)+($Q14*R14))*'Prices&amp;Fuel'!$H14</f>
        <v>1713142.7700000005</v>
      </c>
      <c r="U14" s="1">
        <f>(($O14*S14)+($P14*S14)+($Q14*S14))*'Prices&amp;Fuel'!$H14</f>
        <v>1704739.29</v>
      </c>
      <c r="V14" s="13">
        <f t="shared" si="2"/>
        <v>8403.480000000447</v>
      </c>
      <c r="X14" s="1">
        <f t="shared" si="3"/>
        <v>3500</v>
      </c>
      <c r="Y14" s="1">
        <f t="shared" si="4"/>
        <v>3500</v>
      </c>
      <c r="Z14" s="12">
        <v>2.2000000000000002</v>
      </c>
      <c r="AA14" s="12">
        <v>2.1800000000000002</v>
      </c>
      <c r="AB14" s="1">
        <f>($X14+$Y14)*Z14*'Prices&amp;Fuel'!$H14</f>
        <v>477400.00000000006</v>
      </c>
      <c r="AC14" s="1">
        <f>($X14+$Y14)*AA14*'Prices&amp;Fuel'!$H14</f>
        <v>473060.00000000006</v>
      </c>
      <c r="AD14" s="13">
        <f t="shared" si="5"/>
        <v>4340</v>
      </c>
      <c r="AF14" s="1">
        <f>3495213/0.9704/31</f>
        <v>116187.97037470415</v>
      </c>
      <c r="AG14" s="1">
        <f>2077697/0.9704/31</f>
        <v>69066.863016248695</v>
      </c>
      <c r="AH14" s="1">
        <f>909086/0.9704/31</f>
        <v>30219.862776906099</v>
      </c>
      <c r="AI14" s="1">
        <v>59909</v>
      </c>
      <c r="AJ14" s="1">
        <v>105538</v>
      </c>
      <c r="AK14" s="1">
        <v>45175</v>
      </c>
      <c r="AL14" s="21">
        <f>AL13</f>
        <v>210622</v>
      </c>
      <c r="AM14" s="1">
        <f>(ROUND(((((29727+13743+1000+5000+4854+100971)/(1-'Prices&amp;Fuel'!$F14))+(25000/(1-'Prices&amp;Fuel'!$G14)))-80000),0)-57592-37849)/2+57592-AI14/2-4849</f>
        <v>27965.5</v>
      </c>
      <c r="AN14" s="1">
        <f>ROUND(((174705/(1-'Prices&amp;Fuel'!F14))-AQ14-AJ14)/2,0)-2714.5</f>
        <v>34425.5</v>
      </c>
      <c r="AO14" s="1">
        <f>((ROUND((75000/(1-'Prices&amp;Fuel'!G14)-AV14),0)-27628-47372-AK14)/2)+27628-946.5</f>
        <v>5238</v>
      </c>
      <c r="AP14" s="1">
        <f t="shared" si="6"/>
        <v>80000</v>
      </c>
      <c r="AQ14" s="1">
        <v>217</v>
      </c>
      <c r="AR14" s="1">
        <f>(ROUND(((((29727+13743+1000+5000+4854+100971)/(1-'Prices&amp;Fuel'!$F14))+(25000/(1-'Prices&amp;Fuel'!$G14)))-80000),0)-57592-37849-AI14)/2+37849-4849</f>
        <v>8222.5</v>
      </c>
      <c r="AS14" s="1">
        <f t="shared" si="28"/>
        <v>34425.5</v>
      </c>
      <c r="AT14" s="13">
        <f t="shared" si="25"/>
        <v>24981.862776906099</v>
      </c>
      <c r="AU14" s="13">
        <f>AL14*AX14*'Prices&amp;Fuel'!H14</f>
        <v>326464.10000000003</v>
      </c>
      <c r="AW14" s="20">
        <f t="shared" si="26"/>
        <v>0.14499999999999999</v>
      </c>
      <c r="AX14" s="20">
        <f t="shared" si="24"/>
        <v>0.05</v>
      </c>
      <c r="AY14" s="6">
        <f>('Prices&amp;Fuel'!H14*('Prices&amp;Fuel'!B14)*'Long Term Deals'!AF14)+('Prices&amp;Fuel'!H14*('Prices&amp;Fuel'!C14)*(AG14+AH14))+(DE14/(1-'Prices&amp;Fuel'!F14))*'Prices&amp;Fuel'!H14*AW14</f>
        <v>14600751.793075021</v>
      </c>
      <c r="AZ14" s="6">
        <f>(AP14*'Prices&amp;Fuel'!H14*'Prices&amp;Fuel'!B14)+(AQ14*'Prices&amp;Fuel'!C14*'Prices&amp;Fuel'!H14)+((AM14+AR14)*('Prices&amp;Fuel'!B14+'Long Term Deals'!AX14)*'Prices&amp;Fuel'!H14)+((AN14+AS14)*('Prices&amp;Fuel'!C14+'Long Term Deals'!AX14)*'Prices&amp;Fuel'!H14)+((AO14+AT14)*('Prices&amp;Fuel'!D14+'Long Term Deals'!AX14)*'Prices&amp;Fuel'!H14)+(AV14*'Prices&amp;Fuel'!H14*'Prices&amp;Fuel'!Q14)+AU14</f>
        <v>13088920.065020612</v>
      </c>
      <c r="BA14" s="6">
        <f t="shared" si="7"/>
        <v>1511831.7280544098</v>
      </c>
      <c r="BB14" s="6"/>
      <c r="BC14" s="6"/>
      <c r="BR14" s="1">
        <v>1000</v>
      </c>
      <c r="BT14" s="11">
        <f>IF('Prices&amp;Fuel'!$E14&lt;1.89,1.89,'Prices&amp;Fuel'!$E14)</f>
        <v>1.9530000000000001</v>
      </c>
      <c r="BU14" s="11"/>
      <c r="BV14" s="28">
        <f t="shared" si="27"/>
        <v>1.9530000000000001</v>
      </c>
      <c r="BW14" s="28"/>
      <c r="BX14" s="1">
        <f>(BR14*BT14+BS14*BU14)*'Prices&amp;Fuel'!H14</f>
        <v>60543</v>
      </c>
      <c r="BY14" s="1">
        <f>($BR14*BV14+$BS14*BW14)*'Prices&amp;Fuel'!H14</f>
        <v>60543</v>
      </c>
      <c r="BZ14" s="6">
        <f t="shared" si="10"/>
        <v>0</v>
      </c>
      <c r="CA14" s="6">
        <f>(AF14+AG14+AH14+AL14)*0.005*'Prices&amp;Fuel'!H14</f>
        <v>66044.987906018141</v>
      </c>
      <c r="CB14" s="6">
        <f>(B14+C14+D14+O14+P14+Q14+X14+Y14+((BB14+BC14+BD14+BE14+BF14+BG14)*(1-'Prices&amp;Fuel'!F14))+BR14+BS14)*0.005*'Prices&amp;Fuel'!H14</f>
        <v>8235.6149999999998</v>
      </c>
      <c r="CC14" s="1">
        <f t="shared" si="20"/>
        <v>18118265.582076121</v>
      </c>
      <c r="CD14" s="1">
        <f t="shared" si="21"/>
        <v>16661760.746927729</v>
      </c>
      <c r="CE14" s="1">
        <f t="shared" si="22"/>
        <v>1456504.8351483922</v>
      </c>
      <c r="CF14" s="1">
        <f>'Index Price Deals'!AR14</f>
        <v>502487.00719991769</v>
      </c>
      <c r="CG14" s="1">
        <f>'Index Price Deals'!AS14</f>
        <v>1035.5433333333331</v>
      </c>
      <c r="CH14" s="1">
        <f>'Index Price Deals'!AT14</f>
        <v>488395.6040071852</v>
      </c>
      <c r="CI14" s="1">
        <f>'Index Price Deals'!AU14</f>
        <v>14091.403192732483</v>
      </c>
      <c r="CJ14" s="1">
        <f t="shared" si="11"/>
        <v>18620752.589276038</v>
      </c>
      <c r="CK14" s="1">
        <f t="shared" si="12"/>
        <v>17150156.350934915</v>
      </c>
      <c r="CL14" s="1">
        <f t="shared" si="12"/>
        <v>1470596.2383411247</v>
      </c>
      <c r="CM14" s="30"/>
      <c r="CN14" s="1">
        <f>Transport!U14</f>
        <v>1203069.3652000001</v>
      </c>
      <c r="CO14" s="57">
        <f>[2]Sheet1!$AL55</f>
        <v>764635.60641451972</v>
      </c>
      <c r="CQ14" s="1">
        <f>((($B14+$C14+$D14+$O14+$P14+$Q14)*0.5)+BR14+BS14)*(0.005*'Prices&amp;Fuel'!$H14)+'Index Price Deals'!AV14</f>
        <v>4536.5658333333331</v>
      </c>
      <c r="CR14" s="1">
        <f>((($B14+$C14+$D14+$O14+$P14+$Q14)*0.5)+X14+Y14)*(0.005*'Prices&amp;Fuel'!$H14)+CA14+'Index Price Deals'!AW14</f>
        <v>70779.58040601814</v>
      </c>
      <c r="CS14" s="13">
        <f>CS13-12200</f>
        <v>138329.7298992</v>
      </c>
      <c r="CT14" s="1">
        <f>[3]Sheet1!$O23</f>
        <v>709276.94449972897</v>
      </c>
      <c r="CU14" s="1">
        <f>'[4]Long Term Deals'!$Z13</f>
        <v>252636.51782459451</v>
      </c>
      <c r="CV14" s="60">
        <f t="shared" si="23"/>
        <v>713851.7827797099</v>
      </c>
      <c r="CW14" s="13">
        <f>((B14+C14+D14+O14+P14+Q14+X14+Y14+AF14+AG14+AH14+BB14+BC14+BD14+BE14+BF14+BG14+BR14+BS14)+('Index Price Deals'!B14+'Index Price Deals'!C14+'Index Price Deals'!D14+'Index Price Deals'!L14+'Index Price Deals'!M14+'Index Price Deals'!N14+'Index Price Deals'!AD14+'Index Price Deals'!AE14+'Index Price Deals'!AF14+'Index Price Deals'!AK14+'Index Price Deals'!AL14+'Index Price Deals'!AM14))*'Prices&amp;Fuel'!H14</f>
        <v>8533947.2478702944</v>
      </c>
      <c r="DA14" s="3">
        <f>(B14+C14+D14)*'Prices&amp;Fuel'!H14</f>
        <v>621023</v>
      </c>
      <c r="DE14" s="3">
        <v>430000</v>
      </c>
    </row>
    <row r="15" spans="1:109" hidden="1" x14ac:dyDescent="0.25">
      <c r="A15" s="10">
        <f t="shared" si="13"/>
        <v>36053.166666666642</v>
      </c>
      <c r="B15" s="1">
        <v>7255</v>
      </c>
      <c r="C15" s="1">
        <v>9300</v>
      </c>
      <c r="D15" s="1">
        <v>3478</v>
      </c>
      <c r="E15" s="11">
        <f>IF(1.766*1.03*1.03*1.03*1.03&gt;'Prices&amp;Fuel'!B15,1.766*1.03*1.03*1.03*1.03,'Prices&amp;Fuel'!B15)</f>
        <v>1.9876485584600003</v>
      </c>
      <c r="F15" s="11">
        <f>IF(1.83*1.03*1.03*1.03*1.03&gt;'Prices&amp;Fuel'!C15,1.83*1.03*1.03*1.03*1.03,'Prices&amp;Fuel'!C15)</f>
        <v>2.0596811223000002</v>
      </c>
      <c r="G15" s="11">
        <f>IF(1.859*1.03*1.03*1.03*1.03&gt;'Prices&amp;Fuel'!D15,1.859*1.03*1.03*1.03*1.03,'Prices&amp;Fuel'!D15)</f>
        <v>2.0923208777900002</v>
      </c>
      <c r="H15" s="11">
        <f t="shared" si="0"/>
        <v>1.9776485584600003</v>
      </c>
      <c r="I15" s="11">
        <f t="shared" si="0"/>
        <v>2.0496811223000004</v>
      </c>
      <c r="J15" s="11">
        <f t="shared" si="0"/>
        <v>2.0823208777900004</v>
      </c>
      <c r="K15" s="1">
        <f>((B15*E15)+(C15*F15)+(D15*G15))*'Prices&amp;Fuel'!H15</f>
        <v>1225575.5022591276</v>
      </c>
      <c r="L15" s="1">
        <f>(($B15*H15)+($C15*I15)+($D15*J15))*'Prices&amp;Fuel'!$H15</f>
        <v>1219565.6022591279</v>
      </c>
      <c r="M15" s="13">
        <f t="shared" si="1"/>
        <v>6009.899999999674</v>
      </c>
      <c r="O15" s="1">
        <v>9036</v>
      </c>
      <c r="P15" s="1">
        <v>10794</v>
      </c>
      <c r="Q15" s="1">
        <v>5270</v>
      </c>
      <c r="R15" s="11">
        <f t="shared" si="29"/>
        <v>2.2017000000000002</v>
      </c>
      <c r="S15" s="11">
        <f t="shared" si="30"/>
        <v>2.1909000000000001</v>
      </c>
      <c r="T15" s="1">
        <f>(($O15*R15)+($P15*R15)+($Q15*R15))*'Prices&amp;Fuel'!$H15</f>
        <v>1657880.1000000003</v>
      </c>
      <c r="U15" s="1">
        <f>(($O15*S15)+($P15*S15)+($Q15*S15))*'Prices&amp;Fuel'!$H15</f>
        <v>1649747.7000000002</v>
      </c>
      <c r="V15" s="13">
        <f t="shared" si="2"/>
        <v>8132.4000000001397</v>
      </c>
      <c r="X15" s="1">
        <f t="shared" si="3"/>
        <v>3500</v>
      </c>
      <c r="Y15" s="1">
        <f t="shared" si="4"/>
        <v>3500</v>
      </c>
      <c r="Z15" s="12">
        <v>2.2000000000000002</v>
      </c>
      <c r="AA15" s="12">
        <v>2.1800000000000002</v>
      </c>
      <c r="AB15" s="1">
        <f>($X15+$Y15)*Z15*'Prices&amp;Fuel'!$H15</f>
        <v>462000.00000000006</v>
      </c>
      <c r="AC15" s="1">
        <f>($X15+$Y15)*AA15*'Prices&amp;Fuel'!$H15</f>
        <v>457800.00000000006</v>
      </c>
      <c r="AD15" s="13">
        <f t="shared" si="5"/>
        <v>4200</v>
      </c>
      <c r="AF15" s="1">
        <f>(155295/(1-'Prices&amp;Fuel'!F15))+(25000/(1-'Prices&amp;Fuel'!G15))-AI15</f>
        <v>125885.51772464963</v>
      </c>
      <c r="AG15" s="1">
        <f>(174705/(1-'Prices&amp;Fuel'!F15))-AJ15</f>
        <v>74496.006595218467</v>
      </c>
      <c r="AH15" s="1">
        <f>(75000/(1-'Prices&amp;Fuel'!G15))-AK15</f>
        <v>32112.716405605926</v>
      </c>
      <c r="AI15" s="1">
        <v>59909</v>
      </c>
      <c r="AJ15" s="1">
        <v>105538</v>
      </c>
      <c r="AK15" s="1">
        <v>45175</v>
      </c>
      <c r="AL15" s="21">
        <f>ROUND((430000/(1-'Prices&amp;Fuel'!F15))-AF15-AG15-AH15,0)</f>
        <v>210622</v>
      </c>
      <c r="AM15" s="1">
        <f>(ROUND(((((29727+13743+1000+5000+4854+100971)/(1-'Prices&amp;Fuel'!$F15))+(25000/(1-'Prices&amp;Fuel'!$G15)))-80000),0)-57592-37849)/2+57592-AI15/2</f>
        <v>32814.5</v>
      </c>
      <c r="AN15" s="1">
        <f>ROUND(((174705/(1-'Prices&amp;Fuel'!F15))-AQ15-AJ15)/2,0)</f>
        <v>37140</v>
      </c>
      <c r="AO15" s="1">
        <f>((ROUND((75000/(1-'Prices&amp;Fuel'!G15)-AV15),0)-27628-47372-AK15)/2)+27628</f>
        <v>6184.5</v>
      </c>
      <c r="AP15" s="1">
        <f t="shared" si="6"/>
        <v>80000</v>
      </c>
      <c r="AQ15" s="1">
        <f>+AQ14</f>
        <v>217</v>
      </c>
      <c r="AR15" s="1">
        <f>(ROUND(((((29727+13743+1000+5000+4854+100971)/(1-'Prices&amp;Fuel'!$F15))+(25000/(1-'Prices&amp;Fuel'!$G15)))-80000),0)-57592-37849-AI15)/2+37849</f>
        <v>13071.5</v>
      </c>
      <c r="AS15" s="1">
        <f t="shared" si="28"/>
        <v>37140</v>
      </c>
      <c r="AT15" s="13">
        <f t="shared" si="25"/>
        <v>25928.216405605926</v>
      </c>
      <c r="AU15" s="13">
        <f>AL15*AX15*'Prices&amp;Fuel'!H15</f>
        <v>315933</v>
      </c>
      <c r="AW15" s="20">
        <f t="shared" si="26"/>
        <v>0.14499999999999999</v>
      </c>
      <c r="AX15" s="20">
        <f t="shared" si="24"/>
        <v>0.05</v>
      </c>
      <c r="AY15" s="6">
        <f>('Prices&amp;Fuel'!H15*('Prices&amp;Fuel'!B15)*'Long Term Deals'!AF15)+('Prices&amp;Fuel'!H15*('Prices&amp;Fuel'!C15)*(AG15+AH15))+(430000/0.9704)*31*AW15</f>
        <v>13070216.707831822</v>
      </c>
      <c r="AZ15" s="6">
        <f>(AP15*'Prices&amp;Fuel'!H15*'Prices&amp;Fuel'!B15)+(AQ15*'Prices&amp;Fuel'!C15*'Prices&amp;Fuel'!H15)+((AM15+AR15)*('Prices&amp;Fuel'!B15+'Long Term Deals'!AX15)*'Prices&amp;Fuel'!H15)+((AN15+AS15)*('Prices&amp;Fuel'!C15+'Long Term Deals'!AX15)*'Prices&amp;Fuel'!H15)+((AO15+AT15)*('Prices&amp;Fuel'!D15+'Long Term Deals'!AX15)*'Prices&amp;Fuel'!H15)+(AV15*'Prices&amp;Fuel'!H15*'Prices&amp;Fuel'!Q15)+AU15</f>
        <v>11584295.71731245</v>
      </c>
      <c r="BA15" s="6">
        <f t="shared" si="7"/>
        <v>1485920.9905193727</v>
      </c>
      <c r="BB15" s="14"/>
      <c r="BC15" s="14"/>
      <c r="BD15" s="14"/>
      <c r="BR15" s="1">
        <v>1000</v>
      </c>
      <c r="BT15" s="11">
        <f>IF('Prices&amp;Fuel'!$E15&lt;1.89,1.89,'Prices&amp;Fuel'!$E15)</f>
        <v>1.89</v>
      </c>
      <c r="BU15" s="11"/>
      <c r="BV15" s="28">
        <f t="shared" si="27"/>
        <v>1.89</v>
      </c>
      <c r="BW15" s="28"/>
      <c r="BX15" s="1">
        <f>(BR15*BT15+BS15*BU15)*'Prices&amp;Fuel'!H15</f>
        <v>56700</v>
      </c>
      <c r="BY15" s="1">
        <f>($BR15*BV15+$BS15*BW15)*'Prices&amp;Fuel'!H15</f>
        <v>56700</v>
      </c>
      <c r="BZ15" s="6">
        <f t="shared" si="10"/>
        <v>0</v>
      </c>
      <c r="CA15" s="6">
        <f>(AF15+AG15+AH15+AL15)*0.005*'Prices&amp;Fuel'!H15</f>
        <v>66467.436108821101</v>
      </c>
      <c r="CB15" s="6">
        <f>(B15+C15+D15+O15+P15+Q15+X15+Y15+((BB15+BC15+BD15+BE15+BF15+BG15)*(1-'Prices&amp;Fuel'!F15))+BR15+BS15)*0.005*'Prices&amp;Fuel'!H15</f>
        <v>7969.9500000000007</v>
      </c>
      <c r="CC15" s="1">
        <f t="shared" si="20"/>
        <v>16472372.31009095</v>
      </c>
      <c r="CD15" s="1">
        <f t="shared" si="21"/>
        <v>15042546.405680399</v>
      </c>
      <c r="CE15" s="1">
        <f t="shared" si="22"/>
        <v>1429825.9044105504</v>
      </c>
      <c r="CF15" s="1">
        <f>'Index Price Deals'!AR15</f>
        <v>414955.40581286076</v>
      </c>
      <c r="CG15" s="1">
        <f>'Index Price Deals'!AS15</f>
        <v>1000.1000000000001</v>
      </c>
      <c r="CH15" s="1">
        <f>'Index Price Deals'!AT15</f>
        <v>400870.25336588471</v>
      </c>
      <c r="CI15" s="1">
        <f>'Index Price Deals'!AU15</f>
        <v>14085.152446976048</v>
      </c>
      <c r="CJ15" s="1">
        <f t="shared" si="11"/>
        <v>16887327.715903811</v>
      </c>
      <c r="CK15" s="1">
        <f t="shared" si="12"/>
        <v>15443416.659046285</v>
      </c>
      <c r="CL15" s="1">
        <f t="shared" si="12"/>
        <v>1443911.0568575263</v>
      </c>
      <c r="CM15" s="30"/>
      <c r="CN15" s="1">
        <f>Transport!U15</f>
        <v>1164260.676</v>
      </c>
      <c r="CO15" s="57">
        <f>[2]Sheet1!$AL56</f>
        <v>739969.94169147068</v>
      </c>
      <c r="CQ15" s="1">
        <f>((($B15+$C15+$D15+$O15+$P15+$Q15)*0.5)+BR15+BS15)*(0.005*'Prices&amp;Fuel'!$H15)+'Index Price Deals'!AV15</f>
        <v>4323.875</v>
      </c>
      <c r="CR15" s="1">
        <f>((($B15+$C15+$D15+$O15+$P15+$Q15)*0.5)+X15+Y15)*(0.005*'Prices&amp;Fuel'!$H15)+CA15+'Index Price Deals'!AW15</f>
        <v>71113.611108821104</v>
      </c>
      <c r="CS15" s="21">
        <f>'Short Term Firm For Budget'!E15</f>
        <v>72549</v>
      </c>
      <c r="CT15" s="1">
        <f>[3]Sheet1!$O24</f>
        <v>686397.04306425387</v>
      </c>
      <c r="CU15" s="1">
        <f>'[4]Long Term Deals'!$Z14</f>
        <v>244486.95273347863</v>
      </c>
      <c r="CV15" s="60">
        <f t="shared" si="23"/>
        <v>650259.23221822176</v>
      </c>
      <c r="CW15" s="13">
        <f>((B15+C15+D15+O15+P15+Q15+X15+Y15+AF15+AG15+AH15+BB15+BC15+BD15+BE15+BF15+BG15+BR15+BS15)+('Index Price Deals'!B15+'Index Price Deals'!C15+'Index Price Deals'!D15+'Index Price Deals'!L15+'Index Price Deals'!M15+'Index Price Deals'!N15+'Index Price Deals'!AD15+'Index Price Deals'!AE15+'Index Price Deals'!AF15+'Index Price Deals'!AK15+'Index Price Deals'!AL15+'Index Price Deals'!AM15))*'Prices&amp;Fuel'!H15</f>
        <v>8768837.2217642199</v>
      </c>
      <c r="DA15" s="3">
        <f>(B15+C15+D15)*'Prices&amp;Fuel'!H15</f>
        <v>600990</v>
      </c>
      <c r="DE15" s="3">
        <v>430000</v>
      </c>
    </row>
    <row r="16" spans="1:109" hidden="1" x14ac:dyDescent="0.25">
      <c r="A16" s="10">
        <f t="shared" si="13"/>
        <v>36083.583333333307</v>
      </c>
      <c r="B16" s="1">
        <v>8393</v>
      </c>
      <c r="C16" s="1">
        <v>8988</v>
      </c>
      <c r="E16" s="11">
        <f>IF(1.99*1.03*1.03*1.03*1.03&gt;'Prices&amp;Fuel'!B16+0.01,1.99*1.03*1.03*1.03*1.03,'Prices&amp;Fuel'!B16+0.01)</f>
        <v>2.2397625319000003</v>
      </c>
      <c r="F16" s="11">
        <f>IF(2.035*1.03*1.03*1.03*1.03&gt;'Prices&amp;Fuel'!C16+0.01,2.035*1.03*1.03*1.03*1.03,'Prices&amp;Fuel'!C16+0.01)</f>
        <v>2.2904104283500009</v>
      </c>
      <c r="G16" s="11">
        <f>IF(2.049*1.03*1.03*1.03*1.03&gt;'Prices&amp;Fuel'!D16+0.01,2.049*1.03*1.03*1.03*1.03,'Prices&amp;Fuel'!D16+0.01)</f>
        <v>2.3061675516900002</v>
      </c>
      <c r="H16" s="11">
        <f t="shared" ref="H16:I21" si="31">E16-0.01</f>
        <v>2.2297625319000005</v>
      </c>
      <c r="I16" s="11">
        <f t="shared" si="31"/>
        <v>2.2804104283500011</v>
      </c>
      <c r="J16" s="11">
        <f t="shared" ref="J16:J21" si="32">G16-0.01</f>
        <v>2.2961675516900004</v>
      </c>
      <c r="K16" s="1">
        <f>((B16*E16)+(C16*F16)+(D16*G16))*'Prices&amp;Fuel'!H16</f>
        <v>1220920.6116676419</v>
      </c>
      <c r="L16" s="1">
        <f>(($B16*H16)+($C16*I16)+($D16*J16))*'Prices&amp;Fuel'!$H16</f>
        <v>1215532.501667642</v>
      </c>
      <c r="M16" s="13">
        <f t="shared" si="1"/>
        <v>5388.1099999998696</v>
      </c>
      <c r="O16" s="1">
        <f>9036*24/31</f>
        <v>6995.6129032258068</v>
      </c>
      <c r="P16" s="1">
        <f>10794*24/31</f>
        <v>8356.645161290322</v>
      </c>
      <c r="Q16" s="1">
        <f>5270*24/31</f>
        <v>4080</v>
      </c>
      <c r="R16" s="11">
        <f t="shared" si="29"/>
        <v>2.2017000000000002</v>
      </c>
      <c r="S16" s="11">
        <f t="shared" si="30"/>
        <v>2.1909000000000001</v>
      </c>
      <c r="T16" s="1">
        <f>(($O16*R16)+($P16*R16)+($Q16*R16))*'Prices&amp;Fuel'!$H16</f>
        <v>1326304.08</v>
      </c>
      <c r="U16" s="1">
        <f>(($O16*S16)+($P16*S16)+($Q16*S16))*'Prices&amp;Fuel'!$H16</f>
        <v>1319798.1599999997</v>
      </c>
      <c r="V16" s="13">
        <f t="shared" si="2"/>
        <v>6505.9200000003912</v>
      </c>
      <c r="X16" s="1">
        <f t="shared" ref="X16:X31" si="33">7000*0.5</f>
        <v>3500</v>
      </c>
      <c r="Y16" s="1">
        <f t="shared" si="4"/>
        <v>3500</v>
      </c>
      <c r="Z16" s="12">
        <v>2.2000000000000002</v>
      </c>
      <c r="AA16" s="12">
        <v>2.1800000000000002</v>
      </c>
      <c r="AB16" s="1">
        <f>($X16+$Y16)*Z16*'Prices&amp;Fuel'!$H16</f>
        <v>477400.00000000006</v>
      </c>
      <c r="AC16" s="1">
        <f>($X16+$Y16)*AA16*'Prices&amp;Fuel'!$H16</f>
        <v>473060.00000000006</v>
      </c>
      <c r="AD16" s="13">
        <f t="shared" si="5"/>
        <v>4340</v>
      </c>
      <c r="AF16" s="1">
        <f>(100971/(1-'Prices&amp;Fuel'!F16))+(25000/(1-'Prices&amp;Fuel'!G16))-AI16</f>
        <v>107773.14944421573</v>
      </c>
      <c r="AG16" s="1">
        <f>(99029/(1-'Prices&amp;Fuel'!F16))-AJ16</f>
        <v>15763.631123919302</v>
      </c>
      <c r="AH16" s="1">
        <f>(75000/(1-'Prices&amp;Fuel'!G16))-AK16</f>
        <v>12321.260189378343</v>
      </c>
      <c r="AI16" s="1">
        <v>21880</v>
      </c>
      <c r="AJ16" s="1">
        <f>102050-15890</f>
        <v>86160</v>
      </c>
      <c r="AK16" s="1">
        <f>77288-12035-382</f>
        <v>64871</v>
      </c>
      <c r="AL16" s="21">
        <f>ROUND((300000/(1-'Prices&amp;Fuel'!F16))-AF16-AG16-AH16,0)</f>
        <v>172911</v>
      </c>
      <c r="AM16" s="1">
        <f>(ROUND(((((100971)/(1-'Prices&amp;Fuel'!$F16))+(25000/(1-'Prices&amp;Fuel'!$G16)))-80000-AI16),0))/2</f>
        <v>13886.5</v>
      </c>
      <c r="AN16" s="1">
        <f>ROUND(((99029/(1-'Prices&amp;Fuel'!F16))-AQ16-AJ16)/2,0)</f>
        <v>7773</v>
      </c>
      <c r="AO16" s="1">
        <f>ROUND((75000/(1-'Prices&amp;Fuel'!G16)-AV16-AK16)/2,0)</f>
        <v>259</v>
      </c>
      <c r="AP16" s="1">
        <f t="shared" si="6"/>
        <v>80000</v>
      </c>
      <c r="AQ16" s="1">
        <f>+AQ15</f>
        <v>217</v>
      </c>
      <c r="AR16" s="13">
        <f t="shared" ref="AR16:AR22" si="34">AM16</f>
        <v>13886.5</v>
      </c>
      <c r="AS16" s="13">
        <f t="shared" si="28"/>
        <v>7773</v>
      </c>
      <c r="AT16" s="13">
        <f t="shared" si="25"/>
        <v>258.90535066866505</v>
      </c>
      <c r="AU16" s="13">
        <f>AL16*AX16*'Prices&amp;Fuel'!H16</f>
        <v>268012.05000000005</v>
      </c>
      <c r="AV16" s="1">
        <f>(279400+86504)/31</f>
        <v>11803.354838709678</v>
      </c>
      <c r="AW16" s="20">
        <f t="shared" si="26"/>
        <v>0.14499999999999999</v>
      </c>
      <c r="AX16" s="20">
        <f t="shared" si="24"/>
        <v>0.05</v>
      </c>
      <c r="AY16" s="6">
        <f>('Prices&amp;Fuel'!H16*('Prices&amp;Fuel'!B16+AW16)*'Long Term Deals'!AF16)+('Prices&amp;Fuel'!H16*('Prices&amp;Fuel'!C16+'Long Term Deals'!AW16)*'Long Term Deals'!AG16)+(AH16*('Prices&amp;Fuel'!C16+AW16)*'Prices&amp;Fuel'!H16)+(AW16*AL16*'Prices&amp;Fuel'!H16)</f>
        <v>9770414.9614368044</v>
      </c>
      <c r="AZ16" s="6">
        <f>(AP16*'Prices&amp;Fuel'!H16*'Prices&amp;Fuel'!B16)+(AQ16*'Prices&amp;Fuel'!C16*'Prices&amp;Fuel'!H16)+((AM16+AR16)*('Prices&amp;Fuel'!B16+'Long Term Deals'!AX16)*'Prices&amp;Fuel'!H16)+((AN16+AS16)*('Prices&amp;Fuel'!C16+'Long Term Deals'!AX16)*'Prices&amp;Fuel'!H16)+((AO16+AT16)*('Prices&amp;Fuel'!D16+'Long Term Deals'!AX16)*'Prices&amp;Fuel'!H16)+(AV16*'Prices&amp;Fuel'!H16*'Prices&amp;Fuel'!Q16)+AU16</f>
        <v>8704670.8930588719</v>
      </c>
      <c r="BA16" s="6">
        <f t="shared" si="7"/>
        <v>1065744.0683779325</v>
      </c>
      <c r="BB16" s="6"/>
      <c r="BC16" s="14"/>
      <c r="BD16" s="14"/>
      <c r="BE16" s="14"/>
      <c r="BF16" s="14"/>
      <c r="BG16" s="14"/>
      <c r="BH16" s="25"/>
      <c r="BI16" s="14"/>
      <c r="BJ16" s="14"/>
      <c r="BK16" s="25"/>
      <c r="BL16" s="14"/>
      <c r="BM16" s="14"/>
      <c r="BN16" s="14"/>
      <c r="BO16" s="14"/>
      <c r="BP16" s="14"/>
      <c r="BQ16" s="6"/>
      <c r="BR16" s="1">
        <v>1000</v>
      </c>
      <c r="BT16" s="11">
        <v>2.0699999999999998</v>
      </c>
      <c r="BU16" s="11"/>
      <c r="BV16" s="28">
        <f t="shared" si="27"/>
        <v>2.0699999999999998</v>
      </c>
      <c r="BW16" s="28"/>
      <c r="BX16" s="1">
        <f>(BR16*BT16+BS16*BU16)*'Prices&amp;Fuel'!H16</f>
        <v>64170</v>
      </c>
      <c r="BY16" s="1">
        <f>($BR16*BV16+$BS16*BW16)*'Prices&amp;Fuel'!H16</f>
        <v>64170</v>
      </c>
      <c r="BZ16" s="6">
        <f t="shared" si="10"/>
        <v>0</v>
      </c>
      <c r="CA16" s="6">
        <f>(AF16+AG16+AH16+AL16)*0.005*'Prices&amp;Fuel'!H16</f>
        <v>47859.201317414569</v>
      </c>
      <c r="CB16" s="6">
        <f>(B16+C16+D16+O16+P16+Q16+X16+Y16+((BB16+BC16+BD16+BE16+BF16+BG16)*(1-'Prices&amp;Fuel'!F16))+BR16+BS16)*0.005*'Prices&amp;Fuel'!H16</f>
        <v>6946.0550000000003</v>
      </c>
      <c r="CC16" s="1">
        <f t="shared" si="20"/>
        <v>12859209.653104447</v>
      </c>
      <c r="CD16" s="1">
        <f t="shared" si="21"/>
        <v>11832036.811043927</v>
      </c>
      <c r="CE16" s="1">
        <f t="shared" si="22"/>
        <v>1027172.8420605194</v>
      </c>
      <c r="CF16" s="1">
        <f>'Index Price Deals'!AR16</f>
        <v>440946.99536464934</v>
      </c>
      <c r="CG16" s="1">
        <f>'Index Price Deals'!AS16</f>
        <v>884.02166666666676</v>
      </c>
      <c r="CH16" s="1">
        <f>'Index Price Deals'!AT16</f>
        <v>428994.57399826869</v>
      </c>
      <c r="CI16" s="1">
        <f>'Index Price Deals'!AU16</f>
        <v>11952.421366380644</v>
      </c>
      <c r="CJ16" s="1">
        <f t="shared" si="11"/>
        <v>13300156.648469096</v>
      </c>
      <c r="CK16" s="1">
        <f t="shared" si="12"/>
        <v>12261031.385042196</v>
      </c>
      <c r="CL16" s="1">
        <f t="shared" si="12"/>
        <v>1039125.2634269</v>
      </c>
      <c r="CM16" s="30"/>
      <c r="CN16" s="1">
        <f>Transport!U16</f>
        <v>1235911.0131999999</v>
      </c>
      <c r="CO16" s="57">
        <f>[2]Sheet1!$AL57</f>
        <v>764635.60641451972</v>
      </c>
      <c r="CQ16" s="1">
        <f>(((($B16+$C16+$D16+$O16+$P16+$Q16)*0.5)+BR16+BS16)*(0.005*'Prices&amp;Fuel'!$H16)+'Index Price Deals'!AV16)+(((BB16+BC16+BD16+BE16+BF16+BG16)*(1-'Prices&amp;Fuel'!F16))*0.005*0.5*'Prices&amp;Fuel'!H16)</f>
        <v>3737.6641666666669</v>
      </c>
      <c r="CR16" s="1">
        <f>(((($B16+$C16+$D16+$O16+$P16+$Q16)*0.5)+X16+Y16)*(0.005*'Prices&amp;Fuel'!$H16)+CA16+'Index Price Deals'!AW16)+(((BB16+BC16+BD16+BE16+BF16+BG16)*(1-'Prices&amp;Fuel'!F16))*0.005*0.5*'Prices&amp;Fuel'!H16)</f>
        <v>51951.613817414567</v>
      </c>
      <c r="CS16" s="21">
        <f>'Short Term Firm For Budget'!E16</f>
        <v>33388.239999999998</v>
      </c>
      <c r="CT16" s="1">
        <f>[3]Sheet1!$O25</f>
        <v>494844.37988353183</v>
      </c>
      <c r="CU16" s="1">
        <f>'[4]Long Term Deals'!$Z15</f>
        <v>138667.97638925241</v>
      </c>
      <c r="CV16" s="60">
        <f t="shared" si="23"/>
        <v>245061.69314714032</v>
      </c>
      <c r="CW16" s="13">
        <f>((B16+C16+D16+O16+P16+Q16+X16+Y16+AF16+AG16+AH16+BB16+BC16+BD16+BE16+BF16+BG16+BR16+BS16)+('Index Price Deals'!B16+'Index Price Deals'!C16+'Index Price Deals'!D16+'Index Price Deals'!L16+'Index Price Deals'!M16+'Index Price Deals'!N16+'Index Price Deals'!AD16+'Index Price Deals'!AE16+'Index Price Deals'!AF16+'Index Price Deals'!AK16+'Index Price Deals'!AL16+'Index Price Deals'!AM16))*'Prices&amp;Fuel'!H16</f>
        <v>5777614.5968162483</v>
      </c>
      <c r="DA16" s="3">
        <f>(B16+C16+D16)*'Prices&amp;Fuel'!H16</f>
        <v>538811</v>
      </c>
      <c r="DE16" s="3">
        <v>300000</v>
      </c>
    </row>
    <row r="17" spans="1:109" hidden="1" x14ac:dyDescent="0.25">
      <c r="A17" s="10">
        <f t="shared" ref="A17:A32" si="35">+A16+365/12</f>
        <v>36113.999999999971</v>
      </c>
      <c r="B17" s="1">
        <v>4921</v>
      </c>
      <c r="C17" s="1">
        <v>4177</v>
      </c>
      <c r="D17" s="1">
        <v>1094</v>
      </c>
      <c r="E17" s="11">
        <f>IF(1.99*1.03*1.03*1.03*1.03&gt;'Prices&amp;Fuel'!B17+0.01,1.99*1.03*1.03*1.03*1.03,'Prices&amp;Fuel'!B17+0.01)</f>
        <v>2.2397625319000003</v>
      </c>
      <c r="F17" s="11">
        <f>IF(2.035*1.03*1.03*1.03*1.03&gt;'Prices&amp;Fuel'!C17+0.01,2.035*1.03*1.03*1.03*1.03,'Prices&amp;Fuel'!C17+0.01)</f>
        <v>2.2904104283500009</v>
      </c>
      <c r="G17" s="11">
        <f>IF(2.049*1.03*1.03*1.03*1.03&gt;'Prices&amp;Fuel'!D17+0.01,2.049*1.03*1.03*1.03*1.03,'Prices&amp;Fuel'!D17+0.01)</f>
        <v>2.3061675516900002</v>
      </c>
      <c r="H17" s="11">
        <f t="shared" si="31"/>
        <v>2.2297625319000005</v>
      </c>
      <c r="I17" s="11">
        <f t="shared" si="31"/>
        <v>2.2804104283500011</v>
      </c>
      <c r="J17" s="11">
        <f t="shared" si="32"/>
        <v>2.2961675516900004</v>
      </c>
      <c r="K17" s="1">
        <f>((B17*E17)+(C17*F17)+(D17*G17))*'Prices&amp;Fuel'!H17</f>
        <v>693355.89240740146</v>
      </c>
      <c r="L17" s="1">
        <f>(($B17*H17)+($C17*I17)+($D17*J17))*'Prices&amp;Fuel'!$H17</f>
        <v>690298.29240740149</v>
      </c>
      <c r="M17" s="13">
        <f t="shared" si="1"/>
        <v>3057.5999999999767</v>
      </c>
      <c r="O17" s="1">
        <v>9036</v>
      </c>
      <c r="P17" s="1">
        <v>10794</v>
      </c>
      <c r="Q17" s="1">
        <v>5270</v>
      </c>
      <c r="R17" s="11">
        <f t="shared" si="29"/>
        <v>2.2017000000000002</v>
      </c>
      <c r="S17" s="11">
        <f t="shared" si="30"/>
        <v>2.1909000000000001</v>
      </c>
      <c r="T17" s="1">
        <f>(($O17*R17)+($P17*R17)+($Q17*R17))*'Prices&amp;Fuel'!$H17</f>
        <v>1657880.1000000003</v>
      </c>
      <c r="U17" s="1">
        <f>(($O17*S17)+($P17*S17)+($Q17*S17))*'Prices&amp;Fuel'!$H17</f>
        <v>1649747.7000000002</v>
      </c>
      <c r="V17" s="13">
        <f t="shared" si="2"/>
        <v>8132.4000000001397</v>
      </c>
      <c r="X17" s="1">
        <f t="shared" si="33"/>
        <v>3500</v>
      </c>
      <c r="Y17" s="1">
        <f t="shared" si="4"/>
        <v>3500</v>
      </c>
      <c r="Z17" s="12">
        <v>2.2000000000000002</v>
      </c>
      <c r="AA17" s="12">
        <v>2.1800000000000002</v>
      </c>
      <c r="AB17" s="1">
        <f>($X17+$Y17)*Z17*'Prices&amp;Fuel'!$H17</f>
        <v>462000.00000000006</v>
      </c>
      <c r="AC17" s="1">
        <f>($X17+$Y17)*AA17*'Prices&amp;Fuel'!$H17</f>
        <v>457800.00000000006</v>
      </c>
      <c r="AD17" s="13">
        <f t="shared" si="5"/>
        <v>4200</v>
      </c>
      <c r="AF17" s="1">
        <f>(93404/(1-'Prices&amp;Fuel'!F17))+(25000/(1-'Prices&amp;Fuel'!G17))-AI17</f>
        <v>99984.965006175378</v>
      </c>
      <c r="AG17" s="1">
        <f>(106596/(1-'Prices&amp;Fuel'!F17))-AJ17</f>
        <v>23551.815561959651</v>
      </c>
      <c r="AH17" s="1">
        <f>(75000/(1-'Prices&amp;Fuel'!G17))-AK17</f>
        <v>12321.260189378343</v>
      </c>
      <c r="AI17" s="1">
        <v>21880</v>
      </c>
      <c r="AJ17" s="1">
        <f>102050-15890</f>
        <v>86160</v>
      </c>
      <c r="AK17" s="1">
        <f>77288-12035-382</f>
        <v>64871</v>
      </c>
      <c r="AL17" s="21">
        <f>ROUND((300000/(1-'Prices&amp;Fuel'!F17))-AF17-AG17-AH17,0)</f>
        <v>172911</v>
      </c>
      <c r="AM17" s="1">
        <f>ROUND((((93404/(1-'Prices&amp;Fuel'!F17))+(25000/(1-'Prices&amp;Fuel'!G17)))-80000-AI17)/2,0)</f>
        <v>9992</v>
      </c>
      <c r="AN17" s="1">
        <f>ROUND(((106596/(1-'Prices&amp;Fuel'!F17))-AQ17-AJ17)/2,0)</f>
        <v>11667</v>
      </c>
      <c r="AO17" s="1">
        <f>ROUND((75000/(1-'Prices&amp;Fuel'!G17)-AV17-AK17)/2,0)</f>
        <v>-13</v>
      </c>
      <c r="AP17" s="1">
        <f t="shared" si="6"/>
        <v>80000</v>
      </c>
      <c r="AQ17" s="1">
        <f t="shared" ref="AQ17:AQ24" si="36">+AQ16</f>
        <v>217</v>
      </c>
      <c r="AR17" s="13">
        <f t="shared" si="34"/>
        <v>9992</v>
      </c>
      <c r="AS17" s="13">
        <f t="shared" si="28"/>
        <v>11667</v>
      </c>
      <c r="AT17" s="13">
        <f t="shared" si="25"/>
        <v>-13.573143954990883</v>
      </c>
      <c r="AU17" s="13">
        <f>AL17*AX17*'Prices&amp;Fuel'!H17</f>
        <v>259366.50000000003</v>
      </c>
      <c r="AV17" s="1">
        <f>(280615+89820)/30</f>
        <v>12347.833333333334</v>
      </c>
      <c r="AW17" s="20">
        <f t="shared" si="26"/>
        <v>0.14499999999999999</v>
      </c>
      <c r="AX17" s="20">
        <f t="shared" si="24"/>
        <v>0.05</v>
      </c>
      <c r="AY17" s="6">
        <f>('Prices&amp;Fuel'!H17*('Prices&amp;Fuel'!B17+AW17)*'Long Term Deals'!AF17)+('Prices&amp;Fuel'!H17*('Prices&amp;Fuel'!C17+'Long Term Deals'!AW17)*'Long Term Deals'!AG17)+(AH17*('Prices&amp;Fuel'!C17+AW17)*'Prices&amp;Fuel'!H17)+(AW17*AL17*'Prices&amp;Fuel'!H17)</f>
        <v>9243901.9340057615</v>
      </c>
      <c r="AZ17" s="6">
        <f>(AP17*'Prices&amp;Fuel'!H17*'Prices&amp;Fuel'!B17)+(AQ17*'Prices&amp;Fuel'!C17*'Prices&amp;Fuel'!H17)+((AM17+AR17)*('Prices&amp;Fuel'!B17+'Long Term Deals'!AX17)*'Prices&amp;Fuel'!H17)+((AN17+AS17)*('Prices&amp;Fuel'!C17+'Long Term Deals'!AX17)*'Prices&amp;Fuel'!H17)+((AO17+AT17)*('Prices&amp;Fuel'!D17+'Long Term Deals'!AX17)*'Prices&amp;Fuel'!H17)+(AV17*'Prices&amp;Fuel'!H17*'Prices&amp;Fuel'!Q17)+AU17</f>
        <v>8204345.1791354474</v>
      </c>
      <c r="BA17" s="6">
        <f t="shared" si="7"/>
        <v>1039556.7548703142</v>
      </c>
      <c r="BB17" s="6">
        <f>IF('FP Corp'!T17-((BE17+BF17+BG17)*(1-'Prices&amp;Fuel'!F17))&lt;'Prices&amp;Fuel'!R17,('FP Corp'!T17-(BE17+BF17+BG17)*(1-'Prices&amp;Fuel'!F17)),'Prices&amp;Fuel'!R17)/(1-'Prices&amp;Fuel'!F17)</f>
        <v>4329.9711815561959</v>
      </c>
      <c r="BC17" s="14">
        <f>('FP Corp'!T17/(1-'Prices&amp;Fuel'!F17))-BD17-BE17-BF17-BG17-BB17</f>
        <v>0</v>
      </c>
      <c r="BD17" s="14">
        <f>ROUND(IF('FP Corp'!T17/(1-'Prices&amp;Fuel'!F17)-BE17-BF17-BG17-BB17&gt;'Prices&amp;Fuel'!T17,'Prices&amp;Fuel'!T17,'FP Corp'!T17/(1-'Prices&amp;Fuel'!F17)-BE17-BF17-BG17-BB17),9)</f>
        <v>0</v>
      </c>
      <c r="BE17" s="14">
        <f>'Prices&amp;Fuel'!U17/(1-'Prices&amp;Fuel'!F17)</f>
        <v>2637.9168382050225</v>
      </c>
      <c r="BF17" s="14">
        <f>('Prices&amp;Fuel'!V17+'Prices&amp;Fuel'!X17)/(1-'Prices&amp;Fuel'!F17)</f>
        <v>3648.6208316179495</v>
      </c>
      <c r="BG17" s="14">
        <f>'Prices&amp;Fuel'!W17/(1-'Prices&amp;Fuel'!F17)</f>
        <v>1734.2527789213668</v>
      </c>
      <c r="BH17" s="25">
        <f>('Prices&amp;Fuel'!C17+'Prices&amp;Fuel'!D17)/2-0.05+('Prices&amp;Fuel'!M17+'Prices&amp;Fuel'!P17)*(1-'Prices&amp;Fuel'!F17)</f>
        <v>2.7057478799999997</v>
      </c>
      <c r="BI17" s="14">
        <f t="shared" ref="BI17:BI32" si="37">IF(AP17=80000,0,BB17)</f>
        <v>0</v>
      </c>
      <c r="BJ17" s="14"/>
      <c r="BK17" s="25">
        <f>(((BB17+BE17)*('Prices&amp;Fuel'!B17+0.025))+(('Prices&amp;Fuel'!D17+0.025)*(BD17+BG17))+(('Prices&amp;Fuel'!C17+0.025)*(BC17+BF17))-(BI17+BJ17)*0.025)/(BB17+BC17+BD17+BE17+BF17+BG17)</f>
        <v>1.964275</v>
      </c>
      <c r="BL17" s="14">
        <f>(BB17+BC17+BD17+BE17+BF17+BG17)*BH17*'Prices&amp;Fuel'!H17</f>
        <v>1002541.4129271304</v>
      </c>
      <c r="BM17" s="14">
        <f>'Prices&amp;Fuel'!X17*('Prices&amp;Fuel'!N17+'Prices&amp;Fuel'!O17)*'Prices&amp;Fuel'!H17</f>
        <v>4720.8960000000006</v>
      </c>
      <c r="BN17" s="14">
        <f>('Prices&amp;Fuel'!U17+'Prices&amp;Fuel'!V17+'Prices&amp;Fuel'!W17)*('Prices&amp;Fuel'!L17+'Prices&amp;Fuel'!O17)*'Prices&amp;Fuel'!H17</f>
        <v>86941.079999999987</v>
      </c>
      <c r="BO17" s="14">
        <f>((BB17+BC17+BD17)*(1-'Prices&amp;Fuel'!G17))*('Prices&amp;Fuel'!M17+'Prices&amp;Fuel'!P17)*'Prices&amp;Fuel'!H17</f>
        <v>104665.95299999998</v>
      </c>
      <c r="BP17" s="14">
        <f>((BD17+BC17+BB17+BE17+BF17+BG17)*BK17*'Prices&amp;Fuel'!H17)+BM17+BN17+BO17</f>
        <v>924136.69804075733</v>
      </c>
      <c r="BQ17" s="6">
        <f>BL17-BP17</f>
        <v>78404.714886373025</v>
      </c>
      <c r="BR17" s="1">
        <v>1000</v>
      </c>
      <c r="BT17" s="11">
        <f>IF('Prices&amp;Fuel'!$E17&lt;1.89,1.89,'Prices&amp;Fuel'!$E17)</f>
        <v>2.1259999999999999</v>
      </c>
      <c r="BU17" s="11"/>
      <c r="BV17" s="28">
        <f t="shared" si="27"/>
        <v>2.1259999999999999</v>
      </c>
      <c r="BW17" s="28"/>
      <c r="BX17" s="1">
        <f>(BR17*BT17+BS17*BU17)*'Prices&amp;Fuel'!H17</f>
        <v>63780</v>
      </c>
      <c r="BY17" s="1">
        <f>($BR17*BV17+$BS17*BW17)*'Prices&amp;Fuel'!H17</f>
        <v>63780</v>
      </c>
      <c r="BZ17" s="6">
        <f t="shared" si="10"/>
        <v>0</v>
      </c>
      <c r="CA17" s="6">
        <f>(AF17+AG17+AH17+AL17)*0.005*'Prices&amp;Fuel'!H17</f>
        <v>46315.356113627</v>
      </c>
      <c r="CB17" s="6">
        <f>(B17+C17+D17+O17+P17+Q17+X17+Y17+((BB17+BC17+BD17+BE17+BF17+BG17)*(1-'Prices&amp;Fuel'!F17))+BR17+BS17)*0.005*'Prices&amp;Fuel'!H17</f>
        <v>8293.7999999999993</v>
      </c>
      <c r="CC17" s="1">
        <f t="shared" si="20"/>
        <v>13123459.339340294</v>
      </c>
      <c r="CD17" s="1">
        <f t="shared" si="21"/>
        <v>12044717.025697235</v>
      </c>
      <c r="CE17" s="1">
        <f t="shared" si="22"/>
        <v>1078742.3136430588</v>
      </c>
      <c r="CF17" s="1">
        <f>'Index Price Deals'!AR17</f>
        <v>99721.609999999986</v>
      </c>
      <c r="CG17" s="1">
        <f>'Index Price Deals'!AS17</f>
        <v>240.75999999999996</v>
      </c>
      <c r="CH17" s="1">
        <f>'Index Price Deals'!AT17</f>
        <v>96134.771525898759</v>
      </c>
      <c r="CI17" s="1">
        <f>'Index Price Deals'!AU17</f>
        <v>3586.8384741012269</v>
      </c>
      <c r="CJ17" s="1">
        <f t="shared" si="11"/>
        <v>13223180.949340293</v>
      </c>
      <c r="CK17" s="1">
        <f t="shared" si="12"/>
        <v>12140851.797223134</v>
      </c>
      <c r="CL17" s="1">
        <f t="shared" si="12"/>
        <v>1082329.1521171599</v>
      </c>
      <c r="CM17" s="30"/>
      <c r="CN17" s="1">
        <f>Transport!U17</f>
        <v>631180.50300000003</v>
      </c>
      <c r="CO17" s="57">
        <f>[2]Sheet1!$AL58</f>
        <v>739969.94169147068</v>
      </c>
      <c r="CQ17" s="1">
        <f>(((($B17+$C17+$D17+$O17+$P17+$Q17)*0.5)+BR17+BS17)*(0.005*'Prices&amp;Fuel'!$H17)+'Index Price Deals'!AV17)+(((BB17+BC17+BD17+BE17+BF17+BG17)*(1-'Prices&amp;Fuel'!F17))*0.005*'Prices&amp;Fuel'!H17)</f>
        <v>4651.3500000000004</v>
      </c>
      <c r="CR17" s="1">
        <f>(((($B17+$C17+$D17+$O17+$P17+$Q17)*0.5)+X17+Y17)*(0.005*'Prices&amp;Fuel'!$H17)+CA17)</f>
        <v>50012.256113627001</v>
      </c>
      <c r="CS17" s="21">
        <f>'Short Term Firm For Budget'!E17</f>
        <v>15475.800000000001</v>
      </c>
      <c r="CT17" s="1">
        <f>[3]Sheet1!$O26</f>
        <v>478881.65795180504</v>
      </c>
      <c r="CU17" s="1">
        <f>'[4]Long Term Deals'!$Z16</f>
        <v>134194.81586056686</v>
      </c>
      <c r="CV17" s="60">
        <f t="shared" si="23"/>
        <v>861907.54871739238</v>
      </c>
      <c r="CW17" s="13">
        <f>((B17+C17+D17+O17+P17+Q17+X17+Y17+AF17+AG17+AH17+BB17+BC17+BD17+BE17+BF17+BG17+BR17+BS17)+('Index Price Deals'!B17+'Index Price Deals'!C17+'Index Price Deals'!D17+'Index Price Deals'!L17+'Index Price Deals'!M17+'Index Price Deals'!N17+'Index Price Deals'!AD17+'Index Price Deals'!AE17+'Index Price Deals'!AF17+'Index Price Deals'!AK17+'Index Price Deals'!AL17+'Index Price Deals'!AM17))*'Prices&amp;Fuel'!H17</f>
        <v>5793176.0716344174</v>
      </c>
      <c r="DA17" s="3">
        <f>(B17+C17+D17)*'Prices&amp;Fuel'!H17</f>
        <v>305760</v>
      </c>
      <c r="DE17" s="3">
        <v>300000</v>
      </c>
    </row>
    <row r="18" spans="1:109" hidden="1" x14ac:dyDescent="0.25">
      <c r="A18" s="10">
        <f t="shared" si="35"/>
        <v>36144.416666666635</v>
      </c>
      <c r="B18" s="1">
        <v>4921</v>
      </c>
      <c r="C18" s="1">
        <v>1874</v>
      </c>
      <c r="E18" s="11">
        <f>IF(1.99*1.03*1.03*1.03*1.03&gt;'Prices&amp;Fuel'!B18+0.01,1.99*1.03*1.03*1.03*1.03,'Prices&amp;Fuel'!B18+0.01)</f>
        <v>2.2397625319000003</v>
      </c>
      <c r="F18" s="11">
        <f>IF(2.035*1.03*1.03*1.03*1.03&gt;'Prices&amp;Fuel'!C18+0.01,2.035*1.03*1.03*1.03*1.03,'Prices&amp;Fuel'!C18+0.01)</f>
        <v>2.2904104283500009</v>
      </c>
      <c r="G18" s="11">
        <f>IF(2.049*1.03*1.03*1.03*1.03&gt;'Prices&amp;Fuel'!D18+0.01,2.049*1.03*1.03*1.03*1.03,'Prices&amp;Fuel'!D18+0.01)</f>
        <v>2.3061675516900002</v>
      </c>
      <c r="H18" s="11">
        <f t="shared" si="31"/>
        <v>2.2297625319000005</v>
      </c>
      <c r="I18" s="11">
        <f t="shared" si="31"/>
        <v>2.2804104283500011</v>
      </c>
      <c r="J18" s="11">
        <f t="shared" si="32"/>
        <v>2.2961675516900004</v>
      </c>
      <c r="K18" s="1">
        <f>((B18*E18)+(C18*F18)+(D18*G18))*'Prices&amp;Fuel'!H18</f>
        <v>474737.11742844188</v>
      </c>
      <c r="L18" s="1">
        <f>(($B18*H18)+($C18*I18)+($D18*J18))*'Prices&amp;Fuel'!$H18</f>
        <v>472630.66742844193</v>
      </c>
      <c r="M18" s="13">
        <f t="shared" si="1"/>
        <v>2106.4499999999534</v>
      </c>
      <c r="O18" s="1">
        <v>9036</v>
      </c>
      <c r="P18" s="1">
        <v>10794</v>
      </c>
      <c r="Q18" s="1">
        <v>5270</v>
      </c>
      <c r="R18" s="11">
        <f t="shared" si="29"/>
        <v>2.2017000000000002</v>
      </c>
      <c r="S18" s="11">
        <f t="shared" si="30"/>
        <v>2.1909000000000001</v>
      </c>
      <c r="T18" s="1">
        <f>(($O18*R18)+($P18*R18)+($Q18*R18))*'Prices&amp;Fuel'!$H18</f>
        <v>1713142.7700000005</v>
      </c>
      <c r="U18" s="1">
        <f>(($O18*S18)+($P18*S18)+($Q18*S18))*'Prices&amp;Fuel'!$H18</f>
        <v>1704739.29</v>
      </c>
      <c r="V18" s="13">
        <f t="shared" si="2"/>
        <v>8403.480000000447</v>
      </c>
      <c r="X18" s="1">
        <f t="shared" si="33"/>
        <v>3500</v>
      </c>
      <c r="Y18" s="1">
        <f t="shared" si="4"/>
        <v>3500</v>
      </c>
      <c r="Z18" s="12">
        <v>2.2000000000000002</v>
      </c>
      <c r="AA18" s="12">
        <v>2.1800000000000002</v>
      </c>
      <c r="AB18" s="1">
        <f>($X18+$Y18)*Z18*'Prices&amp;Fuel'!$H18</f>
        <v>477400.00000000006</v>
      </c>
      <c r="AC18" s="1">
        <f>($X18+$Y18)*AA18*'Prices&amp;Fuel'!$H18</f>
        <v>473060.00000000006</v>
      </c>
      <c r="AD18" s="13">
        <f t="shared" si="5"/>
        <v>4340</v>
      </c>
      <c r="AF18" s="1">
        <f>(93404/(1-'Prices&amp;Fuel'!F18))+(25000/(1-'Prices&amp;Fuel'!G18))-AI18</f>
        <v>121864.96500617538</v>
      </c>
      <c r="AG18" s="1">
        <f>(106596/(1-'Prices&amp;Fuel'!F18))-AJ18</f>
        <v>109711.81556195965</v>
      </c>
      <c r="AH18" s="1">
        <f>(75000/(1-'Prices&amp;Fuel'!G18))-AK18</f>
        <v>77192.260189378343</v>
      </c>
      <c r="AI18" s="1"/>
      <c r="AJ18" s="1"/>
      <c r="AK18" s="1"/>
      <c r="AL18" s="21">
        <f>ROUND((300000/(1-'Prices&amp;Fuel'!F18))-AF18-AG18-AH18,0)</f>
        <v>0</v>
      </c>
      <c r="AM18" s="1">
        <f>ROUND((((93404/(1-'Prices&amp;Fuel'!F18))+(25000/(1-'Prices&amp;Fuel'!G18)))-80000-AI18)/2,0)</f>
        <v>20932</v>
      </c>
      <c r="AN18" s="1">
        <f>ROUND(((106596/(1-'Prices&amp;Fuel'!F18))-AQ18-AJ18)/2,0)</f>
        <v>54747</v>
      </c>
      <c r="AO18" s="1">
        <f>ROUND((75000/(1-'Prices&amp;Fuel'!G18)-AV18-AK18)/2,0)</f>
        <v>32993</v>
      </c>
      <c r="AP18" s="1">
        <f t="shared" si="6"/>
        <v>80000</v>
      </c>
      <c r="AQ18" s="1">
        <f t="shared" si="36"/>
        <v>217</v>
      </c>
      <c r="AR18" s="13">
        <f t="shared" si="34"/>
        <v>20932</v>
      </c>
      <c r="AS18" s="13">
        <f t="shared" si="28"/>
        <v>54747</v>
      </c>
      <c r="AT18" s="13">
        <f t="shared" si="25"/>
        <v>32993.260189378343</v>
      </c>
      <c r="AU18" s="13">
        <f>AL18*AX18*'Prices&amp;Fuel'!H18</f>
        <v>0</v>
      </c>
      <c r="AV18" s="1">
        <f>(255502+91884)/31</f>
        <v>11206</v>
      </c>
      <c r="AW18" s="20">
        <f t="shared" si="26"/>
        <v>0.14499999999999999</v>
      </c>
      <c r="AX18" s="20">
        <f t="shared" si="24"/>
        <v>0.05</v>
      </c>
      <c r="AY18" s="6">
        <f>('Prices&amp;Fuel'!H18*('Prices&amp;Fuel'!B18+AW18)*'Long Term Deals'!AF18)+('Prices&amp;Fuel'!H18*('Prices&amp;Fuel'!C18+'Long Term Deals'!AW18)*'Long Term Deals'!AG18)+(AH18*('Prices&amp;Fuel'!C18+AW18)*'Prices&amp;Fuel'!H18)+(AW18*AL18*'Prices&amp;Fuel'!H18)</f>
        <v>21491327.501029231</v>
      </c>
      <c r="AZ18" s="6">
        <f>(AP18*'Prices&amp;Fuel'!H18*'Prices&amp;Fuel'!B18)+(AQ18*'Prices&amp;Fuel'!C18*'Prices&amp;Fuel'!H18)+((AM18+AR18)*('Prices&amp;Fuel'!B18+'Long Term Deals'!AX18)*'Prices&amp;Fuel'!H18)+((AN18+AS18)*('Prices&amp;Fuel'!C18+'Long Term Deals'!AX18)*'Prices&amp;Fuel'!H18)+((AO18+AT18)*('Prices&amp;Fuel'!D18+'Long Term Deals'!AX18)*'Prices&amp;Fuel'!H18)+(AV18*'Prices&amp;Fuel'!H18*'Prices&amp;Fuel'!Q18)+AU18</f>
        <v>20316243.999645945</v>
      </c>
      <c r="BA18" s="6">
        <f t="shared" si="7"/>
        <v>1175083.501383286</v>
      </c>
      <c r="BB18" s="6">
        <f>IF('FP Corp'!T18-((BE18+BF18+BG18)*(1-'Prices&amp;Fuel'!F18))&lt;'Prices&amp;Fuel'!R18,('FP Corp'!T18-(BE18+BF18+BG18)*(1-'Prices&amp;Fuel'!F18)),'Prices&amp;Fuel'!R18)/(1-'Prices&amp;Fuel'!F18)</f>
        <v>4329.9711815561959</v>
      </c>
      <c r="BC18" s="14">
        <f>('FP Corp'!T18/(1-'Prices&amp;Fuel'!F18))-BD18-BE18-BF18-BG18-BB18</f>
        <v>0</v>
      </c>
      <c r="BD18" s="14">
        <f>ROUND(IF('FP Corp'!T18/(1-'Prices&amp;Fuel'!F18)-BE18-BF18-BG18-BB18&gt;'Prices&amp;Fuel'!T18,'Prices&amp;Fuel'!T18,'FP Corp'!T18/(1-'Prices&amp;Fuel'!F18)-BE18-BF18-BG18-BB18),9)</f>
        <v>0</v>
      </c>
      <c r="BE18" s="14">
        <f>'Prices&amp;Fuel'!U18/(1-'Prices&amp;Fuel'!F18)</f>
        <v>2637.9168382050225</v>
      </c>
      <c r="BF18" s="14">
        <f>('Prices&amp;Fuel'!V18+'Prices&amp;Fuel'!X18)/(1-'Prices&amp;Fuel'!F18)</f>
        <v>3648.6208316179495</v>
      </c>
      <c r="BG18" s="14">
        <f>'Prices&amp;Fuel'!W18/(1-'Prices&amp;Fuel'!F18)</f>
        <v>1734.2527789213668</v>
      </c>
      <c r="BH18" s="25">
        <f>('Prices&amp;Fuel'!C18+'Prices&amp;Fuel'!D18)/2-0.05+('Prices&amp;Fuel'!M18+'Prices&amp;Fuel'!P18)*(1-'Prices&amp;Fuel'!F18)</f>
        <v>2.8507478800000001</v>
      </c>
      <c r="BI18" s="14">
        <f t="shared" si="37"/>
        <v>0</v>
      </c>
      <c r="BJ18" s="14"/>
      <c r="BK18" s="25">
        <f>(((BB18+BE18)*('Prices&amp;Fuel'!B18+0.025))+(('Prices&amp;Fuel'!D18+0.025)*(BD18+BG18))+(('Prices&amp;Fuel'!C18+0.025)*(BC18+BF18))-(BI18+BJ18)*0.025)/(BB18+BC18+BD18+BE18+BF18+BG18)</f>
        <v>2.1097708333333332</v>
      </c>
      <c r="BL18" s="14">
        <f>(BB18+BC18+BD18+BE18+BF18+BG18)*BH18*'Prices&amp;Fuel'!H18</f>
        <v>1091476.1335529024</v>
      </c>
      <c r="BM18" s="14">
        <f>'Prices&amp;Fuel'!X18*('Prices&amp;Fuel'!N18+'Prices&amp;Fuel'!O18)*'Prices&amp;Fuel'!H18</f>
        <v>4878.2592000000004</v>
      </c>
      <c r="BN18" s="14">
        <f>('Prices&amp;Fuel'!U18+'Prices&amp;Fuel'!V18+'Prices&amp;Fuel'!W18)*('Prices&amp;Fuel'!L18+'Prices&amp;Fuel'!O18)*'Prices&amp;Fuel'!H18</f>
        <v>89839.115999999995</v>
      </c>
      <c r="BO18" s="14">
        <f>((BB18+BC18+BD18)*(1-'Prices&amp;Fuel'!G18))*('Prices&amp;Fuel'!M18+'Prices&amp;Fuel'!P18)*'Prices&amp;Fuel'!H18</f>
        <v>108154.81809999999</v>
      </c>
      <c r="BP18" s="14">
        <f>((BD18+BC18+BB18+BE18+BF18+BG18)*BK18*'Prices&amp;Fuel'!H18)+BM18+BN18+BO18</f>
        <v>1010647.7696688761</v>
      </c>
      <c r="BQ18" s="6">
        <f t="shared" ref="BQ18:BQ33" si="38">BL18-BP18</f>
        <v>80828.363884026301</v>
      </c>
      <c r="BR18" s="1">
        <v>1000</v>
      </c>
      <c r="BT18" s="11">
        <f>IF('Prices&amp;Fuel'!$E18&lt;1.89,1.89,'Prices&amp;Fuel'!$E18)</f>
        <v>2.1362999999999999</v>
      </c>
      <c r="BU18" s="11"/>
      <c r="BV18" s="28">
        <f t="shared" si="27"/>
        <v>2.1362999999999999</v>
      </c>
      <c r="BW18" s="28"/>
      <c r="BX18" s="1">
        <f>(BR18*BT18+BS18*BU18)*'Prices&amp;Fuel'!H18</f>
        <v>66225.299999999988</v>
      </c>
      <c r="BY18" s="1">
        <f>($BR18*BV18+$BS18*BW18)*'Prices&amp;Fuel'!H18</f>
        <v>66225.299999999988</v>
      </c>
      <c r="BZ18" s="6">
        <f t="shared" si="10"/>
        <v>0</v>
      </c>
      <c r="CA18" s="6">
        <f>(AF18+AG18+AH18+AL18)*0.005*'Prices&amp;Fuel'!H18</f>
        <v>47859.201317414569</v>
      </c>
      <c r="CB18" s="6">
        <f>(B18+C18+D18+O18+P18+Q18+X18+Y18+BB18+BC18+BD18+BE18+BF18+BG18+BR18+BS18)*0.005*'Prices&amp;Fuel'!H18</f>
        <v>8098.0930526965813</v>
      </c>
      <c r="CC18" s="1">
        <f t="shared" si="20"/>
        <v>25314308.822010577</v>
      </c>
      <c r="CD18" s="1">
        <f t="shared" si="21"/>
        <v>24099504.321113374</v>
      </c>
      <c r="CE18" s="1">
        <f t="shared" si="22"/>
        <v>1214804.5008972026</v>
      </c>
      <c r="CF18" s="1">
        <f>'Index Price Deals'!AR18</f>
        <v>205101.46333333338</v>
      </c>
      <c r="CG18" s="1">
        <f>'Index Price Deals'!AS18</f>
        <v>459.78166666666664</v>
      </c>
      <c r="CH18" s="1">
        <f>'Index Price Deals'!AT18</f>
        <v>198216.21456980699</v>
      </c>
      <c r="CI18" s="1">
        <f>'Index Price Deals'!AU18</f>
        <v>6885.2487635263824</v>
      </c>
      <c r="CJ18" s="1">
        <f t="shared" si="11"/>
        <v>25519410.285343911</v>
      </c>
      <c r="CK18" s="1">
        <f t="shared" si="12"/>
        <v>24297720.535683181</v>
      </c>
      <c r="CL18" s="1">
        <f t="shared" si="12"/>
        <v>1221689.749660729</v>
      </c>
      <c r="CM18" s="1">
        <f>SUM(CL7:CL18)</f>
        <v>14683645.506881298</v>
      </c>
      <c r="CN18" s="1">
        <f>Transport!U18</f>
        <v>652219.85309999995</v>
      </c>
      <c r="CO18" s="57">
        <f>[2]Sheet1!$AL59</f>
        <v>764635.60641451972</v>
      </c>
      <c r="CQ18" s="1">
        <f>(((($B18+$C18+$D18+$O18+$P18+$Q18)*0.5)+BR18+BS18)*(0.005*'Prices&amp;Fuel'!$H18)+'Index Price Deals'!AV18)+(((BB18+BC18+BD18+BE18+BF18+BG18)*(1-'Prices&amp;Fuel'!F18))*0.005*0.5*'Prices&amp;Fuel'!H18)</f>
        <v>3634.8791666666666</v>
      </c>
      <c r="CR18" s="1">
        <f>(((($B18+$C18+$D18+$O18+$P18+$Q18)*0.5)+X18+Y18)*(0.005*'Prices&amp;Fuel'!$H18)+CA18+'Index Price Deals'!AW18)+(((BB18+BC18+BD18+BE18+BF18+BG18)*(1-'Prices&amp;Fuel'!F18))*0.005*0.5*'Prices&amp;Fuel'!H18)</f>
        <v>52727.828817414571</v>
      </c>
      <c r="CS18" s="21">
        <f>'Short Term Firm For Budget'!E18</f>
        <v>15991.66</v>
      </c>
      <c r="CT18" s="1">
        <f>[3]Sheet1!$O27</f>
        <v>494844.37988353183</v>
      </c>
      <c r="CU18" s="1">
        <f>'[4]Long Term Deals'!$Z17</f>
        <v>138667.97638925241</v>
      </c>
      <c r="CV18" s="60">
        <f t="shared" si="23"/>
        <v>993920.75948096928</v>
      </c>
      <c r="CW18" s="13">
        <f>((B18+C18+D18+O18+P18+Q18+X18+Y18+AF18+AG18+AH18+BB18+BC18+BD18+BE18+BF18+BG18+BR18+BS18)+('Index Price Deals'!B18+'Index Price Deals'!C18+'Index Price Deals'!D18+'Index Price Deals'!L18+'Index Price Deals'!M18+'Index Price Deals'!N18+'Index Price Deals'!AD18+'Index Price Deals'!AE18+'Index Price Deals'!AF18+'Index Price Deals'!AK18+'Index Price Deals'!AL18+'Index Price Deals'!AM18))*'Prices&amp;Fuel'!H18</f>
        <v>11283415.207355564</v>
      </c>
      <c r="DA18" s="3">
        <f>(B18+C18+D18)*'Prices&amp;Fuel'!H18</f>
        <v>210645</v>
      </c>
      <c r="DE18" s="3">
        <v>300000</v>
      </c>
    </row>
    <row r="19" spans="1:109" hidden="1" x14ac:dyDescent="0.25">
      <c r="A19" s="10">
        <f t="shared" si="35"/>
        <v>36174.833333333299</v>
      </c>
      <c r="B19" s="1">
        <v>4921</v>
      </c>
      <c r="C19" s="1">
        <v>1874</v>
      </c>
      <c r="E19" s="11">
        <f>IF(1.99*1.03*1.03*1.03*1.03&gt;'Prices&amp;Fuel'!B19+0.01,1.99*1.03*1.03*1.03*1.03,'Prices&amp;Fuel'!B19+0.01)</f>
        <v>2.2397625319000003</v>
      </c>
      <c r="F19" s="11">
        <f>IF(2.035*1.03*1.03*1.03*1.03&gt;'Prices&amp;Fuel'!C19+0.01,2.035*1.03*1.03*1.03*1.03,'Prices&amp;Fuel'!C19+0.01)</f>
        <v>2.2904104283500009</v>
      </c>
      <c r="G19" s="11">
        <f>IF(2.049*1.03*1.03*1.03*1.03&gt;'Prices&amp;Fuel'!D19+0.01,2.049*1.03*1.03*1.03*1.03,'Prices&amp;Fuel'!D19+0.01)</f>
        <v>2.3061675516900002</v>
      </c>
      <c r="H19" s="11">
        <f t="shared" si="31"/>
        <v>2.2297625319000005</v>
      </c>
      <c r="I19" s="11">
        <f t="shared" si="31"/>
        <v>2.2804104283500011</v>
      </c>
      <c r="J19" s="11">
        <f t="shared" si="32"/>
        <v>2.2961675516900004</v>
      </c>
      <c r="K19" s="1">
        <f>((B19*E19)+(C19*F19)+(D19*G19))*'Prices&amp;Fuel'!H19</f>
        <v>474737.11742844188</v>
      </c>
      <c r="L19" s="1">
        <f>(($B19*H19)+($C19*I19)+($D19*J19))*'Prices&amp;Fuel'!$H19</f>
        <v>472630.66742844193</v>
      </c>
      <c r="M19" s="13">
        <f t="shared" si="1"/>
        <v>2106.4499999999534</v>
      </c>
      <c r="O19" s="1">
        <v>9036</v>
      </c>
      <c r="P19" s="1">
        <v>10794</v>
      </c>
      <c r="Q19" s="1">
        <v>5270</v>
      </c>
      <c r="R19" s="11">
        <f t="shared" si="29"/>
        <v>2.2017000000000002</v>
      </c>
      <c r="S19" s="11">
        <f t="shared" si="30"/>
        <v>2.1909000000000001</v>
      </c>
      <c r="T19" s="1">
        <f>(($O19*R19)+($P19*R19)+($Q19*R19))*'Prices&amp;Fuel'!$H19</f>
        <v>1713142.7700000005</v>
      </c>
      <c r="U19" s="1">
        <f>(($O19*S19)+($P19*S19)+($Q19*S19))*'Prices&amp;Fuel'!$H19</f>
        <v>1704739.29</v>
      </c>
      <c r="V19" s="13">
        <f t="shared" si="2"/>
        <v>8403.480000000447</v>
      </c>
      <c r="X19" s="1">
        <f t="shared" si="33"/>
        <v>3500</v>
      </c>
      <c r="Y19" s="1">
        <f t="shared" si="4"/>
        <v>3500</v>
      </c>
      <c r="Z19" s="12">
        <v>2.2000000000000002</v>
      </c>
      <c r="AA19" s="12">
        <v>2.1800000000000002</v>
      </c>
      <c r="AB19" s="1">
        <f>($X19+$Y19)*Z19*'Prices&amp;Fuel'!$H19</f>
        <v>477400.00000000006</v>
      </c>
      <c r="AC19" s="1">
        <f>($X19+$Y19)*AA19*'Prices&amp;Fuel'!$H19</f>
        <v>473060.00000000006</v>
      </c>
      <c r="AD19" s="13">
        <f t="shared" si="5"/>
        <v>4340</v>
      </c>
      <c r="AF19" s="1">
        <f>(93404/(1-'Prices&amp;Fuel'!F19))+(25000/(1-'Prices&amp;Fuel'!G19))-AI19</f>
        <v>121440</v>
      </c>
      <c r="AG19" s="1">
        <f>(106596/(1-'Prices&amp;Fuel'!F19))-AJ19</f>
        <v>109329.23076923077</v>
      </c>
      <c r="AH19" s="1">
        <f>(75000/(1-'Prices&amp;Fuel'!G19))-AK19</f>
        <v>76923.076923076922</v>
      </c>
      <c r="AI19" s="1"/>
      <c r="AJ19" s="1"/>
      <c r="AK19" s="1"/>
      <c r="AL19" s="21">
        <f>ROUND((300000/(1-'Prices&amp;Fuel'!F19))-AF19-AG19-AH19,0)</f>
        <v>0</v>
      </c>
      <c r="AM19" s="1">
        <f>ROUND((((93404/(1-'Prices&amp;Fuel'!F19))+(25000/(1-'Prices&amp;Fuel'!G19)))-80000-AI19)/2,0)</f>
        <v>20720</v>
      </c>
      <c r="AN19" s="1">
        <f>ROUND(((106596/(1-'Prices&amp;Fuel'!F19))-AQ19-AJ19)/2,0)</f>
        <v>54556</v>
      </c>
      <c r="AO19" s="1">
        <f>ROUND((75000/(1-'Prices&amp;Fuel'!G19)-AV19-AK19)/2,0)</f>
        <v>32623</v>
      </c>
      <c r="AP19" s="1">
        <f t="shared" si="6"/>
        <v>80000</v>
      </c>
      <c r="AQ19" s="1">
        <f t="shared" si="36"/>
        <v>217</v>
      </c>
      <c r="AR19" s="13">
        <f t="shared" si="34"/>
        <v>20720</v>
      </c>
      <c r="AS19" s="13">
        <f t="shared" si="28"/>
        <v>54556</v>
      </c>
      <c r="AT19" s="13">
        <f t="shared" si="25"/>
        <v>32622.141439205952</v>
      </c>
      <c r="AU19" s="13">
        <f>AL19*AX19*'Prices&amp;Fuel'!H19</f>
        <v>0</v>
      </c>
      <c r="AV19" s="1">
        <f>(278112+83904)/31</f>
        <v>11677.935483870968</v>
      </c>
      <c r="AW19" s="20">
        <v>0.14000000000000001</v>
      </c>
      <c r="AX19" s="20">
        <f t="shared" si="24"/>
        <v>0.05</v>
      </c>
      <c r="AY19" s="6">
        <f>('Prices&amp;Fuel'!H19*('Prices&amp;Fuel'!B19+AW19)*'Long Term Deals'!AF19)+('Prices&amp;Fuel'!H19*('Prices&amp;Fuel'!C19+'Long Term Deals'!AW19)*'Long Term Deals'!AG19)+(AH19*('Prices&amp;Fuel'!C19+AW19)*'Prices&amp;Fuel'!H19)+(AW19*AL19*'Prices&amp;Fuel'!H19)</f>
        <v>18125614.153846152</v>
      </c>
      <c r="AZ19" s="6">
        <f>(AP19*'Prices&amp;Fuel'!H19*'Prices&amp;Fuel'!B19)+(AQ19*'Prices&amp;Fuel'!C19*'Prices&amp;Fuel'!H19)+((AM19+AR19)*('Prices&amp;Fuel'!B19+'Long Term Deals'!AX19)*'Prices&amp;Fuel'!H19)+((AN19+AS19)*('Prices&amp;Fuel'!C19+'Long Term Deals'!AX19)*'Prices&amp;Fuel'!H19)+((AO19+AT19)*('Prices&amp;Fuel'!D19+'Long Term Deals'!AX19)*'Prices&amp;Fuel'!H19)+(AV19*'Prices&amp;Fuel'!H19*'Prices&amp;Fuel'!Q19)+AU19</f>
        <v>17006154.334615383</v>
      </c>
      <c r="BA19" s="6">
        <f t="shared" si="7"/>
        <v>1119459.8192307688</v>
      </c>
      <c r="BB19" s="6">
        <f>IF('FP Corp'!T19-((BE19+BF19+BG19)*(1-'Prices&amp;Fuel'!F19))&lt;'Prices&amp;Fuel'!R19,('FP Corp'!T19-(BE19+BF19+BG19)*(1-'Prices&amp;Fuel'!F19)),'Prices&amp;Fuel'!R19)/(1-'Prices&amp;Fuel'!F19)</f>
        <v>4314.8717948717949</v>
      </c>
      <c r="BC19" s="14">
        <f>('FP Corp'!T19/(1-'Prices&amp;Fuel'!F19))-BD19-BE19-BF19-BG19-BB19</f>
        <v>0</v>
      </c>
      <c r="BD19" s="14">
        <f>ROUND(IF('FP Corp'!T19/(1-'Prices&amp;Fuel'!F19)-BE19-BF19-BG19-BB19&gt;'Prices&amp;Fuel'!T19,'Prices&amp;Fuel'!T19,'FP Corp'!T19/(1-'Prices&amp;Fuel'!F19)-BE19-BF19-BG19-BB19),9)</f>
        <v>0</v>
      </c>
      <c r="BE19" s="14">
        <f>'Prices&amp;Fuel'!U19/(1-'Prices&amp;Fuel'!F19)</f>
        <v>2628.7179487179487</v>
      </c>
      <c r="BF19" s="14">
        <f>('Prices&amp;Fuel'!V19+'Prices&amp;Fuel'!X19)/(1-'Prices&amp;Fuel'!F19)</f>
        <v>3635.897435897436</v>
      </c>
      <c r="BG19" s="14">
        <f>'Prices&amp;Fuel'!W19/(1-'Prices&amp;Fuel'!F19)</f>
        <v>1728.2051282051282</v>
      </c>
      <c r="BH19" s="25">
        <f>('Prices&amp;Fuel'!C19+'Prices&amp;Fuel'!D19)/2-0.05+('Prices&amp;Fuel'!M19+'Prices&amp;Fuel'!P19)*(1-'Prices&amp;Fuel'!F19)</f>
        <v>2.5114224999999997</v>
      </c>
      <c r="BI19" s="14">
        <f t="shared" si="37"/>
        <v>0</v>
      </c>
      <c r="BJ19" s="14"/>
      <c r="BK19" s="25">
        <f>(((BB19+BE19)*('Prices&amp;Fuel'!B19+0.025))+(('Prices&amp;Fuel'!D19+0.025)*(BD19+BG19))+(('Prices&amp;Fuel'!C19+0.025)*(BC19+BF19))-(BI19+BJ19)*0.025)/(BB19+BC19+BD19+BE19+BF19+BG19)</f>
        <v>1.7697708333333331</v>
      </c>
      <c r="BL19" s="14">
        <f>(BB19+BC19+BD19+BE19+BF19+BG19)*BH19*'Prices&amp;Fuel'!H19</f>
        <v>958204.27692307695</v>
      </c>
      <c r="BM19" s="14">
        <f>'Prices&amp;Fuel'!X19*('Prices&amp;Fuel'!N19+'Prices&amp;Fuel'!O19)*'Prices&amp;Fuel'!H19</f>
        <v>4850.7343000000001</v>
      </c>
      <c r="BN19" s="14">
        <f>('Prices&amp;Fuel'!U19+'Prices&amp;Fuel'!V19+'Prices&amp;Fuel'!W19)*('Prices&amp;Fuel'!L19+'Prices&amp;Fuel'!O19)*'Prices&amp;Fuel'!H19</f>
        <v>89354.214000000007</v>
      </c>
      <c r="BO19" s="14">
        <f>((BB19+BC19+BD19)*(1-'Prices&amp;Fuel'!G19))*('Prices&amp;Fuel'!M19+'Prices&amp;Fuel'!P19)*'Prices&amp;Fuel'!H19</f>
        <v>107867.9007</v>
      </c>
      <c r="BP19" s="14">
        <f>((BD19+BC19+BB19+BE19+BF19+BG19)*BK19*'Prices&amp;Fuel'!H19)+BM19+BN19+BO19</f>
        <v>877308.49002564105</v>
      </c>
      <c r="BQ19" s="6">
        <f t="shared" si="38"/>
        <v>80895.786897435901</v>
      </c>
      <c r="BR19" s="1">
        <v>1000</v>
      </c>
      <c r="BT19" s="11">
        <f>IF('Prices&amp;Fuel'!$E19&lt;1.89,1.89,'Prices&amp;Fuel'!$E19)</f>
        <v>1.89</v>
      </c>
      <c r="BU19" s="11"/>
      <c r="BV19" s="28">
        <f t="shared" si="27"/>
        <v>1.89</v>
      </c>
      <c r="BW19" s="28"/>
      <c r="BX19" s="1">
        <f>(BR19*BT19+BS19*BU19)*'Prices&amp;Fuel'!H19</f>
        <v>58590</v>
      </c>
      <c r="BY19" s="1">
        <f>($BR19*BV19+$BS19*BW19)*'Prices&amp;Fuel'!H19</f>
        <v>58590</v>
      </c>
      <c r="BZ19" s="6">
        <f t="shared" si="10"/>
        <v>0</v>
      </c>
      <c r="CA19" s="6">
        <f>(AF19+AG19+AH19+AL19)*0.005*'Prices&amp;Fuel'!H19</f>
        <v>47692.307692307695</v>
      </c>
      <c r="CB19" s="6">
        <f>(B19+C19+D19+O19+P19+Q19+X19+Y19+BB19+BC19+BD19+BE19+BF19+BG19+BR19+BS19)*0.005*'Prices&amp;Fuel'!H19</f>
        <v>8091.4173076923071</v>
      </c>
      <c r="CC19" s="1">
        <f t="shared" si="20"/>
        <v>21807688.318197671</v>
      </c>
      <c r="CD19" s="1">
        <f t="shared" si="21"/>
        <v>20648266.507069465</v>
      </c>
      <c r="CE19" s="1">
        <f t="shared" si="22"/>
        <v>1159421.8111282066</v>
      </c>
      <c r="CF19" s="1">
        <f>'Index Price Deals'!AR19</f>
        <v>136333</v>
      </c>
      <c r="CG19" s="1">
        <f>'Index Price Deals'!AS19</f>
        <v>359.59499999999997</v>
      </c>
      <c r="CH19" s="1">
        <f>'Index Price Deals'!AT19</f>
        <v>130885.14936544935</v>
      </c>
      <c r="CI19" s="1">
        <f>'Index Price Deals'!AU19</f>
        <v>5447.8506345506466</v>
      </c>
      <c r="CJ19" s="1">
        <f t="shared" si="11"/>
        <v>21944021.318197671</v>
      </c>
      <c r="CK19" s="1">
        <f t="shared" si="12"/>
        <v>20779151.656434916</v>
      </c>
      <c r="CL19" s="1">
        <f t="shared" si="12"/>
        <v>1164869.6617627572</v>
      </c>
      <c r="CM19" s="30"/>
      <c r="CN19" s="1">
        <f>Transport!U19</f>
        <v>651500.22840000002</v>
      </c>
      <c r="CO19" s="57">
        <f>[2]Sheet1!$AL60</f>
        <v>764635.60641451972</v>
      </c>
      <c r="CQ19" s="1">
        <f>(((($B19+$C19+$D19+$O19+$P19+$Q19)*0.5)+BR19+BS19)*(0.005*'Prices&amp;Fuel'!$H19)+'Index Price Deals'!AV19)+(((BB19+BC19+BD19+BE19+BF19+BG19)*(1-'Prices&amp;Fuel'!F19))*0.005*0.5*'Prices&amp;Fuel'!H19)</f>
        <v>3607.0825</v>
      </c>
      <c r="CR19" s="1">
        <f>(((($B19+$C19+$D19+$O19+$P19+$Q19)*0.5)+X19+Y19)*(0.005*'Prices&amp;Fuel'!$H19)+CA19+'Index Price Deals'!AW19)+(((BB19+BC19+BD19+BE19+BF19+BG19)*(1-'Prices&amp;Fuel'!F19))*0.005*0.5*'Prices&amp;Fuel'!H19)</f>
        <v>52488.545192307698</v>
      </c>
      <c r="CS19" s="21">
        <f>'Short Term Firm For Budget'!E19</f>
        <v>215887.41000000003</v>
      </c>
      <c r="CT19" s="1">
        <f>[3]Sheet1!$O29</f>
        <v>446881.51242607983</v>
      </c>
      <c r="CU19" s="1">
        <f>'[4]Long Term Deals'!$Z18</f>
        <v>138667.97638925241</v>
      </c>
      <c r="CV19" s="60">
        <f t="shared" si="23"/>
        <v>1185678.9137404496</v>
      </c>
      <c r="CW19" s="13">
        <f>((B19+C19+D19+O19+P19+Q19+X19+Y19+AF19+AG19+AH19+BB19+BC19+BD19+BE19+BF19+BG19+BR19+BS19)+('Index Price Deals'!B19+'Index Price Deals'!C19+'Index Price Deals'!D19+'Index Price Deals'!L19+'Index Price Deals'!M19+'Index Price Deals'!N19+'Index Price Deals'!AD19+'Index Price Deals'!AE19+'Index Price Deals'!AF19+'Index Price Deals'!AK19+'Index Price Deals'!AL19+'Index Price Deals'!AM19))*'Prices&amp;Fuel'!H19</f>
        <v>11228664</v>
      </c>
      <c r="CX19" s="65">
        <f>BQ19/(BB19+BC19+BD19+BE19+BF19+BG19)/'Prices&amp;Fuel'!H19</f>
        <v>0.21202524791666666</v>
      </c>
      <c r="CZ19" s="28">
        <f>(BA19-CT19+CU19)/(AF19+AG19+AH19)/'Prices&amp;Fuel'!H19</f>
        <v>8.5050013560655155E-2</v>
      </c>
      <c r="DA19" s="3">
        <f>(B19+C19+D19)*'Prices&amp;Fuel'!$H19</f>
        <v>210645</v>
      </c>
      <c r="DB19" s="3">
        <f>(O19+P19+Q19)*'Prices&amp;Fuel'!$H19</f>
        <v>778100</v>
      </c>
      <c r="DC19" s="3">
        <f>(X19+Y19)*'Prices&amp;Fuel'!$H19</f>
        <v>217000</v>
      </c>
      <c r="DD19" s="3">
        <f>(BR19)*'Prices&amp;Fuel'!$H19</f>
        <v>31000</v>
      </c>
      <c r="DE19" s="3">
        <v>300000</v>
      </c>
    </row>
    <row r="20" spans="1:109" hidden="1" x14ac:dyDescent="0.25">
      <c r="A20" s="10">
        <f t="shared" si="35"/>
        <v>36205.249999999964</v>
      </c>
      <c r="B20" s="1">
        <v>4921</v>
      </c>
      <c r="C20" s="1">
        <v>1874</v>
      </c>
      <c r="E20" s="11">
        <f>IF(1.99*1.03*1.03*1.03*1.03&gt;'Prices&amp;Fuel'!B20+0.01,1.99*1.03*1.03*1.03*1.03,'Prices&amp;Fuel'!B20+0.01)</f>
        <v>2.2397625319000003</v>
      </c>
      <c r="F20" s="11">
        <f>IF(2.035*1.03*1.03*1.03*1.03&gt;'Prices&amp;Fuel'!C20+0.01,2.035*1.03*1.03*1.03*1.03,'Prices&amp;Fuel'!C20+0.01)</f>
        <v>2.2904104283500009</v>
      </c>
      <c r="G20" s="11">
        <f>IF(2.049*1.03*1.03*1.03*1.03&gt;'Prices&amp;Fuel'!D20+0.01,2.049*1.03*1.03*1.03*1.03,'Prices&amp;Fuel'!D20+0.01)</f>
        <v>2.3061675516900002</v>
      </c>
      <c r="H20" s="11">
        <f t="shared" si="31"/>
        <v>2.2297625319000005</v>
      </c>
      <c r="I20" s="11">
        <f t="shared" si="31"/>
        <v>2.2804104283500011</v>
      </c>
      <c r="J20" s="11">
        <f t="shared" si="32"/>
        <v>2.2961675516900004</v>
      </c>
      <c r="K20" s="1">
        <f>((B20*E20)+(C20*F20)+(D20*G20))*'Prices&amp;Fuel'!H20</f>
        <v>428794.81574181846</v>
      </c>
      <c r="L20" s="1">
        <f>(($B20*H20)+($C20*I20)+($D20*J20))*'Prices&amp;Fuel'!$H20</f>
        <v>426892.21574181854</v>
      </c>
      <c r="M20" s="13">
        <f t="shared" si="1"/>
        <v>1902.5999999999185</v>
      </c>
      <c r="O20" s="1">
        <v>9036</v>
      </c>
      <c r="P20" s="1">
        <v>10794</v>
      </c>
      <c r="Q20" s="1">
        <v>5270</v>
      </c>
      <c r="R20" s="11">
        <f t="shared" si="29"/>
        <v>2.2017000000000002</v>
      </c>
      <c r="S20" s="11">
        <f t="shared" si="30"/>
        <v>2.1909000000000001</v>
      </c>
      <c r="T20" s="1">
        <f>(($O20*R20)+($P20*R20)+($Q20*R20))*'Prices&amp;Fuel'!$H20</f>
        <v>1547354.7600000002</v>
      </c>
      <c r="U20" s="1">
        <f>(($O20*S20)+($P20*S20)+($Q20*S20))*'Prices&amp;Fuel'!$H20</f>
        <v>1539764.52</v>
      </c>
      <c r="V20" s="13">
        <f t="shared" si="2"/>
        <v>7590.2400000002235</v>
      </c>
      <c r="X20" s="1">
        <f t="shared" si="33"/>
        <v>3500</v>
      </c>
      <c r="Y20" s="1">
        <f t="shared" si="4"/>
        <v>3500</v>
      </c>
      <c r="Z20" s="12">
        <v>2.2000000000000002</v>
      </c>
      <c r="AA20" s="12">
        <v>2.1800000000000002</v>
      </c>
      <c r="AB20" s="1">
        <f>($X20+$Y20)*Z20*'Prices&amp;Fuel'!$H20</f>
        <v>431200.00000000006</v>
      </c>
      <c r="AC20" s="1">
        <f>($X20+$Y20)*AA20*'Prices&amp;Fuel'!$H20</f>
        <v>427280.00000000006</v>
      </c>
      <c r="AD20" s="13">
        <f t="shared" si="5"/>
        <v>3920</v>
      </c>
      <c r="AF20" s="1">
        <f>(93404/(1-'Prices&amp;Fuel'!F20))+(25000/(1-'Prices&amp;Fuel'!G20))-AI20</f>
        <v>121440</v>
      </c>
      <c r="AG20" s="1">
        <f>(106596/(1-'Prices&amp;Fuel'!F20))-AJ20</f>
        <v>109329.23076923077</v>
      </c>
      <c r="AH20" s="1">
        <f>(75000/(1-'Prices&amp;Fuel'!G20))-AK20</f>
        <v>76923.076923076922</v>
      </c>
      <c r="AI20" s="1"/>
      <c r="AJ20" s="1"/>
      <c r="AK20" s="1"/>
      <c r="AL20" s="21">
        <f>ROUND((300000/(1-'Prices&amp;Fuel'!F20))-AF20-AG20-AH20,0)</f>
        <v>0</v>
      </c>
      <c r="AM20" s="1">
        <f>ROUND((((93404/(1-'Prices&amp;Fuel'!F20))+(25000/(1-'Prices&amp;Fuel'!G20)))-80000-AI20)/2,0)</f>
        <v>20720</v>
      </c>
      <c r="AN20" s="1">
        <f>ROUND(((106596/(1-'Prices&amp;Fuel'!F20))-AQ20-AJ20)/2,0)</f>
        <v>54556</v>
      </c>
      <c r="AO20" s="1">
        <f>ROUND((75000/(1-'Prices&amp;Fuel'!G20)-AV20-AK20)/2,0)</f>
        <v>31922</v>
      </c>
      <c r="AP20" s="1">
        <f t="shared" si="6"/>
        <v>80000</v>
      </c>
      <c r="AQ20" s="1">
        <f t="shared" si="36"/>
        <v>217</v>
      </c>
      <c r="AR20" s="13">
        <f t="shared" si="34"/>
        <v>20720</v>
      </c>
      <c r="AS20" s="13">
        <f t="shared" si="28"/>
        <v>54556</v>
      </c>
      <c r="AT20" s="13">
        <f t="shared" si="25"/>
        <v>31921.148351648349</v>
      </c>
      <c r="AU20" s="13">
        <f>AL20*AX20*'Prices&amp;Fuel'!H20</f>
        <v>0</v>
      </c>
      <c r="AV20" s="1">
        <f>(294055+72183)/28</f>
        <v>13079.928571428571</v>
      </c>
      <c r="AW20" s="20">
        <f>AW19</f>
        <v>0.14000000000000001</v>
      </c>
      <c r="AX20" s="20">
        <f t="shared" si="24"/>
        <v>0.05</v>
      </c>
      <c r="AY20" s="6">
        <f>('Prices&amp;Fuel'!H20*('Prices&amp;Fuel'!B20+AW20)*'Long Term Deals'!AF20)+('Prices&amp;Fuel'!H20*('Prices&amp;Fuel'!C20+'Long Term Deals'!AW20)*'Long Term Deals'!AG20)+(AH20*('Prices&amp;Fuel'!C20+AW20)*'Prices&amp;Fuel'!H20)+(AW20*AL20*'Prices&amp;Fuel'!H20)</f>
        <v>16353375.015384616</v>
      </c>
      <c r="AZ20" s="6">
        <f>(AP20*'Prices&amp;Fuel'!H20*'Prices&amp;Fuel'!B20)+(AQ20*'Prices&amp;Fuel'!C20*'Prices&amp;Fuel'!H20)+((AM20+AR20)*('Prices&amp;Fuel'!B20+'Long Term Deals'!AX20)*'Prices&amp;Fuel'!H20)+((AN20+AS20)*('Prices&amp;Fuel'!C20+'Long Term Deals'!AX20)*'Prices&amp;Fuel'!H20)+((AO20+AT20)*('Prices&amp;Fuel'!D20+'Long Term Deals'!AX20)*'Prices&amp;Fuel'!H20)+(AV20*'Prices&amp;Fuel'!H20*'Prices&amp;Fuel'!Q20)+AU20</f>
        <v>15389678.305384615</v>
      </c>
      <c r="BA20" s="6">
        <f t="shared" si="7"/>
        <v>963696.71000000089</v>
      </c>
      <c r="BB20" s="6">
        <f>IF('FP Corp'!T20-((BE20+BF20+BG20)*(1-'Prices&amp;Fuel'!F20))&lt;'Prices&amp;Fuel'!R20,('FP Corp'!T20-(BE20+BF20+BG20)*(1-'Prices&amp;Fuel'!F20)),'Prices&amp;Fuel'!R20)/(1-'Prices&amp;Fuel'!F20)</f>
        <v>4314.8717948717949</v>
      </c>
      <c r="BC20" s="14">
        <f>('FP Corp'!T20/(1-'Prices&amp;Fuel'!F20))-BD20-BE20-BF20-BG20-BB20</f>
        <v>0</v>
      </c>
      <c r="BD20" s="14">
        <f>ROUND(IF('FP Corp'!T20/(1-'Prices&amp;Fuel'!F20)-BE20-BF20-BG20-BB20&gt;'Prices&amp;Fuel'!T20,'Prices&amp;Fuel'!T20,'FP Corp'!T20/(1-'Prices&amp;Fuel'!F20)-BE20-BF20-BG20-BB20),9)</f>
        <v>0</v>
      </c>
      <c r="BE20" s="14">
        <f>'Prices&amp;Fuel'!U20/(1-'Prices&amp;Fuel'!F20)</f>
        <v>2628.7179487179487</v>
      </c>
      <c r="BF20" s="14">
        <f>('Prices&amp;Fuel'!V20+'Prices&amp;Fuel'!X20)/(1-'Prices&amp;Fuel'!F20)</f>
        <v>3635.897435897436</v>
      </c>
      <c r="BG20" s="14">
        <f>'Prices&amp;Fuel'!W20/(1-'Prices&amp;Fuel'!F20)</f>
        <v>1728.2051282051282</v>
      </c>
      <c r="BH20" s="25">
        <f>('Prices&amp;Fuel'!C20+'Prices&amp;Fuel'!D20)/2-0.05+('Prices&amp;Fuel'!M20+'Prices&amp;Fuel'!P20)*(1-'Prices&amp;Fuel'!F20)</f>
        <v>2.5114224999999997</v>
      </c>
      <c r="BI20" s="14">
        <f t="shared" si="37"/>
        <v>0</v>
      </c>
      <c r="BJ20" s="14"/>
      <c r="BK20" s="25">
        <f>(((BB20+BE20)*('Prices&amp;Fuel'!B20+0.025))+(('Prices&amp;Fuel'!D20+0.025)*(BD20+BG20))+(('Prices&amp;Fuel'!C20+0.025)*(BC20+BF20))-(BI20+BJ20)*0.025)/(BB20+BC20+BD20+BE20+BF20+BG20)</f>
        <v>1.7738624999999999</v>
      </c>
      <c r="BL20" s="14">
        <f>(BB20+BC20+BD20+BE20+BF20+BG20)*BH20*'Prices&amp;Fuel'!H20</f>
        <v>865474.83076923073</v>
      </c>
      <c r="BM20" s="14">
        <f>'Prices&amp;Fuel'!X20*('Prices&amp;Fuel'!N20+'Prices&amp;Fuel'!O20)*'Prices&amp;Fuel'!H20</f>
        <v>4381.3083999999999</v>
      </c>
      <c r="BN20" s="14">
        <f>('Prices&amp;Fuel'!U20+'Prices&amp;Fuel'!V20+'Prices&amp;Fuel'!W20)*('Prices&amp;Fuel'!L20+'Prices&amp;Fuel'!O20)*'Prices&amp;Fuel'!H20</f>
        <v>80707.032000000007</v>
      </c>
      <c r="BO20" s="14">
        <f>((BB20+BC20+BD20)*(1-'Prices&amp;Fuel'!G20))*('Prices&amp;Fuel'!M20+'Prices&amp;Fuel'!P20)*'Prices&amp;Fuel'!H20</f>
        <v>97429.071599999996</v>
      </c>
      <c r="BP20" s="14">
        <f>((BD20+BC20+BB20+BE20+BF20+BG20)*BK20*'Prices&amp;Fuel'!H20)+BM20+BN20+BO20</f>
        <v>793817.71969230776</v>
      </c>
      <c r="BQ20" s="6">
        <f t="shared" si="38"/>
        <v>71657.111076922971</v>
      </c>
      <c r="BR20" s="1">
        <v>1000</v>
      </c>
      <c r="BT20" s="11">
        <f>IF('Prices&amp;Fuel'!$E20&lt;1.89,1.89,'Prices&amp;Fuel'!$E20)</f>
        <v>1.89</v>
      </c>
      <c r="BU20" s="11"/>
      <c r="BV20" s="28">
        <f t="shared" si="27"/>
        <v>1.89</v>
      </c>
      <c r="BW20" s="28"/>
      <c r="BX20" s="1">
        <f>(BR20*BT20+BS20*BU20)*'Prices&amp;Fuel'!H20</f>
        <v>52920</v>
      </c>
      <c r="BY20" s="1">
        <f>($BR20*BV20+$BS20*BW20)*'Prices&amp;Fuel'!H20</f>
        <v>52920</v>
      </c>
      <c r="BZ20" s="6">
        <f t="shared" ref="BZ20:BZ35" si="39">BX20-BY20</f>
        <v>0</v>
      </c>
      <c r="CA20" s="6">
        <f>(AF20+AG20+AH20+AL20)*0.005*'Prices&amp;Fuel'!H20</f>
        <v>43076.923076923078</v>
      </c>
      <c r="CB20" s="6">
        <f>(B20+C20+D20+O20+P20+Q20+X20+Y20+BB20+BC20+BD20+BE20+BF20+BG20+BR20+BS20)*0.005*'Prices&amp;Fuel'!H20</f>
        <v>7308.3769230769221</v>
      </c>
      <c r="CC20" s="1">
        <f t="shared" si="20"/>
        <v>19679119.421895664</v>
      </c>
      <c r="CD20" s="1">
        <f t="shared" si="21"/>
        <v>18680738.060818743</v>
      </c>
      <c r="CE20" s="1">
        <f t="shared" si="22"/>
        <v>998381.36107692122</v>
      </c>
      <c r="CF20" s="1">
        <f>'Index Price Deals'!AR20</f>
        <v>136415.79999999999</v>
      </c>
      <c r="CG20" s="1">
        <f>'Index Price Deals'!AS20</f>
        <v>360.53999999999996</v>
      </c>
      <c r="CH20" s="1">
        <f>'Index Price Deals'!AT20</f>
        <v>131223.79532461794</v>
      </c>
      <c r="CI20" s="1">
        <f>'Index Price Deals'!AU20</f>
        <v>5192.0046753820498</v>
      </c>
      <c r="CJ20" s="1">
        <f t="shared" si="11"/>
        <v>19815535.221895665</v>
      </c>
      <c r="CK20" s="1">
        <f t="shared" si="12"/>
        <v>18811961.856143359</v>
      </c>
      <c r="CL20" s="1">
        <f t="shared" si="12"/>
        <v>1003573.3657523033</v>
      </c>
      <c r="CM20" s="30"/>
      <c r="CN20" s="1">
        <f>Transport!U20</f>
        <v>588451.81920000003</v>
      </c>
      <c r="CO20" s="57">
        <f>[2]Sheet1!$AL61</f>
        <v>690638.61224537261</v>
      </c>
      <c r="CQ20" s="1">
        <f>(((($B20+$C20+$D20+$O20+$P20+$Q20)*0.5)+BR20+BS20)*(0.005*'Prices&amp;Fuel'!$H20)+'Index Price Deals'!AV20)+(((BB20+BC20+BD20+BE20+BF20+BG20)*(1-'Prices&amp;Fuel'!F20))*0.005*0.5*'Prices&amp;Fuel'!H20)</f>
        <v>3289.9300000000003</v>
      </c>
      <c r="CR20" s="1">
        <f>(((($B20+$C20+$D20+$O20+$P20+$Q20)*0.5)+X20+Y20)*(0.005*'Prices&amp;Fuel'!$H20)+CA20+'Index Price Deals'!AW20)+(((BB20+BC20+BD20+BE20+BF20+BG20)*(1-'Prices&amp;Fuel'!F20))*0.005*0.5*'Prices&amp;Fuel'!H20)</f>
        <v>47412.833076923082</v>
      </c>
      <c r="CS20" s="21">
        <f>'Short Term Firm For Budget'!E20</f>
        <v>194995.08000000002</v>
      </c>
      <c r="CT20" s="1">
        <f>[3]Sheet1!$O30</f>
        <v>403634.91444936238</v>
      </c>
      <c r="CU20" s="1">
        <f>'[4]Long Term Deals'!$Z19</f>
        <v>125248.49480319573</v>
      </c>
      <c r="CV20" s="60">
        <f t="shared" si="23"/>
        <v>1022368.8191515092</v>
      </c>
      <c r="CW20" s="13">
        <f>((B20+C20+D20+O20+P20+Q20+X20+Y20+AF20+AG20+AH20+BB20+BC20+BD20+BE20+BF20+BG20+BR20+BS20)+('Index Price Deals'!B20+'Index Price Deals'!C20+'Index Price Deals'!D20+'Index Price Deals'!L20+'Index Price Deals'!M20+'Index Price Deals'!N20+'Index Price Deals'!AD20+'Index Price Deals'!AE20+'Index Price Deals'!AF20+'Index Price Deals'!AK20+'Index Price Deals'!AL20+'Index Price Deals'!AM20))*'Prices&amp;Fuel'!H20</f>
        <v>10149168</v>
      </c>
      <c r="CX20" s="65">
        <f>BQ20/(BB20+BC20+BD20+BE20+BF20+BG20)/'Prices&amp;Fuel'!H20</f>
        <v>0.20793358124999967</v>
      </c>
      <c r="CZ20" s="28">
        <f>(BA20-CT20+CU20)/(AF20+AG20+AH20)/'Prices&amp;Fuel'!H20</f>
        <v>7.954494441607006E-2</v>
      </c>
      <c r="DA20" s="3">
        <f>(B20+C20+D20)*'Prices&amp;Fuel'!H20</f>
        <v>190260</v>
      </c>
      <c r="DB20" s="3">
        <f>(O20+P20+Q20)*'Prices&amp;Fuel'!$H20</f>
        <v>702800</v>
      </c>
      <c r="DC20" s="3">
        <f>(X20+Y20)*'Prices&amp;Fuel'!$H20</f>
        <v>196000</v>
      </c>
      <c r="DD20" s="3">
        <f>(BR20)*'Prices&amp;Fuel'!$H20</f>
        <v>28000</v>
      </c>
      <c r="DE20" s="3">
        <v>300000</v>
      </c>
    </row>
    <row r="21" spans="1:109" hidden="1" x14ac:dyDescent="0.25">
      <c r="A21" s="10">
        <f t="shared" si="35"/>
        <v>36235.666666666628</v>
      </c>
      <c r="B21" s="1">
        <v>4921</v>
      </c>
      <c r="C21" s="1">
        <f>4177</f>
        <v>4177</v>
      </c>
      <c r="D21" s="1">
        <v>1094</v>
      </c>
      <c r="E21" s="11">
        <f>IF(1.766*1.03*1.03*1.03*1.03&gt;'Prices&amp;Fuel'!B21+0.01,1.766*1.03*1.03*1.03*1.03,'Prices&amp;Fuel'!B21+0.01)</f>
        <v>1.9876485584600003</v>
      </c>
      <c r="F21" s="11">
        <f>IF(1.83*1.03*1.03*1.03*1.03&gt;'Prices&amp;Fuel'!C21+0.01,1.83*1.03*1.03*1.03*1.03,'Prices&amp;Fuel'!C21+0.01)</f>
        <v>2.0596811223000002</v>
      </c>
      <c r="G21" s="11">
        <f>IF(1.859*1.03*1.03*1.03*1.03&gt;'Prices&amp;Fuel'!D21+0.01,1.859*1.03*1.03*1.03*1.03,'Prices&amp;Fuel'!D21+0.01)</f>
        <v>2.0923208777900002</v>
      </c>
      <c r="H21" s="11">
        <f t="shared" si="31"/>
        <v>1.9776485584600003</v>
      </c>
      <c r="I21" s="11">
        <f t="shared" si="31"/>
        <v>2.0496811223000004</v>
      </c>
      <c r="J21" s="11">
        <f t="shared" si="32"/>
        <v>2.0823208777900004</v>
      </c>
      <c r="K21" s="1">
        <f>((B21*E21)+(C21*F21)+(D21*G21))*'Prices&amp;Fuel'!H21</f>
        <v>640878.67497426178</v>
      </c>
      <c r="L21" s="1">
        <f>(($B21*H21)+($C21*I21)+($D21*J21))*'Prices&amp;Fuel'!$H21</f>
        <v>637719.15497426165</v>
      </c>
      <c r="M21" s="13">
        <f>K21-L21</f>
        <v>3159.520000000135</v>
      </c>
      <c r="O21" s="1">
        <v>9036</v>
      </c>
      <c r="P21" s="1">
        <v>10794</v>
      </c>
      <c r="Q21" s="1">
        <v>5270</v>
      </c>
      <c r="R21" s="11">
        <f t="shared" si="29"/>
        <v>2.2017000000000002</v>
      </c>
      <c r="S21" s="11">
        <f t="shared" si="30"/>
        <v>2.1909000000000001</v>
      </c>
      <c r="T21" s="1">
        <f>(($O21*R21)+($P21*R21)+($Q21*R21))*'Prices&amp;Fuel'!$H21</f>
        <v>1713142.7700000005</v>
      </c>
      <c r="U21" s="1">
        <f>(($O21*S21)+($P21*S21)+($Q21*S21))*'Prices&amp;Fuel'!$H21</f>
        <v>1704739.29</v>
      </c>
      <c r="V21" s="13">
        <f t="shared" ref="V21:V36" si="40">T21-U21</f>
        <v>8403.480000000447</v>
      </c>
      <c r="X21" s="1">
        <f t="shared" si="33"/>
        <v>3500</v>
      </c>
      <c r="Y21" s="1">
        <f t="shared" si="4"/>
        <v>3500</v>
      </c>
      <c r="Z21" s="12">
        <v>2.2000000000000002</v>
      </c>
      <c r="AA21" s="12">
        <v>2.1800000000000002</v>
      </c>
      <c r="AB21" s="1">
        <f>($X21+$Y21)*Z21*'Prices&amp;Fuel'!$H21</f>
        <v>477400.00000000006</v>
      </c>
      <c r="AC21" s="1">
        <f>($X21+$Y21)*AA21*'Prices&amp;Fuel'!$H21</f>
        <v>473060.00000000006</v>
      </c>
      <c r="AD21" s="13">
        <f t="shared" ref="AD21:AD36" si="41">AB21-AC21</f>
        <v>4340</v>
      </c>
      <c r="AF21" s="1">
        <f>(93404/(1-'Prices&amp;Fuel'!F21))+(25000/(1-'Prices&amp;Fuel'!G21))-AI21</f>
        <v>121440</v>
      </c>
      <c r="AG21" s="1">
        <f>(106596/(1-'Prices&amp;Fuel'!F21))-AJ21</f>
        <v>109329.23076923077</v>
      </c>
      <c r="AH21" s="1">
        <f>(75000/(1-'Prices&amp;Fuel'!G21))-AK21</f>
        <v>76923.076923076922</v>
      </c>
      <c r="AI21" s="1"/>
      <c r="AJ21" s="1"/>
      <c r="AK21" s="1"/>
      <c r="AL21" s="21">
        <f>ROUND((300000/(1-'Prices&amp;Fuel'!F21))-AF21-AG21-AH21,0)</f>
        <v>0</v>
      </c>
      <c r="AM21" s="1">
        <f>ROUND((((93404/(1-'Prices&amp;Fuel'!F21))+(25000/(1-'Prices&amp;Fuel'!G21)))-80000-AI21)/2,0)</f>
        <v>20720</v>
      </c>
      <c r="AN21" s="1">
        <f>ROUND(((106596/(1-'Prices&amp;Fuel'!F21))-AQ21-AJ21)/2,0)</f>
        <v>54556</v>
      </c>
      <c r="AO21" s="1">
        <f>ROUND((75000/(1-'Prices&amp;Fuel'!G21)-AV21-AK21)/2,0)</f>
        <v>33055</v>
      </c>
      <c r="AP21" s="1">
        <f t="shared" ref="AP21:AP36" si="42">IF(80000&gt;AF21,AF21,80000)</f>
        <v>80000</v>
      </c>
      <c r="AQ21" s="1">
        <f t="shared" si="36"/>
        <v>217</v>
      </c>
      <c r="AR21" s="13">
        <f t="shared" si="34"/>
        <v>20720</v>
      </c>
      <c r="AS21" s="13">
        <f t="shared" si="28"/>
        <v>54556</v>
      </c>
      <c r="AT21" s="13">
        <f t="shared" si="25"/>
        <v>33055.399503722081</v>
      </c>
      <c r="AU21" s="13">
        <f>AL21*AX21*'Prices&amp;Fuel'!H21</f>
        <v>0</v>
      </c>
      <c r="AV21" s="1">
        <f>(265966+69227)/31</f>
        <v>10812.677419354839</v>
      </c>
      <c r="AW21" s="20">
        <f>AW20</f>
        <v>0.14000000000000001</v>
      </c>
      <c r="AX21" s="20">
        <f t="shared" si="24"/>
        <v>0.05</v>
      </c>
      <c r="AY21" s="6">
        <f>('Prices&amp;Fuel'!H21*('Prices&amp;Fuel'!B21+AW21)*'Long Term Deals'!AF21)+('Prices&amp;Fuel'!H21*('Prices&amp;Fuel'!C21+'Long Term Deals'!AW21)*'Long Term Deals'!AG21)+(AH21*('Prices&amp;Fuel'!C21+AW21)*'Prices&amp;Fuel'!H21)+(AW21*AL21*'Prices&amp;Fuel'!H21)</f>
        <v>16732491.323076922</v>
      </c>
      <c r="AZ21" s="6">
        <f>(AP21*'Prices&amp;Fuel'!H21*'Prices&amp;Fuel'!B21)+(AQ21*'Prices&amp;Fuel'!C21*'Prices&amp;Fuel'!H21)+((AM21+AR21)*('Prices&amp;Fuel'!B21+'Long Term Deals'!AX21)*'Prices&amp;Fuel'!H21)+((AN21+AS21)*('Prices&amp;Fuel'!C21+'Long Term Deals'!AX21)*'Prices&amp;Fuel'!H21)+((AO21+AT21)*('Prices&amp;Fuel'!D21+'Long Term Deals'!AX21)*'Prices&amp;Fuel'!H21)+(AV21*'Prices&amp;Fuel'!H21*'Prices&amp;Fuel'!Q21)+AU21</f>
        <v>15660460.704615384</v>
      </c>
      <c r="BA21" s="6">
        <f t="shared" ref="BA21:BA36" si="43">AY21-AZ21</f>
        <v>1072030.6184615381</v>
      </c>
      <c r="BB21" s="6">
        <f>IF('FP Corp'!T21-((BE21+BF21+BG21)*(1-'Prices&amp;Fuel'!F21))&lt;'Prices&amp;Fuel'!R21,('FP Corp'!T21-(BE21+BF21+BG21)*(1-'Prices&amp;Fuel'!F21)),'Prices&amp;Fuel'!R21)/(1-'Prices&amp;Fuel'!F21)</f>
        <v>4314.8717948717949</v>
      </c>
      <c r="BC21" s="14">
        <f>('FP Corp'!T21/(1-'Prices&amp;Fuel'!F21))-BD21-BE21-BF21-BG21-BB21</f>
        <v>0</v>
      </c>
      <c r="BD21" s="14">
        <f>ROUND(IF('FP Corp'!T21/(1-'Prices&amp;Fuel'!F21)-BE21-BF21-BG21-BB21&gt;'Prices&amp;Fuel'!T21,'Prices&amp;Fuel'!T21,'FP Corp'!T21/(1-'Prices&amp;Fuel'!F21)-BE21-BF21-BG21-BB21),9)</f>
        <v>0</v>
      </c>
      <c r="BE21" s="14">
        <f>'Prices&amp;Fuel'!U21/(1-'Prices&amp;Fuel'!F21)</f>
        <v>2628.7179487179487</v>
      </c>
      <c r="BF21" s="14">
        <f>('Prices&amp;Fuel'!V21+'Prices&amp;Fuel'!X21)/(1-'Prices&amp;Fuel'!F21)</f>
        <v>3635.897435897436</v>
      </c>
      <c r="BG21" s="14">
        <f>'Prices&amp;Fuel'!W21/(1-'Prices&amp;Fuel'!F21)</f>
        <v>1728.2051282051282</v>
      </c>
      <c r="BH21" s="25">
        <f>('Prices&amp;Fuel'!C21+'Prices&amp;Fuel'!D21)/2-0.05+('Prices&amp;Fuel'!M21+'Prices&amp;Fuel'!P21)*(1-'Prices&amp;Fuel'!F21)</f>
        <v>2.3367125</v>
      </c>
      <c r="BI21" s="14">
        <f t="shared" si="37"/>
        <v>0</v>
      </c>
      <c r="BJ21" s="14"/>
      <c r="BK21" s="25">
        <f>(((BB21+BE21)*('Prices&amp;Fuel'!B21+0.025))+(('Prices&amp;Fuel'!D21+0.025)*(BD21+BG21))+(('Prices&amp;Fuel'!C21+0.025)*(BC21+BF21))-(BI21+BJ21)*0.025)/(BB21+BC21+BD21+BE21+BF21+BG21)</f>
        <v>1.6282208333333335</v>
      </c>
      <c r="BL21" s="14">
        <f>(BB21+BC21+BD21+BE21+BF21+BG21)*BH21*'Prices&amp;Fuel'!H21</f>
        <v>891545.69230769237</v>
      </c>
      <c r="BM21" s="14">
        <f>'Prices&amp;Fuel'!X21*('Prices&amp;Fuel'!N21+'Prices&amp;Fuel'!O21)*'Prices&amp;Fuel'!H21</f>
        <v>4850.7343000000001</v>
      </c>
      <c r="BN21" s="14">
        <f>('Prices&amp;Fuel'!U21+'Prices&amp;Fuel'!V21+'Prices&amp;Fuel'!W21)*('Prices&amp;Fuel'!L21+'Prices&amp;Fuel'!O21)*'Prices&amp;Fuel'!H21</f>
        <v>89354.214000000007</v>
      </c>
      <c r="BO21" s="14">
        <f>((BB21+BC21+BD21)*(1-'Prices&amp;Fuel'!G21))*('Prices&amp;Fuel'!M21+'Prices&amp;Fuel'!P21)*'Prices&amp;Fuel'!H21</f>
        <v>103225.0555</v>
      </c>
      <c r="BP21" s="14">
        <f>((BD21+BC21+BB21+BE21+BF21+BG21)*BK21*'Prices&amp;Fuel'!H21)+BM21+BN21+BO21</f>
        <v>818658.87559487193</v>
      </c>
      <c r="BQ21" s="6">
        <f t="shared" si="38"/>
        <v>72886.816712820437</v>
      </c>
      <c r="BR21" s="1">
        <v>1000</v>
      </c>
      <c r="BT21" s="11">
        <f>IF('Prices&amp;Fuel'!$E21&lt;1.89,1.89,'Prices&amp;Fuel'!$E21)</f>
        <v>1.89</v>
      </c>
      <c r="BU21" s="11"/>
      <c r="BV21" s="28">
        <f t="shared" si="27"/>
        <v>1.89</v>
      </c>
      <c r="BW21" s="28"/>
      <c r="BX21" s="1">
        <f>(BR21*BT21+BS21*BU21)*'Prices&amp;Fuel'!H21</f>
        <v>58590</v>
      </c>
      <c r="BY21" s="1">
        <f>($BR21*BV21+$BS21*BW21)*'Prices&amp;Fuel'!H21</f>
        <v>58590</v>
      </c>
      <c r="BZ21" s="6">
        <f t="shared" si="39"/>
        <v>0</v>
      </c>
      <c r="CA21" s="6">
        <f>(AF21+AG21+AH21+AL21)*0.005*'Prices&amp;Fuel'!H21</f>
        <v>47692.307692307695</v>
      </c>
      <c r="CB21" s="6">
        <f>(B21+C21+D21+O21+P21+Q21+X21+Y21+BB21+BC21+BD21+BE21+BF21+BG21+BR21+BS21)*0.005*'Prices&amp;Fuel'!H21</f>
        <v>8617.9523076923069</v>
      </c>
      <c r="CC21" s="1">
        <f t="shared" si="20"/>
        <v>20514048.460358877</v>
      </c>
      <c r="CD21" s="1">
        <f t="shared" si="21"/>
        <v>19409538.285184521</v>
      </c>
      <c r="CE21" s="1">
        <f t="shared" si="22"/>
        <v>1104510.1751743555</v>
      </c>
      <c r="CF21" s="1">
        <f>'Index Price Deals'!AR21</f>
        <v>121920.90666666668</v>
      </c>
      <c r="CG21" s="1">
        <f>'Index Price Deals'!AS21</f>
        <v>347.46500000000009</v>
      </c>
      <c r="CH21" s="1">
        <f>'Index Price Deals'!AT21</f>
        <v>116510.75550821169</v>
      </c>
      <c r="CI21" s="1">
        <f>'Index Price Deals'!AU21</f>
        <v>5410.151158454988</v>
      </c>
      <c r="CJ21" s="1">
        <f t="shared" ref="CJ21:CJ36" si="44">CC21+CF21</f>
        <v>20635969.367025543</v>
      </c>
      <c r="CK21" s="1">
        <f t="shared" si="12"/>
        <v>19526049.040692732</v>
      </c>
      <c r="CL21" s="1">
        <f t="shared" si="12"/>
        <v>1109920.3263328106</v>
      </c>
      <c r="CM21" s="30"/>
      <c r="CN21" s="1">
        <f>Transport!U21</f>
        <v>623274.94850000006</v>
      </c>
      <c r="CO21" s="57">
        <f>[2]Sheet1!$AL62</f>
        <v>764635.60641451972</v>
      </c>
      <c r="CQ21" s="1">
        <f>(((($B21+$C21+$D21+$O21+$P21+$Q21)*0.5)+BR21+BS21)*(0.005*'Prices&amp;Fuel'!$H21)+'Index Price Deals'!AV21)+(((BB21+BC21+BD21+BE21+BF21+BG21)*(1-'Prices&amp;Fuel'!F21))*0.005*0.5*'Prices&amp;Fuel'!H21)</f>
        <v>3875.9300000000003</v>
      </c>
      <c r="CR21" s="1">
        <f>(((($B21+$C21+$D21+$O21+$P21+$Q21)*0.5)+X21+Y21)*(0.005*'Prices&amp;Fuel'!$H21)+CA21+'Index Price Deals'!AW21)+(((BB21+BC21+BD21+BE21+BF21+BG21)*(1-'Prices&amp;Fuel'!F21))*0.005*0.5*'Prices&amp;Fuel'!H21)</f>
        <v>52734.102692307693</v>
      </c>
      <c r="CS21" s="21">
        <f>'Short Term Firm For Budget'!E21</f>
        <v>215887.41000000003</v>
      </c>
      <c r="CT21" s="1">
        <f>[3]Sheet1!$O31</f>
        <v>446881.51242607983</v>
      </c>
      <c r="CU21" s="1">
        <f>'[4]Long Term Deals'!$Z20</f>
        <v>138667.97638925241</v>
      </c>
      <c r="CV21" s="60">
        <f t="shared" si="23"/>
        <v>1158954.8582105029</v>
      </c>
      <c r="CW21" s="13">
        <f>((B21+C21+D21+O21+P21+Q21+X21+Y21+AF21+AG21+AH21+BB21+BC21+BD21+BE21+BF21+BG21+BR21+BS21)+('Index Price Deals'!B21+'Index Price Deals'!C21+'Index Price Deals'!D21+'Index Price Deals'!L21+'Index Price Deals'!M21+'Index Price Deals'!N21+'Index Price Deals'!AD21+'Index Price Deals'!AE21+'Index Price Deals'!AF21+'Index Price Deals'!AK21+'Index Price Deals'!AL21+'Index Price Deals'!AM21))*'Prices&amp;Fuel'!H21</f>
        <v>11331545</v>
      </c>
      <c r="CX21" s="65">
        <f>BQ21/(BB21+BC21+BD21+BE21+BF21+BG21)/'Prices&amp;Fuel'!H21</f>
        <v>0.19103399541666646</v>
      </c>
      <c r="CZ21" s="28">
        <f>(BA21-CT21+CU21)/(AF21+AG21+AH21)/'Prices&amp;Fuel'!H21</f>
        <v>8.0077597350977733E-2</v>
      </c>
      <c r="DA21" s="3">
        <f>(B21+C21+D21)*'Prices&amp;Fuel'!H21</f>
        <v>315952</v>
      </c>
      <c r="DB21" s="3">
        <f>(O21+P21+Q21)*'Prices&amp;Fuel'!$H21</f>
        <v>778100</v>
      </c>
      <c r="DC21" s="3">
        <f>(X21+Y21)*'Prices&amp;Fuel'!$H21</f>
        <v>217000</v>
      </c>
      <c r="DD21" s="3">
        <f>(BR21)*'Prices&amp;Fuel'!$H21</f>
        <v>31000</v>
      </c>
      <c r="DE21" s="3">
        <v>300000</v>
      </c>
    </row>
    <row r="22" spans="1:109" hidden="1" x14ac:dyDescent="0.25">
      <c r="A22" s="10">
        <f t="shared" si="35"/>
        <v>36266.083333333292</v>
      </c>
      <c r="M22" s="23"/>
      <c r="O22" s="1">
        <v>9036</v>
      </c>
      <c r="P22" s="1">
        <v>10794</v>
      </c>
      <c r="Q22" s="1">
        <v>5270</v>
      </c>
      <c r="R22" s="11">
        <f t="shared" si="29"/>
        <v>2.2017000000000002</v>
      </c>
      <c r="S22" s="11">
        <f t="shared" si="30"/>
        <v>2.1909000000000001</v>
      </c>
      <c r="T22" s="1">
        <f>(($O22*R22)+($P22*R22)+($Q22*R22))*'Prices&amp;Fuel'!$H22</f>
        <v>1657880.1000000003</v>
      </c>
      <c r="U22" s="1">
        <f>(($O22*S22)+($P22*S22)+($Q22*S22))*'Prices&amp;Fuel'!$H22</f>
        <v>1649747.7000000002</v>
      </c>
      <c r="V22" s="13">
        <f t="shared" si="40"/>
        <v>8132.4000000001397</v>
      </c>
      <c r="X22" s="1">
        <f t="shared" si="33"/>
        <v>3500</v>
      </c>
      <c r="Y22" s="1">
        <f t="shared" si="4"/>
        <v>3500</v>
      </c>
      <c r="Z22" s="12">
        <v>2.2000000000000002</v>
      </c>
      <c r="AA22" s="12">
        <v>2.1800000000000002</v>
      </c>
      <c r="AB22" s="1">
        <f>($X22+$Y22)*Z22*'Prices&amp;Fuel'!$H22</f>
        <v>462000.00000000006</v>
      </c>
      <c r="AC22" s="1">
        <f>($X22+$Y22)*AA22*'Prices&amp;Fuel'!$H22</f>
        <v>457800.00000000006</v>
      </c>
      <c r="AD22" s="13">
        <f t="shared" si="41"/>
        <v>4200</v>
      </c>
      <c r="AF22" s="1">
        <f>(102383/(1-'Prices&amp;Fuel'!F22))+(25000/(1-'Prices&amp;Fuel'!G22))-AI22</f>
        <v>130649.23076923077</v>
      </c>
      <c r="AG22" s="1">
        <f>(97617/(1-'Prices&amp;Fuel'!F22))-AJ22</f>
        <v>100120</v>
      </c>
      <c r="AH22" s="1">
        <f>(75000/(1-'Prices&amp;Fuel'!G22))-AK22</f>
        <v>76923.076923076922</v>
      </c>
      <c r="AI22" s="1"/>
      <c r="AJ22" s="1"/>
      <c r="AK22" s="1"/>
      <c r="AL22" s="21">
        <f>ROUND((300000/(1-'Prices&amp;Fuel'!F22))-AF22-AG22-AH22,0)</f>
        <v>0</v>
      </c>
      <c r="AM22" s="1">
        <f>ROUND(((((99813+2570)/(1-'Prices&amp;Fuel'!F22))+(25000/(1-'Prices&amp;Fuel'!G22)))-80000)/2,0)-AI22/2</f>
        <v>25325</v>
      </c>
      <c r="AN22" s="1">
        <f>ROUND(((97617/(1-'Prices&amp;Fuel'!F22))-AQ22-AJ22)/2,0)</f>
        <v>49952</v>
      </c>
      <c r="AO22" s="1">
        <f>ROUND((75000/(1-'Prices&amp;Fuel'!G22)-AV22-AK22)/2,0)</f>
        <v>33031</v>
      </c>
      <c r="AP22" s="1">
        <f t="shared" si="42"/>
        <v>80000</v>
      </c>
      <c r="AQ22" s="1">
        <f t="shared" si="36"/>
        <v>217</v>
      </c>
      <c r="AR22" s="13">
        <f t="shared" si="34"/>
        <v>25325</v>
      </c>
      <c r="AS22" s="13">
        <f t="shared" si="28"/>
        <v>49952</v>
      </c>
      <c r="AT22" s="13">
        <f t="shared" si="25"/>
        <v>33031.910256410258</v>
      </c>
      <c r="AU22" s="13">
        <f>AL22*AX22*'Prices&amp;Fuel'!H22</f>
        <v>0</v>
      </c>
      <c r="AV22" s="1">
        <f>(260184+65621)/30</f>
        <v>10860.166666666666</v>
      </c>
      <c r="AW22" s="20">
        <f>AW21</f>
        <v>0.14000000000000001</v>
      </c>
      <c r="AX22" s="20">
        <f t="shared" si="24"/>
        <v>0.05</v>
      </c>
      <c r="AY22" s="6">
        <f>('Prices&amp;Fuel'!H22*('Prices&amp;Fuel'!B22+AW22)*'Long Term Deals'!AF22)+('Prices&amp;Fuel'!H22*('Prices&amp;Fuel'!C22+'Long Term Deals'!AW22)*'Long Term Deals'!AG22)+(AH22*('Prices&amp;Fuel'!C22+AW22)*'Prices&amp;Fuel'!H22)+(AW22*AL22*'Prices&amp;Fuel'!H22)</f>
        <v>18489374.769230768</v>
      </c>
      <c r="AZ22" s="6">
        <f>(AP22*'Prices&amp;Fuel'!H22*'Prices&amp;Fuel'!B22)+(AQ22*'Prices&amp;Fuel'!C22*'Prices&amp;Fuel'!H22)+((AM22+AR22)*('Prices&amp;Fuel'!B22+'Long Term Deals'!AX22)*'Prices&amp;Fuel'!H22)+((AN22+AS22)*('Prices&amp;Fuel'!C22+'Long Term Deals'!AX22)*'Prices&amp;Fuel'!H22)+((AO22+AT22)*('Prices&amp;Fuel'!D22+'Long Term Deals'!AX22)*'Prices&amp;Fuel'!H22)+(AV22*'Prices&amp;Fuel'!H22*'Prices&amp;Fuel'!Q22)+AU22</f>
        <v>17446985.584615383</v>
      </c>
      <c r="BA22" s="6">
        <f t="shared" si="43"/>
        <v>1042389.1846153848</v>
      </c>
      <c r="BB22" s="6">
        <f>IF('FP Corp'!T22-((BE22+BF22+BG22)*(1-'Prices&amp;Fuel'!F22))&lt;'Prices&amp;Fuel'!R22,('FP Corp'!T22-(BE22+BF22+BG22)*(1-'Prices&amp;Fuel'!F22)),'Prices&amp;Fuel'!R22)/(1-'Prices&amp;Fuel'!F22)</f>
        <v>6262.5641025641025</v>
      </c>
      <c r="BC22" s="14">
        <f>('FP Corp'!T22/(1-'Prices&amp;Fuel'!F22))-BD22-BE22-BF22-BG22-BB22</f>
        <v>0</v>
      </c>
      <c r="BD22" s="14">
        <f>ROUND(IF('FP Corp'!T22/(1-'Prices&amp;Fuel'!F22)-BE22-BF22-BG22-BB22&gt;'Prices&amp;Fuel'!T22,'Prices&amp;Fuel'!T22,'FP Corp'!T22/(1-'Prices&amp;Fuel'!F22)-BE22-BF22-BG22-BB22),9)</f>
        <v>0</v>
      </c>
      <c r="BE22" s="14">
        <f>'Prices&amp;Fuel'!U22/(1-'Prices&amp;Fuel'!F22)</f>
        <v>1928.2051282051282</v>
      </c>
      <c r="BF22" s="14">
        <f>('Prices&amp;Fuel'!V22+'Prices&amp;Fuel'!X22)/(1-'Prices&amp;Fuel'!F22)</f>
        <v>2826.6666666666665</v>
      </c>
      <c r="BG22" s="14">
        <f>'Prices&amp;Fuel'!W22/(1-'Prices&amp;Fuel'!F22)</f>
        <v>1290.2564102564104</v>
      </c>
      <c r="BH22" s="25">
        <f>('Prices&amp;Fuel'!C22+'Prices&amp;Fuel'!D22)/2-0.05+('Prices&amp;Fuel'!M22+'Prices&amp;Fuel'!P22)*(1-'Prices&amp;Fuel'!F22)</f>
        <v>2.5933424999999999</v>
      </c>
      <c r="BI22" s="14">
        <f t="shared" si="37"/>
        <v>0</v>
      </c>
      <c r="BJ22" s="14"/>
      <c r="BK22" s="25">
        <f>(((BB22+BE22)*('Prices&amp;Fuel'!B22+0.025))+(('Prices&amp;Fuel'!D22+0.025)*(BD22+BG22))+(('Prices&amp;Fuel'!C22+0.025)*(BC22+BF22))-(BI22+BJ22)*0.025)/(BB22+BC22+BD22+BE22+BF22+BG22)</f>
        <v>1.875235</v>
      </c>
      <c r="BL22" s="14">
        <f>(BB22+BC22+BD22+BE22+BF22+BG22)*BH22*'Prices&amp;Fuel'!H22</f>
        <v>957541.84615384601</v>
      </c>
      <c r="BM22" s="14">
        <f>'Prices&amp;Fuel'!X22*('Prices&amp;Fuel'!N22+'Prices&amp;Fuel'!O22)*'Prices&amp;Fuel'!H22</f>
        <v>4833.5909999999994</v>
      </c>
      <c r="BN22" s="14">
        <f>('Prices&amp;Fuel'!U22+'Prices&amp;Fuel'!V22+'Prices&amp;Fuel'!W22)*('Prices&amp;Fuel'!L22+'Prices&amp;Fuel'!O22)*'Prices&amp;Fuel'!H22</f>
        <v>64439.226000000002</v>
      </c>
      <c r="BO22" s="14">
        <f>((BB22+BC22+BD22)*(1-'Prices&amp;Fuel'!G22))*('Prices&amp;Fuel'!M22+'Prices&amp;Fuel'!P22)*'Prices&amp;Fuel'!H22</f>
        <v>146232.59400000001</v>
      </c>
      <c r="BP22" s="14">
        <f>((BD22+BC22+BB22+BE22+BF22+BG22)*BK22*'Prices&amp;Fuel'!H22)+BM22+BN22+BO22</f>
        <v>907899.87253846158</v>
      </c>
      <c r="BQ22" s="6">
        <f t="shared" si="38"/>
        <v>49641.973615384428</v>
      </c>
      <c r="BR22" s="1">
        <v>1000</v>
      </c>
      <c r="BT22" s="11">
        <f>IF('Prices&amp;Fuel'!$E22&lt;1.89,1.89,'Prices&amp;Fuel'!$E22)</f>
        <v>1.89</v>
      </c>
      <c r="BU22" s="11"/>
      <c r="BV22" s="28">
        <f t="shared" si="27"/>
        <v>1.89</v>
      </c>
      <c r="BW22" s="28"/>
      <c r="BX22" s="1">
        <f>(BR22*BT22+BS22*BU22)*'Prices&amp;Fuel'!H22</f>
        <v>56700</v>
      </c>
      <c r="BY22" s="1">
        <f>($BR22*BV22+$BS22*BW22)*'Prices&amp;Fuel'!H22</f>
        <v>56700</v>
      </c>
      <c r="BZ22" s="6">
        <f t="shared" si="39"/>
        <v>0</v>
      </c>
      <c r="CA22" s="6">
        <f>(AF22+AG22+AH22+AL22)*0.005*'Prices&amp;Fuel'!H22</f>
        <v>46153.846153846156</v>
      </c>
      <c r="CB22" s="6">
        <f>(B22+C22+D22+O22+P22+Q22+X22+Y22+BB22+BC22+BD22+BE22+BF22+BG22+BR22+BS22)*0.005*'Prices&amp;Fuel'!H22</f>
        <v>6811.1538461538457</v>
      </c>
      <c r="CC22" s="1">
        <f t="shared" ref="CC22:CC37" si="45">K22+T22+AB22+AY22+BL22+BX22</f>
        <v>21623496.715384617</v>
      </c>
      <c r="CD22" s="1">
        <f t="shared" ref="CD22:CD37" si="46">L22+U22+AC22+AZ22+BP22+BY22+CA22+CB22</f>
        <v>20572098.157153845</v>
      </c>
      <c r="CE22" s="1">
        <f t="shared" ref="CE22:CE37" si="47">CC22-CD22</f>
        <v>1051398.5582307726</v>
      </c>
      <c r="CF22" s="1">
        <f>'Index Price Deals'!AR22</f>
        <v>97574.383333333331</v>
      </c>
      <c r="CG22" s="1">
        <f>'Index Price Deals'!AS22</f>
        <v>243.64000000000001</v>
      </c>
      <c r="CH22" s="1">
        <f>'Index Price Deals'!AT22</f>
        <v>93899.996470106911</v>
      </c>
      <c r="CI22" s="1">
        <f>'Index Price Deals'!AU22</f>
        <v>3674.3868632264202</v>
      </c>
      <c r="CJ22" s="1">
        <f t="shared" si="44"/>
        <v>21721071.09871795</v>
      </c>
      <c r="CK22" s="1">
        <f t="shared" si="12"/>
        <v>20665998.153623953</v>
      </c>
      <c r="CL22" s="1">
        <f t="shared" si="12"/>
        <v>1055072.9450939992</v>
      </c>
      <c r="CM22" s="30"/>
      <c r="CN22" s="1">
        <f>Transport!U22</f>
        <v>558761.19000000006</v>
      </c>
      <c r="CO22" s="57">
        <f>[2]Sheet1!$AL63</f>
        <v>739969.94169147068</v>
      </c>
      <c r="CQ22" s="1">
        <f>(((($B22+$C22+$D22+$O22+$P22+$Q22)*0.5)+BR22+BS22)*(0.005*'Prices&amp;Fuel'!$H22)+'Index Price Deals'!AV22)+(((BB22+BC22+BD22+BE22+BF22+BG22)*(1-'Prices&amp;Fuel'!F22))*0.005*0.5*'Prices&amp;Fuel'!H22)</f>
        <v>2988.75</v>
      </c>
      <c r="CR22" s="1">
        <f>(((($B22+$C22+$D22+$O22+$P22+$Q22)*0.5)+X22+Y22)*(0.005*'Prices&amp;Fuel'!$H22)+CA22+'Index Price Deals'!AW22)+(((BB22+BC22+BD22+BE22+BF22+BG22)*(1-'Prices&amp;Fuel'!F22))*0.005*0.5*'Prices&amp;Fuel'!H22)</f>
        <v>50173.736153846156</v>
      </c>
      <c r="CS22" s="21">
        <f>'Short Term Firm For Budget'!E22</f>
        <v>193541.4</v>
      </c>
      <c r="CT22" s="1">
        <f>[3]Sheet1!$O32</f>
        <v>432465.97976717388</v>
      </c>
      <c r="CU22" s="1">
        <f>'[4]Long Term Deals'!$Z21</f>
        <v>134194.81586056686</v>
      </c>
      <c r="CV22" s="60">
        <f t="shared" si="23"/>
        <v>1131551.9328788626</v>
      </c>
      <c r="CW22" s="13">
        <f>((B22+C22+D22+O22+P22+Q22+X22+Y22+AF22+AG22+AH22+BB22+BC22+BD22+BE22+BF22+BG22+BR22+BS22)+('Index Price Deals'!B22+'Index Price Deals'!C22+'Index Price Deals'!D22+'Index Price Deals'!L22+'Index Price Deals'!M22+'Index Price Deals'!N22+'Index Price Deals'!AD22+'Index Price Deals'!AE22+'Index Price Deals'!AF22+'Index Price Deals'!AK22+'Index Price Deals'!AL22+'Index Price Deals'!AM22))*'Prices&amp;Fuel'!H22</f>
        <v>10641728.000000002</v>
      </c>
      <c r="CX22" s="65">
        <f>BQ22/(BB22+BC22+BD22+BE22+BF22+BG22)/'Prices&amp;Fuel'!H22</f>
        <v>0.13444701187499949</v>
      </c>
      <c r="CZ22" s="28">
        <f>(BA22-CT22+CU22)/(AF22+AG22+AH22)/'Prices&amp;Fuel'!H22</f>
        <v>8.0612785576784252E-2</v>
      </c>
      <c r="DB22" s="3">
        <f>(O22+P22+Q22)*'Prices&amp;Fuel'!$H22</f>
        <v>753000</v>
      </c>
      <c r="DC22" s="3">
        <f>(X22+Y22)*'Prices&amp;Fuel'!$H22</f>
        <v>210000</v>
      </c>
      <c r="DD22" s="3">
        <f>(BR22)*'Prices&amp;Fuel'!$H22</f>
        <v>30000</v>
      </c>
      <c r="DE22" s="3">
        <v>300000</v>
      </c>
    </row>
    <row r="23" spans="1:109" hidden="1" x14ac:dyDescent="0.25">
      <c r="A23" s="10">
        <f t="shared" si="35"/>
        <v>36296.499999999956</v>
      </c>
      <c r="M23" s="23"/>
      <c r="O23" s="1">
        <v>9036</v>
      </c>
      <c r="P23" s="1">
        <v>10794</v>
      </c>
      <c r="Q23" s="1">
        <v>5270</v>
      </c>
      <c r="R23" s="11">
        <f t="shared" si="29"/>
        <v>2.2017000000000002</v>
      </c>
      <c r="S23" s="11">
        <f t="shared" si="30"/>
        <v>2.1909000000000001</v>
      </c>
      <c r="T23" s="1">
        <f>(($O23*R23)+($P23*R23)+($Q23*R23))*'Prices&amp;Fuel'!$H23</f>
        <v>1713142.7700000005</v>
      </c>
      <c r="U23" s="1">
        <f>(($O23*S23)+($P23*S23)+($Q23*S23))*'Prices&amp;Fuel'!$H23</f>
        <v>1704739.29</v>
      </c>
      <c r="V23" s="13">
        <f t="shared" si="40"/>
        <v>8403.480000000447</v>
      </c>
      <c r="X23" s="1">
        <f t="shared" si="33"/>
        <v>3500</v>
      </c>
      <c r="Y23" s="1">
        <f t="shared" si="4"/>
        <v>3500</v>
      </c>
      <c r="Z23" s="12">
        <v>2.2000000000000002</v>
      </c>
      <c r="AA23" s="12">
        <v>2.1800000000000002</v>
      </c>
      <c r="AB23" s="1">
        <f>($X23+$Y23)*Z23*'Prices&amp;Fuel'!$H23</f>
        <v>477400.00000000006</v>
      </c>
      <c r="AC23" s="1">
        <f>($X23+$Y23)*AA23*'Prices&amp;Fuel'!$H23</f>
        <v>473060.00000000006</v>
      </c>
      <c r="AD23" s="13">
        <f t="shared" si="41"/>
        <v>4340</v>
      </c>
      <c r="AF23" s="1">
        <f>(155295/(1-'Prices&amp;Fuel'!F23))+(25000/(1-'Prices&amp;Fuel'!G23))-AI23</f>
        <v>185871.13402061857</v>
      </c>
      <c r="AG23" s="1">
        <f>(174705/(1-'Prices&amp;Fuel'!F23))-AJ23</f>
        <v>180108.2474226804</v>
      </c>
      <c r="AH23" s="1">
        <f>(75000/(1-'Prices&amp;Fuel'!G23))-AK23</f>
        <v>77319.587628865978</v>
      </c>
      <c r="AI23" s="1"/>
      <c r="AJ23" s="1"/>
      <c r="AK23" s="1"/>
      <c r="AL23" s="21">
        <f>ROUND((430000/(1-'Prices&amp;Fuel'!F23))-AF23-AG23-AH23,0)</f>
        <v>0</v>
      </c>
      <c r="AM23" s="1">
        <f>(ROUND(((((29727+13743+1000+5000+4854+100971)/(1-'Prices&amp;Fuel'!$F23))+(25000/(1-'Prices&amp;Fuel'!$G23)))-80000),0)-57592-37849)/2+57592-AI23/2</f>
        <v>62807</v>
      </c>
      <c r="AN23" s="1">
        <f>ROUND(((174705/(1-'Prices&amp;Fuel'!F23))-AQ23-AJ23)/2,0)</f>
        <v>89946</v>
      </c>
      <c r="AO23" s="1">
        <f>((ROUND((75000/(1-'Prices&amp;Fuel'!G23)-AV23),0)-27628-47372-AK23)/2)+27628</f>
        <v>23042</v>
      </c>
      <c r="AP23" s="1">
        <f t="shared" si="42"/>
        <v>80000</v>
      </c>
      <c r="AQ23" s="1">
        <f t="shared" si="36"/>
        <v>217</v>
      </c>
      <c r="AR23" s="1">
        <f>(ROUND(((((29727+13743+1000+5000+4854+100971)/(1-'Prices&amp;Fuel'!$F23))+(25000/(1-'Prices&amp;Fuel'!$G23)))-80000),0)-57592-37849-AK23)/2+37849</f>
        <v>43064</v>
      </c>
      <c r="AS23" s="1">
        <f t="shared" si="28"/>
        <v>89946</v>
      </c>
      <c r="AT23" s="13">
        <f t="shared" si="25"/>
        <v>42786.103757898236</v>
      </c>
      <c r="AU23" s="13">
        <f>AL23*AX23*'Prices&amp;Fuel'!H23</f>
        <v>0</v>
      </c>
      <c r="AV23" s="1">
        <f>(294589+61647)/31</f>
        <v>11491.483870967742</v>
      </c>
      <c r="AW23" s="20">
        <f>AW22</f>
        <v>0.14000000000000001</v>
      </c>
      <c r="AX23" s="20">
        <f t="shared" si="24"/>
        <v>0.05</v>
      </c>
      <c r="AY23" s="6">
        <f>('Prices&amp;Fuel'!H23*('Prices&amp;Fuel'!B23+AW23)*'Long Term Deals'!AF23)+('Prices&amp;Fuel'!H23*('Prices&amp;Fuel'!C23+'Long Term Deals'!AW23)*'Long Term Deals'!AG23)+(AH23*('Prices&amp;Fuel'!C23+AW23)*'Prices&amp;Fuel'!H23)+(AW23*AL23*'Prices&amp;Fuel'!H23)</f>
        <v>33930147.164948456</v>
      </c>
      <c r="AZ23" s="6">
        <f>(AP23*'Prices&amp;Fuel'!H23*'Prices&amp;Fuel'!B23)+(AQ23*'Prices&amp;Fuel'!C23*'Prices&amp;Fuel'!H23)+((AM23+AR23)*('Prices&amp;Fuel'!B23+'Long Term Deals'!AX23)*'Prices&amp;Fuel'!H23)+((AN23+AS23)*('Prices&amp;Fuel'!C23+'Long Term Deals'!AX23)*'Prices&amp;Fuel'!H23)+((AO23+AT23)*('Prices&amp;Fuel'!D23+'Long Term Deals'!AX23)*'Prices&amp;Fuel'!H23)+(AV23*'Prices&amp;Fuel'!H23*'Prices&amp;Fuel'!Q23)+AU23</f>
        <v>32430351.578762889</v>
      </c>
      <c r="BA23" s="6">
        <f t="shared" si="43"/>
        <v>1499795.5861855671</v>
      </c>
      <c r="BB23" s="6">
        <f>IF('FP Corp'!T23-((BE23+BF23+BG23)*(1-'Prices&amp;Fuel'!F23))&lt;'Prices&amp;Fuel'!R23,('FP Corp'!T23-(BE23+BF23+BG23)*(1-'Prices&amp;Fuel'!F23)),'Prices&amp;Fuel'!R23)/(1-'Prices&amp;Fuel'!F23)</f>
        <v>9000</v>
      </c>
      <c r="BC23" s="14">
        <f>('FP Corp'!T23/(1-'Prices&amp;Fuel'!F23))-BD23-BE23-BF23-BG23-BB23</f>
        <v>-3.383320290595293E-10</v>
      </c>
      <c r="BD23" s="14">
        <f>ROUND(IF('FP Corp'!T23/(1-'Prices&amp;Fuel'!F23)-BE23-BF23-BG23-BB23&gt;'Prices&amp;Fuel'!T23,'Prices&amp;Fuel'!T23,'FP Corp'!T23/(1-'Prices&amp;Fuel'!F23)-BE23-BF23-BG23-BB23),9)</f>
        <v>6573.1958762889999</v>
      </c>
      <c r="BE23" s="14">
        <f>'Prices&amp;Fuel'!U23/(1-'Prices&amp;Fuel'!F23)</f>
        <v>1938.1443298969073</v>
      </c>
      <c r="BF23" s="14">
        <f>('Prices&amp;Fuel'!V23+'Prices&amp;Fuel'!X23)/(1-'Prices&amp;Fuel'!F23)</f>
        <v>3070.1030927835054</v>
      </c>
      <c r="BG23" s="14">
        <f>'Prices&amp;Fuel'!W23/(1-'Prices&amp;Fuel'!F23)</f>
        <v>1068.0412371134021</v>
      </c>
      <c r="BH23" s="25">
        <f>('Prices&amp;Fuel'!C23+'Prices&amp;Fuel'!D23)/2-0.05+('Prices&amp;Fuel'!M23+'Prices&amp;Fuel'!P23)*(1-'Prices&amp;Fuel'!F23)</f>
        <v>3.0493510000000006</v>
      </c>
      <c r="BI23" s="14">
        <f t="shared" si="37"/>
        <v>0</v>
      </c>
      <c r="BJ23" s="14"/>
      <c r="BK23" s="25">
        <f>(((BB23+BE23)*('Prices&amp;Fuel'!B23+0.025))+(('Prices&amp;Fuel'!D23+0.025)*(BD23+BG23))+(('Prices&amp;Fuel'!C23+0.025)*(BC23+BF23))-(BI23+BJ23)*0.025)/(BB23+BC23+BD23+BE23+BF23+BG23)</f>
        <v>2.3320904761904755</v>
      </c>
      <c r="BL23" s="14">
        <f>(BB23+BC23+BD23+BE23+BF23+BG23)*BH23*'Prices&amp;Fuel'!H23</f>
        <v>2046523.1969072169</v>
      </c>
      <c r="BM23" s="14">
        <f>'Prices&amp;Fuel'!X23*('Prices&amp;Fuel'!N23+'Prices&amp;Fuel'!O23)*'Prices&amp;Fuel'!H23</f>
        <v>4994.7106999999996</v>
      </c>
      <c r="BN23" s="14">
        <f>('Prices&amp;Fuel'!U23+'Prices&amp;Fuel'!V23+'Prices&amp;Fuel'!W23)*('Prices&amp;Fuel'!L23+'Prices&amp;Fuel'!O23)*'Prices&amp;Fuel'!H23</f>
        <v>66587.200200000007</v>
      </c>
      <c r="BO23" s="14">
        <f>((BB23+BC23+BD23)*(1-'Prices&amp;Fuel'!G23))*('Prices&amp;Fuel'!M23+'Prices&amp;Fuel'!P23)*'Prices&amp;Fuel'!H23</f>
        <v>373832.71380000009</v>
      </c>
      <c r="BP23" s="14">
        <f>((BD23+BC23+BB23+BE23+BF23+BG23)*BK23*'Prices&amp;Fuel'!H23)+BM23+BN23+BO23</f>
        <v>2010559.8824319583</v>
      </c>
      <c r="BQ23" s="6">
        <f t="shared" si="38"/>
        <v>35963.314475258579</v>
      </c>
      <c r="BR23" s="1">
        <v>1000</v>
      </c>
      <c r="BT23" s="11">
        <f>IF('Prices&amp;Fuel'!$E23&lt;1.89,1.89,'Prices&amp;Fuel'!$E23)</f>
        <v>2.3260000000000001</v>
      </c>
      <c r="BU23" s="11"/>
      <c r="BV23" s="28">
        <f t="shared" si="27"/>
        <v>2.3260000000000001</v>
      </c>
      <c r="BW23" s="28"/>
      <c r="BX23" s="1">
        <f>(BR23*BT23+BS23*BU23)*'Prices&amp;Fuel'!H23</f>
        <v>72106</v>
      </c>
      <c r="BY23" s="1">
        <f>($BR23*BV23+$BS23*BW23)*'Prices&amp;Fuel'!H23</f>
        <v>72106</v>
      </c>
      <c r="BZ23" s="6">
        <f t="shared" si="39"/>
        <v>0</v>
      </c>
      <c r="CA23" s="6">
        <f>(AF23+AG23+AH23+AL23)*0.005*'Prices&amp;Fuel'!H23</f>
        <v>68711.340206185574</v>
      </c>
      <c r="CB23" s="6">
        <f>(B23+C23+D23+O23+P23+Q23+X23+Y23+BB23+BC23+BD23+BE23+BF23+BG23+BR23+BS23)*0.005*'Prices&amp;Fuel'!H23</f>
        <v>8486.1701030927852</v>
      </c>
      <c r="CC23" s="1">
        <f t="shared" si="45"/>
        <v>38239319.131855674</v>
      </c>
      <c r="CD23" s="1">
        <f t="shared" si="46"/>
        <v>36768014.261504129</v>
      </c>
      <c r="CE23" s="1">
        <f t="shared" si="47"/>
        <v>1471304.8703515455</v>
      </c>
      <c r="CF23" s="1">
        <f>'Index Price Deals'!AR23</f>
        <v>96781.658333333326</v>
      </c>
      <c r="CG23" s="1">
        <f>'Index Price Deals'!AS23</f>
        <v>196.26999999999998</v>
      </c>
      <c r="CH23" s="1">
        <f>'Index Price Deals'!AT23</f>
        <v>93959.129145883358</v>
      </c>
      <c r="CI23" s="1">
        <f>'Index Price Deals'!AU23</f>
        <v>2822.5291874499671</v>
      </c>
      <c r="CJ23" s="1">
        <f t="shared" si="44"/>
        <v>38336100.790189005</v>
      </c>
      <c r="CK23" s="1">
        <f t="shared" si="12"/>
        <v>36861973.390650012</v>
      </c>
      <c r="CL23" s="1">
        <f t="shared" si="12"/>
        <v>1474127.3995389955</v>
      </c>
      <c r="CM23" s="30"/>
      <c r="CN23" s="1">
        <f>Transport!U23</f>
        <v>480728.56300000014</v>
      </c>
      <c r="CO23" s="57">
        <f>[2]Sheet1!$AL64</f>
        <v>764635.60641451972</v>
      </c>
      <c r="CQ23" s="1">
        <f>(((($B23+$C23+$D23+$O23+$P23+$Q23)*0.5)+BR23+BS23)*(0.005*'Prices&amp;Fuel'!$H23)+'Index Price Deals'!AV23)+(((BB23+BC23+BD23+BE23+BF23+BG23)*(1-'Prices&amp;Fuel'!F23))*0.005*0.5*'Prices&amp;Fuel'!H23)</f>
        <v>3772.8549999999996</v>
      </c>
      <c r="CR23" s="1">
        <f>(((($B23+$C23+$D23+$O23+$P23+$Q23)*0.5)+X23+Y23)*(0.005*'Prices&amp;Fuel'!$H23)+CA23+'Index Price Deals'!AW23)+(((BB23+BC23+BD23+BE23+BF23+BG23)*(1-'Prices&amp;Fuel'!F23))*0.005*0.5*'Prices&amp;Fuel'!H23)</f>
        <v>73520.255206185568</v>
      </c>
      <c r="CS23" s="21">
        <f>'Short Term Firm For Budget'!E23</f>
        <v>166512.78000000003</v>
      </c>
      <c r="CT23" s="1">
        <f>[3]Sheet1!$O33</f>
        <v>640530.16781071411</v>
      </c>
      <c r="CU23" s="1">
        <f>'[4]Long Term Deals'!$Z22</f>
        <v>252636.51782459451</v>
      </c>
      <c r="CV23" s="60">
        <f t="shared" si="23"/>
        <v>1536653.5729673957</v>
      </c>
      <c r="CW23" s="13">
        <f>((B23+C23+D23+O23+P23+Q23+X23+Y23+AF23+AG23+AH23+BB23+BC23+BD23+BE23+BF23+BG23+BR23+BS23)+('Index Price Deals'!B23+'Index Price Deals'!C23+'Index Price Deals'!D23+'Index Price Deals'!L23+'Index Price Deals'!M23+'Index Price Deals'!N23+'Index Price Deals'!AD23+'Index Price Deals'!AE23+'Index Price Deals'!AF23+'Index Price Deals'!AK23+'Index Price Deals'!AL23+'Index Price Deals'!AM23))*'Prices&amp;Fuel'!H23</f>
        <v>15478756.061855668</v>
      </c>
      <c r="CX23" s="65">
        <f>BQ23/(BB23+BC23+BD23+BE23+BF23+BG23)/'Prices&amp;Fuel'!H23</f>
        <v>5.3585891000001266E-2</v>
      </c>
      <c r="CZ23" s="28">
        <f>(BA23-CT23+CU23)/(AF23+AG23+AH23)/'Prices&amp;Fuel'!H23</f>
        <v>8.0911093631917785E-2</v>
      </c>
      <c r="DB23" s="3">
        <f>(O23+P23+Q23)*'Prices&amp;Fuel'!$H23</f>
        <v>778100</v>
      </c>
      <c r="DC23" s="3">
        <f>(X23+Y23)*'Prices&amp;Fuel'!$H23</f>
        <v>217000</v>
      </c>
      <c r="DD23" s="3">
        <f>(BR23)*'Prices&amp;Fuel'!$H23</f>
        <v>31000</v>
      </c>
      <c r="DE23" s="3">
        <v>430000</v>
      </c>
    </row>
    <row r="24" spans="1:109" hidden="1" x14ac:dyDescent="0.25">
      <c r="A24" s="10">
        <f t="shared" si="35"/>
        <v>36326.916666666621</v>
      </c>
      <c r="O24" s="1">
        <v>9036</v>
      </c>
      <c r="P24" s="1">
        <v>10794</v>
      </c>
      <c r="Q24" s="1">
        <v>5270</v>
      </c>
      <c r="R24" s="11">
        <f t="shared" si="29"/>
        <v>2.2017000000000002</v>
      </c>
      <c r="S24" s="11">
        <f t="shared" si="30"/>
        <v>2.1909000000000001</v>
      </c>
      <c r="T24" s="1">
        <f>(($O24*R24)+($P24*R24)+($Q24*R24))*'Prices&amp;Fuel'!$H24</f>
        <v>1657880.1000000003</v>
      </c>
      <c r="U24" s="1">
        <f>(($O24*S24)+($P24*S24)+($Q24*S24))*'Prices&amp;Fuel'!$H24</f>
        <v>1649747.7000000002</v>
      </c>
      <c r="V24" s="13">
        <f t="shared" si="40"/>
        <v>8132.4000000001397</v>
      </c>
      <c r="X24" s="1">
        <f t="shared" si="33"/>
        <v>3500</v>
      </c>
      <c r="Y24" s="1">
        <f t="shared" si="4"/>
        <v>3500</v>
      </c>
      <c r="Z24" s="12">
        <v>2.2000000000000002</v>
      </c>
      <c r="AA24" s="12">
        <v>2.1800000000000002</v>
      </c>
      <c r="AB24" s="1">
        <f>($X24+$Y24)*Z24*'Prices&amp;Fuel'!$H24</f>
        <v>462000.00000000006</v>
      </c>
      <c r="AC24" s="1">
        <f>($X24+$Y24)*AA24*'Prices&amp;Fuel'!$H24</f>
        <v>457800.00000000006</v>
      </c>
      <c r="AD24" s="13">
        <f t="shared" si="41"/>
        <v>4200</v>
      </c>
      <c r="AF24" s="1">
        <f>(155295/(1-'Prices&amp;Fuel'!F24))+(25000/(1-'Prices&amp;Fuel'!G24))-AI24</f>
        <v>185871.13402061857</v>
      </c>
      <c r="AG24" s="1">
        <f>(174705/(1-'Prices&amp;Fuel'!F24))-AJ24</f>
        <v>180108.2474226804</v>
      </c>
      <c r="AH24" s="1">
        <f>(75000/(1-'Prices&amp;Fuel'!G24))-AK24</f>
        <v>77319.587628865978</v>
      </c>
      <c r="AI24" s="1"/>
      <c r="AJ24" s="1"/>
      <c r="AK24" s="1"/>
      <c r="AL24" s="21">
        <f>ROUND((430000/(1-'Prices&amp;Fuel'!F24))-AF24-AG24-AH24,0)</f>
        <v>0</v>
      </c>
      <c r="AM24" s="1">
        <f>(ROUND(((((29727+13743+1000+5000+4854+100971)/(1-'Prices&amp;Fuel'!$F24))+(25000/(1-'Prices&amp;Fuel'!$G24)))-80000),0)-57592-37849)/2+57592-AI24/2</f>
        <v>62807</v>
      </c>
      <c r="AN24" s="1">
        <f>ROUND(((174705/(1-'Prices&amp;Fuel'!F24))-AQ24-AJ24)/2,0)</f>
        <v>89946</v>
      </c>
      <c r="AO24" s="1">
        <f>((ROUND((75000/(1-'Prices&amp;Fuel'!G24)-AV24),0)-27628-47372-AK24)/2)+27628</f>
        <v>22881</v>
      </c>
      <c r="AP24" s="1">
        <f t="shared" si="42"/>
        <v>80000</v>
      </c>
      <c r="AQ24" s="1">
        <f t="shared" si="36"/>
        <v>217</v>
      </c>
      <c r="AR24" s="1">
        <f>(ROUND(((((29727+13743+1000+5000+4854+100971)/(1-'Prices&amp;Fuel'!$F24))+(25000/(1-'Prices&amp;Fuel'!$G24)))-80000),0)-57592-37849-AK24)/2+37849</f>
        <v>43064</v>
      </c>
      <c r="AS24" s="1">
        <f t="shared" si="28"/>
        <v>89946</v>
      </c>
      <c r="AT24" s="13">
        <f t="shared" si="25"/>
        <v>42625.454295532647</v>
      </c>
      <c r="AU24" s="13">
        <f>AL24*AX24*'Prices&amp;Fuel'!H24</f>
        <v>0</v>
      </c>
      <c r="AV24" s="1">
        <f>(282846+71548)/30</f>
        <v>11813.133333333333</v>
      </c>
      <c r="AW24" s="20">
        <f>AW23</f>
        <v>0.14000000000000001</v>
      </c>
      <c r="AX24" s="20">
        <f t="shared" si="24"/>
        <v>0.05</v>
      </c>
      <c r="AY24" s="6">
        <f>('Prices&amp;Fuel'!H24*('Prices&amp;Fuel'!B24+AW24)*'Long Term Deals'!AF24)+('Prices&amp;Fuel'!H24*('Prices&amp;Fuel'!C24+'Long Term Deals'!AW24)*'Long Term Deals'!AG24)+(AH24*('Prices&amp;Fuel'!C24+AW24)*'Prices&amp;Fuel'!H24)+(AW24*AL24*'Prices&amp;Fuel'!H24)</f>
        <v>31351272.680412371</v>
      </c>
      <c r="AZ24" s="6">
        <f>(AP24*'Prices&amp;Fuel'!H24*'Prices&amp;Fuel'!B24)+(AQ24*'Prices&amp;Fuel'!C24*'Prices&amp;Fuel'!H24)+((AM24+AR24)*('Prices&amp;Fuel'!B24+'Long Term Deals'!AX24)*'Prices&amp;Fuel'!H24)+((AN24+AS24)*('Prices&amp;Fuel'!C24+'Long Term Deals'!AX24)*'Prices&amp;Fuel'!H24)+((AO24+AT24)*('Prices&amp;Fuel'!D24+'Long Term Deals'!AX24)*'Prices&amp;Fuel'!H24)+(AV24*'Prices&amp;Fuel'!H24*'Prices&amp;Fuel'!Q24)+AU24</f>
        <v>29958762.241237111</v>
      </c>
      <c r="BA24" s="6">
        <f t="shared" si="43"/>
        <v>1392510.4391752593</v>
      </c>
      <c r="BB24" s="6">
        <f>IF('FP Corp'!T24-((BE24+BF24+BG24)*(1-'Prices&amp;Fuel'!F24))&lt;'Prices&amp;Fuel'!R24,('FP Corp'!T24-(BE24+BF24+BG24)*(1-'Prices&amp;Fuel'!F24)),'Prices&amp;Fuel'!R24)/(1-'Prices&amp;Fuel'!F24)</f>
        <v>9000</v>
      </c>
      <c r="BC24" s="14">
        <f>('FP Corp'!T24/(1-'Prices&amp;Fuel'!F24))-BD24-BE24-BF24-BG24-BB24</f>
        <v>-3.383320290595293E-10</v>
      </c>
      <c r="BD24" s="14">
        <f>ROUND(IF('FP Corp'!T24/(1-'Prices&amp;Fuel'!F24)-BE24-BF24-BG24-BB24&gt;'Prices&amp;Fuel'!T24,'Prices&amp;Fuel'!T24,'FP Corp'!T24/(1-'Prices&amp;Fuel'!F24)-BE24-BF24-BG24-BB24),9)</f>
        <v>6573.1958762889999</v>
      </c>
      <c r="BE24" s="14">
        <f>'Prices&amp;Fuel'!U24/(1-'Prices&amp;Fuel'!F24)</f>
        <v>1938.1443298969073</v>
      </c>
      <c r="BF24" s="14">
        <f>('Prices&amp;Fuel'!V24+'Prices&amp;Fuel'!X24)/(1-'Prices&amp;Fuel'!F24)</f>
        <v>3070.1030927835054</v>
      </c>
      <c r="BG24" s="14">
        <f>'Prices&amp;Fuel'!W24/(1-'Prices&amp;Fuel'!F24)</f>
        <v>1068.0412371134021</v>
      </c>
      <c r="BH24" s="25">
        <f>('Prices&amp;Fuel'!C24+'Prices&amp;Fuel'!D24)/2-0.05+('Prices&amp;Fuel'!M24+'Prices&amp;Fuel'!P24)*(1-'Prices&amp;Fuel'!F24)</f>
        <v>2.9443510000000002</v>
      </c>
      <c r="BI24" s="14">
        <f t="shared" si="37"/>
        <v>0</v>
      </c>
      <c r="BJ24" s="14"/>
      <c r="BK24" s="25">
        <f>(((BB24+BE24)*('Prices&amp;Fuel'!B24+0.025))+(('Prices&amp;Fuel'!D24+0.025)*(BD24+BG24))+(('Prices&amp;Fuel'!C24+0.025)*(BC24+BF24))-(BI24+BJ24)*0.025)/(BB24+BC24+BD24+BE24+BF24+BG24)</f>
        <v>2.2327838095238093</v>
      </c>
      <c r="BL24" s="14">
        <f>(BB24+BC24+BD24+BE24+BF24+BG24)*BH24*'Prices&amp;Fuel'!H24</f>
        <v>1912310.4432989692</v>
      </c>
      <c r="BM24" s="14">
        <f>'Prices&amp;Fuel'!X24*('Prices&amp;Fuel'!N24+'Prices&amp;Fuel'!O24)*'Prices&amp;Fuel'!H24</f>
        <v>4833.5909999999994</v>
      </c>
      <c r="BN24" s="14">
        <f>('Prices&amp;Fuel'!U24+'Prices&amp;Fuel'!V24+'Prices&amp;Fuel'!W24)*('Prices&amp;Fuel'!L24+'Prices&amp;Fuel'!O24)*'Prices&amp;Fuel'!H24</f>
        <v>64439.226000000002</v>
      </c>
      <c r="BO24" s="14">
        <f>((BB24+BC24+BD24)*(1-'Prices&amp;Fuel'!G24))*('Prices&amp;Fuel'!M24+'Prices&amp;Fuel'!P24)*'Prices&amp;Fuel'!H24</f>
        <v>361773.59400000004</v>
      </c>
      <c r="BP24" s="14">
        <f>((BD24+BC24+BB24+BE24+BF24+BG24)*BK24*'Prices&amp;Fuel'!H24)+BM24+BN24+BO24</f>
        <v>1881204.9677010309</v>
      </c>
      <c r="BQ24" s="6">
        <f t="shared" si="38"/>
        <v>31105.47559793829</v>
      </c>
      <c r="BR24" s="1">
        <v>1000</v>
      </c>
      <c r="BT24" s="11">
        <f>IF('Prices&amp;Fuel'!$E24&lt;1.89,1.89,'Prices&amp;Fuel'!$E24)</f>
        <v>2.2006999999999999</v>
      </c>
      <c r="BU24" s="11"/>
      <c r="BV24" s="28">
        <f t="shared" si="27"/>
        <v>2.2006999999999999</v>
      </c>
      <c r="BW24" s="28"/>
      <c r="BX24" s="1">
        <f>(BR24*BT24+BS24*BU24)*'Prices&amp;Fuel'!H24</f>
        <v>66021</v>
      </c>
      <c r="BY24" s="1">
        <f>($BR24*BV24+$BS24*BW24)*'Prices&amp;Fuel'!H24</f>
        <v>66021</v>
      </c>
      <c r="BZ24" s="6">
        <f t="shared" si="39"/>
        <v>0</v>
      </c>
      <c r="CA24" s="6">
        <f>(AF24+AG24+AH24+AL24)*0.005*'Prices&amp;Fuel'!H24</f>
        <v>66494.845360824751</v>
      </c>
      <c r="CB24" s="6">
        <f>(B24+C24+D24+O24+P24+Q24+X24+Y24+BB24+BC24+BD24+BE24+BF24+BG24+BR24+BS24)*0.005*'Prices&amp;Fuel'!H24</f>
        <v>8212.4226804123718</v>
      </c>
      <c r="CC24" s="1">
        <f t="shared" si="45"/>
        <v>35449484.223711342</v>
      </c>
      <c r="CD24" s="1">
        <f t="shared" si="46"/>
        <v>34088243.176979378</v>
      </c>
      <c r="CE24" s="1">
        <f t="shared" si="47"/>
        <v>1361241.0467319638</v>
      </c>
      <c r="CF24" s="1">
        <f>'Index Price Deals'!AR24</f>
        <v>79917.753333333327</v>
      </c>
      <c r="CG24" s="1">
        <f>'Index Price Deals'!AS24</f>
        <v>168.89000000000001</v>
      </c>
      <c r="CH24" s="1">
        <f>'Index Price Deals'!AT24</f>
        <v>77596.049869262715</v>
      </c>
      <c r="CI24" s="1">
        <f>'Index Price Deals'!AU24</f>
        <v>2321.7034640706115</v>
      </c>
      <c r="CJ24" s="1">
        <f t="shared" si="44"/>
        <v>35529401.977044672</v>
      </c>
      <c r="CK24" s="1">
        <f t="shared" si="12"/>
        <v>34165839.22684864</v>
      </c>
      <c r="CL24" s="1">
        <f t="shared" si="12"/>
        <v>1363562.7501960343</v>
      </c>
      <c r="CM24" s="30"/>
      <c r="CN24" s="1">
        <f>Transport!U24</f>
        <v>465221.19000000012</v>
      </c>
      <c r="CO24" s="57">
        <f>[2]Sheet1!$AL65</f>
        <v>739969.94169147068</v>
      </c>
      <c r="CQ24" s="1">
        <f>(((($B24+$C24+$D24+$O24+$P24+$Q24)*0.5)+BR24+BS24)*(0.005*'Prices&amp;Fuel'!$H24)+'Index Price Deals'!AV24)+(((BB24+BC24+BD24+BE24+BF24+BG24)*(1-'Prices&amp;Fuel'!F24))*0.005*0.5*'Prices&amp;Fuel'!H24)</f>
        <v>3644.3999999999996</v>
      </c>
      <c r="CR24" s="1">
        <f>(((($B24+$C24+$D24+$O24+$P24+$Q24)*0.5)+X24+Y24)*(0.005*'Prices&amp;Fuel'!$H24)+CA24+'Index Price Deals'!AW24)+(((BB24+BC24+BD24+BE24+BF24+BG24)*(1-'Prices&amp;Fuel'!F24))*0.005*0.5*'Prices&amp;Fuel'!H24)</f>
        <v>71134.335360824756</v>
      </c>
      <c r="CS24" s="21">
        <f>'Short Term Firm For Budget'!E24</f>
        <v>161141.40000000002</v>
      </c>
      <c r="CT24" s="1">
        <f>[3]Sheet1!$O34</f>
        <v>619867.90433294931</v>
      </c>
      <c r="CU24" s="1">
        <f>'[4]Long Term Deals'!$Z23</f>
        <v>244486.95273347863</v>
      </c>
      <c r="CV24" s="60">
        <f t="shared" si="23"/>
        <v>1424071.950288034</v>
      </c>
      <c r="CW24" s="13">
        <f>((B24+C24+D24+O24+P24+Q24+X24+Y24+AF24+AG24+AH24+BB24+BC24+BD24+BE24+BF24+BG24+BR24+BS24)+('Index Price Deals'!B24+'Index Price Deals'!C24+'Index Price Deals'!D24+'Index Price Deals'!L24+'Index Price Deals'!M24+'Index Price Deals'!N24+'Index Price Deals'!AD24+'Index Price Deals'!AE24+'Index Price Deals'!AF24+'Index Price Deals'!AK24+'Index Price Deals'!AL24+'Index Price Deals'!AM24))*'Prices&amp;Fuel'!H24</f>
        <v>14975231.608247422</v>
      </c>
      <c r="CX24" s="65">
        <f>BQ24/(BB24+BC24+BD24+BE24+BF24+BG24)/'Prices&amp;Fuel'!H24</f>
        <v>4.7892557666666891E-2</v>
      </c>
      <c r="CZ24" s="28">
        <f>(BA24-CT24+CU24)/(AF24+AG24+AH24)/'Prices&amp;Fuel'!H24</f>
        <v>7.6481829685931382E-2</v>
      </c>
      <c r="DB24" s="3">
        <f>(O24+P24+Q24)*'Prices&amp;Fuel'!$H24</f>
        <v>753000</v>
      </c>
      <c r="DC24" s="3">
        <f>(X24+Y24)*'Prices&amp;Fuel'!$H24</f>
        <v>210000</v>
      </c>
      <c r="DD24" s="3">
        <f>(BR24)*'Prices&amp;Fuel'!$H24</f>
        <v>30000</v>
      </c>
      <c r="DE24" s="3">
        <v>430000</v>
      </c>
    </row>
    <row r="25" spans="1:109" hidden="1" x14ac:dyDescent="0.25">
      <c r="A25" s="10">
        <f t="shared" si="35"/>
        <v>36357.333333333285</v>
      </c>
      <c r="O25" s="1">
        <v>9036</v>
      </c>
      <c r="P25" s="1">
        <v>10794</v>
      </c>
      <c r="Q25" s="1">
        <v>5270</v>
      </c>
      <c r="R25" s="11">
        <f>ROUND(2.034*1.02*1.02*1.02*1.02*1.02,4)</f>
        <v>2.2456999999999998</v>
      </c>
      <c r="S25" s="11">
        <f>R25-ROUND(0.01*1.02*1.02*1.02*1.02*1.02,4)</f>
        <v>2.2346999999999997</v>
      </c>
      <c r="T25" s="1">
        <f>(($O25*R25)+($P25*R25)+($Q25*R25))*'Prices&amp;Fuel'!$H25</f>
        <v>1747379.17</v>
      </c>
      <c r="U25" s="1">
        <f>(($O25*S25)+($P25*S25)+($Q25*S25))*'Prices&amp;Fuel'!$H25</f>
        <v>1738820.0699999998</v>
      </c>
      <c r="V25" s="13">
        <f t="shared" si="40"/>
        <v>8559.1000000000931</v>
      </c>
      <c r="X25" s="1">
        <f t="shared" si="33"/>
        <v>3500</v>
      </c>
      <c r="Y25" s="1">
        <f t="shared" si="4"/>
        <v>3500</v>
      </c>
      <c r="Z25" s="12">
        <v>2.2000000000000002</v>
      </c>
      <c r="AA25" s="12">
        <v>2.1800000000000002</v>
      </c>
      <c r="AB25" s="1">
        <f>($X25+$Y25)*Z25*'Prices&amp;Fuel'!$H25</f>
        <v>477400.00000000006</v>
      </c>
      <c r="AC25" s="1">
        <f>($X25+$Y25)*AA25*'Prices&amp;Fuel'!$H25</f>
        <v>473060.00000000006</v>
      </c>
      <c r="AD25" s="13">
        <f t="shared" si="41"/>
        <v>4340</v>
      </c>
      <c r="AF25" s="1">
        <f>((126000)/(1-'Prices&amp;Fuel'!F25))+(25000/(1-'Prices&amp;Fuel'!G25))-AI25</f>
        <v>155670.10309278351</v>
      </c>
      <c r="AH25" s="1">
        <f>(75000/(1-'Prices&amp;Fuel'!G25))-AK25</f>
        <v>77319.587628865978</v>
      </c>
      <c r="AI25" s="1"/>
      <c r="AJ25" s="1"/>
      <c r="AK25" s="1"/>
      <c r="AL25" s="21">
        <f>ROUND((226000/(1-'Prices&amp;Fuel'!F25))-AF25-AG25-AH25,0)</f>
        <v>0</v>
      </c>
      <c r="AM25" s="1">
        <f>ROUND(IF(AF25&lt;AP25,0,(AF25-AP25-AI25)/2),0)</f>
        <v>37835</v>
      </c>
      <c r="AN25" s="1"/>
      <c r="AO25" s="1">
        <f>ROUND((75000/(1-'Prices&amp;Fuel'!G25)-AV25-AK25)/2,0)</f>
        <v>32615</v>
      </c>
      <c r="AP25" s="1">
        <f t="shared" si="42"/>
        <v>80000</v>
      </c>
      <c r="AQ25" s="1"/>
      <c r="AR25" s="1">
        <f>IF(AP25&gt;AF25,0,AF25-AM25-AP25)</f>
        <v>37835.103092783509</v>
      </c>
      <c r="AS25" s="1"/>
      <c r="AT25" s="13">
        <f t="shared" si="25"/>
        <v>32615.426338543395</v>
      </c>
      <c r="AU25" s="13">
        <f>AL25*AX25*'Prices&amp;Fuel'!H25</f>
        <v>0</v>
      </c>
      <c r="AV25" s="1">
        <f>(70669+9255+294840)/31</f>
        <v>12089.161290322581</v>
      </c>
      <c r="AW25" s="20">
        <v>0.13500000000000001</v>
      </c>
      <c r="AX25" s="20">
        <v>2.5000000000000001E-2</v>
      </c>
      <c r="AY25" s="6">
        <f>('Prices&amp;Fuel'!H25*('Prices&amp;Fuel'!B25+AW25)*'Long Term Deals'!AF25)+('Prices&amp;Fuel'!H25*('Prices&amp;Fuel'!C25+'Long Term Deals'!AW25)*'Long Term Deals'!AG25)+(AH25*('Prices&amp;Fuel'!C25+AW25)*'Prices&amp;Fuel'!H25)+(AW25*AL25*'Prices&amp;Fuel'!H25)</f>
        <v>17225773.195876289</v>
      </c>
      <c r="AZ25" s="6">
        <f>(AP25*'Prices&amp;Fuel'!H25*'Prices&amp;Fuel'!B25)+(AQ25*'Prices&amp;Fuel'!C25*'Prices&amp;Fuel'!H25)+((AM25+AR25)*('Prices&amp;Fuel'!B25+'Long Term Deals'!AX25)*'Prices&amp;Fuel'!H25)+((AN25+AS25)*('Prices&amp;Fuel'!C25+'Long Term Deals'!AX25)*'Prices&amp;Fuel'!H25)+((AO25+AT25)*('Prices&amp;Fuel'!D25+'Long Term Deals'!AX25)*'Prices&amp;Fuel'!H25)+(AV25*'Prices&amp;Fuel'!H25*'Prices&amp;Fuel'!Q25)+AU25</f>
        <v>16281861.794020621</v>
      </c>
      <c r="BA25" s="6">
        <f t="shared" si="43"/>
        <v>943911.40185566805</v>
      </c>
      <c r="BB25" s="6">
        <f>IF('FP Corp'!T25-((BE25+BF25+BG25)*(1-'Prices&amp;Fuel'!F25))&lt;'Prices&amp;Fuel'!R25,('FP Corp'!T25-(BE25+BF25+BG25)*(1-'Prices&amp;Fuel'!F25)),'Prices&amp;Fuel'!R25)/(1-'Prices&amp;Fuel'!F25)</f>
        <v>9000</v>
      </c>
      <c r="BC25" s="14">
        <f>('FP Corp'!T25/(1-'Prices&amp;Fuel'!F25))-BD25-BE25-BF25-BG25-BB25</f>
        <v>216.99999999966167</v>
      </c>
      <c r="BD25" s="14">
        <f>ROUND(IF('FP Corp'!T25/(1-'Prices&amp;Fuel'!F25)-BE25-BF25-BG25-BB25&gt;'Prices&amp;Fuel'!T25,'Prices&amp;Fuel'!T25,'FP Corp'!T25/(1-'Prices&amp;Fuel'!F25)-BE25-BF25-BG25-BB25),9)-217</f>
        <v>6356.1958762889999</v>
      </c>
      <c r="BE25" s="14">
        <f>'Prices&amp;Fuel'!U25/(1-'Prices&amp;Fuel'!F25)</f>
        <v>1938.1443298969073</v>
      </c>
      <c r="BF25" s="14">
        <f>('Prices&amp;Fuel'!V25+'Prices&amp;Fuel'!X25)/(1-'Prices&amp;Fuel'!F25)</f>
        <v>3070.1030927835054</v>
      </c>
      <c r="BG25" s="14">
        <f>'Prices&amp;Fuel'!W25/(1-'Prices&amp;Fuel'!F25)</f>
        <v>1068.0412371134021</v>
      </c>
      <c r="BH25" s="25">
        <f>('Prices&amp;Fuel'!C25+'Prices&amp;Fuel'!D25)/2-0.05+('Prices&amp;Fuel'!M25+'Prices&amp;Fuel'!P25)*(1-'Prices&amp;Fuel'!F25)</f>
        <v>2.9793510000000003</v>
      </c>
      <c r="BI25" s="14">
        <f t="shared" si="37"/>
        <v>0</v>
      </c>
      <c r="BJ25" s="14">
        <v>217</v>
      </c>
      <c r="BK25" s="25">
        <f>(((BB25+BE25)*('Prices&amp;Fuel'!B25+0.025))+(('Prices&amp;Fuel'!D25+0.025)*(BD25+BG25))+(('Prices&amp;Fuel'!C25+0.025)*(BC25+BF25))-(BI25+BJ25)*0.025)/(BB25+BC25+BD25+BE25+BF25+BG25)</f>
        <v>2.2693044023809521</v>
      </c>
      <c r="BL25" s="14">
        <f>(BB25+BC25+BD25+BE25+BF25+BG25)*BH25*'Prices&amp;Fuel'!H25</f>
        <v>1999543.8154639176</v>
      </c>
      <c r="BM25" s="14">
        <f>'Prices&amp;Fuel'!X25*('Prices&amp;Fuel'!N25+'Prices&amp;Fuel'!O25)*'Prices&amp;Fuel'!H25</f>
        <v>4994.7106999999996</v>
      </c>
      <c r="BN25" s="14">
        <f>('Prices&amp;Fuel'!U25+'Prices&amp;Fuel'!V25+'Prices&amp;Fuel'!W25)*('Prices&amp;Fuel'!L25+'Prices&amp;Fuel'!O25)*'Prices&amp;Fuel'!H25</f>
        <v>66587.200200000007</v>
      </c>
      <c r="BO25" s="14">
        <f>((BB25+BC25+BD25)*(1-'Prices&amp;Fuel'!G25))*('Prices&amp;Fuel'!M25+'Prices&amp;Fuel'!P25)*'Prices&amp;Fuel'!H25</f>
        <v>373832.71380000009</v>
      </c>
      <c r="BP25" s="14">
        <f>((BD25+BC25+BB25+BE25+BF25+BG25)*BK25*'Prices&amp;Fuel'!H25)+BM25+BN25+BO25</f>
        <v>1968422.0122773193</v>
      </c>
      <c r="BQ25" s="6">
        <f t="shared" si="38"/>
        <v>31121.803186598234</v>
      </c>
      <c r="BR25" s="1">
        <v>1000</v>
      </c>
      <c r="BT25" s="11">
        <f>IF('Prices&amp;Fuel'!$E25&lt;1.89,1.89,'Prices&amp;Fuel'!$E25)</f>
        <v>2.2717000000000001</v>
      </c>
      <c r="BU25" s="11"/>
      <c r="BV25" s="28">
        <f t="shared" si="27"/>
        <v>2.2717000000000001</v>
      </c>
      <c r="BW25" s="28"/>
      <c r="BX25" s="1">
        <f>(BR25*BT25+BS25*BU25)*'Prices&amp;Fuel'!H25</f>
        <v>70422.700000000012</v>
      </c>
      <c r="BY25" s="1">
        <f>($BR25*BV25+$BS25*BW25)*'Prices&amp;Fuel'!H25</f>
        <v>70422.700000000012</v>
      </c>
      <c r="BZ25" s="6">
        <f t="shared" si="39"/>
        <v>0</v>
      </c>
      <c r="CA25" s="6">
        <f>(AF25+AG25+AH25+AL25)*0.005*'Prices&amp;Fuel'!H25</f>
        <v>36113.402061855675</v>
      </c>
      <c r="CB25" s="6">
        <f>(B25+C25+D25+O25+P25+Q25+X25+Y25+BB25+BC25+BD25+BE25+BF25+BG25+BR25+BS25)*0.005*'Prices&amp;Fuel'!H25</f>
        <v>8486.1701030927852</v>
      </c>
      <c r="CC25" s="1">
        <f t="shared" si="45"/>
        <v>21520518.881340206</v>
      </c>
      <c r="CD25" s="1">
        <f t="shared" si="46"/>
        <v>20577186.148462888</v>
      </c>
      <c r="CE25" s="1">
        <f t="shared" si="47"/>
        <v>943332.73287731782</v>
      </c>
      <c r="CF25" s="1">
        <f>'Index Price Deals'!AR25</f>
        <v>94194.86500000002</v>
      </c>
      <c r="CG25" s="1">
        <f>'Index Price Deals'!AS25</f>
        <v>195.80000000000004</v>
      </c>
      <c r="CH25" s="1">
        <f>'Index Price Deals'!AT25</f>
        <v>91334.930904777648</v>
      </c>
      <c r="CI25" s="1">
        <f>'Index Price Deals'!AU25</f>
        <v>2859.934095222372</v>
      </c>
      <c r="CJ25" s="1">
        <f t="shared" si="44"/>
        <v>21614713.746340204</v>
      </c>
      <c r="CK25" s="1">
        <f t="shared" ref="CK25:CL44" si="48">CD25+CH25</f>
        <v>20668521.079367664</v>
      </c>
      <c r="CL25" s="1">
        <f t="shared" si="48"/>
        <v>946192.6669725402</v>
      </c>
      <c r="CM25" s="30"/>
      <c r="CN25" s="1">
        <f>Transport!U25</f>
        <v>480728.56300000014</v>
      </c>
      <c r="CO25" s="57">
        <f>[2]Sheet1!$AL66</f>
        <v>764635.60641451972</v>
      </c>
      <c r="CQ25" s="1">
        <f>(((($B25+$C25+$D25+$O25+$P25+$Q25)*0.5)+BR25+BS25)*(0.005*'Prices&amp;Fuel'!$H25)+'Index Price Deals'!AV25)+(((BB25+BC25+BD25+BE25+BF25+BG25)*(1-'Prices&amp;Fuel'!F25))*0.005*0.5*'Prices&amp;Fuel'!H25)</f>
        <v>3761.6949999999997</v>
      </c>
      <c r="CR25" s="1">
        <f>(((($B25+$C25+$D25+$O25+$P25+$Q25)*0.5)+X25+Y25)*(0.005*'Prices&amp;Fuel'!$H25)+CA25+'Index Price Deals'!AW25)+(((BB25+BC25+BD25+BE25+BF25+BG25)*(1-'Prices&amp;Fuel'!F25))*0.005*0.5*'Prices&amp;Fuel'!H25)</f>
        <v>40933.007061855678</v>
      </c>
      <c r="CS25" s="21">
        <f>'Short Term Firm For Budget'!E25</f>
        <v>166512.78000000003</v>
      </c>
      <c r="CT25" s="1">
        <f>[3]Sheet1!$O35</f>
        <v>300518.71254303266</v>
      </c>
      <c r="CU25" s="1">
        <f>'[4]Long Term Deals'!$Z24</f>
        <v>-44141.076883592425</v>
      </c>
      <c r="CV25" s="60">
        <f t="shared" si="23"/>
        <v>1051952.7009604347</v>
      </c>
      <c r="CW25" s="13">
        <f>((B25+C25+D25+O25+P25+Q25+X25+Y25+AF25+AG25+AH25+BB25+BC25+BD25+BE25+BF25+BG25+BR25+BS25)+('Index Price Deals'!B25+'Index Price Deals'!C25+'Index Price Deals'!D25+'Index Price Deals'!L25+'Index Price Deals'!M25+'Index Price Deals'!N25+'Index Price Deals'!AD25+'Index Price Deals'!AE25+'Index Price Deals'!AF25+'Index Price Deals'!AK25+'Index Price Deals'!AL25+'Index Price Deals'!AM25))*'Prices&amp;Fuel'!H25</f>
        <v>8959074.4329896905</v>
      </c>
      <c r="CX25" s="65">
        <f>BQ25/(BB25+BC25+BD25+BE25+BF25+BG25)/'Prices&amp;Fuel'!H25</f>
        <v>4.6371964809524255E-2</v>
      </c>
      <c r="CZ25" s="28">
        <f>(BA25-CT25+CU25)/(AF25+AG25+AH25)/'Prices&amp;Fuel'!H25</f>
        <v>8.2968036548126137E-2</v>
      </c>
      <c r="DB25" s="3">
        <f>(O25+P25+Q25)*'Prices&amp;Fuel'!$H25</f>
        <v>778100</v>
      </c>
      <c r="DC25" s="3">
        <f>(X25+Y25)*'Prices&amp;Fuel'!$H25</f>
        <v>217000</v>
      </c>
      <c r="DD25" s="3">
        <f>(BR25)*'Prices&amp;Fuel'!$H25</f>
        <v>31000</v>
      </c>
      <c r="DE25" s="3">
        <v>226000</v>
      </c>
    </row>
    <row r="26" spans="1:109" hidden="1" x14ac:dyDescent="0.25">
      <c r="A26" s="10">
        <f t="shared" si="35"/>
        <v>36387.749999999949</v>
      </c>
      <c r="O26" s="1">
        <v>9036</v>
      </c>
      <c r="P26" s="1">
        <v>10794</v>
      </c>
      <c r="Q26" s="1">
        <v>5270</v>
      </c>
      <c r="R26" s="11">
        <f t="shared" ref="R26:R36" si="49">R25</f>
        <v>2.2456999999999998</v>
      </c>
      <c r="S26" s="11">
        <f t="shared" ref="S26:S36" si="50">S25</f>
        <v>2.2346999999999997</v>
      </c>
      <c r="T26" s="1">
        <f>(($O26*R26)+($P26*R26)+($Q26*R26))*'Prices&amp;Fuel'!$H26</f>
        <v>1747379.17</v>
      </c>
      <c r="U26" s="1">
        <f>(($O26*S26)+($P26*S26)+($Q26*S26))*'Prices&amp;Fuel'!$H26</f>
        <v>1738820.0699999998</v>
      </c>
      <c r="V26" s="13">
        <f t="shared" si="40"/>
        <v>8559.1000000000931</v>
      </c>
      <c r="X26" s="1">
        <f t="shared" si="33"/>
        <v>3500</v>
      </c>
      <c r="Y26" s="1">
        <f t="shared" si="4"/>
        <v>3500</v>
      </c>
      <c r="Z26" s="12">
        <v>2.2000000000000002</v>
      </c>
      <c r="AA26" s="12">
        <v>2.1800000000000002</v>
      </c>
      <c r="AB26" s="1">
        <f>($X26+$Y26)*Z26*'Prices&amp;Fuel'!$H26</f>
        <v>477400.00000000006</v>
      </c>
      <c r="AC26" s="1">
        <f>($X26+$Y26)*AA26*'Prices&amp;Fuel'!$H26</f>
        <v>473060.00000000006</v>
      </c>
      <c r="AD26" s="13">
        <f t="shared" si="41"/>
        <v>4340</v>
      </c>
      <c r="AF26" s="1">
        <f>((126000)/(1-'Prices&amp;Fuel'!F26))+(25000/(1-'Prices&amp;Fuel'!G26))-AI26</f>
        <v>155670.10309278351</v>
      </c>
      <c r="AG26" s="1">
        <v>0</v>
      </c>
      <c r="AH26" s="1">
        <f>(75000/(1-'Prices&amp;Fuel'!G26))-AK26</f>
        <v>77319.587628865978</v>
      </c>
      <c r="AI26" s="1"/>
      <c r="AJ26" s="1"/>
      <c r="AK26" s="1"/>
      <c r="AL26" s="21">
        <f>ROUND((226000/(1-'Prices&amp;Fuel'!F26))-AF26-AG26-AH26,0)</f>
        <v>0</v>
      </c>
      <c r="AM26" s="1">
        <f t="shared" ref="AM26:AM89" si="51">ROUND(IF(AF26&lt;AP26,0,(AF26-AP26-AI26)/2),0)</f>
        <v>37835</v>
      </c>
      <c r="AN26" s="1"/>
      <c r="AO26" s="1">
        <f>ROUND((75000/(1-'Prices&amp;Fuel'!G26)-AV26-AK26)/2,0)</f>
        <v>34109</v>
      </c>
      <c r="AP26" s="1">
        <f t="shared" si="42"/>
        <v>80000</v>
      </c>
      <c r="AQ26" s="1"/>
      <c r="AR26" s="1">
        <f>IF(AP26&gt;AF26,0,AF26-AM26-AP26)</f>
        <v>37835.103092783509</v>
      </c>
      <c r="AS26" s="1"/>
      <c r="AT26" s="13">
        <f t="shared" si="25"/>
        <v>34108.748919188562</v>
      </c>
      <c r="AU26" s="13">
        <f>AL26*AX26*'Prices&amp;Fuel'!H26</f>
        <v>0</v>
      </c>
      <c r="AV26" s="1">
        <f>(215493+66664)/31</f>
        <v>9101.8387096774186</v>
      </c>
      <c r="AW26" s="20">
        <f t="shared" ref="AW26:AX30" si="52">AW25</f>
        <v>0.13500000000000001</v>
      </c>
      <c r="AX26" s="20">
        <f t="shared" si="52"/>
        <v>2.5000000000000001E-2</v>
      </c>
      <c r="AY26" s="6">
        <f>('Prices&amp;Fuel'!H26*('Prices&amp;Fuel'!B26+AW26)*'Long Term Deals'!AF26)+('Prices&amp;Fuel'!H26*('Prices&amp;Fuel'!C26+'Long Term Deals'!AW26)*'Long Term Deals'!AG26)+(AH26*('Prices&amp;Fuel'!C26+AW26)*'Prices&amp;Fuel'!H26)+(AW26*AL26*'Prices&amp;Fuel'!H26)</f>
        <v>19633226.804123715</v>
      </c>
      <c r="AZ26" s="6">
        <f>(AP26*'Prices&amp;Fuel'!H26*'Prices&amp;Fuel'!B26)+(AQ26*'Prices&amp;Fuel'!C26*'Prices&amp;Fuel'!H26)+((AM26+AR26)*('Prices&amp;Fuel'!B26+'Long Term Deals'!AX26)*'Prices&amp;Fuel'!H26)+((AN26+AS26)*('Prices&amp;Fuel'!C26+'Long Term Deals'!AX26)*'Prices&amp;Fuel'!H26)+((AO26+AT26)*('Prices&amp;Fuel'!D26+'Long Term Deals'!AX26)*'Prices&amp;Fuel'!H26)+(AV26*'Prices&amp;Fuel'!H26*'Prices&amp;Fuel'!Q26)+AU26</f>
        <v>18670379.645103093</v>
      </c>
      <c r="BA26" s="6">
        <f t="shared" si="43"/>
        <v>962847.15902062133</v>
      </c>
      <c r="BB26" s="6">
        <f>IF('FP Corp'!T26-((BE26+BF26+BG26)*(1-'Prices&amp;Fuel'!F26))&lt;'Prices&amp;Fuel'!R26,('FP Corp'!T26-(BE26+BF26+BG26)*(1-'Prices&amp;Fuel'!F26)),'Prices&amp;Fuel'!R26)/(1-'Prices&amp;Fuel'!F26)</f>
        <v>9000</v>
      </c>
      <c r="BC26" s="14">
        <f>('FP Corp'!T26/(1-'Prices&amp;Fuel'!F26))-BD26-BE26-BF26-BG26-BB26</f>
        <v>67.999999999661668</v>
      </c>
      <c r="BD26" s="14">
        <f>ROUND(IF('FP Corp'!T26/(1-'Prices&amp;Fuel'!F26)-BE26-BF26-BG26-BB26&gt;'Prices&amp;Fuel'!T26,'Prices&amp;Fuel'!T26,'FP Corp'!T26/(1-'Prices&amp;Fuel'!F26)-BE26-BF26-BG26-BB26),9)-68</f>
        <v>6505.1958762889999</v>
      </c>
      <c r="BE26" s="14">
        <f>'Prices&amp;Fuel'!U26/(1-'Prices&amp;Fuel'!F26)</f>
        <v>1938.1443298969073</v>
      </c>
      <c r="BF26" s="14">
        <f>('Prices&amp;Fuel'!V26+'Prices&amp;Fuel'!X26)/(1-'Prices&amp;Fuel'!F26)</f>
        <v>3070.1030927835054</v>
      </c>
      <c r="BG26" s="14">
        <f>'Prices&amp;Fuel'!W26/(1-'Prices&amp;Fuel'!F26)</f>
        <v>1068.0412371134021</v>
      </c>
      <c r="BH26" s="25">
        <f>('Prices&amp;Fuel'!C26+'Prices&amp;Fuel'!D26)/2-0.05+('Prices&amp;Fuel'!M26+'Prices&amp;Fuel'!P26)*(1-'Prices&amp;Fuel'!F26)</f>
        <v>3.3143510000000003</v>
      </c>
      <c r="BI26" s="14">
        <f t="shared" si="37"/>
        <v>0</v>
      </c>
      <c r="BJ26" s="14">
        <v>68</v>
      </c>
      <c r="BK26" s="25">
        <f>(((BB26+BE26)*('Prices&amp;Fuel'!B26+0.025))+(('Prices&amp;Fuel'!D26+0.025)*(BD26+BG26))+(('Prices&amp;Fuel'!C26+0.025)*(BC26+BF26))-(BI26+BJ26)*0.025)/(BB26+BC26+BD26+BE26+BF26+BG26)</f>
        <v>2.6007194952380952</v>
      </c>
      <c r="BL26" s="14">
        <f>(BB26+BC26+BD26+BE26+BF26+BG26)*BH26*'Prices&amp;Fuel'!H26</f>
        <v>2224373.7123711342</v>
      </c>
      <c r="BM26" s="14">
        <f>'Prices&amp;Fuel'!X26*('Prices&amp;Fuel'!N26+'Prices&amp;Fuel'!O26)*'Prices&amp;Fuel'!H26</f>
        <v>4994.7106999999996</v>
      </c>
      <c r="BN26" s="14">
        <f>('Prices&amp;Fuel'!U26+'Prices&amp;Fuel'!V26+'Prices&amp;Fuel'!W26)*('Prices&amp;Fuel'!L26+'Prices&amp;Fuel'!O26)*'Prices&amp;Fuel'!H26</f>
        <v>66587.200200000007</v>
      </c>
      <c r="BO26" s="14">
        <f>((BB26+BC26+BD26)*(1-'Prices&amp;Fuel'!G26))*('Prices&amp;Fuel'!M26+'Prices&amp;Fuel'!P26)*'Prices&amp;Fuel'!H26</f>
        <v>373832.71380000009</v>
      </c>
      <c r="BP26" s="14">
        <f>((BD26+BC26+BB26+BE26+BF26+BG26)*BK26*'Prices&amp;Fuel'!H26)+BM26+BN26+BO26</f>
        <v>2190845.9560402064</v>
      </c>
      <c r="BQ26" s="6">
        <f t="shared" si="38"/>
        <v>33527.756330927834</v>
      </c>
      <c r="BR26" s="1">
        <v>1000</v>
      </c>
      <c r="BT26" s="11">
        <f>IF('Prices&amp;Fuel'!$E26&lt;1.89,1.89,'Prices&amp;Fuel'!$E26)</f>
        <v>2.5527000000000002</v>
      </c>
      <c r="BU26" s="11"/>
      <c r="BV26" s="28">
        <f t="shared" si="27"/>
        <v>2.5527000000000002</v>
      </c>
      <c r="BW26" s="28"/>
      <c r="BX26" s="1">
        <f>(BR26*BT26+BS26*BU26)*'Prices&amp;Fuel'!H26</f>
        <v>79133.700000000012</v>
      </c>
      <c r="BY26" s="1">
        <f>($BR26*BV26+$BS26*BW26)*'Prices&amp;Fuel'!H26</f>
        <v>79133.700000000012</v>
      </c>
      <c r="BZ26" s="6">
        <f t="shared" si="39"/>
        <v>0</v>
      </c>
      <c r="CA26" s="6">
        <f>(AF26+AG26+AH26+AL26)*0.005*'Prices&amp;Fuel'!H26</f>
        <v>36113.402061855675</v>
      </c>
      <c r="CB26" s="6">
        <f>(B26+C26+D26+O26+P26+Q26+X26+Y26+BB26+BC26+BD26+BE26+BF26+BG26+BR26+BS26)*0.005*'Prices&amp;Fuel'!H26</f>
        <v>8486.1701030927852</v>
      </c>
      <c r="CC26" s="1">
        <f t="shared" si="45"/>
        <v>24161513.386494849</v>
      </c>
      <c r="CD26" s="1">
        <f t="shared" si="46"/>
        <v>23196838.943308249</v>
      </c>
      <c r="CE26" s="1">
        <f t="shared" si="47"/>
        <v>964674.44318659976</v>
      </c>
      <c r="CF26" s="1">
        <f>'Index Price Deals'!AR26</f>
        <v>88209.781666666633</v>
      </c>
      <c r="CG26" s="1">
        <f>'Index Price Deals'!AS26</f>
        <v>159.97</v>
      </c>
      <c r="CH26" s="1">
        <f>'Index Price Deals'!AT26</f>
        <v>85648.851074734703</v>
      </c>
      <c r="CI26" s="1">
        <f>'Index Price Deals'!AU26</f>
        <v>2560.9305919319304</v>
      </c>
      <c r="CJ26" s="1">
        <f t="shared" si="44"/>
        <v>24249723.168161515</v>
      </c>
      <c r="CK26" s="1">
        <f t="shared" si="48"/>
        <v>23282487.794382982</v>
      </c>
      <c r="CL26" s="1">
        <f t="shared" si="48"/>
        <v>967235.37377853168</v>
      </c>
      <c r="CM26" s="30"/>
      <c r="CN26" s="1">
        <f>Transport!U26</f>
        <v>480728.56300000014</v>
      </c>
      <c r="CO26" s="57">
        <f>[2]Sheet1!$AL67</f>
        <v>763215.32511060953</v>
      </c>
      <c r="CQ26" s="1">
        <f>(((($B26+$C26+$D26+$O26+$P26+$Q26)*0.5)+BR26+BS26)*(0.005*'Prices&amp;Fuel'!$H26)+'Index Price Deals'!AV26)+(((BB26+BC26+BD26+BE26+BF26+BG26)*(1-'Prices&amp;Fuel'!F26))*0.005*0.5*'Prices&amp;Fuel'!H26)</f>
        <v>3734.7249999999995</v>
      </c>
      <c r="CR26" s="1">
        <f>(((($B26+$C26+$D26+$O26+$P26+$Q26)*0.5)+X26+Y26)*(0.005*'Prices&amp;Fuel'!$H26)+CA26+'Index Price Deals'!AW26)+(((BB26+BC26+BD26+BE26+BF26+BG26)*(1-'Prices&amp;Fuel'!F26))*0.005*0.5*'Prices&amp;Fuel'!H26)</f>
        <v>40924.147061855678</v>
      </c>
      <c r="CS26" s="21">
        <f>'Short Term Firm For Budget'!E26</f>
        <v>166512.78000000003</v>
      </c>
      <c r="CT26" s="1">
        <f>[3]Sheet1!$O36</f>
        <v>300518.71254303266</v>
      </c>
      <c r="CU26" s="1">
        <f>'[4]Long Term Deals'!$Z25</f>
        <v>-44025.601883592884</v>
      </c>
      <c r="CV26" s="60">
        <f t="shared" si="23"/>
        <v>1071690.6014625155</v>
      </c>
      <c r="CW26" s="13">
        <f>((B26+C26+D26+O26+P26+Q26+X26+Y26+AF26+AG26+AH26+BB26+BC26+BD26+BE26+BF26+BG26+BR26+BS26)+('Index Price Deals'!B26+'Index Price Deals'!C26+'Index Price Deals'!D26+'Index Price Deals'!L26+'Index Price Deals'!M26+'Index Price Deals'!N26+'Index Price Deals'!AD26+'Index Price Deals'!AE26+'Index Price Deals'!AF26+'Index Price Deals'!AK26+'Index Price Deals'!AL26+'Index Price Deals'!AM26))*'Prices&amp;Fuel'!H26</f>
        <v>8951908.4329896905</v>
      </c>
      <c r="CX26" s="65">
        <f>BQ26/(BB26+BC26+BD26+BE26+BF26+BG26)/'Prices&amp;Fuel'!H26</f>
        <v>4.9956871952380952E-2</v>
      </c>
      <c r="CZ26" s="28">
        <f>(BA26-CT26+CU26)/(AF26+AG26+AH26)/'Prices&amp;Fuel'!H26</f>
        <v>8.5605732123347975E-2</v>
      </c>
      <c r="DB26" s="3">
        <f>(O26+P26+Q26)*'Prices&amp;Fuel'!$H26</f>
        <v>778100</v>
      </c>
      <c r="DC26" s="3">
        <f>(X26+Y26)*'Prices&amp;Fuel'!$H26</f>
        <v>217000</v>
      </c>
      <c r="DD26" s="3">
        <f>(BR26)*'Prices&amp;Fuel'!$H26</f>
        <v>31000</v>
      </c>
      <c r="DE26" s="3">
        <v>226000</v>
      </c>
    </row>
    <row r="27" spans="1:109" hidden="1" x14ac:dyDescent="0.25">
      <c r="A27" s="10">
        <f t="shared" si="35"/>
        <v>36418.166666666613</v>
      </c>
      <c r="O27" s="1">
        <v>9036</v>
      </c>
      <c r="P27" s="1">
        <v>10794</v>
      </c>
      <c r="Q27" s="1">
        <v>5270</v>
      </c>
      <c r="R27" s="11">
        <f t="shared" si="49"/>
        <v>2.2456999999999998</v>
      </c>
      <c r="S27" s="11">
        <f t="shared" si="50"/>
        <v>2.2346999999999997</v>
      </c>
      <c r="T27" s="1">
        <f>(($O27*R27)+($P27*R27)+($Q27*R27))*'Prices&amp;Fuel'!$H27</f>
        <v>1691012.1</v>
      </c>
      <c r="U27" s="1">
        <f>(($O27*S27)+($P27*S27)+($Q27*S27))*'Prices&amp;Fuel'!$H27</f>
        <v>1682729.0999999999</v>
      </c>
      <c r="V27" s="13">
        <f t="shared" si="40"/>
        <v>8283.0000000002328</v>
      </c>
      <c r="X27" s="1">
        <f t="shared" si="33"/>
        <v>3500</v>
      </c>
      <c r="Y27" s="1">
        <f t="shared" si="4"/>
        <v>3500</v>
      </c>
      <c r="Z27" s="12">
        <v>2.2000000000000002</v>
      </c>
      <c r="AA27" s="12">
        <v>2.1800000000000002</v>
      </c>
      <c r="AB27" s="1">
        <f>($X27+$Y27)*Z27*'Prices&amp;Fuel'!$H27</f>
        <v>462000.00000000006</v>
      </c>
      <c r="AC27" s="1">
        <f>($X27+$Y27)*AA27*'Prices&amp;Fuel'!$H27</f>
        <v>457800.00000000006</v>
      </c>
      <c r="AD27" s="13">
        <f t="shared" si="41"/>
        <v>4200</v>
      </c>
      <c r="AF27" s="1">
        <f>((126000)/(1-'Prices&amp;Fuel'!F27))+(25000/(1-'Prices&amp;Fuel'!G27))-AI27</f>
        <v>155670.10309278351</v>
      </c>
      <c r="AG27" s="1">
        <v>0</v>
      </c>
      <c r="AH27" s="1">
        <f>(75000/(1-'Prices&amp;Fuel'!G27))-AK27</f>
        <v>77319.587628865978</v>
      </c>
      <c r="AI27" s="1"/>
      <c r="AJ27" s="1"/>
      <c r="AK27" s="1"/>
      <c r="AL27" s="21">
        <f>ROUND((226000/(1-'Prices&amp;Fuel'!F27))-AF27-AG27-AH27,0)</f>
        <v>0</v>
      </c>
      <c r="AM27" s="1">
        <f t="shared" si="51"/>
        <v>37835</v>
      </c>
      <c r="AN27" s="1"/>
      <c r="AO27" s="1">
        <f>ROUND((75000/(1-'Prices&amp;Fuel'!G27)-AV27-AK27)/2,0)</f>
        <v>34115</v>
      </c>
      <c r="AP27" s="1">
        <f t="shared" si="42"/>
        <v>80000</v>
      </c>
      <c r="AQ27" s="1"/>
      <c r="AR27" s="1">
        <f>IF(AP27&gt;AF27,0,AF27-AM27-AP27)</f>
        <v>37835.103092783509</v>
      </c>
      <c r="AS27" s="1"/>
      <c r="AT27" s="13">
        <f t="shared" si="25"/>
        <v>34115.654295532644</v>
      </c>
      <c r="AU27" s="13">
        <f>AL27*AX27*'Prices&amp;Fuel'!H27</f>
        <v>0</v>
      </c>
      <c r="AV27" s="1">
        <f>(216868+55800)/30</f>
        <v>9088.9333333333325</v>
      </c>
      <c r="AW27" s="20">
        <f t="shared" si="52"/>
        <v>0.13500000000000001</v>
      </c>
      <c r="AX27" s="20">
        <f t="shared" si="52"/>
        <v>2.5000000000000001E-2</v>
      </c>
      <c r="AY27" s="6">
        <f>('Prices&amp;Fuel'!H27*('Prices&amp;Fuel'!B27+AW27)*'Long Term Deals'!AF27)+('Prices&amp;Fuel'!H27*('Prices&amp;Fuel'!C27+'Long Term Deals'!AW27)*'Long Term Deals'!AG27)+(AH27*('Prices&amp;Fuel'!C27+AW27)*'Prices&amp;Fuel'!H27)+(AW27*AL27*'Prices&amp;Fuel'!H27)</f>
        <v>21026907.216494847</v>
      </c>
      <c r="AZ27" s="6">
        <f>(AP27*'Prices&amp;Fuel'!H27*'Prices&amp;Fuel'!B27)+(AQ27*'Prices&amp;Fuel'!C27*'Prices&amp;Fuel'!H27)+((AM27+AR27)*('Prices&amp;Fuel'!B27+'Long Term Deals'!AX27)*'Prices&amp;Fuel'!H27)+((AN27+AS27)*('Prices&amp;Fuel'!C27+'Long Term Deals'!AX27)*'Prices&amp;Fuel'!H27)+((AO27+AT27)*('Prices&amp;Fuel'!D27+'Long Term Deals'!AX27)*'Prices&amp;Fuel'!H27)+(AV27*'Prices&amp;Fuel'!H27*'Prices&amp;Fuel'!Q27)+AU27</f>
        <v>20090925.351958763</v>
      </c>
      <c r="BA27" s="6">
        <f t="shared" si="43"/>
        <v>935981.86453608423</v>
      </c>
      <c r="BB27" s="6">
        <f>IF('FP Corp'!T27-((BE27+BF27+BG27)*(1-'Prices&amp;Fuel'!F27))&lt;'Prices&amp;Fuel'!R27,('FP Corp'!T27-(BE27+BF27+BG27)*(1-'Prices&amp;Fuel'!F27)),'Prices&amp;Fuel'!R27)/(1-'Prices&amp;Fuel'!F27)</f>
        <v>9000</v>
      </c>
      <c r="BC27" s="14">
        <f>('FP Corp'!T27/(1-'Prices&amp;Fuel'!F27))-BD27-BE27-BF27-BG27-BB27</f>
        <v>67.999999999661668</v>
      </c>
      <c r="BD27" s="14">
        <f>ROUND(IF('FP Corp'!T27/(1-'Prices&amp;Fuel'!F27)-BE27-BF27-BG27-BB27&gt;'Prices&amp;Fuel'!T27,'Prices&amp;Fuel'!T27,'FP Corp'!T27/(1-'Prices&amp;Fuel'!F27)-BE27-BF27-BG27-BB27),9)-68</f>
        <v>6505.1958762889999</v>
      </c>
      <c r="BE27" s="14">
        <f>'Prices&amp;Fuel'!U27/(1-'Prices&amp;Fuel'!F27)</f>
        <v>1938.1443298969073</v>
      </c>
      <c r="BF27" s="14">
        <f>('Prices&amp;Fuel'!V27+'Prices&amp;Fuel'!X27)/(1-'Prices&amp;Fuel'!F27)</f>
        <v>3070.1030927835054</v>
      </c>
      <c r="BG27" s="14">
        <f>'Prices&amp;Fuel'!W27/(1-'Prices&amp;Fuel'!F27)</f>
        <v>1068.0412371134021</v>
      </c>
      <c r="BH27" s="25">
        <f>('Prices&amp;Fuel'!C27+'Prices&amp;Fuel'!D27)/2-0.05+('Prices&amp;Fuel'!M27+'Prices&amp;Fuel'!P27)*(1-'Prices&amp;Fuel'!F27)</f>
        <v>3.6043510000000003</v>
      </c>
      <c r="BI27" s="14">
        <f t="shared" si="37"/>
        <v>0</v>
      </c>
      <c r="BJ27" s="14">
        <v>68</v>
      </c>
      <c r="BK27" s="25">
        <f>(((BB27+BE27)*('Prices&amp;Fuel'!B27+0.025))+(('Prices&amp;Fuel'!D27+0.025)*(BD27+BG27))+(('Prices&amp;Fuel'!C27+0.025)*(BC27+BF27))-(BI27+BJ27)*0.025)/(BB27+BC27+BD27+BE27+BF27+BG27)</f>
        <v>2.8907194952380952</v>
      </c>
      <c r="BL27" s="14">
        <f>(BB27+BC27+BD27+BE27+BF27+BG27)*BH27*'Prices&amp;Fuel'!H27</f>
        <v>2340970.2371134022</v>
      </c>
      <c r="BM27" s="14">
        <f>'Prices&amp;Fuel'!X27*('Prices&amp;Fuel'!N27+'Prices&amp;Fuel'!O27)*'Prices&amp;Fuel'!H27</f>
        <v>4833.5909999999994</v>
      </c>
      <c r="BN27" s="14">
        <f>('Prices&amp;Fuel'!U27+'Prices&amp;Fuel'!V27+'Prices&amp;Fuel'!W27)*('Prices&amp;Fuel'!L27+'Prices&amp;Fuel'!O27)*'Prices&amp;Fuel'!H27</f>
        <v>64439.226000000002</v>
      </c>
      <c r="BO27" s="14">
        <f>((BB27+BC27+BD27)*(1-'Prices&amp;Fuel'!G27))*('Prices&amp;Fuel'!M27+'Prices&amp;Fuel'!P27)*'Prices&amp;Fuel'!H27</f>
        <v>361773.59400000004</v>
      </c>
      <c r="BP27" s="14">
        <f>((BD27+BC27+BB27+BE27+BF27+BG27)*BK27*'Prices&amp;Fuel'!H27)+BM27+BN27+BO27</f>
        <v>2308524.021309278</v>
      </c>
      <c r="BQ27" s="6">
        <f t="shared" si="38"/>
        <v>32446.215804124251</v>
      </c>
      <c r="BR27" s="1">
        <v>1000</v>
      </c>
      <c r="BT27" s="11">
        <f>IF('Prices&amp;Fuel'!$E27&lt;1.89,1.89,'Prices&amp;Fuel'!$E27)</f>
        <v>2.9632999999999998</v>
      </c>
      <c r="BU27" s="11"/>
      <c r="BV27" s="28">
        <f t="shared" si="27"/>
        <v>2.9632999999999998</v>
      </c>
      <c r="BW27" s="28"/>
      <c r="BX27" s="1">
        <f>(BR27*BT27+BS27*BU27)*'Prices&amp;Fuel'!H27</f>
        <v>88898.999999999985</v>
      </c>
      <c r="BY27" s="1">
        <f>($BR27*BV27+$BS27*BW27)*'Prices&amp;Fuel'!H27</f>
        <v>88898.999999999985</v>
      </c>
      <c r="BZ27" s="6">
        <f t="shared" si="39"/>
        <v>0</v>
      </c>
      <c r="CA27" s="6">
        <f>(AF27+AG27+AH27+AL27)*0.005*'Prices&amp;Fuel'!H27</f>
        <v>34948.453608247422</v>
      </c>
      <c r="CB27" s="6">
        <f>(B27+C27+D27+O27+P27+Q27+X27+Y27+BB27+BC27+BD27+BE27+BF27+BG27+BR27+BS27)*0.005*'Prices&amp;Fuel'!H27</f>
        <v>8212.4226804123718</v>
      </c>
      <c r="CC27" s="1">
        <f t="shared" si="45"/>
        <v>25609788.55360825</v>
      </c>
      <c r="CD27" s="1">
        <f t="shared" si="46"/>
        <v>24672038.349556703</v>
      </c>
      <c r="CE27" s="1">
        <f t="shared" si="47"/>
        <v>937750.20405154675</v>
      </c>
      <c r="CF27" s="1">
        <f>'Index Price Deals'!AR27</f>
        <v>112415.2</v>
      </c>
      <c r="CG27" s="1">
        <f>'Index Price Deals'!AS27</f>
        <v>185.50500000000002</v>
      </c>
      <c r="CH27" s="1">
        <f>'Index Price Deals'!AT27</f>
        <v>109578.58642486838</v>
      </c>
      <c r="CI27" s="1">
        <f>'Index Price Deals'!AU27</f>
        <v>2836.6135751316178</v>
      </c>
      <c r="CJ27" s="1">
        <f t="shared" si="44"/>
        <v>25722203.753608249</v>
      </c>
      <c r="CK27" s="1">
        <f t="shared" si="48"/>
        <v>24781616.935981572</v>
      </c>
      <c r="CL27" s="1">
        <f t="shared" si="48"/>
        <v>940586.81762667838</v>
      </c>
      <c r="CM27" s="30"/>
      <c r="CN27" s="1">
        <f>Transport!U27</f>
        <v>465221.19000000012</v>
      </c>
      <c r="CO27" s="57">
        <f>[2]Sheet1!$AL68</f>
        <v>738595.47591349308</v>
      </c>
      <c r="CQ27" s="1">
        <f>(((($B27+$C27+$D27+$O27+$P27+$Q27)*0.5)+BR27+BS27)*(0.005*'Prices&amp;Fuel'!$H27)+'Index Price Deals'!AV27)+(((BB27+BC27+BD27+BE27+BF27+BG27)*(1-'Prices&amp;Fuel'!F27))*0.005*0.5*'Prices&amp;Fuel'!H27)</f>
        <v>3639</v>
      </c>
      <c r="CR27" s="1">
        <f>(((($B27+$C27+$D27+$O27+$P27+$Q27)*0.5)+X27+Y27)*(0.005*'Prices&amp;Fuel'!$H27)+CA27+'Index Price Deals'!AW27)+(((BB27+BC27+BD27+BE27+BF27+BG27)*(1-'Prices&amp;Fuel'!F27))*0.005*0.5*'Prices&amp;Fuel'!H27)</f>
        <v>39609.95860824742</v>
      </c>
      <c r="CS27" s="21">
        <f>'Short Term Firm For Budget'!E27</f>
        <v>161141.40000000002</v>
      </c>
      <c r="CT27" s="1">
        <f>[3]Sheet1!$O37</f>
        <v>290824.56052551547</v>
      </c>
      <c r="CU27" s="1">
        <f>'[4]Long Term Deals'!$Z26</f>
        <v>-42605.421177670534</v>
      </c>
      <c r="CV27" s="60">
        <f t="shared" si="23"/>
        <v>1041672.5218369854</v>
      </c>
      <c r="CW27" s="13">
        <f>((B27+C27+D27+O27+P27+Q27+X27+Y27+AF27+AG27+AH27+BB27+BC27+BD27+BE27+BF27+BG27+BR27+BS27)+('Index Price Deals'!B27+'Index Price Deals'!C27+'Index Price Deals'!D27+'Index Price Deals'!L27+'Index Price Deals'!M27+'Index Price Deals'!N27+'Index Price Deals'!AD27+'Index Price Deals'!AE27+'Index Price Deals'!AF27+'Index Price Deals'!AK27+'Index Price Deals'!AL27+'Index Price Deals'!AM27))*'Prices&amp;Fuel'!H27</f>
        <v>8669276.2577319574</v>
      </c>
      <c r="CX27" s="65">
        <f>BQ27/(BB27+BC27+BD27+BE27+BF27+BG27)/'Prices&amp;Fuel'!H27</f>
        <v>4.9956871952381784E-2</v>
      </c>
      <c r="CZ27" s="28">
        <f>(BA27-CT27+CU27)/(AF27+AG27+AH27)/'Prices&amp;Fuel'!H27</f>
        <v>8.6205800346299599E-2</v>
      </c>
      <c r="DB27" s="3">
        <f>(O27+P27+Q27)*'Prices&amp;Fuel'!$H27</f>
        <v>753000</v>
      </c>
      <c r="DC27" s="3">
        <f>(X27+Y27)*'Prices&amp;Fuel'!$H27</f>
        <v>210000</v>
      </c>
      <c r="DD27" s="3">
        <f>(BR27)*'Prices&amp;Fuel'!$H27</f>
        <v>30000</v>
      </c>
      <c r="DE27" s="3">
        <v>226000</v>
      </c>
    </row>
    <row r="28" spans="1:109" hidden="1" x14ac:dyDescent="0.25">
      <c r="A28" s="10">
        <f t="shared" si="35"/>
        <v>36448.583333333278</v>
      </c>
      <c r="O28" s="1">
        <v>9036</v>
      </c>
      <c r="P28" s="1">
        <v>10794</v>
      </c>
      <c r="Q28" s="1">
        <v>5270</v>
      </c>
      <c r="R28" s="11">
        <f t="shared" si="49"/>
        <v>2.2456999999999998</v>
      </c>
      <c r="S28" s="11">
        <f t="shared" si="50"/>
        <v>2.2346999999999997</v>
      </c>
      <c r="T28" s="1">
        <f>(($O28*R28)+($P28*R28)+($Q28*R28))*'Prices&amp;Fuel'!$H28</f>
        <v>1747379.17</v>
      </c>
      <c r="U28" s="1">
        <f>(($O28*S28)+($P28*S28)+($Q28*S28))*'Prices&amp;Fuel'!$H28</f>
        <v>1738820.0699999998</v>
      </c>
      <c r="V28" s="13">
        <f t="shared" si="40"/>
        <v>8559.1000000000931</v>
      </c>
      <c r="X28" s="1">
        <f t="shared" si="33"/>
        <v>3500</v>
      </c>
      <c r="Y28" s="1">
        <f t="shared" si="4"/>
        <v>3500</v>
      </c>
      <c r="Z28" s="12">
        <v>2.2000000000000002</v>
      </c>
      <c r="AA28" s="12">
        <v>2.1800000000000002</v>
      </c>
      <c r="AB28" s="1">
        <f>($X28+$Y28)*Z28*'Prices&amp;Fuel'!$H28</f>
        <v>477400.00000000006</v>
      </c>
      <c r="AC28" s="1">
        <f>($X28+$Y28)*AA28*'Prices&amp;Fuel'!$H28</f>
        <v>473060.00000000006</v>
      </c>
      <c r="AD28" s="13">
        <f t="shared" si="41"/>
        <v>4340</v>
      </c>
      <c r="AF28" s="1">
        <f>(32000/(1-'Prices&amp;Fuel'!F28))+(25000/(1-'Prices&amp;Fuel'!G28))-AI28</f>
        <v>58611.825192802062</v>
      </c>
      <c r="AG28" s="1">
        <v>0</v>
      </c>
      <c r="AH28" s="1">
        <f>(75000/(1-'Prices&amp;Fuel'!G28))-AK28</f>
        <v>77120.822622107968</v>
      </c>
      <c r="AI28" s="1"/>
      <c r="AJ28" s="1"/>
      <c r="AK28" s="1"/>
      <c r="AL28" s="21">
        <f>ROUND((132000/(1-'Prices&amp;Fuel'!F28))-AF28-AG28-AH28,0)</f>
        <v>0</v>
      </c>
      <c r="AM28" s="1">
        <f t="shared" si="51"/>
        <v>0</v>
      </c>
      <c r="AN28" s="1"/>
      <c r="AO28" s="1">
        <f>ROUND((75000/(1-'Prices&amp;Fuel'!G28)-AV28-AK28)/2,0)</f>
        <v>33442</v>
      </c>
      <c r="AP28" s="1">
        <f t="shared" si="42"/>
        <v>58611.825192802062</v>
      </c>
      <c r="AQ28" s="1"/>
      <c r="AR28" s="1">
        <f>IF(AP28&gt;AF28,0,AF28-AM28-AP28)</f>
        <v>0</v>
      </c>
      <c r="AS28" s="13"/>
      <c r="AT28" s="13">
        <f t="shared" si="25"/>
        <v>33442.048428559581</v>
      </c>
      <c r="AU28" s="13">
        <f>AL28*AX28*'Prices&amp;Fuel'!H28</f>
        <v>0</v>
      </c>
      <c r="AV28" s="1">
        <f>(261850+55490)/31</f>
        <v>10236.774193548386</v>
      </c>
      <c r="AW28" s="20">
        <f t="shared" si="52"/>
        <v>0.13500000000000001</v>
      </c>
      <c r="AX28" s="20">
        <f t="shared" si="52"/>
        <v>2.5000000000000001E-2</v>
      </c>
      <c r="AY28" s="6">
        <f>('Prices&amp;Fuel'!H28*('Prices&amp;Fuel'!B28+AW28)*'Long Term Deals'!AF28)+('Prices&amp;Fuel'!H28*('Prices&amp;Fuel'!C28+'Long Term Deals'!AW28)*'Long Term Deals'!AG28)+(AH28*('Prices&amp;Fuel'!C28+AW28)*'Prices&amp;Fuel'!H28)+(AW28*AL28*'Prices&amp;Fuel'!H28)</f>
        <v>11140874.035989717</v>
      </c>
      <c r="AZ28" s="6">
        <f>(AP28*'Prices&amp;Fuel'!H28*'Prices&amp;Fuel'!B28)+(AQ28*'Prices&amp;Fuel'!C28*'Prices&amp;Fuel'!H28)+((AM28+AR28)*('Prices&amp;Fuel'!B28+'Long Term Deals'!AX28)*'Prices&amp;Fuel'!H28)+((AN28+AS28)*('Prices&amp;Fuel'!C28+'Long Term Deals'!AX28)*'Prices&amp;Fuel'!H28)+((AO28+AT28)*('Prices&amp;Fuel'!D28+'Long Term Deals'!AX28)*'Prices&amp;Fuel'!H28)+(AV28*'Prices&amp;Fuel'!H28*'Prices&amp;Fuel'!Q28)+AU28</f>
        <v>10526748.142365038</v>
      </c>
      <c r="BA28" s="6">
        <f t="shared" si="43"/>
        <v>614125.89362467825</v>
      </c>
      <c r="BB28" s="6">
        <f>IF('FP Corp'!T28-((BE28+BF28+BG28)*(1-'Prices&amp;Fuel'!F28))&lt;'Prices&amp;Fuel'!R28,('FP Corp'!T28-(BE28+BF28+BG28)*(1-'Prices&amp;Fuel'!F28)),'Prices&amp;Fuel'!R28)/(1-'Prices&amp;Fuel'!F28)</f>
        <v>8976.8637532133671</v>
      </c>
      <c r="BC28" s="14">
        <f>('FP Corp'!T28/(1-'Prices&amp;Fuel'!F28))-BD28-BE28-BF28-BG28-BB28</f>
        <v>68.000000000201908</v>
      </c>
      <c r="BD28" s="14">
        <f>ROUND(IF('FP Corp'!T28/(1-'Prices&amp;Fuel'!F28)-BE28-BF28-BG28-BB28&gt;'Prices&amp;Fuel'!T28,'Prices&amp;Fuel'!T28,'FP Corp'!T28/(1-'Prices&amp;Fuel'!F28)-BE28-BF28-BG28-BB28),9)-68</f>
        <v>3446.6529562979999</v>
      </c>
      <c r="BE28" s="14">
        <f>'Prices&amp;Fuel'!U28/(1-'Prices&amp;Fuel'!F28)</f>
        <v>2910.025706940874</v>
      </c>
      <c r="BF28" s="14">
        <f>('Prices&amp;Fuel'!V28+'Prices&amp;Fuel'!X28)/(1-'Prices&amp;Fuel'!F28)</f>
        <v>4628.2776349614396</v>
      </c>
      <c r="BG28" s="14">
        <f>'Prices&amp;Fuel'!W28/(1-'Prices&amp;Fuel'!F28)</f>
        <v>1564.0102827763496</v>
      </c>
      <c r="BH28" s="25">
        <f>('Prices&amp;Fuel'!C28+'Prices&amp;Fuel'!D28)/2-0.05+('Prices&amp;Fuel'!M28+'Prices&amp;Fuel'!P28)*(1-'Prices&amp;Fuel'!F28)</f>
        <v>3.2439322500000003</v>
      </c>
      <c r="BI28" s="14">
        <f t="shared" si="37"/>
        <v>8976.8637532133671</v>
      </c>
      <c r="BJ28" s="14">
        <v>68</v>
      </c>
      <c r="BK28" s="25">
        <f>(((BB28+BE28)*('Prices&amp;Fuel'!B28+0.025))+(('Prices&amp;Fuel'!D28+0.025)*(BD28+BG28))+(('Prices&amp;Fuel'!C28+0.025)*(BC28+BF28))-(BI28+BJ28)*0.025)/(BB28+BC28+BD28+BE28+BF28+BG28)</f>
        <v>2.5132277119047628</v>
      </c>
      <c r="BL28" s="14">
        <f>(BB28+BC28+BD28+BE28+BF28+BG28)*BH28*'Prices&amp;Fuel'!H28</f>
        <v>2171516.6012853472</v>
      </c>
      <c r="BM28" s="14">
        <f>'Prices&amp;Fuel'!X28*('Prices&amp;Fuel'!N28+'Prices&amp;Fuel'!O28)*'Prices&amp;Fuel'!H28</f>
        <v>7562.2547000000013</v>
      </c>
      <c r="BN28" s="14">
        <f>('Prices&amp;Fuel'!U28+'Prices&amp;Fuel'!V28+'Prices&amp;Fuel'!W28)*('Prices&amp;Fuel'!L28+'Prices&amp;Fuel'!O28)*'Prices&amp;Fuel'!H28</f>
        <v>102220.02000000002</v>
      </c>
      <c r="BO28" s="14">
        <f>((BB28+BC28+BD28)*(1-'Prices&amp;Fuel'!G28))*('Prices&amp;Fuel'!M28+'Prices&amp;Fuel'!P28)*'Prices&amp;Fuel'!H28</f>
        <v>303567.58679999999</v>
      </c>
      <c r="BP28" s="14">
        <f>((BD28+BC28+BB28+BE28+BF28+BG28)*BK28*'Prices&amp;Fuel'!H28)+BM28+BN28+BO28</f>
        <v>2095726.4583637535</v>
      </c>
      <c r="BQ28" s="6">
        <f t="shared" si="38"/>
        <v>75790.142921593739</v>
      </c>
      <c r="BR28" s="1">
        <v>1000</v>
      </c>
      <c r="BT28" s="11">
        <f>IF('Prices&amp;Fuel'!$E28&lt;1.89,1.89,'Prices&amp;Fuel'!$E28)</f>
        <v>2.6073</v>
      </c>
      <c r="BU28" s="11"/>
      <c r="BV28" s="28">
        <f t="shared" si="27"/>
        <v>2.6073</v>
      </c>
      <c r="BW28" s="28"/>
      <c r="BX28" s="1">
        <f>(BR28*BT28+BS28*BU28)*'Prices&amp;Fuel'!H28</f>
        <v>80826.299999999988</v>
      </c>
      <c r="BY28" s="1">
        <f>($BR28*BV28+$BS28*BW28)*'Prices&amp;Fuel'!H28</f>
        <v>80826.299999999988</v>
      </c>
      <c r="BZ28" s="6">
        <f t="shared" si="39"/>
        <v>0</v>
      </c>
      <c r="CA28" s="6">
        <f>(AF28+AG28+AH28+AL28)*0.005*'Prices&amp;Fuel'!H28</f>
        <v>21038.560411311057</v>
      </c>
      <c r="CB28" s="6">
        <f>(B28+C28+D28+O28+P28+Q28+X28+Y28+BB28+BC28+BD28+BE28+BF28+BG28+BR28+BS28)*0.005*'Prices&amp;Fuel'!H28</f>
        <v>8477.5437017994864</v>
      </c>
      <c r="CC28" s="1">
        <f t="shared" si="45"/>
        <v>15617996.107275065</v>
      </c>
      <c r="CD28" s="1">
        <f t="shared" si="46"/>
        <v>14944697.074841904</v>
      </c>
      <c r="CE28" s="1">
        <f t="shared" si="47"/>
        <v>673299.03243316151</v>
      </c>
      <c r="CF28" s="1">
        <f>'Index Price Deals'!AR28</f>
        <v>132133.91166666668</v>
      </c>
      <c r="CG28" s="1">
        <f>'Index Price Deals'!AS28</f>
        <v>249.565</v>
      </c>
      <c r="CH28" s="1">
        <f>'Index Price Deals'!AT28</f>
        <v>128336.60031481748</v>
      </c>
      <c r="CI28" s="1">
        <f>'Index Price Deals'!AU28</f>
        <v>3797.3113518492028</v>
      </c>
      <c r="CJ28" s="1">
        <f t="shared" si="44"/>
        <v>15750130.018941732</v>
      </c>
      <c r="CK28" s="1">
        <f t="shared" si="48"/>
        <v>15073033.675156722</v>
      </c>
      <c r="CL28" s="1">
        <f t="shared" si="48"/>
        <v>677096.34378501074</v>
      </c>
      <c r="CM28" s="30"/>
      <c r="CN28" s="1">
        <f>Transport!U28</f>
        <v>552207.1540000001</v>
      </c>
      <c r="CO28" s="57">
        <f>[2]Sheet1!$AL69</f>
        <v>763215.32511060953</v>
      </c>
      <c r="CQ28" s="1">
        <f>(((($B28+$C28+$D28+$O28+$P28+$Q28)*0.5)+BR28+BS28)*(0.005*'Prices&amp;Fuel'!$H28)+'Index Price Deals'!AV28)+(((BB28+BC28+BD28+BE28+BF28+BG28)*(1-'Prices&amp;Fuel'!F28))*0.005*0.5*'Prices&amp;Fuel'!H28)</f>
        <v>3788.665</v>
      </c>
      <c r="CR28" s="1">
        <f>(((($B28+$C28+$D28+$O28+$P28+$Q28)*0.5)+X28+Y28)*(0.005*'Prices&amp;Fuel'!$H28)+CA28+'Index Price Deals'!AW28)+(((BB28+BC28+BD28+BE28+BF28+BG28)*(1-'Prices&amp;Fuel'!F28))*0.005*0.5*'Prices&amp;Fuel'!H28)</f>
        <v>25884.960411311058</v>
      </c>
      <c r="CS28" s="21">
        <f>'Short Term Firm For Budget'!E28</f>
        <v>191271.24</v>
      </c>
      <c r="CT28" s="1">
        <f>[3]Sheet1!$O38</f>
        <v>175524.2037861961</v>
      </c>
      <c r="CU28" s="1">
        <f>'[4]Long Term Deals'!$Z27</f>
        <v>-34947.762969705596</v>
      </c>
      <c r="CV28" s="60">
        <f t="shared" si="23"/>
        <v>868903.78813971847</v>
      </c>
      <c r="CW28" s="13">
        <f>((B28+C28+D28+O28+P28+Q28+X28+Y28+AF28+AG28+AH28+BB28+BC28+BD28+BE28+BF28+BG28+BR28+BS28)+('Index Price Deals'!B28+'Index Price Deals'!C28+'Index Price Deals'!D28+'Index Price Deals'!L28+'Index Price Deals'!M28+'Index Price Deals'!N28+'Index Price Deals'!AD28+'Index Price Deals'!AE28+'Index Price Deals'!AF28+'Index Price Deals'!AK28+'Index Price Deals'!AL28+'Index Price Deals'!AM28))*'Prices&amp;Fuel'!H28</f>
        <v>5953133.8226221092</v>
      </c>
      <c r="CX28" s="65">
        <f>BQ28/(BB28+BC28+BD28+BE28+BF28+BG28)/'Prices&amp;Fuel'!H28</f>
        <v>0.11321952994047604</v>
      </c>
      <c r="CZ28" s="28">
        <f>(BA28-CT28+CU28)/(AF28+AG28+AH28)/'Prices&amp;Fuel'!H28</f>
        <v>9.5931926656863425E-2</v>
      </c>
      <c r="DB28" s="3">
        <f>(O28+P28+Q28)*'Prices&amp;Fuel'!$H28</f>
        <v>778100</v>
      </c>
      <c r="DC28" s="3">
        <f>(X28+Y28)*'Prices&amp;Fuel'!$H28</f>
        <v>217000</v>
      </c>
      <c r="DD28" s="3">
        <f>(BR28)*'Prices&amp;Fuel'!$H28</f>
        <v>31000</v>
      </c>
      <c r="DE28" s="3">
        <v>132000</v>
      </c>
    </row>
    <row r="29" spans="1:109" hidden="1" x14ac:dyDescent="0.25">
      <c r="A29" s="10">
        <f t="shared" si="35"/>
        <v>36478.999999999942</v>
      </c>
      <c r="O29" s="1">
        <v>9036</v>
      </c>
      <c r="P29" s="1">
        <v>10794</v>
      </c>
      <c r="Q29" s="1">
        <v>5270</v>
      </c>
      <c r="R29" s="11">
        <f t="shared" si="49"/>
        <v>2.2456999999999998</v>
      </c>
      <c r="S29" s="11">
        <f t="shared" si="50"/>
        <v>2.2346999999999997</v>
      </c>
      <c r="T29" s="1">
        <f>(($O29*R29)+($P29*R29)+($Q29*R29))*'Prices&amp;Fuel'!$H29</f>
        <v>1691012.1</v>
      </c>
      <c r="U29" s="1">
        <f>(($O29*S29)+($P29*S29)+($Q29*S29))*'Prices&amp;Fuel'!$H29</f>
        <v>1682729.0999999999</v>
      </c>
      <c r="V29" s="13">
        <f t="shared" si="40"/>
        <v>8283.0000000002328</v>
      </c>
      <c r="X29" s="1">
        <f t="shared" si="33"/>
        <v>3500</v>
      </c>
      <c r="Y29" s="1">
        <f t="shared" si="4"/>
        <v>3500</v>
      </c>
      <c r="Z29" s="12">
        <v>2.2000000000000002</v>
      </c>
      <c r="AA29" s="12">
        <v>2.1800000000000002</v>
      </c>
      <c r="AB29" s="1">
        <f>($X29+$Y29)*Z29*'Prices&amp;Fuel'!$H29</f>
        <v>462000.00000000006</v>
      </c>
      <c r="AC29" s="1">
        <f>($X29+$Y29)*AA29*'Prices&amp;Fuel'!$H29</f>
        <v>457800.00000000006</v>
      </c>
      <c r="AD29" s="13">
        <f t="shared" si="41"/>
        <v>4200</v>
      </c>
      <c r="AF29" s="1">
        <f>(32000/(1-'Prices&amp;Fuel'!F29))+(25000/(1-'Prices&amp;Fuel'!G29))-AI29</f>
        <v>58611.825192802062</v>
      </c>
      <c r="AG29" s="1">
        <v>0</v>
      </c>
      <c r="AH29" s="1">
        <f>(75000/(1-'Prices&amp;Fuel'!G29))-AK29</f>
        <v>77120.822622107968</v>
      </c>
      <c r="AI29" s="1"/>
      <c r="AJ29" s="1"/>
      <c r="AK29" s="1"/>
      <c r="AL29" s="21">
        <f>ROUND((132000/(1-'Prices&amp;Fuel'!F29))-AF29-AG29-AH29,0)</f>
        <v>0</v>
      </c>
      <c r="AM29" s="1">
        <f t="shared" si="51"/>
        <v>0</v>
      </c>
      <c r="AN29" s="1"/>
      <c r="AO29" s="1">
        <f>ROUND((75000/(1-'Prices&amp;Fuel'!G29)-AV29-AK29)/2,0)</f>
        <v>33099</v>
      </c>
      <c r="AP29" s="1">
        <f t="shared" si="42"/>
        <v>58611.825192802062</v>
      </c>
      <c r="AQ29" s="1"/>
      <c r="AR29" s="1">
        <f t="shared" ref="AR29:AR44" si="53">IF(AP29&gt;AF29,0,AF29-AM29-AP29)</f>
        <v>0</v>
      </c>
      <c r="AS29" s="13"/>
      <c r="AT29" s="13">
        <f t="shared" si="25"/>
        <v>33099.922622107966</v>
      </c>
      <c r="AU29" s="13">
        <f>AL29*AX29*'Prices&amp;Fuel'!H29</f>
        <v>0</v>
      </c>
      <c r="AV29" s="1">
        <f>(268304+59353)/30</f>
        <v>10921.9</v>
      </c>
      <c r="AW29" s="20">
        <f t="shared" si="52"/>
        <v>0.13500000000000001</v>
      </c>
      <c r="AX29" s="20">
        <f t="shared" si="52"/>
        <v>2.5000000000000001E-2</v>
      </c>
      <c r="AY29" s="6">
        <f>('Prices&amp;Fuel'!H29*('Prices&amp;Fuel'!B29+AW29)*'Long Term Deals'!AF29)+('Prices&amp;Fuel'!H29*('Prices&amp;Fuel'!C29+'Long Term Deals'!AW29)*'Long Term Deals'!AG29)+(AH29*('Prices&amp;Fuel'!C29+AW29)*'Prices&amp;Fuel'!H29)+(AW29*AL29*'Prices&amp;Fuel'!H29)</f>
        <v>12776760.925449874</v>
      </c>
      <c r="AZ29" s="6">
        <f>(AP29*'Prices&amp;Fuel'!H29*'Prices&amp;Fuel'!B29)+(AQ29*'Prices&amp;Fuel'!C29*'Prices&amp;Fuel'!H29)+((AM29+AR29)*('Prices&amp;Fuel'!B29+'Long Term Deals'!AX29)*'Prices&amp;Fuel'!H29)+((AN29+AS29)*('Prices&amp;Fuel'!C29+'Long Term Deals'!AX29)*'Prices&amp;Fuel'!H29)+((AO29+AT29)*('Prices&amp;Fuel'!D29+'Long Term Deals'!AX29)*'Prices&amp;Fuel'!H29)+(AV29*'Prices&amp;Fuel'!H29*'Prices&amp;Fuel'!Q29)+AU29</f>
        <v>12177932.636619536</v>
      </c>
      <c r="BA29" s="6">
        <f t="shared" si="43"/>
        <v>598828.28883033805</v>
      </c>
      <c r="BB29" s="6">
        <f>IF('FP Corp'!T29-((BE29+BF29+BG29)*(1-'Prices&amp;Fuel'!F29))&lt;'Prices&amp;Fuel'!R29,('FP Corp'!T29-(BE29+BF29+BG29)*(1-'Prices&amp;Fuel'!F29)),'Prices&amp;Fuel'!R29)/(1-'Prices&amp;Fuel'!F29)-68</f>
        <v>4257.9640102827761</v>
      </c>
      <c r="BC29" s="14">
        <f>('FP Corp'!T29/(1-'Prices&amp;Fuel'!F29))-BD29-BE29-BF29-BG29-BB29</f>
        <v>68.000000000001819</v>
      </c>
      <c r="BD29" s="14">
        <f>ROUND(IF('FP Corp'!T29/(1-'Prices&amp;Fuel'!F29)-BE29-BF29-BG29-BB29&gt;'Prices&amp;Fuel'!T29,'Prices&amp;Fuel'!T29,'FP Corp'!T29/(1-'Prices&amp;Fuel'!F29)-BE29-BF29-BG29-BB29),9)-68</f>
        <v>0</v>
      </c>
      <c r="BE29" s="14">
        <f>'Prices&amp;Fuel'!U29/(1-'Prices&amp;Fuel'!F29)</f>
        <v>2635.4755784061695</v>
      </c>
      <c r="BF29" s="14">
        <f>('Prices&amp;Fuel'!V29+'Prices&amp;Fuel'!X29)/(1-'Prices&amp;Fuel'!F29)</f>
        <v>3645.2442159383031</v>
      </c>
      <c r="BG29" s="14">
        <f>'Prices&amp;Fuel'!W29/(1-'Prices&amp;Fuel'!F29)</f>
        <v>1732.6478149100255</v>
      </c>
      <c r="BH29" s="25">
        <f>('Prices&amp;Fuel'!C29+'Prices&amp;Fuel'!D29)/2-0.05+('Prices&amp;Fuel'!M29+'Prices&amp;Fuel'!P29)*(1-'Prices&amp;Fuel'!F29)</f>
        <v>3.7339322500000005</v>
      </c>
      <c r="BI29" s="14">
        <f t="shared" si="37"/>
        <v>4257.9640102827761</v>
      </c>
      <c r="BJ29" s="14">
        <v>68</v>
      </c>
      <c r="BK29" s="25">
        <f>(((BB29+BE29)*('Prices&amp;Fuel'!B29+0.025))+(('Prices&amp;Fuel'!D29+0.025)*(BD29+BG29))+(('Prices&amp;Fuel'!C29+0.025)*(BC29+BF29))-(BI29+BJ29)*0.025)/(BB29+BC29+BD29+BE29+BF29+BG29)</f>
        <v>3.0082725166666671</v>
      </c>
      <c r="BL29" s="14">
        <f>(BB29+BC29+BD29+BE29+BF29+BG29)*BH29*'Prices&amp;Fuel'!H29</f>
        <v>1382226.8483290491</v>
      </c>
      <c r="BM29" s="14">
        <f>'Prices&amp;Fuel'!X29*('Prices&amp;Fuel'!N29+'Prices&amp;Fuel'!O29)*'Prices&amp;Fuel'!H29</f>
        <v>4993.4130000000005</v>
      </c>
      <c r="BN29" s="14">
        <f>('Prices&amp;Fuel'!U29+'Prices&amp;Fuel'!V29+'Prices&amp;Fuel'!W29)*('Prices&amp;Fuel'!L29+'Prices&amp;Fuel'!O29)*'Prices&amp;Fuel'!H29</f>
        <v>89586.000000000015</v>
      </c>
      <c r="BO29" s="14">
        <f>((BB29+BC29+BD29)*(1-'Prices&amp;Fuel'!G29))*('Prices&amp;Fuel'!M29+'Prices&amp;Fuel'!P29)*'Prices&amp;Fuel'!H29</f>
        <v>101737.88100000005</v>
      </c>
      <c r="BP29" s="14">
        <f>((BD29+BC29+BB29+BE29+BF29+BG29)*BK29*'Prices&amp;Fuel'!H29)+BM29+BN29+BO29</f>
        <v>1309919.4595526995</v>
      </c>
      <c r="BQ29" s="6">
        <f t="shared" si="38"/>
        <v>72307.388776349602</v>
      </c>
      <c r="BR29" s="1">
        <v>1000</v>
      </c>
      <c r="BT29" s="11">
        <f>IF('Prices&amp;Fuel'!$E29&lt;1.89,1.89,'Prices&amp;Fuel'!$E29)</f>
        <v>3.0396999999999998</v>
      </c>
      <c r="BU29" s="11"/>
      <c r="BV29" s="28">
        <f t="shared" si="27"/>
        <v>3.0396999999999998</v>
      </c>
      <c r="BW29" s="28"/>
      <c r="BX29" s="1">
        <f>(BR29*BT29+BS29*BU29)*'Prices&amp;Fuel'!H29</f>
        <v>91191</v>
      </c>
      <c r="BY29" s="1">
        <f>($BR29*BV29+$BS29*BW29)*'Prices&amp;Fuel'!H29</f>
        <v>91191</v>
      </c>
      <c r="BZ29" s="6">
        <f t="shared" si="39"/>
        <v>0</v>
      </c>
      <c r="CA29" s="6">
        <f>(AF29+AG29+AH29+AL29)*0.005*'Prices&amp;Fuel'!H29</f>
        <v>20359.897172236506</v>
      </c>
      <c r="CB29" s="6">
        <f>(B29+C29+D29+O29+P29+Q29+X29+Y29+BB29+BC29+BD29+BE29+BF29+BG29+BR29+BS29)*0.005*'Prices&amp;Fuel'!H29</f>
        <v>6815.8997429305919</v>
      </c>
      <c r="CC29" s="1">
        <f t="shared" si="45"/>
        <v>16403190.873778922</v>
      </c>
      <c r="CD29" s="1">
        <f t="shared" si="46"/>
        <v>15746747.993087403</v>
      </c>
      <c r="CE29" s="1">
        <f t="shared" si="47"/>
        <v>656442.88069151901</v>
      </c>
      <c r="CF29" s="1">
        <f>'Index Price Deals'!AR29</f>
        <v>16133.55</v>
      </c>
      <c r="CG29" s="1">
        <f>'Index Price Deals'!AS29</f>
        <v>26.55</v>
      </c>
      <c r="CH29" s="1">
        <f>'Index Price Deals'!AT29</f>
        <v>16000.8</v>
      </c>
      <c r="CI29" s="1">
        <f>'Index Price Deals'!AU29</f>
        <v>132.75</v>
      </c>
      <c r="CJ29" s="1">
        <f t="shared" si="44"/>
        <v>16419324.423778923</v>
      </c>
      <c r="CK29" s="1">
        <f t="shared" si="48"/>
        <v>15762748.793087404</v>
      </c>
      <c r="CL29" s="1">
        <f t="shared" si="48"/>
        <v>656575.63069151901</v>
      </c>
      <c r="CM29" s="30"/>
      <c r="CN29" s="1">
        <f>Transport!U29</f>
        <v>369319.30500000005</v>
      </c>
      <c r="CO29" s="57">
        <f>[2]Sheet1!$AL70</f>
        <v>738595.47591349308</v>
      </c>
      <c r="CQ29" s="1">
        <f>(((($B29+$C29+$D29+$O29+$P29+$Q29)*0.5)+BR29+BS29)*(0.005*'Prices&amp;Fuel'!$H29)+'Index Price Deals'!AV29)+(((BB29+BC29+BD29+BE29+BF29+BG29)*(1-'Prices&amp;Fuel'!F29))*0.005*0.5*'Prices&amp;Fuel'!H29)</f>
        <v>2959.05</v>
      </c>
      <c r="CR29" s="1">
        <f>(((($B29+$C29+$D29+$O29+$P29+$Q29)*0.5)+X29+Y29)*(0.005*'Prices&amp;Fuel'!$H29)+CA29+'Index Price Deals'!AW29)+(((BB29+BC29+BD29+BE29+BF29+BG29)*(1-'Prices&amp;Fuel'!F29))*0.005*0.5*'Prices&amp;Fuel'!H29)</f>
        <v>24192.397172236506</v>
      </c>
      <c r="CS29" s="21">
        <f>'Short Term Firm For Budget'!E29</f>
        <v>127923.30000000002</v>
      </c>
      <c r="CT29" s="1">
        <f>[3]Sheet1!$O39</f>
        <v>169862.13269631879</v>
      </c>
      <c r="CU29" s="1">
        <f>'[4]Long Term Deals'!$Z28</f>
        <v>-33820.415777134454</v>
      </c>
      <c r="CV29" s="60">
        <f t="shared" si="23"/>
        <v>950092.55313155882</v>
      </c>
      <c r="CW29" s="13">
        <f>((B29+C29+D29+O29+P29+Q29+X29+Y29+AF29+AG29+AH29+BB29+BC29+BD29+BE29+BF29+BG29+BR29+BS29)+('Index Price Deals'!B29+'Index Price Deals'!C29+'Index Price Deals'!D29+'Index Price Deals'!L29+'Index Price Deals'!M29+'Index Price Deals'!N29+'Index Price Deals'!AD29+'Index Price Deals'!AE29+'Index Price Deals'!AF29+'Index Price Deals'!AK29+'Index Price Deals'!AL29+'Index Price Deals'!AM29))*'Prices&amp;Fuel'!H29</f>
        <v>5440469.3830334181</v>
      </c>
      <c r="CX29" s="65">
        <f>BQ29/(BB29+BC29+BD29+BE29+BF29+BG29)/'Prices&amp;Fuel'!H29</f>
        <v>0.19533037662499997</v>
      </c>
      <c r="CZ29" s="28">
        <f>(BA29-CT29+CU29)/(AF29+AG29+AH29)/'Prices&amp;Fuel'!H29</f>
        <v>9.7040210226532919E-2</v>
      </c>
      <c r="DB29" s="3">
        <f>(O29+P29+Q29)*'Prices&amp;Fuel'!$H29</f>
        <v>753000</v>
      </c>
      <c r="DC29" s="3">
        <f>(X29+Y29)*'Prices&amp;Fuel'!$H29</f>
        <v>210000</v>
      </c>
      <c r="DD29" s="3">
        <f>(BR29)*'Prices&amp;Fuel'!$H29</f>
        <v>30000</v>
      </c>
      <c r="DE29" s="3">
        <v>132000</v>
      </c>
    </row>
    <row r="30" spans="1:109" hidden="1" x14ac:dyDescent="0.25">
      <c r="A30" s="10">
        <f t="shared" si="35"/>
        <v>36509.416666666606</v>
      </c>
      <c r="O30" s="1">
        <v>9036</v>
      </c>
      <c r="P30" s="1">
        <v>10794</v>
      </c>
      <c r="Q30" s="1">
        <v>5270</v>
      </c>
      <c r="R30" s="11">
        <f t="shared" si="49"/>
        <v>2.2456999999999998</v>
      </c>
      <c r="S30" s="11">
        <f t="shared" si="50"/>
        <v>2.2346999999999997</v>
      </c>
      <c r="T30" s="1">
        <f>(($O30*R30)+($P30*R30)+($Q30*R30))*'Prices&amp;Fuel'!$H30</f>
        <v>1747379.17</v>
      </c>
      <c r="U30" s="1">
        <f>(($O30*S30)+($P30*S30)+($Q30*S30))*'Prices&amp;Fuel'!$H30</f>
        <v>1738820.0699999998</v>
      </c>
      <c r="V30" s="13">
        <f t="shared" si="40"/>
        <v>8559.1000000000931</v>
      </c>
      <c r="X30" s="1">
        <f t="shared" si="33"/>
        <v>3500</v>
      </c>
      <c r="Y30" s="1">
        <f t="shared" si="4"/>
        <v>3500</v>
      </c>
      <c r="Z30" s="12">
        <v>2.2000000000000002</v>
      </c>
      <c r="AA30" s="12">
        <v>2.1800000000000002</v>
      </c>
      <c r="AB30" s="1">
        <f>($X30+$Y30)*Z30*'Prices&amp;Fuel'!$H30</f>
        <v>477400.00000000006</v>
      </c>
      <c r="AC30" s="1">
        <f>($X30+$Y30)*AA30*'Prices&amp;Fuel'!$H30</f>
        <v>473060.00000000006</v>
      </c>
      <c r="AD30" s="13">
        <f t="shared" si="41"/>
        <v>4340</v>
      </c>
      <c r="AF30" s="1">
        <f>(32000/(1-'Prices&amp;Fuel'!F30))+(25000/(1-'Prices&amp;Fuel'!G30))-AI30</f>
        <v>58611.825192802062</v>
      </c>
      <c r="AG30" s="1">
        <v>0</v>
      </c>
      <c r="AH30" s="1">
        <f>(75000/(1-'Prices&amp;Fuel'!G30))-AK30</f>
        <v>77120.822622107968</v>
      </c>
      <c r="AI30" s="1"/>
      <c r="AJ30" s="1"/>
      <c r="AK30" s="1"/>
      <c r="AL30" s="21">
        <f>ROUND((132000/(1-'Prices&amp;Fuel'!F30))-AF30-AG30-AH30,0)</f>
        <v>0</v>
      </c>
      <c r="AM30" s="1">
        <f t="shared" si="51"/>
        <v>0</v>
      </c>
      <c r="AN30" s="1"/>
      <c r="AO30" s="1">
        <f>ROUND((75000/(1-'Prices&amp;Fuel'!G30)-AV30-AK30)/2,0)</f>
        <v>37432</v>
      </c>
      <c r="AP30" s="1">
        <f t="shared" si="42"/>
        <v>58611.825192802062</v>
      </c>
      <c r="AR30" s="1">
        <f t="shared" si="53"/>
        <v>0</v>
      </c>
      <c r="AS30" s="13"/>
      <c r="AT30" s="13">
        <f t="shared" si="25"/>
        <v>37431.887138236998</v>
      </c>
      <c r="AU30" s="13">
        <f>AL30*AX30*'Prices&amp;Fuel'!H30</f>
        <v>0</v>
      </c>
      <c r="AV30" s="1">
        <f>(9300+60665)/31</f>
        <v>2256.9354838709678</v>
      </c>
      <c r="AW30" s="20">
        <f t="shared" si="52"/>
        <v>0.13500000000000001</v>
      </c>
      <c r="AX30" s="20">
        <f t="shared" si="52"/>
        <v>2.5000000000000001E-2</v>
      </c>
      <c r="AY30" s="6">
        <f>('Prices&amp;Fuel'!H30*('Prices&amp;Fuel'!B30+AW30)*'Long Term Deals'!AF30)+('Prices&amp;Fuel'!H30*('Prices&amp;Fuel'!C30+'Long Term Deals'!AW30)*'Long Term Deals'!AG30)+(AH30*('Prices&amp;Fuel'!C30+AW30)*'Prices&amp;Fuel'!H30)+(AW30*AL30*'Prices&amp;Fuel'!H30)</f>
        <v>9499866.3239074573</v>
      </c>
      <c r="AZ30" s="6">
        <f>(AP30*'Prices&amp;Fuel'!H30*'Prices&amp;Fuel'!B30)+(AQ30*'Prices&amp;Fuel'!C30*'Prices&amp;Fuel'!H30)+((AM30+AR30)*('Prices&amp;Fuel'!B30+'Long Term Deals'!AX30)*'Prices&amp;Fuel'!H30)+((AN30+AS30)*('Prices&amp;Fuel'!C30+'Long Term Deals'!AX30)*'Prices&amp;Fuel'!H30)+((AO30+AT30)*('Prices&amp;Fuel'!D30+'Long Term Deals'!AX30)*'Prices&amp;Fuel'!H30)+(AV30*'Prices&amp;Fuel'!H30*'Prices&amp;Fuel'!Q30)+AU30</f>
        <v>8896887.5452827774</v>
      </c>
      <c r="BA30" s="6">
        <f t="shared" si="43"/>
        <v>602978.77862467989</v>
      </c>
      <c r="BB30" s="6">
        <f>IF('FP Corp'!T30-((BE30+BF30+BG30)*(1-'Prices&amp;Fuel'!F30))&lt;'Prices&amp;Fuel'!R30,('FP Corp'!T30-(BE30+BF30+BG30)*(1-'Prices&amp;Fuel'!F30)),'Prices&amp;Fuel'!R30)/(1-'Prices&amp;Fuel'!F30)-68</f>
        <v>4257.9640102827761</v>
      </c>
      <c r="BC30" s="14">
        <f>('FP Corp'!T30/(1-'Prices&amp;Fuel'!F30))-BD30-BE30-BF30-BG30-BB30</f>
        <v>68.000000000001819</v>
      </c>
      <c r="BD30" s="14">
        <f>ROUND(IF('FP Corp'!T30/(1-'Prices&amp;Fuel'!F30)-BE30-BF30-BG30-BB30&gt;'Prices&amp;Fuel'!T30,'Prices&amp;Fuel'!T30,'FP Corp'!T30/(1-'Prices&amp;Fuel'!F30)-BE30-BF30-BG30-BB30),9)-68</f>
        <v>0</v>
      </c>
      <c r="BE30" s="14">
        <f>'Prices&amp;Fuel'!U30/(1-'Prices&amp;Fuel'!F30)</f>
        <v>2635.4755784061695</v>
      </c>
      <c r="BF30" s="14">
        <f>('Prices&amp;Fuel'!V30+'Prices&amp;Fuel'!X30)/(1-'Prices&amp;Fuel'!F30)</f>
        <v>3645.2442159383031</v>
      </c>
      <c r="BG30" s="14">
        <f>'Prices&amp;Fuel'!W30/(1-'Prices&amp;Fuel'!F30)</f>
        <v>1732.6478149100255</v>
      </c>
      <c r="BH30" s="25">
        <f>('Prices&amp;Fuel'!C30+'Prices&amp;Fuel'!D30)/2-0.05+('Prices&amp;Fuel'!M30+'Prices&amp;Fuel'!P30)*(1-'Prices&amp;Fuel'!F30)</f>
        <v>2.8539322500000006</v>
      </c>
      <c r="BI30" s="14">
        <f t="shared" si="37"/>
        <v>4257.9640102827761</v>
      </c>
      <c r="BJ30" s="14">
        <v>68</v>
      </c>
      <c r="BK30" s="25">
        <f>(((BB30+BE30)*('Prices&amp;Fuel'!B30+0.025))+(('Prices&amp;Fuel'!D30+0.025)*(BD30+BG30))+(('Prices&amp;Fuel'!C30+0.025)*(BC30+BF30))-(BI30+BJ30)*0.025)/(BB30+BC30+BD30+BE30+BF30+BG30)</f>
        <v>2.1282725166666667</v>
      </c>
      <c r="BL30" s="14">
        <f>(BB30+BC30+BD30+BE30+BF30+BG30)*BH30*'Prices&amp;Fuel'!H30</f>
        <v>1091684.1100257072</v>
      </c>
      <c r="BM30" s="14">
        <f>'Prices&amp;Fuel'!X30*('Prices&amp;Fuel'!N30+'Prices&amp;Fuel'!O30)*'Prices&amp;Fuel'!H30</f>
        <v>5159.8600999999999</v>
      </c>
      <c r="BN30" s="14">
        <f>('Prices&amp;Fuel'!U30+'Prices&amp;Fuel'!V30+'Prices&amp;Fuel'!W30)*('Prices&amp;Fuel'!L30+'Prices&amp;Fuel'!O30)*'Prices&amp;Fuel'!H30</f>
        <v>92572.200000000012</v>
      </c>
      <c r="BO30" s="14">
        <f>((BB30+BC30+BD30)*(1-'Prices&amp;Fuel'!G30))*('Prices&amp;Fuel'!M30+'Prices&amp;Fuel'!P30)*'Prices&amp;Fuel'!H30</f>
        <v>105129.14370000004</v>
      </c>
      <c r="BP30" s="14">
        <f>((BD30+BC30+BB30+BE30+BF30+BG30)*BK30*'Prices&amp;Fuel'!H30)+BM30+BN30+BO30</f>
        <v>1016966.4749568125</v>
      </c>
      <c r="BQ30" s="6">
        <f t="shared" si="38"/>
        <v>74717.635068894713</v>
      </c>
      <c r="BR30" s="1">
        <v>1000</v>
      </c>
      <c r="BT30" s="11">
        <f>IF('Prices&amp;Fuel'!$E30&lt;1.89,1.89,'Prices&amp;Fuel'!$E30)</f>
        <v>2.1686999999999999</v>
      </c>
      <c r="BU30" s="11"/>
      <c r="BV30" s="28">
        <f t="shared" si="27"/>
        <v>2.1686999999999999</v>
      </c>
      <c r="BW30" s="28"/>
      <c r="BX30" s="1">
        <f>(BR30*BT30+BS30*BU30)*'Prices&amp;Fuel'!H30</f>
        <v>67229.7</v>
      </c>
      <c r="BY30" s="1">
        <f>($BR30*BV30+$BS30*BW30)*'Prices&amp;Fuel'!H30</f>
        <v>67229.7</v>
      </c>
      <c r="BZ30" s="6">
        <f t="shared" si="39"/>
        <v>0</v>
      </c>
      <c r="CA30" s="6">
        <f>(AF30+AG30+AH30+AL30)*0.005*'Prices&amp;Fuel'!H30</f>
        <v>21038.560411311057</v>
      </c>
      <c r="CB30" s="6">
        <f>(B30+C30+D30+O30+P30+Q30+X30+Y30+BB30+BC30+BD30+BE30+BF30+BG30+BR30+BS30)*0.005*'Prices&amp;Fuel'!H30</f>
        <v>7043.0964010282787</v>
      </c>
      <c r="CC30" s="1">
        <f t="shared" si="45"/>
        <v>12883559.303933164</v>
      </c>
      <c r="CD30" s="1">
        <f t="shared" si="46"/>
        <v>12221045.447051929</v>
      </c>
      <c r="CE30" s="1">
        <f t="shared" si="47"/>
        <v>662513.85688123479</v>
      </c>
      <c r="CF30" s="1">
        <f>'Index Price Deals'!AR30</f>
        <v>18667.425000000003</v>
      </c>
      <c r="CG30" s="1">
        <f>'Index Price Deals'!AS30</f>
        <v>43.244999999999997</v>
      </c>
      <c r="CH30" s="1">
        <f>'Index Price Deals'!AT30</f>
        <v>18451.2</v>
      </c>
      <c r="CI30" s="1">
        <f>'Index Price Deals'!AU30</f>
        <v>216.22500000000218</v>
      </c>
      <c r="CJ30" s="1">
        <f t="shared" si="44"/>
        <v>12902226.728933165</v>
      </c>
      <c r="CK30" s="1">
        <f t="shared" si="48"/>
        <v>12239496.647051929</v>
      </c>
      <c r="CL30" s="1">
        <f t="shared" si="48"/>
        <v>662730.08188123477</v>
      </c>
      <c r="CM30" s="1">
        <f>SUM(CL19:CL30)</f>
        <v>12021543.363412414</v>
      </c>
      <c r="CN30" s="1">
        <f>Transport!U30</f>
        <v>381629.94850000006</v>
      </c>
      <c r="CO30" s="57">
        <f>[2]Sheet1!$AL71</f>
        <v>763215.32511060953</v>
      </c>
      <c r="CQ30" s="1">
        <f>(((($B30+$C30+$D30+$O30+$P30+$Q30)*0.5)+BR30+BS30)*(0.005*'Prices&amp;Fuel'!$H30)+'Index Price Deals'!AV30)+(((BB30+BC30+BD30+BE30+BF30+BG30)*(1-'Prices&amp;Fuel'!F30))*0.005*0.5*'Prices&amp;Fuel'!H30)</f>
        <v>3073.4949999999999</v>
      </c>
      <c r="CR30" s="1">
        <f>(((($B30+$C30+$D30+$O30+$P30+$Q30)*0.5)+X30+Y30)*(0.005*'Prices&amp;Fuel'!$H30)+CA30+'Index Price Deals'!AW30)+(((BB30+BC30+BD30+BE30+BF30+BG30)*(1-'Prices&amp;Fuel'!F30))*0.005*0.5*'Prices&amp;Fuel'!H30)</f>
        <v>24998.810411311057</v>
      </c>
      <c r="CS30" s="21">
        <f>'Short Term Firm For Budget'!E30</f>
        <v>132187.41000000003</v>
      </c>
      <c r="CT30" s="1">
        <f>[3]Sheet1!$O40</f>
        <v>175524.2037861961</v>
      </c>
      <c r="CU30" s="1">
        <f>'[4]Long Term Deals'!$Z29</f>
        <v>-34895.062969705476</v>
      </c>
      <c r="CV30" s="60">
        <f t="shared" si="23"/>
        <v>966083.60173594276</v>
      </c>
      <c r="CW30" s="13">
        <f>((B30+C30+D30+O30+P30+Q30+X30+Y30+AF30+AG30+AH30+BB30+BC30+BD30+BE30+BF30+BG30+BR30+BS30)+('Index Price Deals'!B30+'Index Price Deals'!C30+'Index Price Deals'!D30+'Index Price Deals'!L30+'Index Price Deals'!M30+'Index Price Deals'!N30+'Index Price Deals'!AD30+'Index Price Deals'!AE30+'Index Price Deals'!AF30+'Index Price Deals'!AK30+'Index Price Deals'!AL30+'Index Price Deals'!AM30))*'Prices&amp;Fuel'!H30</f>
        <v>5624980.3624678655</v>
      </c>
      <c r="CX30" s="65">
        <f>BQ30/(BB30+BC30+BD30+BE30+BF30+BG30)/'Prices&amp;Fuel'!H30</f>
        <v>0.19533037662500027</v>
      </c>
      <c r="CZ30" s="28">
        <f>(BA30-CT30+CU30)/(AF30+AG30+AH30)/'Prices&amp;Fuel'!H30</f>
        <v>9.3295240785040784E-2</v>
      </c>
      <c r="DB30" s="3">
        <f>(O30+P30+Q30)*'Prices&amp;Fuel'!$H30</f>
        <v>778100</v>
      </c>
      <c r="DC30" s="3">
        <f>(X30+Y30)*'Prices&amp;Fuel'!$H30</f>
        <v>217000</v>
      </c>
      <c r="DD30" s="3">
        <f>(BR30)*'Prices&amp;Fuel'!$H30</f>
        <v>31000</v>
      </c>
      <c r="DE30" s="3">
        <v>132000</v>
      </c>
    </row>
    <row r="31" spans="1:109" x14ac:dyDescent="0.25">
      <c r="A31" s="10">
        <f t="shared" si="35"/>
        <v>36539.83333333327</v>
      </c>
      <c r="O31" s="1">
        <v>9036</v>
      </c>
      <c r="P31" s="1">
        <v>10794</v>
      </c>
      <c r="Q31" s="1">
        <v>5270</v>
      </c>
      <c r="R31" s="11">
        <f t="shared" si="49"/>
        <v>2.2456999999999998</v>
      </c>
      <c r="S31" s="11">
        <f t="shared" si="50"/>
        <v>2.2346999999999997</v>
      </c>
      <c r="T31" s="1">
        <f>(($O31*R31)+($P31*R31)+($Q31*R31))*'Prices&amp;Fuel'!$H31</f>
        <v>1747379.17</v>
      </c>
      <c r="U31" s="1">
        <f>(($O31*S31)+($P31*S31)+($Q31*S31))*'Prices&amp;Fuel'!$H31</f>
        <v>1738820.0699999998</v>
      </c>
      <c r="V31" s="13">
        <f t="shared" si="40"/>
        <v>8559.1000000000931</v>
      </c>
      <c r="X31" s="1">
        <f t="shared" si="33"/>
        <v>3500</v>
      </c>
      <c r="Y31" s="1">
        <f t="shared" si="4"/>
        <v>3500</v>
      </c>
      <c r="Z31" s="12">
        <v>2.2000000000000002</v>
      </c>
      <c r="AA31" s="12">
        <v>2.1800000000000002</v>
      </c>
      <c r="AB31" s="1">
        <f>($X31+$Y31)*Z31*'Prices&amp;Fuel'!$H31</f>
        <v>477400.00000000006</v>
      </c>
      <c r="AC31" s="1">
        <f>($X31+$Y31)*AA31*'Prices&amp;Fuel'!$H31</f>
        <v>473060.00000000006</v>
      </c>
      <c r="AD31" s="13">
        <f t="shared" si="41"/>
        <v>4340</v>
      </c>
      <c r="AF31" s="1">
        <f>(32000/(1-'Prices&amp;Fuel'!F31))+(25000/(1-'Prices&amp;Fuel'!G31))-AI31</f>
        <v>58611.825192802062</v>
      </c>
      <c r="AG31" s="1">
        <v>0</v>
      </c>
      <c r="AH31" s="1">
        <f>(75000/(1-'Prices&amp;Fuel'!G31))-AK31</f>
        <v>77120.822622107968</v>
      </c>
      <c r="AI31" s="1"/>
      <c r="AJ31" s="1"/>
      <c r="AK31" s="1"/>
      <c r="AL31" s="21">
        <f>ROUND((132000/(1-'Prices&amp;Fuel'!F31))-AF31-AG31-AH31,0)</f>
        <v>0</v>
      </c>
      <c r="AM31" s="1">
        <f t="shared" si="51"/>
        <v>0</v>
      </c>
      <c r="AO31" s="1">
        <f>ROUND((75000/(1-'Prices&amp;Fuel'!G31)-AV31-AK31)/2,0)</f>
        <v>37415</v>
      </c>
      <c r="AP31" s="1">
        <f t="shared" si="42"/>
        <v>58611.825192802062</v>
      </c>
      <c r="AR31" s="1">
        <f t="shared" si="53"/>
        <v>0</v>
      </c>
      <c r="AT31" s="13">
        <f t="shared" si="25"/>
        <v>37414.758105978937</v>
      </c>
      <c r="AU31" s="13">
        <f>AL31*AX31*'Prices&amp;Fuel'!H31</f>
        <v>0</v>
      </c>
      <c r="AV31" s="1">
        <f>(9277+61746)/31</f>
        <v>2291.0645161290322</v>
      </c>
      <c r="AW31" s="20">
        <v>0.12</v>
      </c>
      <c r="AX31" s="20">
        <f t="shared" ref="AX31:AX62" si="54">AX30</f>
        <v>2.5000000000000001E-2</v>
      </c>
      <c r="AY31" s="6">
        <f>('Prices&amp;Fuel'!H31*('Prices&amp;Fuel'!B31+AW31)*'Long Term Deals'!AF31)+('Prices&amp;Fuel'!H31*('Prices&amp;Fuel'!C31+'Long Term Deals'!AW31)*'Long Term Deals'!AG31)+(AH31*('Prices&amp;Fuel'!C31+AW31)*'Prices&amp;Fuel'!H31)+(AW31*AL31*'Prices&amp;Fuel'!H31)</f>
        <v>10320370.179948587</v>
      </c>
      <c r="AZ31" s="6">
        <f>(AP31*'Prices&amp;Fuel'!H31*'Prices&amp;Fuel'!B31)+(AQ31*'Prices&amp;Fuel'!C31*'Prices&amp;Fuel'!H31)+((AM31+AR31)*('Prices&amp;Fuel'!B31+'Long Term Deals'!AX31)*'Prices&amp;Fuel'!H31)+((AN31+AS31)*('Prices&amp;Fuel'!C31+'Long Term Deals'!AX31)*'Prices&amp;Fuel'!H31)+((AO31+AT31)*('Prices&amp;Fuel'!D31+'Long Term Deals'!AX31)*'Prices&amp;Fuel'!H31)+(AV31*'Prices&amp;Fuel'!H31*'Prices&amp;Fuel'!Q31)+AU31</f>
        <v>9777555.0825578403</v>
      </c>
      <c r="BA31" s="6">
        <f t="shared" si="43"/>
        <v>542815.0973907467</v>
      </c>
      <c r="BB31" s="6">
        <f>IF('FP Corp'!T31-((BE31+BF31+BG31)*(1-'Prices&amp;Fuel'!F31))&lt;'Prices&amp;Fuel'!R31,('FP Corp'!T31-(BE31+BF31+BG31)*(1-'Prices&amp;Fuel'!F31)),'Prices&amp;Fuel'!R31)/(1-'Prices&amp;Fuel'!F31)</f>
        <v>4325.9640102827761</v>
      </c>
      <c r="BC31" s="14"/>
      <c r="BD31" s="14">
        <f>ROUND(IF('FP Corp'!T31/(1-'Prices&amp;Fuel'!F31)-BE31-BF31-BG31-BB31&gt;'Prices&amp;Fuel'!T31,'Prices&amp;Fuel'!T31,'FP Corp'!T31/(1-'Prices&amp;Fuel'!F31)-BE31-BF31-BG31-BB31),9)</f>
        <v>0</v>
      </c>
      <c r="BE31" s="14">
        <f>'Prices&amp;Fuel'!U31/(1-'Prices&amp;Fuel'!F31)</f>
        <v>2635.4755784061695</v>
      </c>
      <c r="BF31" s="14">
        <f>('Prices&amp;Fuel'!V31+'Prices&amp;Fuel'!X31)/(1-'Prices&amp;Fuel'!F31)</f>
        <v>3645.2442159383031</v>
      </c>
      <c r="BG31" s="14">
        <f>'Prices&amp;Fuel'!W31/(1-'Prices&amp;Fuel'!F31)</f>
        <v>1732.6478149100255</v>
      </c>
      <c r="BH31" s="25">
        <f>('Prices&amp;Fuel'!C31+'Prices&amp;Fuel'!D31)/2-0.05+('Prices&amp;Fuel'!M31+'Prices&amp;Fuel'!P31)*(1-'Prices&amp;Fuel'!F31)</f>
        <v>3.0626680000000004</v>
      </c>
      <c r="BI31" s="14">
        <f t="shared" si="37"/>
        <v>4325.9640102827761</v>
      </c>
      <c r="BJ31" s="14"/>
      <c r="BK31" s="25">
        <f>(((BB31+BE31)*('Prices&amp;Fuel'!B31+0.025))+(('Prices&amp;Fuel'!D31+0.025)*(BD31+BG31))+(('Prices&amp;Fuel'!C31+0.025)*(BC31+BF31))-(BI31+BJ31)*0.025)/(BB31+BC31+BD31+BE31+BF31+BG31)</f>
        <v>2.3380520833333338</v>
      </c>
      <c r="BL31" s="14">
        <f>(BB31+BC31+BD31+BE31+BF31+BG31)*BH31*'Prices&amp;Fuel'!H31</f>
        <v>1171529.5588688946</v>
      </c>
      <c r="BM31" s="14">
        <f>'Prices&amp;Fuel'!X31*('Prices&amp;Fuel'!N31+'Prices&amp;Fuel'!O31)*'Prices&amp;Fuel'!H31</f>
        <v>8865.1350999999995</v>
      </c>
      <c r="BN31" s="14">
        <f>('Prices&amp;Fuel'!U31+'Prices&amp;Fuel'!V31+'Prices&amp;Fuel'!W31)*('Prices&amp;Fuel'!L31+'Prices&amp;Fuel'!O31)*'Prices&amp;Fuel'!H31</f>
        <v>92285.667000000016</v>
      </c>
      <c r="BO31" s="14">
        <f>((BB31+BC31+BD31)*(1-'Prices&amp;Fuel'!G31))*('Prices&amp;Fuel'!M31+'Prices&amp;Fuel'!P31)*'Prices&amp;Fuel'!H31</f>
        <v>104959.60159999999</v>
      </c>
      <c r="BP31" s="14">
        <f>((BD31+BC31+BB31+BE31+BF31+BG31)*BK31*'Prices&amp;Fuel'!H31)+BM31+BN31+BO31</f>
        <v>1100460.4037000001</v>
      </c>
      <c r="BQ31" s="6">
        <f t="shared" si="38"/>
        <v>71069.155168894446</v>
      </c>
      <c r="BR31" s="1">
        <v>1000</v>
      </c>
      <c r="BT31" s="11">
        <f>IF('Prices&amp;Fuel'!$E31&lt;1.89,1.89,'Prices&amp;Fuel'!$E31)</f>
        <v>2.3380000000000001</v>
      </c>
      <c r="BU31" s="11"/>
      <c r="BV31" s="28">
        <f t="shared" si="27"/>
        <v>2.3380000000000001</v>
      </c>
      <c r="BW31" s="28"/>
      <c r="BX31" s="1">
        <f>(BR31*BT31+BS31*BU31)*'Prices&amp;Fuel'!H31</f>
        <v>72478</v>
      </c>
      <c r="BY31" s="1">
        <f>($BR31*BV31+$BS31*BW31)*'Prices&amp;Fuel'!H31</f>
        <v>72478</v>
      </c>
      <c r="BZ31" s="6">
        <f t="shared" si="39"/>
        <v>0</v>
      </c>
      <c r="CA31" s="6">
        <f>(AF31+AG31+AH31+AL31)*0.005*'Prices&amp;Fuel'!H31</f>
        <v>21038.560411311057</v>
      </c>
      <c r="CB31" s="6">
        <f>(B31+C31+D31+O31+P31+Q31+X31+Y31+BB31+BC31+BD31+BE31+BF31+BG31+BR31+BS31)*0.005*'Prices&amp;Fuel'!H31</f>
        <v>7043.0964010282787</v>
      </c>
      <c r="CC31" s="1">
        <f t="shared" si="45"/>
        <v>13789156.908817481</v>
      </c>
      <c r="CD31" s="1">
        <f t="shared" si="46"/>
        <v>13190455.21307018</v>
      </c>
      <c r="CE31" s="1">
        <f t="shared" si="47"/>
        <v>598701.69574730098</v>
      </c>
      <c r="CF31" s="1">
        <f>'Index Price Deals'!AR31</f>
        <v>23787.539999999997</v>
      </c>
      <c r="CG31" s="1">
        <f>'Index Price Deals'!AS31</f>
        <v>50.220000000000006</v>
      </c>
      <c r="CH31" s="1">
        <f>'Index Price Deals'!AT31</f>
        <v>23536.440000000006</v>
      </c>
      <c r="CI31" s="1">
        <f>'Index Price Deals'!AU31</f>
        <v>251.09999999999127</v>
      </c>
      <c r="CJ31" s="1">
        <f t="shared" si="44"/>
        <v>13812944.44881748</v>
      </c>
      <c r="CK31" s="1">
        <f t="shared" si="48"/>
        <v>13213991.65307018</v>
      </c>
      <c r="CL31" s="1">
        <f t="shared" si="48"/>
        <v>598952.79574730096</v>
      </c>
      <c r="CM31" s="30"/>
      <c r="CN31" s="1">
        <f>Transport!U31</f>
        <v>381140.36550000001</v>
      </c>
      <c r="CO31" s="57">
        <f>[2]Sheet1!$AL72</f>
        <v>762567.14303902641</v>
      </c>
      <c r="CQ31" s="1">
        <f>(((($B31+$C31+$D31+$O31+$P31+$Q31)*0.5)+BR31+BS31)*(0.005*'Prices&amp;Fuel'!$H31)+'Index Price Deals'!AV31)+(((BB31+BC31+BD31+BE31+BF31+BG31)*(1-'Prices&amp;Fuel'!F31))*0.005*0.5*'Prices&amp;Fuel'!H31)</f>
        <v>3080.47</v>
      </c>
      <c r="CR31" s="1">
        <f>(((($B31+$C31+$D31+$O31+$P31+$Q31)*0.5)+X31+Y31)*(0.005*'Prices&amp;Fuel'!$H31)+CA31+'Index Price Deals'!AW31)+(((BB31+BC31+BD31+BE31+BF31+BG31)*(1-'Prices&amp;Fuel'!F31))*0.005*0.5*'Prices&amp;Fuel'!H31)</f>
        <v>24998.810411311057</v>
      </c>
      <c r="CS31" s="21">
        <f>'Short Term Firm For Budget'!E31</f>
        <v>132187.41000000003</v>
      </c>
      <c r="CT31" s="1">
        <f>[3]Sheet1!$O42</f>
        <v>112213.21874235899</v>
      </c>
      <c r="CU31" s="1">
        <f>'[4]Long Term Deals'!$Z30</f>
        <v>-34895.062969705476</v>
      </c>
      <c r="CV31" s="60">
        <f t="shared" si="23"/>
        <v>965458.70157426293</v>
      </c>
      <c r="CW31" s="13">
        <f>((B31+C31+D31+O31+P31+Q31+X31+Y31+AF31+AG31+AH31+BB31+BC31+BD31+BE31+BF31+BG31+BR31+BS31)+('Index Price Deals'!B31+'Index Price Deals'!C31+'Index Price Deals'!D31+'Index Price Deals'!L31+'Index Price Deals'!M31+'Index Price Deals'!N31+'Index Price Deals'!AD31+'Index Price Deals'!AE31+'Index Price Deals'!AF31+'Index Price Deals'!AK31+'Index Price Deals'!AL31+'Index Price Deals'!AM31))*'Prices&amp;Fuel'!H31</f>
        <v>5626375.3624678655</v>
      </c>
      <c r="CX31" s="65">
        <f>BQ31/(BB31+BC31+BD31+BE31+BF31+BG31)/'Prices&amp;Fuel'!H31</f>
        <v>0.18579234785416626</v>
      </c>
      <c r="CZ31" s="28">
        <f>(BA31-CT31+CU31)/(AF31+AG31+AH31)/'Prices&amp;Fuel'!H31</f>
        <v>9.4043225378181439E-2</v>
      </c>
      <c r="DB31" s="3">
        <f>(O31+P31+Q31)*'Prices&amp;Fuel'!$H31</f>
        <v>778100</v>
      </c>
      <c r="DC31" s="3">
        <f>(X31+Y31)*'Prices&amp;Fuel'!$H31</f>
        <v>217000</v>
      </c>
      <c r="DD31" s="3">
        <f>(BR31)*'Prices&amp;Fuel'!$H31</f>
        <v>31000</v>
      </c>
      <c r="DE31" s="3">
        <v>132000</v>
      </c>
    </row>
    <row r="32" spans="1:109" x14ac:dyDescent="0.25">
      <c r="A32" s="10">
        <f t="shared" si="35"/>
        <v>36570.249999999935</v>
      </c>
      <c r="O32" s="1">
        <v>9036</v>
      </c>
      <c r="P32" s="1">
        <v>10794</v>
      </c>
      <c r="Q32" s="1">
        <v>5270</v>
      </c>
      <c r="R32" s="11">
        <f t="shared" si="49"/>
        <v>2.2456999999999998</v>
      </c>
      <c r="S32" s="11">
        <f t="shared" si="50"/>
        <v>2.2346999999999997</v>
      </c>
      <c r="T32" s="1">
        <f>(($O32*R32)+($P32*R32)+($Q32*R32))*'Prices&amp;Fuel'!$H32</f>
        <v>1634645.03</v>
      </c>
      <c r="U32" s="1">
        <f>(($O32*S32)+($P32*S32)+($Q32*S32))*'Prices&amp;Fuel'!$H32</f>
        <v>1626638.13</v>
      </c>
      <c r="V32" s="13">
        <f t="shared" si="40"/>
        <v>8006.9000000001397</v>
      </c>
      <c r="X32" s="1">
        <f t="shared" ref="X32:X40" si="55">7000*0.5</f>
        <v>3500</v>
      </c>
      <c r="Y32" s="1">
        <f t="shared" si="4"/>
        <v>3500</v>
      </c>
      <c r="Z32" s="12">
        <v>2.2000000000000002</v>
      </c>
      <c r="AA32" s="12">
        <v>2.1800000000000002</v>
      </c>
      <c r="AB32" s="1">
        <f>($X32+$Y32)*Z32*'Prices&amp;Fuel'!$H32</f>
        <v>446600.00000000006</v>
      </c>
      <c r="AC32" s="1">
        <f>($X32+$Y32)*AA32*'Prices&amp;Fuel'!$H32</f>
        <v>442540.00000000006</v>
      </c>
      <c r="AD32" s="13">
        <f t="shared" si="41"/>
        <v>4060</v>
      </c>
      <c r="AF32" s="1">
        <f>(32000/(1-'Prices&amp;Fuel'!F32))+(25000/(1-'Prices&amp;Fuel'!G32))-AI32</f>
        <v>58762.886597938152</v>
      </c>
      <c r="AG32" s="1">
        <v>0</v>
      </c>
      <c r="AH32" s="1">
        <f>(75000/(1-'Prices&amp;Fuel'!G32))-AK32</f>
        <v>77319.587628865978</v>
      </c>
      <c r="AI32" s="1"/>
      <c r="AJ32" s="1"/>
      <c r="AK32" s="1"/>
      <c r="AL32" s="21">
        <f>ROUND((132000/(1-'Prices&amp;Fuel'!F32))-AF32-AG32-AH32,0)</f>
        <v>0</v>
      </c>
      <c r="AM32" s="1">
        <f t="shared" si="51"/>
        <v>0</v>
      </c>
      <c r="AO32" s="1">
        <f>ROUND((75000/(1-'Prices&amp;Fuel'!G32)-AV32-AK32)/2,0)</f>
        <v>37481</v>
      </c>
      <c r="AP32" s="1">
        <f t="shared" si="42"/>
        <v>58762.886597938152</v>
      </c>
      <c r="AR32" s="1">
        <f t="shared" si="53"/>
        <v>0</v>
      </c>
      <c r="AT32" s="13">
        <f t="shared" si="25"/>
        <v>37480.242801279768</v>
      </c>
      <c r="AU32" s="13">
        <f>AL32*AX32*'Prices&amp;Fuel'!H32</f>
        <v>0</v>
      </c>
      <c r="AV32" s="1">
        <f>(7776+60616)/29</f>
        <v>2358.344827586207</v>
      </c>
      <c r="AW32" s="20">
        <f t="shared" ref="AW32:AW42" si="56">AW31</f>
        <v>0.12</v>
      </c>
      <c r="AX32" s="20">
        <f t="shared" si="54"/>
        <v>2.5000000000000001E-2</v>
      </c>
      <c r="AY32" s="6">
        <f>('Prices&amp;Fuel'!H32*('Prices&amp;Fuel'!B32+AW32)*'Long Term Deals'!AF32)+('Prices&amp;Fuel'!H32*('Prices&amp;Fuel'!C32+'Long Term Deals'!AW32)*'Long Term Deals'!AG32)+(AH32*('Prices&amp;Fuel'!C32+AW32)*'Prices&amp;Fuel'!H32)+(AW32*AL32*'Prices&amp;Fuel'!H32)</f>
        <v>10744948.453608248</v>
      </c>
      <c r="AZ32" s="6">
        <f>(AP32*'Prices&amp;Fuel'!H32*'Prices&amp;Fuel'!B32)+(AQ32*'Prices&amp;Fuel'!C32*'Prices&amp;Fuel'!H32)+((AM32+AR32)*('Prices&amp;Fuel'!B32+'Long Term Deals'!AX32)*'Prices&amp;Fuel'!H32)+((AN32+AS32)*('Prices&amp;Fuel'!C32+'Long Term Deals'!AX32)*'Prices&amp;Fuel'!H32)+((AO32+AT32)*('Prices&amp;Fuel'!D32+'Long Term Deals'!AX32)*'Prices&amp;Fuel'!H32)+(AV32*'Prices&amp;Fuel'!H32*'Prices&amp;Fuel'!Q32)+AU32</f>
        <v>10235878.122680411</v>
      </c>
      <c r="BA32" s="6">
        <f t="shared" si="43"/>
        <v>509070.33092783764</v>
      </c>
      <c r="BB32" s="6">
        <f>IF('FP Corp'!T32-((BE32+BF32+BG32)*(1-'Prices&amp;Fuel'!F32))&lt;'Prices&amp;Fuel'!R32,('FP Corp'!T32-(BE32+BF32+BG32)*(1-'Prices&amp;Fuel'!F32)),'Prices&amp;Fuel'!R32)/(1-'Prices&amp;Fuel'!F32)</f>
        <v>4337.1134020618565</v>
      </c>
      <c r="BC32" s="14"/>
      <c r="BD32" s="14">
        <f>ROUND(IF('FP Corp'!T32/(1-'Prices&amp;Fuel'!F32)-BE32-BF32-BG32-BB32&gt;'Prices&amp;Fuel'!T32,'Prices&amp;Fuel'!T32,'FP Corp'!T32/(1-'Prices&amp;Fuel'!F32)-BE32-BF32-BG32-BB32),9)</f>
        <v>0</v>
      </c>
      <c r="BE32" s="14">
        <f>'Prices&amp;Fuel'!U32/(1-'Prices&amp;Fuel'!F32)</f>
        <v>2642.2680412371133</v>
      </c>
      <c r="BF32" s="14">
        <f>('Prices&amp;Fuel'!V32+'Prices&amp;Fuel'!X32)/(1-'Prices&amp;Fuel'!F32)</f>
        <v>3654.6391752577319</v>
      </c>
      <c r="BG32" s="14">
        <f>'Prices&amp;Fuel'!W32/(1-'Prices&amp;Fuel'!F32)</f>
        <v>1737.1134020618558</v>
      </c>
      <c r="BH32" s="25">
        <f>('Prices&amp;Fuel'!C32+'Prices&amp;Fuel'!D32)/2-0.05+('Prices&amp;Fuel'!M32+'Prices&amp;Fuel'!P32)*(1-'Prices&amp;Fuel'!F32)</f>
        <v>3.3306560000000003</v>
      </c>
      <c r="BI32" s="14">
        <f t="shared" si="37"/>
        <v>4337.1134020618565</v>
      </c>
      <c r="BJ32" s="14"/>
      <c r="BK32" s="25">
        <f>(((BB32+BE32)*('Prices&amp;Fuel'!B32+0.025))+(('Prices&amp;Fuel'!D32+0.025)*(BD32+BG32))+(('Prices&amp;Fuel'!C32+0.025)*(BC32+BF32))-(BI32+BJ32)*0.025)/(BB32+BC32+BD32+BE32+BF32+BG32)</f>
        <v>2.6080520833333338</v>
      </c>
      <c r="BL32" s="14">
        <f>(BB32+BC32+BD32+BE32+BF32+BG32)*BH32*'Prices&amp;Fuel'!H32</f>
        <v>1194915.7608247423</v>
      </c>
      <c r="BM32" s="14">
        <f>'Prices&amp;Fuel'!X32*('Prices&amp;Fuel'!N32+'Prices&amp;Fuel'!O32)*'Prices&amp;Fuel'!H32</f>
        <v>8293.1908999999996</v>
      </c>
      <c r="BN32" s="14">
        <f>('Prices&amp;Fuel'!U32+'Prices&amp;Fuel'!V32+'Prices&amp;Fuel'!W32)*('Prices&amp;Fuel'!L32+'Prices&amp;Fuel'!O32)*'Prices&amp;Fuel'!H32</f>
        <v>86331.753000000012</v>
      </c>
      <c r="BO32" s="14">
        <f>((BB32+BC32+BD32)*(1-'Prices&amp;Fuel'!G32))*('Prices&amp;Fuel'!M32+'Prices&amp;Fuel'!P32)*'Prices&amp;Fuel'!H32</f>
        <v>98188.014400000015</v>
      </c>
      <c r="BP32" s="14">
        <f>((BD32+BC32+BB32+BE32+BF32+BG32)*BK32*'Prices&amp;Fuel'!H32)+BM32+BN32+BO32</f>
        <v>1128485.2521144333</v>
      </c>
      <c r="BQ32" s="6">
        <f t="shared" si="38"/>
        <v>66430.508710308932</v>
      </c>
      <c r="BR32" s="1">
        <v>1000</v>
      </c>
      <c r="BT32" s="11">
        <f>IF('Prices&amp;Fuel'!$E32&lt;1.89,1.89,'Prices&amp;Fuel'!$E32)</f>
        <v>2.5830000000000002</v>
      </c>
      <c r="BU32" s="11"/>
      <c r="BV32" s="28">
        <f t="shared" si="27"/>
        <v>2.5830000000000002</v>
      </c>
      <c r="BW32" s="28"/>
      <c r="BX32" s="1">
        <f>(BR32*BT32+BS32*BU32)*'Prices&amp;Fuel'!H32</f>
        <v>74907</v>
      </c>
      <c r="BY32" s="1">
        <f>($BR32*BV32+$BS32*BW32)*'Prices&amp;Fuel'!H32</f>
        <v>74907</v>
      </c>
      <c r="BZ32" s="6">
        <f t="shared" si="39"/>
        <v>0</v>
      </c>
      <c r="CA32" s="6">
        <f>(AF32+AG32+AH32+AL32)*0.005*'Prices&amp;Fuel'!H32</f>
        <v>19731.958762886599</v>
      </c>
      <c r="CB32" s="6">
        <f>(B32+C32+D32+O32+P32+Q32+X32+Y32+BB32+BC32+BD32+BE32+BF32+BG32+BR32+BS32)*0.005*'Prices&amp;Fuel'!H32</f>
        <v>6593.3144329896913</v>
      </c>
      <c r="CC32" s="1">
        <f t="shared" si="45"/>
        <v>14096016.24443299</v>
      </c>
      <c r="CD32" s="1">
        <f t="shared" si="46"/>
        <v>13534773.777990719</v>
      </c>
      <c r="CE32" s="1">
        <f t="shared" si="47"/>
        <v>561242.4664422702</v>
      </c>
      <c r="CF32" s="1">
        <f>'Index Price Deals'!AR32</f>
        <v>42234.439999999995</v>
      </c>
      <c r="CG32" s="1">
        <f>'Index Price Deals'!AS32</f>
        <v>80.040000000000006</v>
      </c>
      <c r="CH32" s="1">
        <f>'Index Price Deals'!AT32</f>
        <v>41834.240000000005</v>
      </c>
      <c r="CI32" s="1">
        <f>'Index Price Deals'!AU32</f>
        <v>400.19999999998981</v>
      </c>
      <c r="CJ32" s="1">
        <f t="shared" si="44"/>
        <v>14138250.684432989</v>
      </c>
      <c r="CK32" s="1">
        <f t="shared" si="48"/>
        <v>13576608.01799072</v>
      </c>
      <c r="CL32" s="1">
        <f t="shared" si="48"/>
        <v>561642.66644227016</v>
      </c>
      <c r="CM32" s="30"/>
      <c r="CN32" s="1">
        <f>Transport!U32</f>
        <v>356550.66450000001</v>
      </c>
      <c r="CO32" s="57">
        <f>[2]Sheet1!$AL73</f>
        <v>713369.26284296019</v>
      </c>
      <c r="CQ32" s="1">
        <f>(((($B32+$C32+$D32+$O32+$P32+$Q32)*0.5)+BR32+BS32)*(0.005*'Prices&amp;Fuel'!$H32)+'Index Price Deals'!AV32)+(((BB32+BC32+BD32+BE32+BF32+BG32)*(1-'Prices&amp;Fuel'!F32))*0.005*0.5*'Prices&amp;Fuel'!H32)</f>
        <v>2914.7899999999995</v>
      </c>
      <c r="CR32" s="1">
        <f>(((($B32+$C32+$D32+$O32+$P32+$Q32)*0.5)+X32+Y32)*(0.005*'Prices&amp;Fuel'!$H32)+CA32+'Index Price Deals'!AW32)+(((BB32+BC32+BD32+BE32+BF32+BG32)*(1-'Prices&amp;Fuel'!F32))*0.005*0.5*'Prices&amp;Fuel'!H32)</f>
        <v>23436.708762886599</v>
      </c>
      <c r="CS32" s="21">
        <f>'Short Term Firm For Budget'!E32</f>
        <v>123659.19000000002</v>
      </c>
      <c r="CT32" s="1">
        <f>[3]Sheet1!$O43</f>
        <v>104973.65624285192</v>
      </c>
      <c r="CU32" s="1">
        <f>'[4]Long Term Deals'!$Z31</f>
        <v>-32643.768584563186</v>
      </c>
      <c r="CV32" s="60">
        <f t="shared" si="23"/>
        <v>904503.02995781531</v>
      </c>
      <c r="CW32" s="13">
        <f>((B32+C32+D32+O32+P32+Q32+X32+Y32+AF32+AG32+AH32+BB32+BC32+BD32+BE32+BF32+BG32+BR32+BS32)+('Index Price Deals'!B32+'Index Price Deals'!C32+'Index Price Deals'!D32+'Index Price Deals'!L32+'Index Price Deals'!M32+'Index Price Deals'!N32+'Index Price Deals'!AD32+'Index Price Deals'!AE32+'Index Price Deals'!AF32+'Index Price Deals'!AK32+'Index Price Deals'!AL32+'Index Price Deals'!AM32))*'Prices&amp;Fuel'!H32</f>
        <v>5281062.6391752586</v>
      </c>
      <c r="CX32" s="65">
        <f>BQ32/(BB32+BC32+BD32+BE32+BF32+BG32)/'Prices&amp;Fuel'!H32</f>
        <v>0.18516549841666571</v>
      </c>
      <c r="CZ32" s="28">
        <f>(BA32-CT32+CU32)/(AF32+AG32+AH32)/'Prices&amp;Fuel'!H32</f>
        <v>9.412469146222828E-2</v>
      </c>
      <c r="DB32" s="3">
        <f>(O32+P32+Q32)*'Prices&amp;Fuel'!$H32</f>
        <v>727900</v>
      </c>
      <c r="DC32" s="3">
        <f>(X32+Y32)*'Prices&amp;Fuel'!$H32</f>
        <v>203000</v>
      </c>
      <c r="DD32" s="3">
        <f>(BR32)*'Prices&amp;Fuel'!$H32</f>
        <v>29000</v>
      </c>
      <c r="DE32" s="3">
        <v>132000</v>
      </c>
    </row>
    <row r="33" spans="1:109" x14ac:dyDescent="0.25">
      <c r="A33" s="10">
        <f t="shared" ref="A33:A48" si="57">+A32+365/12</f>
        <v>36600.666666666599</v>
      </c>
      <c r="O33" s="1">
        <v>9036</v>
      </c>
      <c r="P33" s="1">
        <v>10794</v>
      </c>
      <c r="Q33" s="1">
        <v>5270</v>
      </c>
      <c r="R33" s="11">
        <f t="shared" si="49"/>
        <v>2.2456999999999998</v>
      </c>
      <c r="S33" s="11">
        <f t="shared" si="50"/>
        <v>2.2346999999999997</v>
      </c>
      <c r="T33" s="1">
        <f>(($O33*R33)+($P33*R33)+($Q33*R33))*'Prices&amp;Fuel'!$H33</f>
        <v>1747379.17</v>
      </c>
      <c r="U33" s="1">
        <f>(($O33*S33)+($P33*S33)+($Q33*S33))*'Prices&amp;Fuel'!$H33</f>
        <v>1738820.0699999998</v>
      </c>
      <c r="V33" s="13">
        <f t="shared" si="40"/>
        <v>8559.1000000000931</v>
      </c>
      <c r="X33" s="1">
        <f t="shared" si="55"/>
        <v>3500</v>
      </c>
      <c r="Y33" s="1">
        <f t="shared" si="4"/>
        <v>3500</v>
      </c>
      <c r="Z33" s="12">
        <v>2.2000000000000002</v>
      </c>
      <c r="AA33" s="12">
        <v>2.1800000000000002</v>
      </c>
      <c r="AB33" s="1">
        <f>($X33+$Y33)*Z33*'Prices&amp;Fuel'!$H33</f>
        <v>477400.00000000006</v>
      </c>
      <c r="AC33" s="1">
        <f>($X33+$Y33)*AA33*'Prices&amp;Fuel'!$H33</f>
        <v>473060.00000000006</v>
      </c>
      <c r="AD33" s="13">
        <f t="shared" si="41"/>
        <v>4340</v>
      </c>
      <c r="AF33" s="1">
        <f>(32000/(1-'Prices&amp;Fuel'!F33))+(25000/(1-'Prices&amp;Fuel'!G33))-AI33</f>
        <v>58762.886597938152</v>
      </c>
      <c r="AG33" s="1">
        <v>0</v>
      </c>
      <c r="AH33" s="1">
        <f>(75000/(1-'Prices&amp;Fuel'!G33))-AK33</f>
        <v>77319.587628865978</v>
      </c>
      <c r="AI33" s="1"/>
      <c r="AJ33" s="1"/>
      <c r="AK33" s="1"/>
      <c r="AL33" s="21">
        <f>ROUND((132000/(1-'Prices&amp;Fuel'!F33))-AF33-AG33-AH33,0)</f>
        <v>0</v>
      </c>
      <c r="AM33" s="1">
        <f t="shared" si="51"/>
        <v>0</v>
      </c>
      <c r="AO33" s="1">
        <f>ROUND((75000/(1-'Prices&amp;Fuel'!G33)-AV33-AK33)/2,0)</f>
        <v>37509</v>
      </c>
      <c r="AP33" s="1">
        <f t="shared" si="42"/>
        <v>58762.886597938152</v>
      </c>
      <c r="AR33" s="1">
        <f t="shared" si="53"/>
        <v>0</v>
      </c>
      <c r="AT33" s="13">
        <f t="shared" si="25"/>
        <v>37508.587628865978</v>
      </c>
      <c r="AU33" s="13">
        <f>AL33*AX33*'Prices&amp;Fuel'!H33</f>
        <v>0</v>
      </c>
      <c r="AV33" s="1">
        <f>(8370+62992)/31</f>
        <v>2302</v>
      </c>
      <c r="AW33" s="20">
        <f t="shared" si="56"/>
        <v>0.12</v>
      </c>
      <c r="AX33" s="20">
        <f t="shared" si="54"/>
        <v>2.5000000000000001E-2</v>
      </c>
      <c r="AY33" s="6">
        <f>('Prices&amp;Fuel'!H33*('Prices&amp;Fuel'!B33+AW33)*'Long Term Deals'!AF33)+('Prices&amp;Fuel'!H33*('Prices&amp;Fuel'!C33+'Long Term Deals'!AW33)*'Long Term Deals'!AG33)+(AH33*('Prices&amp;Fuel'!C33+AW33)*'Prices&amp;Fuel'!H33)+(AW33*AL33*'Prices&amp;Fuel'!H33)</f>
        <v>11485979.381443299</v>
      </c>
      <c r="AZ33" s="6">
        <f>(AP33*'Prices&amp;Fuel'!H33*'Prices&amp;Fuel'!B33)+(AQ33*'Prices&amp;Fuel'!C33*'Prices&amp;Fuel'!H33)+((AM33+AR33)*('Prices&amp;Fuel'!B33+'Long Term Deals'!AX33)*'Prices&amp;Fuel'!H33)+((AN33+AS33)*('Prices&amp;Fuel'!C33+'Long Term Deals'!AX33)*'Prices&amp;Fuel'!H33)+((AO33+AT33)*('Prices&amp;Fuel'!D33+'Long Term Deals'!AX33)*'Prices&amp;Fuel'!H33)+(AV33*'Prices&amp;Fuel'!H33*'Prices&amp;Fuel'!Q33)+AU33</f>
        <v>10930462.836907217</v>
      </c>
      <c r="BA33" s="6">
        <f t="shared" si="43"/>
        <v>555516.54453608207</v>
      </c>
      <c r="BB33" s="6">
        <f>IF('FP Corp'!T33-((BE33+BF33+BG33)*(1-'Prices&amp;Fuel'!F33))&lt;'Prices&amp;Fuel'!R33,('FP Corp'!T33-(BE33+BF33+BG33)*(1-'Prices&amp;Fuel'!F33)),'Prices&amp;Fuel'!R33)/(1-'Prices&amp;Fuel'!F33)</f>
        <v>4337.1134020618565</v>
      </c>
      <c r="BC33" s="14"/>
      <c r="BD33" s="14">
        <f>ROUND(IF('FP Corp'!T33/(1-'Prices&amp;Fuel'!F33)-BE33-BF33-BG33-BB33&gt;'Prices&amp;Fuel'!T33,'Prices&amp;Fuel'!T33,'FP Corp'!T33/(1-'Prices&amp;Fuel'!F33)-BE33-BF33-BG33-BB33),9)</f>
        <v>0</v>
      </c>
      <c r="BE33" s="14">
        <f>'Prices&amp;Fuel'!U33/(1-'Prices&amp;Fuel'!F33)</f>
        <v>2642.2680412371133</v>
      </c>
      <c r="BF33" s="14">
        <f>('Prices&amp;Fuel'!V33+'Prices&amp;Fuel'!X33)/(1-'Prices&amp;Fuel'!F33)</f>
        <v>3654.6391752577319</v>
      </c>
      <c r="BG33" s="14">
        <f>'Prices&amp;Fuel'!W33/(1-'Prices&amp;Fuel'!F33)</f>
        <v>1737.1134020618558</v>
      </c>
      <c r="BH33" s="25">
        <f>('Prices&amp;Fuel'!C33+'Prices&amp;Fuel'!D33)/2-0.05+('Prices&amp;Fuel'!M33+'Prices&amp;Fuel'!P33)*(1-'Prices&amp;Fuel'!F33)</f>
        <v>3.3159559999999999</v>
      </c>
      <c r="BI33" s="14">
        <f t="shared" ref="BI33:BI48" si="58">IF(AP33=80000,0,BB33)</f>
        <v>4337.1134020618565</v>
      </c>
      <c r="BJ33" s="14"/>
      <c r="BK33" s="25">
        <f>(((BB33+BE33)*('Prices&amp;Fuel'!B33+0.025))+(('Prices&amp;Fuel'!D33+0.025)*(BD33+BG33))+(('Prices&amp;Fuel'!C33+0.025)*(BC33+BF33))-(BI33+BJ33)*0.025)/(BB33+BC33+BD33+BE33+BF33+BG33)</f>
        <v>2.6066479166666672</v>
      </c>
      <c r="BL33" s="14">
        <f>(BB33+BC33+BD33+BE33+BF33+BG33)*BH33*'Prices&amp;Fuel'!H33</f>
        <v>1271686.218556701</v>
      </c>
      <c r="BM33" s="14">
        <f>'Prices&amp;Fuel'!X33*('Prices&amp;Fuel'!N33+'Prices&amp;Fuel'!O33)*'Prices&amp;Fuel'!H33</f>
        <v>8865.1350999999995</v>
      </c>
      <c r="BN33" s="14">
        <f>('Prices&amp;Fuel'!U33+'Prices&amp;Fuel'!V33+'Prices&amp;Fuel'!W33)*('Prices&amp;Fuel'!L33+'Prices&amp;Fuel'!O33)*'Prices&amp;Fuel'!H33</f>
        <v>92285.667000000016</v>
      </c>
      <c r="BO33" s="14">
        <f>((BB33+BC33+BD33)*(1-'Prices&amp;Fuel'!G33))*('Prices&amp;Fuel'!M33+'Prices&amp;Fuel'!P33)*'Prices&amp;Fuel'!H33</f>
        <v>103655.43160000004</v>
      </c>
      <c r="BP33" s="14">
        <f>((BD33+BC33+BB33+BE33+BF33+BG33)*BK33*'Prices&amp;Fuel'!H33)+BM33+BN33+BO33</f>
        <v>1204469.1460711341</v>
      </c>
      <c r="BQ33" s="6">
        <f t="shared" si="38"/>
        <v>67217.072485566838</v>
      </c>
      <c r="BR33" s="1">
        <v>1000</v>
      </c>
      <c r="BT33" s="11">
        <f>IF('Prices&amp;Fuel'!$E33&lt;1.89,1.89,'Prices&amp;Fuel'!$E33)</f>
        <v>2.5607000000000002</v>
      </c>
      <c r="BU33" s="11"/>
      <c r="BV33" s="28">
        <f t="shared" si="27"/>
        <v>2.5607000000000002</v>
      </c>
      <c r="BW33" s="28"/>
      <c r="BX33" s="1">
        <f>(BR33*BT33+BS33*BU33)*'Prices&amp;Fuel'!H33</f>
        <v>79381.700000000012</v>
      </c>
      <c r="BY33" s="1">
        <f>($BR33*BV33+$BS33*BW33)*'Prices&amp;Fuel'!H33</f>
        <v>79381.700000000012</v>
      </c>
      <c r="BZ33" s="6">
        <f t="shared" si="39"/>
        <v>0</v>
      </c>
      <c r="CA33" s="6">
        <f>(AF33+AG33+AH33+AL33)*0.005*'Prices&amp;Fuel'!H33</f>
        <v>21092.783505154639</v>
      </c>
      <c r="CB33" s="6">
        <f>(B33+C33+D33+O33+P33+Q33+X33+Y33+BB33+BC33+BD33+BE33+BF33+BG33+BR33+BS33)*0.005*'Prices&amp;Fuel'!H33</f>
        <v>7048.0257731958764</v>
      </c>
      <c r="CC33" s="1">
        <f t="shared" si="45"/>
        <v>15061826.469999999</v>
      </c>
      <c r="CD33" s="1">
        <f t="shared" si="46"/>
        <v>14454334.562256701</v>
      </c>
      <c r="CE33" s="1">
        <f t="shared" si="47"/>
        <v>607491.90774329752</v>
      </c>
      <c r="CF33" s="1">
        <f>'Index Price Deals'!AR33</f>
        <v>29406.6</v>
      </c>
      <c r="CG33" s="1">
        <f>'Index Price Deals'!AS33</f>
        <v>55.800000000000004</v>
      </c>
      <c r="CH33" s="1">
        <f>'Index Price Deals'!AT33</f>
        <v>29127.600000000006</v>
      </c>
      <c r="CI33" s="1">
        <f>'Index Price Deals'!AU33</f>
        <v>278.99999999999272</v>
      </c>
      <c r="CJ33" s="1">
        <f t="shared" si="44"/>
        <v>15091233.069999998</v>
      </c>
      <c r="CK33" s="1">
        <f t="shared" si="48"/>
        <v>14483462.162256701</v>
      </c>
      <c r="CL33" s="1">
        <f t="shared" si="48"/>
        <v>607770.90774329752</v>
      </c>
      <c r="CM33" s="30"/>
      <c r="CN33" s="1">
        <f>Transport!U33</f>
        <v>376195.57720000006</v>
      </c>
      <c r="CO33" s="57">
        <f>[2]Sheet1!$AL74</f>
        <v>762567.14303902641</v>
      </c>
      <c r="CQ33" s="1">
        <f>(((($B33+$C33+$D33+$O33+$P33+$Q33)*0.5)+BR33+BS33)*(0.005*'Prices&amp;Fuel'!$H33)+'Index Price Deals'!AV33)+(((BB33+BC33+BD33+BE33+BF33+BG33)*(1-'Prices&amp;Fuel'!F33))*0.005*0.5*'Prices&amp;Fuel'!H33)</f>
        <v>3086.05</v>
      </c>
      <c r="CR33" s="1">
        <f>(((($B33+$C33+$D33+$O33+$P33+$Q33)*0.5)+X33+Y33)*(0.005*'Prices&amp;Fuel'!$H33)+CA33+'Index Price Deals'!AW33)+(((BB33+BC33+BD33+BE33+BF33+BG33)*(1-'Prices&amp;Fuel'!F33))*0.005*0.5*'Prices&amp;Fuel'!H33)</f>
        <v>25053.033505154639</v>
      </c>
      <c r="CS33" s="21">
        <f>'Short Term Firm For Budget'!E33</f>
        <v>132187.41000000003</v>
      </c>
      <c r="CT33" s="1">
        <f>[3]Sheet1!$O44</f>
        <v>112213.21874235899</v>
      </c>
      <c r="CU33" s="1">
        <f>'[4]Long Term Deals'!$Z32</f>
        <v>-34895.062969705476</v>
      </c>
      <c r="CV33" s="60">
        <f t="shared" si="23"/>
        <v>979221.6018702595</v>
      </c>
      <c r="CW33" s="13">
        <f>((B33+C33+D33+O33+P33+Q33+X33+Y33+AF33+AG33+AH33+BB33+BC33+BD33+BE33+BF33+BG33+BR33+BS33)+('Index Price Deals'!B33+'Index Price Deals'!C33+'Index Price Deals'!D33+'Index Price Deals'!L33+'Index Price Deals'!M33+'Index Price Deals'!N33+'Index Price Deals'!AD33+'Index Price Deals'!AE33+'Index Price Deals'!AF33+'Index Price Deals'!AK33+'Index Price Deals'!AL33+'Index Price Deals'!AM33))*'Prices&amp;Fuel'!H33</f>
        <v>5639321.8556701038</v>
      </c>
      <c r="CX33" s="65">
        <f>BQ33/(BB33+BC33+BD33+BE33+BF33+BG33)/'Prices&amp;Fuel'!H33</f>
        <v>0.17527032341666623</v>
      </c>
      <c r="CZ33" s="28">
        <f>(BA33-CT33+CU33)/(AF33+AG33+AH33)/'Prices&amp;Fuel'!H33</f>
        <v>9.6812320366397142E-2</v>
      </c>
      <c r="DB33" s="3">
        <f>(O33+P33+Q33)*'Prices&amp;Fuel'!$H33</f>
        <v>778100</v>
      </c>
      <c r="DC33" s="3">
        <f>(X33+Y33)*'Prices&amp;Fuel'!$H33</f>
        <v>217000</v>
      </c>
      <c r="DD33" s="3">
        <f>(BR33)*'Prices&amp;Fuel'!$H33</f>
        <v>31000</v>
      </c>
      <c r="DE33" s="3">
        <v>132000</v>
      </c>
    </row>
    <row r="34" spans="1:109" x14ac:dyDescent="0.25">
      <c r="A34" s="10">
        <f t="shared" si="57"/>
        <v>36631.083333333263</v>
      </c>
      <c r="O34" s="1">
        <v>9036</v>
      </c>
      <c r="P34" s="1">
        <v>10794</v>
      </c>
      <c r="Q34" s="1">
        <v>5270</v>
      </c>
      <c r="R34" s="11">
        <f t="shared" si="49"/>
        <v>2.2456999999999998</v>
      </c>
      <c r="S34" s="11">
        <f t="shared" si="50"/>
        <v>2.2346999999999997</v>
      </c>
      <c r="T34" s="1">
        <f>(($O34*R34)+($P34*R34)+($Q34*R34))*'Prices&amp;Fuel'!$H34</f>
        <v>1691012.1</v>
      </c>
      <c r="U34" s="1">
        <f>(($O34*S34)+($P34*S34)+($Q34*S34))*'Prices&amp;Fuel'!$H34</f>
        <v>1682729.0999999999</v>
      </c>
      <c r="V34" s="13">
        <f t="shared" si="40"/>
        <v>8283.0000000002328</v>
      </c>
      <c r="X34" s="1">
        <f t="shared" si="55"/>
        <v>3500</v>
      </c>
      <c r="Y34" s="1">
        <f t="shared" si="4"/>
        <v>3500</v>
      </c>
      <c r="Z34" s="12">
        <v>2.2000000000000002</v>
      </c>
      <c r="AA34" s="12">
        <v>2.1800000000000002</v>
      </c>
      <c r="AB34" s="1">
        <f>($X34+$Y34)*Z34*'Prices&amp;Fuel'!$H34</f>
        <v>462000.00000000006</v>
      </c>
      <c r="AC34" s="1">
        <f>($X34+$Y34)*AA34*'Prices&amp;Fuel'!$H34</f>
        <v>457800.00000000006</v>
      </c>
      <c r="AD34" s="13">
        <f t="shared" si="41"/>
        <v>4200</v>
      </c>
      <c r="AF34" s="1">
        <f>(32000/(1-'Prices&amp;Fuel'!F34))+(25000/(1-'Prices&amp;Fuel'!G34))-AI34</f>
        <v>58756.829192866717</v>
      </c>
      <c r="AG34" s="1">
        <v>0</v>
      </c>
      <c r="AH34" s="1">
        <f>(75000/(1-'Prices&amp;Fuel'!G34))-AK34</f>
        <v>77311.617359035154</v>
      </c>
      <c r="AI34" s="1"/>
      <c r="AJ34" s="1"/>
      <c r="AK34" s="1"/>
      <c r="AL34" s="21">
        <f>ROUND((132000/(1-'Prices&amp;Fuel'!F34))-AF34-AG34-AH34,0)</f>
        <v>0</v>
      </c>
      <c r="AM34" s="1">
        <f t="shared" si="51"/>
        <v>0</v>
      </c>
      <c r="AO34" s="1">
        <f>ROUND((75000/(1-'Prices&amp;Fuel'!G34)-AV34-AK34)/2,0)</f>
        <v>37649</v>
      </c>
      <c r="AP34" s="1">
        <f t="shared" si="42"/>
        <v>58756.829192866717</v>
      </c>
      <c r="AR34" s="1">
        <f t="shared" si="53"/>
        <v>0</v>
      </c>
      <c r="AT34" s="13">
        <f t="shared" si="25"/>
        <v>37648.584025701821</v>
      </c>
      <c r="AU34" s="13">
        <f>AL34*AX34*'Prices&amp;Fuel'!H34</f>
        <v>0</v>
      </c>
      <c r="AV34" s="1">
        <f>(8100+52321)/30</f>
        <v>2014.0333333333333</v>
      </c>
      <c r="AW34" s="20">
        <f t="shared" si="56"/>
        <v>0.12</v>
      </c>
      <c r="AX34" s="20">
        <f t="shared" si="54"/>
        <v>2.5000000000000001E-2</v>
      </c>
      <c r="AY34" s="6">
        <f>('Prices&amp;Fuel'!H34*('Prices&amp;Fuel'!B34+AW34)*'Long Term Deals'!AF34)+('Prices&amp;Fuel'!H34*('Prices&amp;Fuel'!C34+'Long Term Deals'!AW34)*'Long Term Deals'!AG34)+(AH34*('Prices&amp;Fuel'!C34+AW34)*'Prices&amp;Fuel'!H34)+(AW34*AL34*'Prices&amp;Fuel'!H34)</f>
        <v>12216472.528605301</v>
      </c>
      <c r="AZ34" s="6">
        <f>(AP34*'Prices&amp;Fuel'!H34*'Prices&amp;Fuel'!B34)+(AQ34*'Prices&amp;Fuel'!C34*'Prices&amp;Fuel'!H34)+((AM34+AR34)*('Prices&amp;Fuel'!B34+'Long Term Deals'!AX34)*'Prices&amp;Fuel'!H34)+((AN34+AS34)*('Prices&amp;Fuel'!C34+'Long Term Deals'!AX34)*'Prices&amp;Fuel'!H34)+((AO34+AT34)*('Prices&amp;Fuel'!D34+'Long Term Deals'!AX34)*'Prices&amp;Fuel'!H34)+(AV34*'Prices&amp;Fuel'!H34*'Prices&amp;Fuel'!Q34)+AU34</f>
        <v>11665852.872999178</v>
      </c>
      <c r="BA34" s="6">
        <f t="shared" si="43"/>
        <v>550619.65560612269</v>
      </c>
      <c r="BB34" s="6">
        <f>IF('FP Corp'!T34-((BE34+BF34+BG34)*(1-'Prices&amp;Fuel'!F34))&lt;'Prices&amp;Fuel'!R34,('FP Corp'!T34-(BE34+BF34+BG34)*(1-'Prices&amp;Fuel'!F34)),'Prices&amp;Fuel'!R34)/(1-'Prices&amp;Fuel'!F34)</f>
        <v>6294.1964745902487</v>
      </c>
      <c r="BC34" s="14"/>
      <c r="BD34" s="14">
        <f>ROUND(IF('FP Corp'!T34/(1-'Prices&amp;Fuel'!F34)-BE34-BF34-BG34-BB34&gt;'Prices&amp;Fuel'!T34,'Prices&amp;Fuel'!T34,'FP Corp'!T34/(1-'Prices&amp;Fuel'!F34)-BE34-BF34-BG34-BB34),9)</f>
        <v>0</v>
      </c>
      <c r="BE34" s="14">
        <f>'Prices&amp;Fuel'!U34/(1-'Prices&amp;Fuel'!F34)</f>
        <v>1937.9445417998145</v>
      </c>
      <c r="BF34" s="14">
        <f>('Prices&amp;Fuel'!V34+'Prices&amp;Fuel'!X34)/(1-'Prices&amp;Fuel'!F34)</f>
        <v>2840.944232553345</v>
      </c>
      <c r="BG34" s="14">
        <f>'Prices&amp;Fuel'!W34/(1-'Prices&amp;Fuel'!F34)</f>
        <v>1296.7735285022163</v>
      </c>
      <c r="BH34" s="25">
        <f>('Prices&amp;Fuel'!C34+'Prices&amp;Fuel'!D34)/2-0.05+('Prices&amp;Fuel'!M34+'Prices&amp;Fuel'!P34)*(1-'Prices&amp;Fuel'!F34)</f>
        <v>3.5851623900000003</v>
      </c>
      <c r="BI34" s="14">
        <f t="shared" si="58"/>
        <v>6294.1964745902487</v>
      </c>
      <c r="BJ34" s="14"/>
      <c r="BK34" s="25">
        <f>(((BB34+BE34)*('Prices&amp;Fuel'!B34+0.025))+(('Prices&amp;Fuel'!D34+0.025)*(BD34+BG34))+(('Prices&amp;Fuel'!C34+0.025)*(BC34+BF34))-(BI34+BJ34)*0.025)/(BB34+BC34+BD34+BE34+BF34+BG34)</f>
        <v>2.8704174999999998</v>
      </c>
      <c r="BL34" s="14">
        <f>(BB34+BC34+BD34+BE34+BF34+BG34)*BH34*'Prices&amp;Fuel'!H34</f>
        <v>1330438.5737552829</v>
      </c>
      <c r="BM34" s="14">
        <f>'Prices&amp;Fuel'!X34*('Prices&amp;Fuel'!N34+'Prices&amp;Fuel'!O34)*'Prices&amp;Fuel'!H34</f>
        <v>8560.7219999999998</v>
      </c>
      <c r="BN34" s="14">
        <f>('Prices&amp;Fuel'!U34+'Prices&amp;Fuel'!V34+'Prices&amp;Fuel'!W34)*('Prices&amp;Fuel'!L34+'Prices&amp;Fuel'!O34)*'Prices&amp;Fuel'!H34</f>
        <v>65314.673999999999</v>
      </c>
      <c r="BO34" s="14">
        <f>((BB34+BC34+BD34)*(1-'Prices&amp;Fuel'!G34))*('Prices&amp;Fuel'!M34+'Prices&amp;Fuel'!P34)*'Prices&amp;Fuel'!H34</f>
        <v>145426.60200000001</v>
      </c>
      <c r="BP34" s="14">
        <f>((BD34+BC34+BB34+BE34+BF34+BG34)*BK34*'Prices&amp;Fuel'!H34)+BM34+BN34+BO34</f>
        <v>1284501.7712192559</v>
      </c>
      <c r="BQ34" s="6">
        <f t="shared" ref="BQ34:BQ49" si="59">BL34-BP34</f>
        <v>45936.80253602704</v>
      </c>
      <c r="BR34" s="1">
        <v>1000</v>
      </c>
      <c r="BT34" s="11">
        <f>IF('Prices&amp;Fuel'!$E34&lt;1.89,1.89,'Prices&amp;Fuel'!$E34)</f>
        <v>2.9257</v>
      </c>
      <c r="BU34" s="11"/>
      <c r="BV34" s="28">
        <f t="shared" si="27"/>
        <v>2.9257</v>
      </c>
      <c r="BW34" s="28"/>
      <c r="BX34" s="1">
        <f>(BR34*BT34+BS34*BU34)*'Prices&amp;Fuel'!H34</f>
        <v>87771</v>
      </c>
      <c r="BY34" s="1">
        <f>($BR34*BV34+$BS34*BW34)*'Prices&amp;Fuel'!H34</f>
        <v>87771</v>
      </c>
      <c r="BZ34" s="6">
        <f t="shared" si="39"/>
        <v>0</v>
      </c>
      <c r="CA34" s="6">
        <f>(AF34+AG34+AH34+AL34)*0.005*'Prices&amp;Fuel'!H34</f>
        <v>20410.266982785281</v>
      </c>
      <c r="CB34" s="6">
        <f>(B34+C34+D34+O34+P34+Q34+X34+Y34+BB34+BC34+BD34+BE34+BF34+BG34+BR34+BS34)*0.005*'Prices&amp;Fuel'!H34</f>
        <v>6820.4788166168437</v>
      </c>
      <c r="CC34" s="1">
        <f t="shared" si="45"/>
        <v>15787694.202360583</v>
      </c>
      <c r="CD34" s="1">
        <f t="shared" si="46"/>
        <v>15205885.490017835</v>
      </c>
      <c r="CE34" s="1">
        <f t="shared" si="47"/>
        <v>581808.71234274842</v>
      </c>
      <c r="CF34" s="1">
        <f>'Index Price Deals'!AR34</f>
        <v>32681.25</v>
      </c>
      <c r="CG34" s="1">
        <f>'Index Price Deals'!AS34</f>
        <v>56.25</v>
      </c>
      <c r="CH34" s="1">
        <f>'Index Price Deals'!AT34</f>
        <v>32400</v>
      </c>
      <c r="CI34" s="1">
        <f>'Index Price Deals'!AU34</f>
        <v>281.25</v>
      </c>
      <c r="CJ34" s="1">
        <f t="shared" si="44"/>
        <v>15820375.452360583</v>
      </c>
      <c r="CK34" s="1">
        <f t="shared" si="48"/>
        <v>15238285.490017835</v>
      </c>
      <c r="CL34" s="1">
        <f t="shared" si="48"/>
        <v>582089.96234274842</v>
      </c>
      <c r="CM34" s="30"/>
      <c r="CN34" s="1">
        <f>Transport!U34</f>
        <v>550804.48800000001</v>
      </c>
      <c r="CO34" s="57">
        <f>[2]Sheet1!$AL75</f>
        <v>737968.20294099324</v>
      </c>
      <c r="CQ34" s="1">
        <f>(((($B34+$C34+$D34+$O34+$P34+$Q34)*0.5)+BR34+BS34)*(0.005*'Prices&amp;Fuel'!$H34)+'Index Price Deals'!AV34)+(((BB34+BC34+BD34+BE34+BF34+BG34)*(1-'Prices&amp;Fuel'!F34))*0.005*0.5*'Prices&amp;Fuel'!H34)</f>
        <v>2988.75</v>
      </c>
      <c r="CR34" s="1">
        <f>(((($B34+$C34+$D34+$O34+$P34+$Q34)*0.5)+X34+Y34)*(0.005*'Prices&amp;Fuel'!$H34)+CA34+'Index Price Deals'!AW34)+(((BB34+BC34+BD34+BE34+BF34+BG34)*(1-'Prices&amp;Fuel'!F34))*0.005*0.5*'Prices&amp;Fuel'!H34)</f>
        <v>24242.766982785281</v>
      </c>
      <c r="CS34" s="21">
        <f>'Short Term Firm For Budget'!E34</f>
        <v>193541.4</v>
      </c>
      <c r="CT34" s="1">
        <f>[3]Sheet1!$O45</f>
        <v>108593.43749260542</v>
      </c>
      <c r="CU34" s="1">
        <f>'[4]Long Term Deals'!$Z33</f>
        <v>-33769.415777134331</v>
      </c>
      <c r="CV34" s="60">
        <f t="shared" si="23"/>
        <v>820432.2240140019</v>
      </c>
      <c r="CW34" s="13">
        <f>((B34+C34+D34+O34+P34+Q34+X34+Y34+AF34+AG34+AH34+BB34+BC34+BD34+BE34+BF34+BG34+BR34+BS34)+('Index Price Deals'!B34+'Index Price Deals'!C34+'Index Price Deals'!D34+'Index Price Deals'!L34+'Index Price Deals'!M34+'Index Price Deals'!N34+'Index Price Deals'!AD34+'Index Price Deals'!AE34+'Index Price Deals'!AF34+'Index Price Deals'!AK34+'Index Price Deals'!AL34+'Index Price Deals'!AM34))*'Prices&amp;Fuel'!H34</f>
        <v>5457399.1598804239</v>
      </c>
      <c r="CX34" s="65">
        <f>BQ34/(BB34+BC34+BD34+BE34+BF34+BG34)/'Prices&amp;Fuel'!H34</f>
        <v>0.1237869226116662</v>
      </c>
      <c r="CZ34" s="28">
        <f>(BA34-CT34+CU34)/(AF34+AG34+AH34)/'Prices&amp;Fuel'!H34</f>
        <v>0.1000126070572033</v>
      </c>
      <c r="DB34" s="3">
        <f>(O34+P34+Q34)*'Prices&amp;Fuel'!$H34</f>
        <v>753000</v>
      </c>
      <c r="DC34" s="3">
        <f>(X34+Y34)*'Prices&amp;Fuel'!$H34</f>
        <v>210000</v>
      </c>
      <c r="DD34" s="3">
        <f>(BR34)*'Prices&amp;Fuel'!$H34</f>
        <v>30000</v>
      </c>
      <c r="DE34" s="3">
        <v>132000</v>
      </c>
    </row>
    <row r="35" spans="1:109" x14ac:dyDescent="0.25">
      <c r="A35" s="10">
        <f t="shared" si="57"/>
        <v>36661.499999999927</v>
      </c>
      <c r="O35" s="1">
        <v>9036</v>
      </c>
      <c r="P35" s="1">
        <v>10794</v>
      </c>
      <c r="Q35" s="1">
        <v>5270</v>
      </c>
      <c r="R35" s="11">
        <f t="shared" si="49"/>
        <v>2.2456999999999998</v>
      </c>
      <c r="S35" s="11">
        <f t="shared" si="50"/>
        <v>2.2346999999999997</v>
      </c>
      <c r="T35" s="1">
        <f>(($O35*R35)+($P35*R35)+($Q35*R35))*'Prices&amp;Fuel'!$H35</f>
        <v>1747379.17</v>
      </c>
      <c r="U35" s="1">
        <f>(($O35*S35)+($P35*S35)+($Q35*S35))*'Prices&amp;Fuel'!$H35</f>
        <v>1738820.0699999998</v>
      </c>
      <c r="V35" s="13">
        <f t="shared" si="40"/>
        <v>8559.1000000000931</v>
      </c>
      <c r="X35" s="1">
        <f t="shared" si="55"/>
        <v>3500</v>
      </c>
      <c r="Y35" s="1">
        <f t="shared" si="4"/>
        <v>3500</v>
      </c>
      <c r="Z35" s="12">
        <v>2.2000000000000002</v>
      </c>
      <c r="AA35" s="12">
        <v>2.1800000000000002</v>
      </c>
      <c r="AB35" s="1">
        <f>($X35+$Y35)*Z35*'Prices&amp;Fuel'!$H35</f>
        <v>477400.00000000006</v>
      </c>
      <c r="AC35" s="1">
        <f>($X35+$Y35)*AA35*'Prices&amp;Fuel'!$H35</f>
        <v>473060.00000000006</v>
      </c>
      <c r="AD35" s="13">
        <f t="shared" si="41"/>
        <v>4340</v>
      </c>
      <c r="AF35" s="1">
        <f>((126000)/(1-'Prices&amp;Fuel'!F35))+(25000/(1-'Prices&amp;Fuel'!G35))-AI35</f>
        <v>155670.10309278351</v>
      </c>
      <c r="AG35" s="1">
        <v>0</v>
      </c>
      <c r="AH35" s="1">
        <f>(75000/(1-'Prices&amp;Fuel'!G35))-AK35</f>
        <v>77319.587628865978</v>
      </c>
      <c r="AI35" s="1"/>
      <c r="AJ35" s="1"/>
      <c r="AK35" s="1"/>
      <c r="AL35" s="21">
        <f>ROUND((226000/(1-'Prices&amp;Fuel'!F35))-AF35-AG35-AH35,0)</f>
        <v>0</v>
      </c>
      <c r="AM35" s="1">
        <f t="shared" si="51"/>
        <v>37835</v>
      </c>
      <c r="AO35" s="1">
        <f>ROUND((75000/(1-'Prices&amp;Fuel'!G35)-AV35-AK35)/2,0)</f>
        <v>37753</v>
      </c>
      <c r="AP35" s="1">
        <f t="shared" si="42"/>
        <v>80000</v>
      </c>
      <c r="AR35" s="1">
        <f t="shared" si="53"/>
        <v>37835.103092783509</v>
      </c>
      <c r="AT35" s="13">
        <f t="shared" si="25"/>
        <v>37752.813435317592</v>
      </c>
      <c r="AU35" s="13">
        <f>AL35*AX35*'Prices&amp;Fuel'!H35</f>
        <v>0</v>
      </c>
      <c r="AV35" s="1">
        <f>(8368+47859)/31</f>
        <v>1813.7741935483871</v>
      </c>
      <c r="AW35" s="20">
        <f t="shared" si="56"/>
        <v>0.12</v>
      </c>
      <c r="AX35" s="20">
        <f t="shared" si="54"/>
        <v>2.5000000000000001E-2</v>
      </c>
      <c r="AY35" s="6">
        <f>('Prices&amp;Fuel'!H35*('Prices&amp;Fuel'!B35+AW35)*'Long Term Deals'!AF35)+('Prices&amp;Fuel'!H35*('Prices&amp;Fuel'!C35+'Long Term Deals'!AW35)*'Long Term Deals'!AG35)+(AH35*('Prices&amp;Fuel'!C35+AW35)*'Prices&amp;Fuel'!H35)+(AW35*AL35*'Prices&amp;Fuel'!H35)</f>
        <v>22919546.391752578</v>
      </c>
      <c r="AZ35" s="6">
        <f>(AP35*'Prices&amp;Fuel'!H35*'Prices&amp;Fuel'!B35)+(AQ35*'Prices&amp;Fuel'!C35*'Prices&amp;Fuel'!H35)+((AM35+AR35)*('Prices&amp;Fuel'!B35+'Long Term Deals'!AX35)*'Prices&amp;Fuel'!H35)+((AN35+AS35)*('Prices&amp;Fuel'!C35+'Long Term Deals'!AX35)*'Prices&amp;Fuel'!H35)+((AO35+AT35)*('Prices&amp;Fuel'!D35+'Long Term Deals'!AX35)*'Prices&amp;Fuel'!H35)+(AV35*'Prices&amp;Fuel'!H35*'Prices&amp;Fuel'!Q35)+AU35</f>
        <v>22097206.091082472</v>
      </c>
      <c r="BA35" s="6">
        <f t="shared" si="43"/>
        <v>822340.30067010596</v>
      </c>
      <c r="BB35" s="6">
        <f>IF('FP Corp'!T35-((BE35+BF35+BG35)*(1-'Prices&amp;Fuel'!F35))&lt;'Prices&amp;Fuel'!R35,('FP Corp'!T35-(BE35+BF35+BG35)*(1-'Prices&amp;Fuel'!F35)),'Prices&amp;Fuel'!R35)/(1-'Prices&amp;Fuel'!F35)</f>
        <v>9000</v>
      </c>
      <c r="BC35" s="14"/>
      <c r="BD35" s="14">
        <f>ROUND(IF('FP Corp'!T35/(1-'Prices&amp;Fuel'!F35)-BE35-BF35-BG35-BB35&gt;'Prices&amp;Fuel'!T35,'Prices&amp;Fuel'!T35,'FP Corp'!T35/(1-'Prices&amp;Fuel'!F35)-BE35-BF35-BG35-BB35),9)</f>
        <v>6573.1958762889999</v>
      </c>
      <c r="BE35" s="14">
        <f>'Prices&amp;Fuel'!U35/(1-'Prices&amp;Fuel'!F35)</f>
        <v>1938.1443298969073</v>
      </c>
      <c r="BF35" s="14">
        <f>('Prices&amp;Fuel'!V35+'Prices&amp;Fuel'!X35)/(1-'Prices&amp;Fuel'!F35)</f>
        <v>3070.1030927835054</v>
      </c>
      <c r="BG35" s="14">
        <f>'Prices&amp;Fuel'!W35/(1-'Prices&amp;Fuel'!F35)</f>
        <v>1068.0412371134021</v>
      </c>
      <c r="BH35" s="25">
        <f>('Prices&amp;Fuel'!C35+'Prices&amp;Fuel'!D35)/2-0.05+('Prices&amp;Fuel'!M35+'Prices&amp;Fuel'!P35)*(1-'Prices&amp;Fuel'!F35)</f>
        <v>3.7850830000000002</v>
      </c>
      <c r="BI35" s="14">
        <f t="shared" si="58"/>
        <v>0</v>
      </c>
      <c r="BJ35" s="14"/>
      <c r="BK35" s="25">
        <f>(((BB35+BE35)*('Prices&amp;Fuel'!B35+0.025))+(('Prices&amp;Fuel'!D35+0.025)*(BD35+BG35))+(('Prices&amp;Fuel'!C35+0.025)*(BC35+BF35))-(BI35+BJ35)*0.025)/(BB35+BC35+BD35+BE35+BF35+BG35)</f>
        <v>3.0742019047619049</v>
      </c>
      <c r="BL35" s="14">
        <f>(BB35+BC35+BD35+BE35+BF35+BG35)*BH35*'Prices&amp;Fuel'!H35</f>
        <v>2540297.9721649881</v>
      </c>
      <c r="BM35" s="14">
        <f>'Prices&amp;Fuel'!X35*('Prices&amp;Fuel'!N35+'Prices&amp;Fuel'!O35)*'Prices&amp;Fuel'!H35</f>
        <v>8846.0793999999987</v>
      </c>
      <c r="BN35" s="14">
        <f>('Prices&amp;Fuel'!U35+'Prices&amp;Fuel'!V35+'Prices&amp;Fuel'!W35)*('Prices&amp;Fuel'!L35+'Prices&amp;Fuel'!O35)*'Prices&amp;Fuel'!H35</f>
        <v>67491.829800000007</v>
      </c>
      <c r="BO35" s="14">
        <f>((BB35+BC35+BD35)*(1-'Prices&amp;Fuel'!G35))*('Prices&amp;Fuel'!M35+'Prices&amp;Fuel'!P35)*'Prices&amp;Fuel'!H35</f>
        <v>371772.25540000817</v>
      </c>
      <c r="BP35" s="14">
        <f>((BD35+BC35+BB35+BE35+BF35+BG35)*BK35*'Prices&amp;Fuel'!H35)+BM35+BN35+BO35</f>
        <v>2511311.6491361228</v>
      </c>
      <c r="BQ35" s="6">
        <f t="shared" si="59"/>
        <v>28986.32302886527</v>
      </c>
      <c r="BR35" s="1">
        <v>1000</v>
      </c>
      <c r="BT35" s="11">
        <f>IF('Prices&amp;Fuel'!$E35&lt;1.89,1.89,'Prices&amp;Fuel'!$E35)</f>
        <v>3.1120000000000001</v>
      </c>
      <c r="BU35" s="11"/>
      <c r="BV35" s="28">
        <f t="shared" si="27"/>
        <v>3.1120000000000001</v>
      </c>
      <c r="BW35" s="28"/>
      <c r="BX35" s="1">
        <f>(BR35*BT35+BS35*BU35)*'Prices&amp;Fuel'!H35</f>
        <v>96472</v>
      </c>
      <c r="BY35" s="1">
        <f>($BR35*BV35+$BS35*BW35)*'Prices&amp;Fuel'!H35</f>
        <v>96472</v>
      </c>
      <c r="BZ35" s="6">
        <f t="shared" si="39"/>
        <v>0</v>
      </c>
      <c r="CA35" s="6">
        <f>(AF35+AG35+AH35+AL35)*0.005*'Prices&amp;Fuel'!H35</f>
        <v>36113.402061855675</v>
      </c>
      <c r="CB35" s="6">
        <f>(B35+C35+D35+O35+P35+Q35+X35+Y35+BB35+BC35+BD35+BE35+BF35+BG35+BR35+BS35)*0.005*'Prices&amp;Fuel'!H35</f>
        <v>8486.170103092838</v>
      </c>
      <c r="CC35" s="1">
        <f t="shared" si="45"/>
        <v>27781095.533917569</v>
      </c>
      <c r="CD35" s="1">
        <f t="shared" si="46"/>
        <v>26961469.382383544</v>
      </c>
      <c r="CE35" s="1">
        <f t="shared" si="47"/>
        <v>819626.15153402463</v>
      </c>
      <c r="CF35" s="1">
        <f>'Index Price Deals'!AR35</f>
        <v>27980.134999999998</v>
      </c>
      <c r="CG35" s="1">
        <f>'Index Price Deals'!AS35</f>
        <v>45.105000000000004</v>
      </c>
      <c r="CH35" s="1">
        <f>'Index Price Deals'!AT35</f>
        <v>27754.61</v>
      </c>
      <c r="CI35" s="1">
        <f>'Index Price Deals'!AU35</f>
        <v>225.52499999999782</v>
      </c>
      <c r="CJ35" s="1">
        <f t="shared" si="44"/>
        <v>27809075.66891757</v>
      </c>
      <c r="CK35" s="1">
        <f t="shared" si="48"/>
        <v>26989223.992383543</v>
      </c>
      <c r="CL35" s="1">
        <f t="shared" si="48"/>
        <v>819851.67653402465</v>
      </c>
      <c r="CM35" s="30"/>
      <c r="CN35" s="1">
        <f>Transport!U35</f>
        <v>473883.03759999224</v>
      </c>
      <c r="CO35" s="57">
        <f>[2]Sheet1!$AL76</f>
        <v>762567.14303902641</v>
      </c>
      <c r="CQ35" s="1">
        <f>(((($B35+$C35+$D35+$O35+$P35+$Q35)*0.5)+BR35+BS35)*(0.005*'Prices&amp;Fuel'!$H35)+'Index Price Deals'!AV35)+(((BB35+BC35+BD35+BE35+BF35+BG35)*(1-'Prices&amp;Fuel'!F35))*0.005*0.5*'Prices&amp;Fuel'!H35)</f>
        <v>3772.855000000025</v>
      </c>
      <c r="CR35" s="1">
        <f>(((($B35+$C35+$D35+$O35+$P35+$Q35)*0.5)+X35+Y35)*(0.005*'Prices&amp;Fuel'!$H35)+CA35+'Index Price Deals'!AW35)+(((BB35+BC35+BD35+BE35+BF35+BG35)*(1-'Prices&amp;Fuel'!F35))*0.005*0.5*'Prices&amp;Fuel'!H35)</f>
        <v>40771.152061855697</v>
      </c>
      <c r="CS35" s="21">
        <f>'Short Term Firm For Budget'!E35</f>
        <v>166512.77999999726</v>
      </c>
      <c r="CT35" s="1">
        <f>[3]Sheet1!$O46</f>
        <v>192122.63208919036</v>
      </c>
      <c r="CU35" s="1">
        <f>'[4]Long Term Deals'!$Z34</f>
        <v>-43972.901883593106</v>
      </c>
      <c r="CV35" s="60">
        <f t="shared" si="23"/>
        <v>1038953.0280002726</v>
      </c>
      <c r="CW35" s="13">
        <f>((B35+C35+D35+O35+P35+Q35+X35+Y35+AF35+AG35+AH35+BB35+BC35+BD35+BE35+BF35+BG35+BR35+BS35)+('Index Price Deals'!B35+'Index Price Deals'!C35+'Index Price Deals'!D35+'Index Price Deals'!L35+'Index Price Deals'!M35+'Index Price Deals'!N35+'Index Price Deals'!AD35+'Index Price Deals'!AE35+'Index Price Deals'!AF35+'Index Price Deals'!AK35+'Index Price Deals'!AL35+'Index Price Deals'!AM35))*'Prices&amp;Fuel'!H35</f>
        <v>8928935.4329896998</v>
      </c>
      <c r="CX35" s="65">
        <f>BQ35/(BB35+BC35+BD35+BE35+BF35+BG35)/'Prices&amp;Fuel'!H35</f>
        <v>4.3190066571426843E-2</v>
      </c>
      <c r="CZ35" s="28">
        <f>(BA35-CT35+CU35)/(AF35+AG35+AH35)/'Prices&amp;Fuel'!H35</f>
        <v>8.1167202925549922E-2</v>
      </c>
      <c r="DB35" s="3">
        <f>(O35+P35+Q35)*'Prices&amp;Fuel'!$H35</f>
        <v>778100</v>
      </c>
      <c r="DC35" s="3">
        <f>(X35+Y35)*'Prices&amp;Fuel'!$H35</f>
        <v>217000</v>
      </c>
      <c r="DD35" s="3">
        <f>(BR35)*'Prices&amp;Fuel'!$H35</f>
        <v>31000</v>
      </c>
      <c r="DE35" s="3">
        <v>226000</v>
      </c>
    </row>
    <row r="36" spans="1:109" x14ac:dyDescent="0.25">
      <c r="A36" s="10">
        <f t="shared" si="57"/>
        <v>36691.916666666591</v>
      </c>
      <c r="O36" s="1">
        <v>9036</v>
      </c>
      <c r="P36" s="1">
        <v>10794</v>
      </c>
      <c r="Q36" s="1">
        <v>5270</v>
      </c>
      <c r="R36" s="11">
        <f t="shared" si="49"/>
        <v>2.2456999999999998</v>
      </c>
      <c r="S36" s="11">
        <f t="shared" si="50"/>
        <v>2.2346999999999997</v>
      </c>
      <c r="T36" s="1">
        <f>(($O36*R36)+($P36*R36)+($Q36*R36))*'Prices&amp;Fuel'!$H36</f>
        <v>1691012.1</v>
      </c>
      <c r="U36" s="1">
        <f>(($O36*S36)+($P36*S36)+($Q36*S36))*'Prices&amp;Fuel'!$H36</f>
        <v>1682729.0999999999</v>
      </c>
      <c r="V36" s="13">
        <f t="shared" si="40"/>
        <v>8283.0000000002328</v>
      </c>
      <c r="X36" s="1">
        <f t="shared" si="55"/>
        <v>3500</v>
      </c>
      <c r="Y36" s="1">
        <f t="shared" si="4"/>
        <v>3500</v>
      </c>
      <c r="Z36" s="12">
        <v>2.2000000000000002</v>
      </c>
      <c r="AA36" s="12">
        <v>2.1800000000000002</v>
      </c>
      <c r="AB36" s="1">
        <f>($X36+$Y36)*Z36*'Prices&amp;Fuel'!$H36</f>
        <v>462000.00000000006</v>
      </c>
      <c r="AC36" s="1">
        <f>($X36+$Y36)*AA36*'Prices&amp;Fuel'!$H36</f>
        <v>457800.00000000006</v>
      </c>
      <c r="AD36" s="13">
        <f t="shared" si="41"/>
        <v>4200</v>
      </c>
      <c r="AF36" s="1">
        <f>((126000)/(1-'Prices&amp;Fuel'!F36))+(25000/(1-'Prices&amp;Fuel'!G36))-AI36</f>
        <v>155654.05628285743</v>
      </c>
      <c r="AG36" s="1">
        <v>0</v>
      </c>
      <c r="AH36" s="1">
        <f>(75000/(1-'Prices&amp;Fuel'!G36))-AK36</f>
        <v>77311.617359035154</v>
      </c>
      <c r="AI36" s="1"/>
      <c r="AJ36" s="1"/>
      <c r="AK36" s="1"/>
      <c r="AL36" s="21">
        <f>ROUND((226000/(1-'Prices&amp;Fuel'!F36))-AF36-AG36-AH36,0)</f>
        <v>0</v>
      </c>
      <c r="AM36" s="1">
        <f t="shared" si="51"/>
        <v>37827</v>
      </c>
      <c r="AO36" s="1">
        <f>ROUND((75000/(1-'Prices&amp;Fuel'!G36)-AV36-AK36)/2,0)</f>
        <v>37663</v>
      </c>
      <c r="AP36" s="1">
        <f t="shared" si="42"/>
        <v>80000</v>
      </c>
      <c r="AR36" s="1">
        <f t="shared" si="53"/>
        <v>37827.056282857433</v>
      </c>
      <c r="AT36" s="13">
        <f t="shared" si="25"/>
        <v>37662.084025701821</v>
      </c>
      <c r="AU36" s="13">
        <f>AL36*AX36*'Prices&amp;Fuel'!H36</f>
        <v>0</v>
      </c>
      <c r="AV36" s="1">
        <f>(7500+52096)/30</f>
        <v>1986.5333333333333</v>
      </c>
      <c r="AW36" s="20">
        <f t="shared" si="56"/>
        <v>0.12</v>
      </c>
      <c r="AX36" s="20">
        <f t="shared" si="54"/>
        <v>2.5000000000000001E-2</v>
      </c>
      <c r="AY36" s="6">
        <f>('Prices&amp;Fuel'!H36*('Prices&amp;Fuel'!B36+AW36)*'Long Term Deals'!AF36)+('Prices&amp;Fuel'!H36*('Prices&amp;Fuel'!C36+'Long Term Deals'!AW36)*'Long Term Deals'!AG36)+(AH36*('Prices&amp;Fuel'!C36+AW36)*'Prices&amp;Fuel'!H36)+(AW36*AL36*'Prices&amp;Fuel'!H36)</f>
        <v>31333470.776208639</v>
      </c>
      <c r="AZ36" s="6">
        <f>(AP36*'Prices&amp;Fuel'!H36*'Prices&amp;Fuel'!B36)+(AQ36*'Prices&amp;Fuel'!C36*'Prices&amp;Fuel'!H36)+((AM36+AR36)*('Prices&amp;Fuel'!B36+'Long Term Deals'!AX36)*'Prices&amp;Fuel'!H36)+((AN36+AS36)*('Prices&amp;Fuel'!C36+'Long Term Deals'!AX36)*'Prices&amp;Fuel'!H36)+((AO36+AT36)*('Prices&amp;Fuel'!D36+'Long Term Deals'!AX36)*'Prices&amp;Fuel'!H36)+(AV36*'Prices&amp;Fuel'!H36*'Prices&amp;Fuel'!Q36)+AU36</f>
        <v>30483828.300290693</v>
      </c>
      <c r="BA36" s="6">
        <f t="shared" si="43"/>
        <v>849642.47591794655</v>
      </c>
      <c r="BB36" s="6">
        <f>IF('FP Corp'!T36-((BE36+BF36+BG36)*(1-'Prices&amp;Fuel'!F36))&lt;'Prices&amp;Fuel'!R36,('FP Corp'!T36-(BE36+BF36+BG36)*(1-'Prices&amp;Fuel'!F36)),'Prices&amp;Fuel'!R36)/(1-'Prices&amp;Fuel'!F36)</f>
        <v>8999.0722605916926</v>
      </c>
      <c r="BC36" s="14"/>
      <c r="BD36" s="14">
        <f>ROUND(IF('FP Corp'!T36/(1-'Prices&amp;Fuel'!F36)-BE36-BF36-BG36-BB36&gt;'Prices&amp;Fuel'!T36,'Prices&amp;Fuel'!T36,'FP Corp'!T36/(1-'Prices&amp;Fuel'!F36)-BE36-BF36-BG36-BB36),9)</f>
        <v>6572.5182970830001</v>
      </c>
      <c r="BE36" s="14">
        <f>'Prices&amp;Fuel'!U36/(1-'Prices&amp;Fuel'!F36)</f>
        <v>1937.9445417998145</v>
      </c>
      <c r="BF36" s="14">
        <f>('Prices&amp;Fuel'!V36+'Prices&amp;Fuel'!X36)/(1-'Prices&amp;Fuel'!F36)</f>
        <v>3069.7866199360892</v>
      </c>
      <c r="BG36" s="14">
        <f>'Prices&amp;Fuel'!W36/(1-'Prices&amp;Fuel'!F36)</f>
        <v>1067.9311411194722</v>
      </c>
      <c r="BH36" s="25">
        <f>('Prices&amp;Fuel'!C36+'Prices&amp;Fuel'!D36)/2-0.05+('Prices&amp;Fuel'!M36+'Prices&amp;Fuel'!P36)*(1-'Prices&amp;Fuel'!F36)</f>
        <v>5.0851623900000007</v>
      </c>
      <c r="BI36" s="14">
        <f t="shared" si="58"/>
        <v>0</v>
      </c>
      <c r="BJ36" s="14"/>
      <c r="BK36" s="25">
        <f>(((BB36+BE36)*('Prices&amp;Fuel'!B36+0.025))+(('Prices&amp;Fuel'!D36+0.025)*(BD36+BG36))+(('Prices&amp;Fuel'!C36+0.025)*(BC36+BF36))-(BI36+BJ36)*0.025)/(BB36+BC36+BD36+BE36+BF36+BG36)</f>
        <v>4.3771428571428563</v>
      </c>
      <c r="BL36" s="14">
        <f>(BB36+BC36+BD36+BE36+BF36+BG36)*BH36*'Prices&amp;Fuel'!H36</f>
        <v>3302393.882795623</v>
      </c>
      <c r="BM36" s="14">
        <f>'Prices&amp;Fuel'!X36*('Prices&amp;Fuel'!N36+'Prices&amp;Fuel'!O36)*'Prices&amp;Fuel'!H36</f>
        <v>8560.7219999999998</v>
      </c>
      <c r="BN36" s="14">
        <f>('Prices&amp;Fuel'!U36+'Prices&amp;Fuel'!V36+'Prices&amp;Fuel'!W36)*('Prices&amp;Fuel'!L36+'Prices&amp;Fuel'!O36)*'Prices&amp;Fuel'!H36</f>
        <v>65314.673999999999</v>
      </c>
      <c r="BO36" s="14">
        <f>((BB36+BC36+BD36)*(1-'Prices&amp;Fuel'!G36))*('Prices&amp;Fuel'!M36+'Prices&amp;Fuel'!P36)*'Prices&amp;Fuel'!H36</f>
        <v>359779.60200000519</v>
      </c>
      <c r="BP36" s="14">
        <f>((BD36+BC36+BB36+BE36+BF36+BG36)*BK36*'Prices&amp;Fuel'!H36)+BM36+BN36+BO36</f>
        <v>3276248.5450570388</v>
      </c>
      <c r="BQ36" s="6">
        <f t="shared" si="59"/>
        <v>26145.337738584261</v>
      </c>
      <c r="BR36" s="1">
        <v>1000</v>
      </c>
      <c r="BT36" s="11">
        <f>IF('Prices&amp;Fuel'!$E36&lt;1.89,1.89,'Prices&amp;Fuel'!$E36)</f>
        <v>4.2382999999999997</v>
      </c>
      <c r="BU36" s="11"/>
      <c r="BV36" s="28">
        <f t="shared" si="27"/>
        <v>4.2382999999999997</v>
      </c>
      <c r="BW36" s="28"/>
      <c r="BX36" s="1">
        <f>(BR36*BT36+BS36*BU36)*'Prices&amp;Fuel'!H36</f>
        <v>127149</v>
      </c>
      <c r="BY36" s="1">
        <f>($BR36*BV36+$BS36*BW36)*'Prices&amp;Fuel'!H36</f>
        <v>127149</v>
      </c>
      <c r="BZ36" s="6">
        <f>BX36-BY36</f>
        <v>0</v>
      </c>
      <c r="CA36" s="6">
        <f>(AF36+AG36+AH36+AL36)*0.005*'Prices&amp;Fuel'!H36</f>
        <v>34944.851046283889</v>
      </c>
      <c r="CB36" s="6">
        <f>(B36+C36+D36+O36+P36+Q36+X36+Y36+BB36+BC36+BD36+BE36+BF36+BG36+BR36+BS36)*0.005*'Prices&amp;Fuel'!H36</f>
        <v>8212.087929079511</v>
      </c>
      <c r="CC36" s="1">
        <f t="shared" si="45"/>
        <v>36916025.759004265</v>
      </c>
      <c r="CD36" s="1">
        <f t="shared" si="46"/>
        <v>36070911.884323098</v>
      </c>
      <c r="CE36" s="1">
        <f t="shared" si="47"/>
        <v>845113.8746811673</v>
      </c>
      <c r="CF36" s="1">
        <f>'Index Price Deals'!AR36</f>
        <v>0</v>
      </c>
      <c r="CG36" s="1">
        <f>'Index Price Deals'!AS36</f>
        <v>0</v>
      </c>
      <c r="CH36" s="1">
        <f>'Index Price Deals'!AT36</f>
        <v>0</v>
      </c>
      <c r="CI36" s="1">
        <f>'Index Price Deals'!AU36</f>
        <v>0</v>
      </c>
      <c r="CJ36" s="1">
        <f t="shared" si="44"/>
        <v>36916025.759004265</v>
      </c>
      <c r="CK36" s="1">
        <f t="shared" si="48"/>
        <v>36070911.884323098</v>
      </c>
      <c r="CL36" s="1">
        <f t="shared" si="48"/>
        <v>845113.8746811673</v>
      </c>
      <c r="CM36" s="30"/>
      <c r="CN36" s="1">
        <f>Transport!U36</f>
        <v>458596.48799999506</v>
      </c>
      <c r="CO36" s="57">
        <f>[2]Sheet1!$AL77</f>
        <v>737968.20294099324</v>
      </c>
      <c r="CQ36" s="1">
        <f>(((($B36+$C36+$D36+$O36+$P36+$Q36)*0.5)+BR36+BS36)*(0.005*'Prices&amp;Fuel'!$H36)+'Index Price Deals'!AV36)+(((BB36+BC36+BD36+BE36+BF36+BG36)*(1-'Prices&amp;Fuel'!F36))*0.005*0.5*'Prices&amp;Fuel'!H36)</f>
        <v>3607.5000000000164</v>
      </c>
      <c r="CR36" s="1">
        <f>(((($B36+$C36+$D36+$O36+$P36+$Q36)*0.5)+X36+Y36)*(0.005*'Prices&amp;Fuel'!$H36)+CA36+'Index Price Deals'!AW36)+(((BB36+BC36+BD36+BE36+BF36+BG36)*(1-'Prices&amp;Fuel'!F36))*0.005*0.5*'Prices&amp;Fuel'!H36)</f>
        <v>39452.351046283904</v>
      </c>
      <c r="CS36" s="21">
        <f>'Short Term Firm For Budget'!E36</f>
        <v>161141.39999999822</v>
      </c>
      <c r="CT36" s="1">
        <f>[3]Sheet1!$O47</f>
        <v>185925.12782824878</v>
      </c>
      <c r="CU36" s="1">
        <f>'[4]Long Term Deals'!$Z35</f>
        <v>-42554.421177670738</v>
      </c>
      <c r="CV36" s="60">
        <f t="shared" si="23"/>
        <v>1057147.4406162442</v>
      </c>
      <c r="CW36" s="13">
        <f>((B36+C36+D36+O36+P36+Q36+X36+Y36+AF36+AG36+AH36+BB36+BC36+BD36+BE36+BF36+BG36+BR36+BS36)+('Index Price Deals'!B36+'Index Price Deals'!C36+'Index Price Deals'!D36+'Index Price Deals'!L36+'Index Price Deals'!M36+'Index Price Deals'!N36+'Index Price Deals'!AD36+'Index Price Deals'!AE36+'Index Price Deals'!AF36+'Index Price Deals'!AK36+'Index Price Deals'!AL36+'Index Price Deals'!AM36))*'Prices&amp;Fuel'!H36</f>
        <v>8631387.7950726803</v>
      </c>
      <c r="CX36" s="65">
        <f>BQ36/(BB36+BC36+BD36+BE36+BF36+BG36)/'Prices&amp;Fuel'!H36</f>
        <v>4.0259670063810045E-2</v>
      </c>
      <c r="CZ36" s="28">
        <f>(BA36-CT36+CU36)/(AF36+AG36+AH36)/'Prices&amp;Fuel'!H36</f>
        <v>8.8877604040908192E-2</v>
      </c>
      <c r="DB36" s="3">
        <f>(O36+P36+Q36)*'Prices&amp;Fuel'!$H36</f>
        <v>753000</v>
      </c>
      <c r="DC36" s="3">
        <f>(X36+Y36)*'Prices&amp;Fuel'!$H36</f>
        <v>210000</v>
      </c>
      <c r="DD36" s="3">
        <f>(BR36)*'Prices&amp;Fuel'!$H36</f>
        <v>30000</v>
      </c>
      <c r="DE36" s="3">
        <v>226000</v>
      </c>
    </row>
    <row r="37" spans="1:109" x14ac:dyDescent="0.25">
      <c r="A37" s="10">
        <f t="shared" si="57"/>
        <v>36722.333333333256</v>
      </c>
      <c r="O37" s="1">
        <v>9036</v>
      </c>
      <c r="P37" s="1">
        <v>10794</v>
      </c>
      <c r="Q37" s="1">
        <v>5270</v>
      </c>
      <c r="R37" s="11">
        <f>ROUND(2.034*1.02*1.02*1.02*1.02*1.02*1.02,4)</f>
        <v>2.2906</v>
      </c>
      <c r="S37" s="11">
        <f>R37-ROUND(0.01*1.02*1.02*1.02*1.02*1.02*1.02,4)</f>
        <v>2.2793000000000001</v>
      </c>
      <c r="T37" s="1">
        <f>(($O37*R37)+($P37*R37)+($Q37*R37))*'Prices&amp;Fuel'!$H37</f>
        <v>1782315.8599999999</v>
      </c>
      <c r="U37" s="1">
        <f>(($O37*S37)+($P37*S37)+($Q37*S37))*'Prices&amp;Fuel'!$H37</f>
        <v>1773523.33</v>
      </c>
      <c r="V37" s="13">
        <f t="shared" ref="V37:V52" si="60">T37-U37</f>
        <v>8792.5299999997951</v>
      </c>
      <c r="X37" s="1">
        <f t="shared" si="55"/>
        <v>3500</v>
      </c>
      <c r="Y37" s="1">
        <f t="shared" ref="Y37:Y64" si="61">X37</f>
        <v>3500</v>
      </c>
      <c r="Z37" s="12">
        <v>2.2000000000000002</v>
      </c>
      <c r="AA37" s="12">
        <v>2.1800000000000002</v>
      </c>
      <c r="AB37" s="1">
        <f>($X37+$Y37)*Z37*'Prices&amp;Fuel'!$H37</f>
        <v>477400.00000000006</v>
      </c>
      <c r="AC37" s="1">
        <f>($X37+$Y37)*AA37*'Prices&amp;Fuel'!$H37</f>
        <v>473060.00000000006</v>
      </c>
      <c r="AD37" s="13">
        <f t="shared" ref="AD37:AD52" si="62">AB37-AC37</f>
        <v>4340</v>
      </c>
      <c r="AF37" s="1">
        <f>((126000)/(1-'Prices&amp;Fuel'!F37))+(25000/(1-'Prices&amp;Fuel'!G37))-AI37</f>
        <v>155654.05628285743</v>
      </c>
      <c r="AG37" s="1">
        <v>0</v>
      </c>
      <c r="AH37" s="1">
        <f>(75000/(1-'Prices&amp;Fuel'!G37))-AK37</f>
        <v>77311.617359035154</v>
      </c>
      <c r="AI37" s="1"/>
      <c r="AJ37" s="1"/>
      <c r="AK37" s="1"/>
      <c r="AL37" s="21">
        <f>ROUND((226000/(1-'Prices&amp;Fuel'!F37))-AF37-AG37-AH37,0)</f>
        <v>0</v>
      </c>
      <c r="AM37" s="1">
        <f t="shared" si="51"/>
        <v>37827</v>
      </c>
      <c r="AO37" s="1">
        <f>ROUND((75000/(1-'Prices&amp;Fuel'!G37)-AV37-AK37)/2,0)</f>
        <v>37844</v>
      </c>
      <c r="AP37" s="1">
        <f t="shared" ref="AP37:AP52" si="63">IF(80000&gt;AF37,AF37,80000)</f>
        <v>80000</v>
      </c>
      <c r="AR37" s="1">
        <f t="shared" si="53"/>
        <v>37827.056282857433</v>
      </c>
      <c r="AT37" s="13">
        <f t="shared" si="25"/>
        <v>37844.520584841608</v>
      </c>
      <c r="AU37" s="13">
        <f>AL37*AX37*'Prices&amp;Fuel'!H37</f>
        <v>0</v>
      </c>
      <c r="AV37" s="1">
        <f>(7748+42568)/31</f>
        <v>1623.0967741935483</v>
      </c>
      <c r="AW37" s="20">
        <f t="shared" si="56"/>
        <v>0.12</v>
      </c>
      <c r="AX37" s="20">
        <f t="shared" si="54"/>
        <v>2.5000000000000001E-2</v>
      </c>
      <c r="AY37" s="6">
        <f>('Prices&amp;Fuel'!H37*('Prices&amp;Fuel'!B37+AW37)*'Long Term Deals'!AF37)+('Prices&amp;Fuel'!H37*('Prices&amp;Fuel'!C37+'Long Term Deals'!AW37)*'Long Term Deals'!AG37)+(AH37*('Prices&amp;Fuel'!C37+AW37)*'Prices&amp;Fuel'!H37)+(AW37*AL37*'Prices&amp;Fuel'!H37)</f>
        <v>32305700.443253271</v>
      </c>
      <c r="AZ37" s="6">
        <f>(AP37*'Prices&amp;Fuel'!H37*'Prices&amp;Fuel'!B37)+(AQ37*'Prices&amp;Fuel'!C37*'Prices&amp;Fuel'!H37)+((AM37+AR37)*('Prices&amp;Fuel'!B37+'Long Term Deals'!AX37)*'Prices&amp;Fuel'!H37)+((AN37+AS37)*('Prices&amp;Fuel'!C37+'Long Term Deals'!AX37)*'Prices&amp;Fuel'!H37)+((AO37+AT37)*('Prices&amp;Fuel'!D37+'Long Term Deals'!AX37)*'Prices&amp;Fuel'!H37)+(AV37*'Prices&amp;Fuel'!H37*'Prices&amp;Fuel'!Q37)+AU37</f>
        <v>31427166.507471401</v>
      </c>
      <c r="BA37" s="6">
        <f t="shared" ref="BA37:BA52" si="64">AY37-AZ37</f>
        <v>878533.93578187004</v>
      </c>
      <c r="BB37" s="6">
        <f>IF('FP Corp'!T37-((BE37+BF37+BG37)*(1-'Prices&amp;Fuel'!F37))&lt;'Prices&amp;Fuel'!R37,('FP Corp'!T37-(BE37+BF37+BG37)*(1-'Prices&amp;Fuel'!F37)),'Prices&amp;Fuel'!R37)/(1-'Prices&amp;Fuel'!F37)</f>
        <v>8999.0722605916926</v>
      </c>
      <c r="BC37" s="14"/>
      <c r="BD37" s="14">
        <f>ROUND(IF('FP Corp'!T37/(1-'Prices&amp;Fuel'!F37)-BE37-BF37-BG37-BB37&gt;'Prices&amp;Fuel'!T37,'Prices&amp;Fuel'!T37,'FP Corp'!T37/(1-'Prices&amp;Fuel'!F37)-BE37-BF37-BG37-BB37),9)</f>
        <v>6572.5182970830001</v>
      </c>
      <c r="BE37" s="14">
        <f>'Prices&amp;Fuel'!U37/(1-'Prices&amp;Fuel'!F37)</f>
        <v>1937.9445417998145</v>
      </c>
      <c r="BF37" s="14">
        <f>('Prices&amp;Fuel'!V37+'Prices&amp;Fuel'!X37)/(1-'Prices&amp;Fuel'!F37)</f>
        <v>3069.7866199360892</v>
      </c>
      <c r="BG37" s="14">
        <f>'Prices&amp;Fuel'!W37/(1-'Prices&amp;Fuel'!F37)</f>
        <v>1067.9311411194722</v>
      </c>
      <c r="BH37" s="25">
        <f>('Prices&amp;Fuel'!C37+'Prices&amp;Fuel'!D37)/2-0.05+('Prices&amp;Fuel'!M37+'Prices&amp;Fuel'!P37)*(1-'Prices&amp;Fuel'!F37)</f>
        <v>5.0751623900000009</v>
      </c>
      <c r="BI37" s="14">
        <f t="shared" si="58"/>
        <v>0</v>
      </c>
      <c r="BJ37" s="14"/>
      <c r="BK37" s="25">
        <f>(((BB37+BE37)*('Prices&amp;Fuel'!B37+0.025))+(('Prices&amp;Fuel'!D37+0.025)*(BD37+BG37))+(('Prices&amp;Fuel'!C37+0.025)*(BC37+BF37))-(BI37+BJ37)*0.025)/(BB37+BC37+BD37+BE37+BF37+BG37)</f>
        <v>4.3671428571428574</v>
      </c>
      <c r="BL37" s="14">
        <f>(BB37+BC37+BD37+BE37+BF37+BG37)*BH37*'Prices&amp;Fuel'!H37</f>
        <v>3405763.0305020465</v>
      </c>
      <c r="BM37" s="14">
        <f>'Prices&amp;Fuel'!X37*('Prices&amp;Fuel'!N37+'Prices&amp;Fuel'!O37)*'Prices&amp;Fuel'!H37</f>
        <v>8846.0793999999987</v>
      </c>
      <c r="BN37" s="14">
        <f>('Prices&amp;Fuel'!U37+'Prices&amp;Fuel'!V37+'Prices&amp;Fuel'!W37)*('Prices&amp;Fuel'!L37+'Prices&amp;Fuel'!O37)*'Prices&amp;Fuel'!H37</f>
        <v>67491.829800000007</v>
      </c>
      <c r="BO37" s="14">
        <f>((BB37+BC37+BD37)*(1-'Prices&amp;Fuel'!G37))*('Prices&amp;Fuel'!M37+'Prices&amp;Fuel'!P37)*'Prices&amp;Fuel'!H37</f>
        <v>371772.25540000538</v>
      </c>
      <c r="BP37" s="14">
        <f>((BD37+BC37+BB37+BE37+BF37+BG37)*BK37*'Prices&amp;Fuel'!H37)+BM37+BN37+BO37</f>
        <v>3378746.1815055097</v>
      </c>
      <c r="BQ37" s="6">
        <f t="shared" si="59"/>
        <v>27016.848996536806</v>
      </c>
      <c r="BZ37" s="13"/>
      <c r="CA37" s="6">
        <f>(AF37+AG37+AH37+AL37)*0.005*'Prices&amp;Fuel'!H37</f>
        <v>36109.679414493352</v>
      </c>
      <c r="CB37" s="6">
        <f>(B37+C37+D37+O37+P37+Q37+X37+Y37+BB37+BC37+BD37+BE37+BF37+BG37+BR37+BS37)*0.005*'Prices&amp;Fuel'!H37</f>
        <v>8330.824193382161</v>
      </c>
      <c r="CC37" s="1">
        <f t="shared" si="45"/>
        <v>37971179.333755314</v>
      </c>
      <c r="CD37" s="1">
        <f t="shared" si="46"/>
        <v>37096936.522584789</v>
      </c>
      <c r="CE37" s="1">
        <f t="shared" si="47"/>
        <v>874242.81117052585</v>
      </c>
      <c r="CF37" s="1">
        <f>'Index Price Deals'!AR37</f>
        <v>0</v>
      </c>
      <c r="CG37" s="1">
        <f>'Index Price Deals'!AS37</f>
        <v>0</v>
      </c>
      <c r="CH37" s="1">
        <f>'Index Price Deals'!AT37</f>
        <v>0</v>
      </c>
      <c r="CI37" s="1">
        <f>'Index Price Deals'!AU37</f>
        <v>0</v>
      </c>
      <c r="CJ37" s="1">
        <f t="shared" ref="CJ37:CJ52" si="65">CC37+CF37</f>
        <v>37971179.333755314</v>
      </c>
      <c r="CK37" s="1">
        <f t="shared" si="48"/>
        <v>37096936.522584789</v>
      </c>
      <c r="CL37" s="1">
        <f t="shared" si="48"/>
        <v>874242.81117052585</v>
      </c>
      <c r="CM37" s="30"/>
      <c r="CN37" s="1">
        <f>Transport!U37</f>
        <v>473883.03759999486</v>
      </c>
      <c r="CO37" s="57">
        <f>[2]Sheet1!$AL78</f>
        <v>762567.14303902641</v>
      </c>
      <c r="CQ37" s="1">
        <f>(((($B37+$C37+$D37+$O37+$P37+$Q37)*0.5)+BR37+BS37)*(0.005*'Prices&amp;Fuel'!$H37)+'Index Price Deals'!AV37)+(((BB37+BC37+BD37+BE37+BF37+BG37)*(1-'Prices&amp;Fuel'!F37))*0.005*0.5*'Prices&amp;Fuel'!H37)</f>
        <v>3572.7500000000173</v>
      </c>
      <c r="CR37" s="1">
        <f>(((($B37+$C37+$D37+$O37+$P37+$Q37)*0.5)+X37+Y37)*(0.005*'Prices&amp;Fuel'!$H37)+CA37+'Index Price Deals'!AW37)+(((BB37+BC37+BD37+BE37+BF37+BG37)*(1-'Prices&amp;Fuel'!F37))*0.005*0.5*'Prices&amp;Fuel'!H37)</f>
        <v>40767.429414493366</v>
      </c>
      <c r="CS37" s="21">
        <f>'Short Term Firm For Budget'!E37</f>
        <v>166512.77999999817</v>
      </c>
      <c r="CT37" s="1">
        <f>[3]Sheet1!$O48</f>
        <v>192122.63208919036</v>
      </c>
      <c r="CU37" s="1">
        <f>'[4]Long Term Deals'!$Z36</f>
        <v>-43972.901883593106</v>
      </c>
      <c r="CV37" s="60">
        <f t="shared" si="23"/>
        <v>1093344.162636772</v>
      </c>
      <c r="CW37" s="13">
        <f>((B37+C37+D37+O37+P37+Q37+X37+Y37+AF37+AG37+AH37+BB37+BC37+BD37+BE37+BF37+BG37+BR37+BS37)+('Index Price Deals'!B37+'Index Price Deals'!C37+'Index Price Deals'!D37+'Index Price Deals'!L37+'Index Price Deals'!M37+'Index Price Deals'!N37+'Index Price Deals'!AD37+'Index Price Deals'!AE37+'Index Price Deals'!AF37+'Index Price Deals'!AK37+'Index Price Deals'!AL37+'Index Price Deals'!AM37))*'Prices&amp;Fuel'!H37</f>
        <v>8888100.7215751018</v>
      </c>
      <c r="CX37" s="65">
        <f>BQ37/(BB37+BC37+BD37+BE37+BF37+BG37)/'Prices&amp;Fuel'!H37</f>
        <v>4.0259670063809649E-2</v>
      </c>
      <c r="CZ37" s="28">
        <f>(BA37-CT37+CU37)/(AF37+AG37+AH37)/'Prices&amp;Fuel'!H37</f>
        <v>8.8956536339565351E-2</v>
      </c>
      <c r="DB37" s="3">
        <f>(O37+P37+Q37)*'Prices&amp;Fuel'!$H37</f>
        <v>778100</v>
      </c>
      <c r="DC37" s="3">
        <f>(X37+Y37)*'Prices&amp;Fuel'!$H37</f>
        <v>217000</v>
      </c>
      <c r="DE37" s="3">
        <v>226000</v>
      </c>
    </row>
    <row r="38" spans="1:109" x14ac:dyDescent="0.25">
      <c r="A38" s="10">
        <f t="shared" si="57"/>
        <v>36752.74999999992</v>
      </c>
      <c r="O38" s="1">
        <v>9036</v>
      </c>
      <c r="P38" s="1">
        <v>10794</v>
      </c>
      <c r="Q38" s="1">
        <v>5270</v>
      </c>
      <c r="R38" s="11">
        <f t="shared" ref="R38:R48" si="66">R37</f>
        <v>2.2906</v>
      </c>
      <c r="S38" s="11">
        <f t="shared" ref="S38:S48" si="67">S37</f>
        <v>2.2793000000000001</v>
      </c>
      <c r="T38" s="1">
        <f>(($O38*R38)+($P38*R38)+($Q38*R38))*'Prices&amp;Fuel'!$H38</f>
        <v>1782315.8599999999</v>
      </c>
      <c r="U38" s="1">
        <f>(($O38*S38)+($P38*S38)+($Q38*S38))*'Prices&amp;Fuel'!$H38</f>
        <v>1773523.33</v>
      </c>
      <c r="V38" s="13">
        <f t="shared" si="60"/>
        <v>8792.5299999997951</v>
      </c>
      <c r="X38" s="1">
        <f t="shared" si="55"/>
        <v>3500</v>
      </c>
      <c r="Y38" s="1">
        <f t="shared" si="61"/>
        <v>3500</v>
      </c>
      <c r="Z38" s="12">
        <v>2.2000000000000002</v>
      </c>
      <c r="AA38" s="12">
        <v>2.1800000000000002</v>
      </c>
      <c r="AB38" s="1">
        <f>($X38+$Y38)*Z38*'Prices&amp;Fuel'!$H38</f>
        <v>477400.00000000006</v>
      </c>
      <c r="AC38" s="1">
        <f>($X38+$Y38)*AA38*'Prices&amp;Fuel'!$H38</f>
        <v>473060.00000000006</v>
      </c>
      <c r="AD38" s="13">
        <f t="shared" si="62"/>
        <v>4340</v>
      </c>
      <c r="AF38" s="1">
        <f>((126000)/(1-'Prices&amp;Fuel'!F38))+(25000/(1-'Prices&amp;Fuel'!G38))-AI38</f>
        <v>155654.05628285743</v>
      </c>
      <c r="AG38" s="1">
        <v>0</v>
      </c>
      <c r="AH38" s="1">
        <f>(75000/(1-'Prices&amp;Fuel'!G38))-AK38</f>
        <v>77311.617359035154</v>
      </c>
      <c r="AI38" s="1"/>
      <c r="AJ38" s="1"/>
      <c r="AK38" s="1"/>
      <c r="AL38" s="21">
        <f>ROUND((226000/(1-'Prices&amp;Fuel'!F38))-AF38-AG38-AH38,0)</f>
        <v>0</v>
      </c>
      <c r="AM38" s="1">
        <f t="shared" si="51"/>
        <v>37827</v>
      </c>
      <c r="AO38" s="1">
        <f>ROUND((75000/(1-'Prices&amp;Fuel'!G38)-AV38-AK38)/2,0)</f>
        <v>37860</v>
      </c>
      <c r="AP38" s="1">
        <f t="shared" si="63"/>
        <v>80000</v>
      </c>
      <c r="AR38" s="1">
        <f t="shared" si="53"/>
        <v>37827.056282857433</v>
      </c>
      <c r="AT38" s="13">
        <f t="shared" si="25"/>
        <v>37859.939939680313</v>
      </c>
      <c r="AU38" s="13">
        <f>AL38*AX38*'Prices&amp;Fuel'!H38</f>
        <v>0</v>
      </c>
      <c r="AV38" s="1">
        <f>(6188+43154)/31</f>
        <v>1591.6774193548388</v>
      </c>
      <c r="AW38" s="20">
        <f t="shared" si="56"/>
        <v>0.12</v>
      </c>
      <c r="AX38" s="20">
        <f t="shared" si="54"/>
        <v>2.5000000000000001E-2</v>
      </c>
      <c r="AY38" s="6">
        <f>('Prices&amp;Fuel'!H38*('Prices&amp;Fuel'!B38+AW38)*'Long Term Deals'!AF38)+('Prices&amp;Fuel'!H38*('Prices&amp;Fuel'!C38+'Long Term Deals'!AW38)*'Long Term Deals'!AG38)+(AH38*('Prices&amp;Fuel'!C38+AW38)*'Prices&amp;Fuel'!H38)+(AW38*AL38*'Prices&amp;Fuel'!H38)</f>
        <v>28405855.06648799</v>
      </c>
      <c r="AZ38" s="6">
        <f>(AP38*'Prices&amp;Fuel'!H38*'Prices&amp;Fuel'!B38)+(AQ38*'Prices&amp;Fuel'!C38*'Prices&amp;Fuel'!H38)+((AM38+AR38)*('Prices&amp;Fuel'!B38+'Long Term Deals'!AX38)*'Prices&amp;Fuel'!H38)+((AN38+AS38)*('Prices&amp;Fuel'!C38+'Long Term Deals'!AX38)*'Prices&amp;Fuel'!H38)+((AO38+AT38)*('Prices&amp;Fuel'!D38+'Long Term Deals'!AX38)*'Prices&amp;Fuel'!H38)+(AV38*'Prices&amp;Fuel'!H38*'Prices&amp;Fuel'!Q38)+AU38</f>
        <v>27533505.400706109</v>
      </c>
      <c r="BA38" s="6">
        <f t="shared" si="64"/>
        <v>872349.66578188166</v>
      </c>
      <c r="BB38" s="6">
        <f>IF('FP Corp'!T38-((BE38+BF38+BG38)*(1-'Prices&amp;Fuel'!F38))&lt;'Prices&amp;Fuel'!R38,('FP Corp'!T38-(BE38+BF38+BG38)*(1-'Prices&amp;Fuel'!F38)),'Prices&amp;Fuel'!R38)/(1-'Prices&amp;Fuel'!F38)</f>
        <v>8999.0722605916926</v>
      </c>
      <c r="BC38" s="14"/>
      <c r="BD38" s="14">
        <f>ROUND(IF('FP Corp'!T38/(1-'Prices&amp;Fuel'!F38)-BE38-BF38-BG38-BB38&gt;'Prices&amp;Fuel'!T38,'Prices&amp;Fuel'!T38,'FP Corp'!T38/(1-'Prices&amp;Fuel'!F38)-BE38-BF38-BG38-BB38),9)</f>
        <v>6572.5182970830001</v>
      </c>
      <c r="BE38" s="14">
        <f>'Prices&amp;Fuel'!U38/(1-'Prices&amp;Fuel'!F38)</f>
        <v>1937.9445417998145</v>
      </c>
      <c r="BF38" s="14">
        <f>('Prices&amp;Fuel'!V38+'Prices&amp;Fuel'!X38)/(1-'Prices&amp;Fuel'!F38)</f>
        <v>3069.7866199360892</v>
      </c>
      <c r="BG38" s="14">
        <f>'Prices&amp;Fuel'!W38/(1-'Prices&amp;Fuel'!F38)</f>
        <v>1067.9311411194722</v>
      </c>
      <c r="BH38" s="25">
        <f>('Prices&amp;Fuel'!C38+'Prices&amp;Fuel'!D38)/2-0.05+('Prices&amp;Fuel'!M38+'Prices&amp;Fuel'!P38)*(1-'Prices&amp;Fuel'!F38)</f>
        <v>4.53516239</v>
      </c>
      <c r="BI38" s="14">
        <f t="shared" si="58"/>
        <v>0</v>
      </c>
      <c r="BJ38" s="14"/>
      <c r="BK38" s="25">
        <f>(((BB38+BE38)*('Prices&amp;Fuel'!B38+0.025))+(('Prices&amp;Fuel'!D38+0.025)*(BD38+BG38))+(('Prices&amp;Fuel'!C38+0.025)*(BC38+BF38))-(BI38+BJ38)*0.025)/(BB38+BC38+BD38+BE38+BF38+BG38)</f>
        <v>3.8271428571428565</v>
      </c>
      <c r="BL38" s="14">
        <f>(BB38+BC38+BD38+BE38+BF38+BG38)*BH38*'Prices&amp;Fuel'!H38</f>
        <v>3043388.0176167726</v>
      </c>
      <c r="BM38" s="14">
        <f>'Prices&amp;Fuel'!X38*('Prices&amp;Fuel'!N38+'Prices&amp;Fuel'!O38)*'Prices&amp;Fuel'!H38</f>
        <v>8846.0793999999987</v>
      </c>
      <c r="BN38" s="14">
        <f>('Prices&amp;Fuel'!U38+'Prices&amp;Fuel'!V38+'Prices&amp;Fuel'!W38)*('Prices&amp;Fuel'!L38+'Prices&amp;Fuel'!O38)*'Prices&amp;Fuel'!H38</f>
        <v>67491.829800000007</v>
      </c>
      <c r="BO38" s="14">
        <f>((BB38+BC38+BD38)*(1-'Prices&amp;Fuel'!G38))*('Prices&amp;Fuel'!M38+'Prices&amp;Fuel'!P38)*'Prices&amp;Fuel'!H38</f>
        <v>371772.25540000538</v>
      </c>
      <c r="BP38" s="14">
        <f>((BD38+BC38+BB38+BE38+BF38+BG38)*BK38*'Prices&amp;Fuel'!H38)+BM38+BN38+BO38</f>
        <v>3016371.1686202362</v>
      </c>
      <c r="BQ38" s="6">
        <f t="shared" si="59"/>
        <v>27016.848996536341</v>
      </c>
      <c r="BZ38" s="13"/>
      <c r="CA38" s="6">
        <f>(AF38+AG38+AH38+AL38)*0.005*'Prices&amp;Fuel'!H38</f>
        <v>36109.679414493352</v>
      </c>
      <c r="CB38" s="6">
        <f>(B38+C38+D38+O38+P38+Q38+X38+Y38+BB38+BC38+BD38+BE38+BF38+BG38+BR38+BS38)*0.005*'Prices&amp;Fuel'!H38</f>
        <v>8330.824193382161</v>
      </c>
      <c r="CC38" s="1">
        <f t="shared" ref="CC38:CC53" si="68">K38+T38+AB38+AY38+BL38+BX38</f>
        <v>33708958.944104761</v>
      </c>
      <c r="CD38" s="1">
        <f t="shared" ref="CD38:CD53" si="69">L38+U38+AC38+AZ38+BP38+BY38+CA38+CB38</f>
        <v>32840900.40293422</v>
      </c>
      <c r="CE38" s="1">
        <f t="shared" ref="CE38:CE53" si="70">CC38-CD38</f>
        <v>868058.5411705412</v>
      </c>
      <c r="CF38" s="1">
        <f>'Index Price Deals'!AR38</f>
        <v>0</v>
      </c>
      <c r="CG38" s="1">
        <f>'Index Price Deals'!AS38</f>
        <v>0</v>
      </c>
      <c r="CH38" s="1">
        <f>'Index Price Deals'!AT38</f>
        <v>0</v>
      </c>
      <c r="CI38" s="1">
        <f>'Index Price Deals'!AU38</f>
        <v>0</v>
      </c>
      <c r="CJ38" s="1">
        <f t="shared" si="65"/>
        <v>33708958.944104761</v>
      </c>
      <c r="CK38" s="1">
        <f t="shared" si="48"/>
        <v>32840900.40293422</v>
      </c>
      <c r="CL38" s="1">
        <f t="shared" si="48"/>
        <v>868058.5411705412</v>
      </c>
      <c r="CM38" s="30"/>
      <c r="CN38" s="1">
        <f>Transport!U38</f>
        <v>473883.03759999486</v>
      </c>
      <c r="CO38" s="57">
        <f>[2]Sheet1!$AL79</f>
        <v>762567.14303902641</v>
      </c>
      <c r="CQ38" s="1">
        <f>(((($B38+$C38+$D38+$O38+$P38+$Q38)*0.5)+BR38+BS38)*(0.005*'Prices&amp;Fuel'!$H38)+'Index Price Deals'!AV38)+(((BB38+BC38+BD38+BE38+BF38+BG38)*(1-'Prices&amp;Fuel'!F38))*0.005*0.5*'Prices&amp;Fuel'!H38)</f>
        <v>3572.7500000000173</v>
      </c>
      <c r="CR38" s="1">
        <f>(((($B38+$C38+$D38+$O38+$P38+$Q38)*0.5)+X38+Y38)*(0.005*'Prices&amp;Fuel'!$H38)+CA38+'Index Price Deals'!AW38)+(((BB38+BC38+BD38+BE38+BF38+BG38)*(1-'Prices&amp;Fuel'!F38))*0.005*0.5*'Prices&amp;Fuel'!H38)</f>
        <v>40767.429414493366</v>
      </c>
      <c r="CS38" s="21">
        <f>'Short Term Firm For Budget'!E38</f>
        <v>166512.77999999817</v>
      </c>
      <c r="CT38" s="1">
        <f>[3]Sheet1!$O49</f>
        <v>192122.63208919036</v>
      </c>
      <c r="CU38" s="1">
        <f>'[4]Long Term Deals'!$Z37</f>
        <v>-43972.901883593106</v>
      </c>
      <c r="CV38" s="60">
        <f t="shared" si="23"/>
        <v>1087159.8926367874</v>
      </c>
      <c r="CW38" s="13">
        <f>((B38+C38+D38+O38+P38+Q38+X38+Y38+AF38+AG38+AH38+BB38+BC38+BD38+BE38+BF38+BG38+BR38+BS38)+('Index Price Deals'!B38+'Index Price Deals'!C38+'Index Price Deals'!D38+'Index Price Deals'!L38+'Index Price Deals'!M38+'Index Price Deals'!N38+'Index Price Deals'!AD38+'Index Price Deals'!AE38+'Index Price Deals'!AF38+'Index Price Deals'!AK38+'Index Price Deals'!AL38+'Index Price Deals'!AM38))*'Prices&amp;Fuel'!H38</f>
        <v>8888100.7215751018</v>
      </c>
      <c r="CX38" s="65">
        <f>BQ38/(BB38+BC38+BD38+BE38+BF38+BG38)/'Prices&amp;Fuel'!H38</f>
        <v>4.0259670063808956E-2</v>
      </c>
      <c r="CZ38" s="28">
        <f>(BA38-CT38+CU38)/(AF38+AG38+AH38)/'Prices&amp;Fuel'!H38</f>
        <v>8.8100218850700268E-2</v>
      </c>
      <c r="DB38" s="3">
        <f>(O38+P38+Q38)*'Prices&amp;Fuel'!$H38</f>
        <v>778100</v>
      </c>
      <c r="DC38" s="3">
        <f>(X38+Y38)*'Prices&amp;Fuel'!$H38</f>
        <v>217000</v>
      </c>
      <c r="DE38" s="3">
        <v>226000</v>
      </c>
    </row>
    <row r="39" spans="1:109" x14ac:dyDescent="0.25">
      <c r="A39" s="10">
        <f t="shared" si="57"/>
        <v>36783.166666666584</v>
      </c>
      <c r="O39" s="1">
        <v>9036</v>
      </c>
      <c r="P39" s="1">
        <v>10794</v>
      </c>
      <c r="Q39" s="1">
        <v>5270</v>
      </c>
      <c r="R39" s="11">
        <f t="shared" si="66"/>
        <v>2.2906</v>
      </c>
      <c r="S39" s="11">
        <f t="shared" si="67"/>
        <v>2.2793000000000001</v>
      </c>
      <c r="T39" s="1">
        <f>(($O39*R39)+($P39*R39)+($Q39*R39))*'Prices&amp;Fuel'!$H39</f>
        <v>1724821.7999999998</v>
      </c>
      <c r="U39" s="1">
        <f>(($O39*S39)+($P39*S39)+($Q39*S39))*'Prices&amp;Fuel'!$H39</f>
        <v>1716312.9</v>
      </c>
      <c r="V39" s="13">
        <f t="shared" si="60"/>
        <v>8508.8999999999069</v>
      </c>
      <c r="X39" s="1">
        <f t="shared" si="55"/>
        <v>3500</v>
      </c>
      <c r="Y39" s="1">
        <f t="shared" si="61"/>
        <v>3500</v>
      </c>
      <c r="Z39" s="12">
        <v>2.2000000000000002</v>
      </c>
      <c r="AA39" s="12">
        <v>2.1800000000000002</v>
      </c>
      <c r="AB39" s="1">
        <f>($X39+$Y39)*Z39*'Prices&amp;Fuel'!$H39</f>
        <v>462000.00000000006</v>
      </c>
      <c r="AC39" s="1">
        <f>($X39+$Y39)*AA39*'Prices&amp;Fuel'!$H39</f>
        <v>457800.00000000006</v>
      </c>
      <c r="AD39" s="13">
        <f t="shared" si="62"/>
        <v>4200</v>
      </c>
      <c r="AF39" s="1">
        <f>((126000)/(1-'Prices&amp;Fuel'!F39))+(25000/(1-'Prices&amp;Fuel'!G39))-AI39</f>
        <v>155654.05628285743</v>
      </c>
      <c r="AG39" s="1">
        <v>0</v>
      </c>
      <c r="AH39" s="1">
        <f>(75000/(1-'Prices&amp;Fuel'!G39))-AK39</f>
        <v>77311.617359035154</v>
      </c>
      <c r="AI39" s="1"/>
      <c r="AJ39" s="1"/>
      <c r="AK39" s="1"/>
      <c r="AL39" s="21">
        <f>ROUND((226000/(1-'Prices&amp;Fuel'!F39))-AF39-AG39-AH39,0)</f>
        <v>0</v>
      </c>
      <c r="AM39" s="1">
        <f t="shared" si="51"/>
        <v>37827</v>
      </c>
      <c r="AO39" s="1">
        <f>ROUND((75000/(1-'Prices&amp;Fuel'!G39)-AV39-AK39)/2,0)</f>
        <v>37879</v>
      </c>
      <c r="AP39" s="1">
        <f t="shared" si="63"/>
        <v>80000</v>
      </c>
      <c r="AR39" s="1">
        <f t="shared" si="53"/>
        <v>37827.056282857433</v>
      </c>
      <c r="AT39" s="13">
        <f t="shared" si="25"/>
        <v>37878.017359035155</v>
      </c>
      <c r="AU39" s="13">
        <f>AL39*AX39*'Prices&amp;Fuel'!H39</f>
        <v>0</v>
      </c>
      <c r="AV39" s="1">
        <f>(6000+40638)/30</f>
        <v>1554.6</v>
      </c>
      <c r="AW39" s="20">
        <f t="shared" si="56"/>
        <v>0.12</v>
      </c>
      <c r="AX39" s="20">
        <f t="shared" si="54"/>
        <v>2.5000000000000001E-2</v>
      </c>
      <c r="AY39" s="6">
        <f>('Prices&amp;Fuel'!H39*('Prices&amp;Fuel'!B39+AW39)*'Long Term Deals'!AF39)+('Prices&amp;Fuel'!H39*('Prices&amp;Fuel'!C39+'Long Term Deals'!AW39)*'Long Term Deals'!AG39)+(AH39*('Prices&amp;Fuel'!C39+AW39)*'Prices&amp;Fuel'!H39)+(AW39*AL39*'Prices&amp;Fuel'!H39)</f>
        <v>32917740.439129986</v>
      </c>
      <c r="AZ39" s="6">
        <f>(AP39*'Prices&amp;Fuel'!H39*'Prices&amp;Fuel'!B39)+(AQ39*'Prices&amp;Fuel'!C39*'Prices&amp;Fuel'!H39)+((AM39+AR39)*('Prices&amp;Fuel'!B39+'Long Term Deals'!AX39)*'Prices&amp;Fuel'!H39)+((AN39+AS39)*('Prices&amp;Fuel'!C39+'Long Term Deals'!AX39)*'Prices&amp;Fuel'!H39)+((AO39+AT39)*('Prices&amp;Fuel'!D39+'Long Term Deals'!AX39)*'Prices&amp;Fuel'!H39)+(AV39*'Prices&amp;Fuel'!H39*'Prices&amp;Fuel'!Q39)+AU39</f>
        <v>32117383.083627462</v>
      </c>
      <c r="BA39" s="6">
        <f t="shared" si="64"/>
        <v>800357.35550252348</v>
      </c>
      <c r="BB39" s="6">
        <f>IF('FP Corp'!T39-((BE39+BF39+BG39)*(1-'Prices&amp;Fuel'!F39))&lt;'Prices&amp;Fuel'!R39,('FP Corp'!T39-(BE39+BF39+BG39)*(1-'Prices&amp;Fuel'!F39)),'Prices&amp;Fuel'!R39)/(1-'Prices&amp;Fuel'!F39)</f>
        <v>8999.0722605916926</v>
      </c>
      <c r="BC39" s="14"/>
      <c r="BD39" s="14">
        <f>ROUND(IF('FP Corp'!T39/(1-'Prices&amp;Fuel'!F39)-BE39-BF39-BG39-BB39&gt;'Prices&amp;Fuel'!T39,'Prices&amp;Fuel'!T39,'FP Corp'!T39/(1-'Prices&amp;Fuel'!F39)-BE39-BF39-BG39-BB39),9)</f>
        <v>6572.5182970830001</v>
      </c>
      <c r="BE39" s="14">
        <f>'Prices&amp;Fuel'!U39/(1-'Prices&amp;Fuel'!F39)</f>
        <v>1937.9445417998145</v>
      </c>
      <c r="BF39" s="14">
        <f>('Prices&amp;Fuel'!V39+'Prices&amp;Fuel'!X39)/(1-'Prices&amp;Fuel'!F39)</f>
        <v>3069.7866199360892</v>
      </c>
      <c r="BG39" s="14">
        <f>'Prices&amp;Fuel'!W39/(1-'Prices&amp;Fuel'!F39)</f>
        <v>1067.9311411194722</v>
      </c>
      <c r="BH39" s="25">
        <f>('Prices&amp;Fuel'!C39+'Prices&amp;Fuel'!D39)/2-0.05+('Prices&amp;Fuel'!M39+'Prices&amp;Fuel'!P39)*(1-'Prices&amp;Fuel'!F39)</f>
        <v>5.3202069100000005</v>
      </c>
      <c r="BI39" s="14">
        <f t="shared" si="58"/>
        <v>0</v>
      </c>
      <c r="BJ39" s="14"/>
      <c r="BK39" s="25">
        <f>(((BB39+BE39)*('Prices&amp;Fuel'!B39+0.025))+(('Prices&amp;Fuel'!D39+0.025)*(BD39+BG39))+(('Prices&amp;Fuel'!C39+0.025)*(BC39+BF39))-(BI39+BJ39)*0.025)/(BB39+BC39+BD39+BE39+BF39+BG39)</f>
        <v>4.609254285714286</v>
      </c>
      <c r="BL39" s="14">
        <f>(BB39+BC39+BD39+BE39+BF39+BG39)*BH39*'Prices&amp;Fuel'!H39</f>
        <v>3455035.9275332806</v>
      </c>
      <c r="BM39" s="14">
        <f>'Prices&amp;Fuel'!X39*('Prices&amp;Fuel'!N39+'Prices&amp;Fuel'!O39)*'Prices&amp;Fuel'!H39</f>
        <v>8667.2700000000023</v>
      </c>
      <c r="BN39" s="14">
        <f>('Prices&amp;Fuel'!U39+'Prices&amp;Fuel'!V39+'Prices&amp;Fuel'!W39)*('Prices&amp;Fuel'!L39+'Prices&amp;Fuel'!O39)*'Prices&amp;Fuel'!H39</f>
        <v>66127.590000000011</v>
      </c>
      <c r="BO39" s="14">
        <f>((BB39+BC39+BD39)*(1-'Prices&amp;Fuel'!G39))*('Prices&amp;Fuel'!M39+'Prices&amp;Fuel'!P39)*'Prices&amp;Fuel'!H39</f>
        <v>362136.13800000527</v>
      </c>
      <c r="BP39" s="14">
        <f>((BD39+BC39+BB39+BE39+BF39+BG39)*BK39*'Prices&amp;Fuel'!H39)+BM39+BN39+BO39</f>
        <v>3430261.7886401769</v>
      </c>
      <c r="BQ39" s="6">
        <f t="shared" si="59"/>
        <v>24774.138893103693</v>
      </c>
      <c r="CA39" s="6">
        <f>(AF39+AG39+AH39+AL39)*0.005*'Prices&amp;Fuel'!H39</f>
        <v>34944.851046283889</v>
      </c>
      <c r="CB39" s="6">
        <f>(B39+C39+D39+O39+P39+Q39+X39+Y39+BB39+BC39+BD39+BE39+BF39+BG39+BR39+BS39)*0.005*'Prices&amp;Fuel'!H39</f>
        <v>8062.0879290795101</v>
      </c>
      <c r="CC39" s="1">
        <f t="shared" si="68"/>
        <v>38559598.166663267</v>
      </c>
      <c r="CD39" s="1">
        <f t="shared" si="69"/>
        <v>37764764.711243004</v>
      </c>
      <c r="CE39" s="1">
        <f t="shared" si="70"/>
        <v>794833.45542026311</v>
      </c>
      <c r="CF39" s="1">
        <f>'Index Price Deals'!AR39</f>
        <v>0</v>
      </c>
      <c r="CG39" s="1">
        <f>'Index Price Deals'!AS39</f>
        <v>0</v>
      </c>
      <c r="CH39" s="1">
        <f>'Index Price Deals'!AT39</f>
        <v>0</v>
      </c>
      <c r="CI39" s="1">
        <f>'Index Price Deals'!AU39</f>
        <v>0</v>
      </c>
      <c r="CJ39" s="1">
        <f t="shared" si="65"/>
        <v>38559598.166663267</v>
      </c>
      <c r="CK39" s="1">
        <f t="shared" si="48"/>
        <v>37764764.711243004</v>
      </c>
      <c r="CL39" s="1">
        <f t="shared" si="48"/>
        <v>794833.45542026311</v>
      </c>
      <c r="CM39" s="30"/>
      <c r="CN39" s="1">
        <f>Transport!U39</f>
        <v>458596.48799999506</v>
      </c>
      <c r="CO39" s="57">
        <f>[2]Sheet1!$AL80</f>
        <v>737968.20294099324</v>
      </c>
      <c r="CQ39" s="1">
        <f>(((($B39+$C39+$D39+$O39+$P39+$Q39)*0.5)+BR39+BS39)*(0.005*'Prices&amp;Fuel'!$H39)+'Index Price Deals'!AV39)+(((BB39+BC39+BD39+BE39+BF39+BG39)*(1-'Prices&amp;Fuel'!F39))*0.005*0.5*'Prices&amp;Fuel'!H39)</f>
        <v>3457.5000000000164</v>
      </c>
      <c r="CR39" s="1">
        <f>(((($B39+$C39+$D39+$O39+$P39+$Q39)*0.5)+X39+Y39)*(0.005*'Prices&amp;Fuel'!$H39)+CA39+'Index Price Deals'!AW39)+(((BB39+BC39+BD39+BE39+BF39+BG39)*(1-'Prices&amp;Fuel'!F39))*0.005*0.5*'Prices&amp;Fuel'!H39)</f>
        <v>39452.351046283904</v>
      </c>
      <c r="CS39" s="21">
        <f>'Short Term Firm For Budget'!E39</f>
        <v>161141.39999999822</v>
      </c>
      <c r="CT39" s="1">
        <f>[3]Sheet1!$O50</f>
        <v>185925.12782824878</v>
      </c>
      <c r="CU39" s="1">
        <f>'[4]Long Term Deals'!$Z38</f>
        <v>-42554.421177670738</v>
      </c>
      <c r="CV39" s="60">
        <f t="shared" si="23"/>
        <v>1006867.02135534</v>
      </c>
      <c r="CW39" s="13">
        <f>((B39+C39+D39+O39+P39+Q39+X39+Y39+AF39+AG39+AH39+BB39+BC39+BD39+BE39+BF39+BG39+BR39+BS39)+('Index Price Deals'!B39+'Index Price Deals'!C39+'Index Price Deals'!D39+'Index Price Deals'!L39+'Index Price Deals'!M39+'Index Price Deals'!N39+'Index Price Deals'!AD39+'Index Price Deals'!AE39+'Index Price Deals'!AF39+'Index Price Deals'!AK39+'Index Price Deals'!AL39+'Index Price Deals'!AM39))*'Prices&amp;Fuel'!H39</f>
        <v>8601387.7950726803</v>
      </c>
      <c r="CX39" s="65">
        <f>BQ39/(BB39+BC39+BD39+BE39+BF39+BG39)/'Prices&amp;Fuel'!H39</f>
        <v>3.8148241492380386E-2</v>
      </c>
      <c r="CZ39" s="28">
        <f>(BA39-CT39+CU39)/(AF39+AG39+AH39)/'Prices&amp;Fuel'!H39</f>
        <v>8.1825761074093742E-2</v>
      </c>
      <c r="DB39" s="3">
        <f>(O39+P39+Q39)*'Prices&amp;Fuel'!$H39</f>
        <v>753000</v>
      </c>
      <c r="DC39" s="3">
        <f>(X39+Y39)*'Prices&amp;Fuel'!$H39</f>
        <v>210000</v>
      </c>
      <c r="DE39" s="3">
        <v>226000</v>
      </c>
    </row>
    <row r="40" spans="1:109" x14ac:dyDescent="0.25">
      <c r="A40" s="10">
        <f t="shared" si="57"/>
        <v>36813.583333333248</v>
      </c>
      <c r="O40" s="1">
        <v>9036</v>
      </c>
      <c r="P40" s="1">
        <v>10794</v>
      </c>
      <c r="Q40" s="1">
        <v>5270</v>
      </c>
      <c r="R40" s="11">
        <f t="shared" si="66"/>
        <v>2.2906</v>
      </c>
      <c r="S40" s="11">
        <f t="shared" si="67"/>
        <v>2.2793000000000001</v>
      </c>
      <c r="T40" s="1">
        <f>(($O40*R40)+($P40*R40)+($Q40*R40))*'Prices&amp;Fuel'!$H40</f>
        <v>1782315.8599999999</v>
      </c>
      <c r="U40" s="1">
        <f>(($O40*S40)+($P40*S40)+($Q40*S40))*'Prices&amp;Fuel'!$H40</f>
        <v>1773523.33</v>
      </c>
      <c r="V40" s="13">
        <f t="shared" si="60"/>
        <v>8792.5299999997951</v>
      </c>
      <c r="X40" s="1">
        <f t="shared" si="55"/>
        <v>3500</v>
      </c>
      <c r="Y40" s="1">
        <f t="shared" si="61"/>
        <v>3500</v>
      </c>
      <c r="Z40" s="12">
        <v>2.2000000000000002</v>
      </c>
      <c r="AA40" s="12">
        <v>2.1800000000000002</v>
      </c>
      <c r="AB40" s="1">
        <f>($X40+$Y40)*Z40*'Prices&amp;Fuel'!$H40</f>
        <v>477400.00000000006</v>
      </c>
      <c r="AC40" s="1">
        <f>($X40+$Y40)*AA40*'Prices&amp;Fuel'!$H40</f>
        <v>473060.00000000006</v>
      </c>
      <c r="AD40" s="13">
        <f t="shared" si="62"/>
        <v>4340</v>
      </c>
      <c r="AF40" s="1">
        <f>(32000/(1-'Prices&amp;Fuel'!F40))+(25000/(1-'Prices&amp;Fuel'!G40))-AI40</f>
        <v>58847.821598182942</v>
      </c>
      <c r="AG40" s="1">
        <v>0</v>
      </c>
      <c r="AH40" s="1">
        <f>(75000/(1-'Prices&amp;Fuel'!G40))-AK40</f>
        <v>77431.344208135459</v>
      </c>
      <c r="AI40" s="1"/>
      <c r="AJ40" s="1"/>
      <c r="AK40" s="1"/>
      <c r="AL40" s="21">
        <f>ROUND((132000/(1-'Prices&amp;Fuel'!F40))-AF40-AG40-AH40,0)</f>
        <v>0</v>
      </c>
      <c r="AM40" s="1">
        <f t="shared" si="51"/>
        <v>0</v>
      </c>
      <c r="AO40" s="1">
        <f>ROUND((75000/(1-'Prices&amp;Fuel'!G40)-AV40-AK40)/2,0)</f>
        <v>38716</v>
      </c>
      <c r="AP40" s="1">
        <f t="shared" si="63"/>
        <v>58847.821598182942</v>
      </c>
      <c r="AR40" s="1">
        <f t="shared" si="53"/>
        <v>0</v>
      </c>
      <c r="AT40" s="13">
        <f t="shared" si="25"/>
        <v>38715.344208135459</v>
      </c>
      <c r="AU40" s="13">
        <f>AL40*AX40*'Prices&amp;Fuel'!H40</f>
        <v>0</v>
      </c>
      <c r="AW40" s="20">
        <f t="shared" si="56"/>
        <v>0.12</v>
      </c>
      <c r="AX40" s="20">
        <f t="shared" si="54"/>
        <v>2.5000000000000001E-2</v>
      </c>
      <c r="AY40" s="6">
        <f>('Prices&amp;Fuel'!H40*('Prices&amp;Fuel'!B40+AW40)*'Long Term Deals'!AF40)+('Prices&amp;Fuel'!H40*('Prices&amp;Fuel'!C40+'Long Term Deals'!AW40)*'Long Term Deals'!AG40)+(AH40*('Prices&amp;Fuel'!C40+AW40)*'Prices&amp;Fuel'!H40)+(AW40*AL40*'Prices&amp;Fuel'!H40)</f>
        <v>22727679.124509603</v>
      </c>
      <c r="AZ40" s="6">
        <f>(AP40*'Prices&amp;Fuel'!H40*'Prices&amp;Fuel'!B40)+(AQ40*'Prices&amp;Fuel'!C40*'Prices&amp;Fuel'!H40)+((AM40+AR40)*('Prices&amp;Fuel'!B40+'Long Term Deals'!AX40)*'Prices&amp;Fuel'!H40)+((AN40+AS40)*('Prices&amp;Fuel'!C40+'Long Term Deals'!AX40)*'Prices&amp;Fuel'!H40)+((AO40+AT40)*('Prices&amp;Fuel'!D40+'Long Term Deals'!AX40)*'Prices&amp;Fuel'!H40)+(AV40*'Prices&amp;Fuel'!H40*'Prices&amp;Fuel'!Q40)+AU40</f>
        <v>22112703.902539749</v>
      </c>
      <c r="BA40" s="6">
        <f t="shared" si="64"/>
        <v>614975.22196985409</v>
      </c>
      <c r="BB40" s="6">
        <f>IF('FP Corp'!T40-((BE40+BF40+BG40)*(1-'Prices&amp;Fuel'!F40))&lt;'Prices&amp;Fuel'!R40,('FP Corp'!T40-(BE40+BF40+BG40)*(1-'Prices&amp;Fuel'!F40)),'Prices&amp;Fuel'!R40)/(1-'Prices&amp;Fuel'!F40)</f>
        <v>9013.0084658269661</v>
      </c>
      <c r="BC40" s="14"/>
      <c r="BD40" s="14">
        <f>ROUND(IF('FP Corp'!T40/(1-'Prices&amp;Fuel'!F40)-BE40-BF40-BG40-BB40&gt;'Prices&amp;Fuel'!T40,'Prices&amp;Fuel'!T40,'FP Corp'!T40/(1-'Prices&amp;Fuel'!F40)-BE40-BF40-BG40-BB40),9)</f>
        <v>3528.8044600449998</v>
      </c>
      <c r="BE40" s="14">
        <f>'Prices&amp;Fuel'!U40/(1-'Prices&amp;Fuel'!F40)</f>
        <v>2921.7427214536442</v>
      </c>
      <c r="BF40" s="14">
        <f>('Prices&amp;Fuel'!V40+'Prices&amp;Fuel'!X40)/(1-'Prices&amp;Fuel'!F40)</f>
        <v>4646.913070410902</v>
      </c>
      <c r="BG40" s="14">
        <f>'Prices&amp;Fuel'!W40/(1-'Prices&amp;Fuel'!F40)</f>
        <v>1570.3076605409869</v>
      </c>
      <c r="BH40" s="25">
        <f>('Prices&amp;Fuel'!C40+'Prices&amp;Fuel'!D40)/2-0.05+('Prices&amp;Fuel'!M40+'Prices&amp;Fuel'!P40)*(1-'Prices&amp;Fuel'!F40)</f>
        <v>5.9790082600000005</v>
      </c>
      <c r="BI40" s="14">
        <f t="shared" si="58"/>
        <v>9013.0084658269661</v>
      </c>
      <c r="BJ40" s="14"/>
      <c r="BK40" s="25">
        <f>(((BB40+BE40)*('Prices&amp;Fuel'!B40+0.025))+(('Prices&amp;Fuel'!D40+0.025)*(BD40+BG40))+(('Prices&amp;Fuel'!C40+0.025)*(BC40+BF40))-(BI40+BJ40)*0.025)/(BB40+BC40+BD40+BE40+BF40+BG40)</f>
        <v>5.249610476190476</v>
      </c>
      <c r="BL40" s="14">
        <f>(BB40+BC40+BD40+BE40+BF40+BG40)*BH40*'Prices&amp;Fuel'!H40</f>
        <v>4018515.7725169561</v>
      </c>
      <c r="BM40" s="14">
        <f>'Prices&amp;Fuel'!X40*('Prices&amp;Fuel'!N40+'Prices&amp;Fuel'!O40)*'Prices&amp;Fuel'!H40</f>
        <v>13126.113000000001</v>
      </c>
      <c r="BN40" s="14">
        <f>('Prices&amp;Fuel'!U40+'Prices&amp;Fuel'!V40+'Prices&amp;Fuel'!W40)*('Prices&amp;Fuel'!L40+'Prices&amp;Fuel'!O40)*'Prices&amp;Fuel'!H40</f>
        <v>102950.16300000002</v>
      </c>
      <c r="BO40" s="14">
        <f>((BB40+BC40+BD40)*(1-'Prices&amp;Fuel'!G40))*('Prices&amp;Fuel'!M40+'Prices&amp;Fuel'!P40)*'Prices&amp;Fuel'!H40</f>
        <v>300931.47079998977</v>
      </c>
      <c r="BP40" s="14">
        <f>((BD40+BC40+BB40+BE40+BF40+BG40)*BK40*'Prices&amp;Fuel'!H40)+BM40+BN40+BO40</f>
        <v>3945292.3018277958</v>
      </c>
      <c r="BQ40" s="6">
        <f t="shared" si="59"/>
        <v>73223.470689160284</v>
      </c>
      <c r="CA40" s="6">
        <f>(AF40+AG40+AH40+AL40)*0.005*'Prices&amp;Fuel'!H40</f>
        <v>21123.270699979352</v>
      </c>
      <c r="CB40" s="6">
        <f>(B40+C40+D40+O40+P40+Q40+X40+Y40+BB40+BC40+BD40+BE40+BF40+BG40+BR40+BS40)*0.005*'Prices&amp;Fuel'!H40</f>
        <v>8336.020338633014</v>
      </c>
      <c r="CC40" s="1">
        <f t="shared" si="68"/>
        <v>29005910.757026557</v>
      </c>
      <c r="CD40" s="1">
        <f t="shared" si="69"/>
        <v>28334038.825406156</v>
      </c>
      <c r="CE40" s="1">
        <f t="shared" si="70"/>
        <v>671871.9316204004</v>
      </c>
      <c r="CF40" s="1">
        <f>'Index Price Deals'!AR40</f>
        <v>0</v>
      </c>
      <c r="CG40" s="1">
        <f>'Index Price Deals'!AS40</f>
        <v>0</v>
      </c>
      <c r="CH40" s="1">
        <f>'Index Price Deals'!AT40</f>
        <v>0</v>
      </c>
      <c r="CI40" s="1">
        <f>'Index Price Deals'!AU40</f>
        <v>0</v>
      </c>
      <c r="CJ40" s="1">
        <f t="shared" si="65"/>
        <v>29005910.757026557</v>
      </c>
      <c r="CK40" s="1">
        <f t="shared" si="48"/>
        <v>28334038.825406156</v>
      </c>
      <c r="CL40" s="1">
        <f t="shared" si="48"/>
        <v>671871.9316204004</v>
      </c>
      <c r="CM40" s="30"/>
      <c r="CN40" s="1">
        <f>Transport!U40</f>
        <v>544343.78080000984</v>
      </c>
      <c r="CO40" s="57">
        <f>[2]Sheet1!$AL81</f>
        <v>762567.14303902641</v>
      </c>
      <c r="CQ40" s="1">
        <f>(((($B40+$C40+$D40+$O40+$P40+$Q40)*0.5)+BR40+BS40)*(0.005*'Prices&amp;Fuel'!$H40)+'Index Price Deals'!AV40)+(((BB40+BC40+BD40+BE40+BF40+BG40)*(1-'Prices&amp;Fuel'!F40))*0.005*0.5*'Prices&amp;Fuel'!H40)</f>
        <v>3572.7499999999682</v>
      </c>
      <c r="CR40" s="1">
        <f>(((($B40+$C40+$D40+$O40+$P40+$Q40)*0.5)+X40+Y40)*(0.005*'Prices&amp;Fuel'!$H40)+CA40+'Index Price Deals'!AW40)+(((BB40+BC40+BD40+BE40+BF40+BG40)*(1-'Prices&amp;Fuel'!F40))*0.005*0.5*'Prices&amp;Fuel'!H40)</f>
        <v>25781.020699979319</v>
      </c>
      <c r="CS40" s="21">
        <f>'Short Term Firm For Budget'!E40</f>
        <v>191271.24000000348</v>
      </c>
      <c r="CT40" s="1">
        <f>[3]Sheet1!$O51</f>
        <v>112213.21874235899</v>
      </c>
      <c r="CU40" s="1">
        <f>'[4]Long Term Deals'!$Z39</f>
        <v>-34895.062969705476</v>
      </c>
      <c r="CV40" s="60">
        <f t="shared" si="23"/>
        <v>934258.25214735605</v>
      </c>
      <c r="CW40" s="13">
        <f>((B40+C40+D40+O40+P40+Q40+X40+Y40+AF40+AG40+AH40+BB40+BC40+BD40+BE40+BF40+BG40+BR40+BS40)+('Index Price Deals'!B40+'Index Price Deals'!C40+'Index Price Deals'!D40+'Index Price Deals'!L40+'Index Price Deals'!M40+'Index Price Deals'!N40+'Index Price Deals'!AD40+'Index Price Deals'!AE40+'Index Price Deals'!AF40+'Index Price Deals'!AK40+'Index Price Deals'!AL40+'Index Price Deals'!AM40))*'Prices&amp;Fuel'!H40</f>
        <v>5891858.207722473</v>
      </c>
      <c r="CX40" s="65">
        <f>BQ40/(BB40+BC40+BD40+BE40+BF40+BG40)/'Prices&amp;Fuel'!H40</f>
        <v>0.10894662628190792</v>
      </c>
      <c r="CZ40" s="28">
        <f>(BA40-CT40+CU40)/(AF40+AG40+AH40)/'Prices&amp;Fuel'!H40</f>
        <v>0.11074680311185117</v>
      </c>
      <c r="DB40" s="3">
        <f>(O40+P40+Q40)*'Prices&amp;Fuel'!$H40</f>
        <v>778100</v>
      </c>
      <c r="DC40" s="3">
        <f>(X40+Y40)*'Prices&amp;Fuel'!$H40</f>
        <v>217000</v>
      </c>
      <c r="DE40" s="3">
        <v>132000</v>
      </c>
    </row>
    <row r="41" spans="1:109" x14ac:dyDescent="0.25">
      <c r="A41" s="10">
        <f t="shared" si="57"/>
        <v>36843.999999999913</v>
      </c>
      <c r="O41" s="1">
        <v>9036</v>
      </c>
      <c r="P41" s="1">
        <v>10794</v>
      </c>
      <c r="Q41" s="1">
        <v>5270</v>
      </c>
      <c r="R41" s="11">
        <f t="shared" si="66"/>
        <v>2.2906</v>
      </c>
      <c r="S41" s="11">
        <f t="shared" si="67"/>
        <v>2.2793000000000001</v>
      </c>
      <c r="T41" s="1">
        <f>(($O41*R41)+($P41*R41)+($Q41*R41))*'Prices&amp;Fuel'!$H41</f>
        <v>1724821.7999999998</v>
      </c>
      <c r="U41" s="1">
        <f>(($O41*S41)+($P41*S41)+($Q41*S41))*'Prices&amp;Fuel'!$H41</f>
        <v>1716312.9</v>
      </c>
      <c r="V41" s="13">
        <f t="shared" si="60"/>
        <v>8508.8999999999069</v>
      </c>
      <c r="X41" s="1">
        <f>2000*0.5</f>
        <v>1000</v>
      </c>
      <c r="Y41" s="1">
        <f t="shared" si="61"/>
        <v>1000</v>
      </c>
      <c r="Z41" s="12">
        <v>2.2000000000000002</v>
      </c>
      <c r="AA41" s="12">
        <v>2.1800000000000002</v>
      </c>
      <c r="AB41" s="1">
        <f>($X41+$Y41)*Z41*'Prices&amp;Fuel'!$H41</f>
        <v>132000</v>
      </c>
      <c r="AC41" s="1">
        <f>($X41+$Y41)*AA41*'Prices&amp;Fuel'!$H41</f>
        <v>130800</v>
      </c>
      <c r="AD41" s="13">
        <f t="shared" si="62"/>
        <v>1200</v>
      </c>
      <c r="AF41" s="1">
        <f>(32000/(1-'Prices&amp;Fuel'!F41))+(25000/(1-'Prices&amp;Fuel'!G41))-AI41</f>
        <v>58611.825192802062</v>
      </c>
      <c r="AG41" s="1">
        <v>0</v>
      </c>
      <c r="AH41" s="1">
        <f>(75000/(1-'Prices&amp;Fuel'!G41))-AK41</f>
        <v>77120.822622107968</v>
      </c>
      <c r="AI41" s="1"/>
      <c r="AJ41" s="1"/>
      <c r="AK41" s="1"/>
      <c r="AL41" s="21">
        <f>ROUND((132000/(1-'Prices&amp;Fuel'!F41))-AF41-AG41-AH41,0)</f>
        <v>0</v>
      </c>
      <c r="AM41" s="1">
        <f t="shared" si="51"/>
        <v>0</v>
      </c>
      <c r="AO41" s="1">
        <f>ROUND((75000/(1-'Prices&amp;Fuel'!G41)-AV41-AK41)/2,0)</f>
        <v>38560</v>
      </c>
      <c r="AP41" s="1">
        <f t="shared" si="63"/>
        <v>58611.825192802062</v>
      </c>
      <c r="AR41" s="1">
        <f t="shared" si="53"/>
        <v>0</v>
      </c>
      <c r="AT41" s="13">
        <f t="shared" si="25"/>
        <v>38560.822622107968</v>
      </c>
      <c r="AU41" s="13">
        <f>AL41*AX41*'Prices&amp;Fuel'!H41</f>
        <v>0</v>
      </c>
      <c r="AW41" s="20">
        <f t="shared" si="56"/>
        <v>0.12</v>
      </c>
      <c r="AX41" s="20">
        <f t="shared" si="54"/>
        <v>2.5000000000000001E-2</v>
      </c>
      <c r="AY41" s="6">
        <f>('Prices&amp;Fuel'!H41*('Prices&amp;Fuel'!B41+AW41)*'Long Term Deals'!AF41)+('Prices&amp;Fuel'!H41*('Prices&amp;Fuel'!C41+'Long Term Deals'!AW41)*'Long Term Deals'!AG41)+(AH41*('Prices&amp;Fuel'!C41+AW41)*'Prices&amp;Fuel'!H41)+(AW41*AL41*'Prices&amp;Fuel'!H41)</f>
        <v>14879383.033419024</v>
      </c>
      <c r="AZ41" s="6">
        <f>(AP41*'Prices&amp;Fuel'!H41*'Prices&amp;Fuel'!B41)+(AQ41*'Prices&amp;Fuel'!C41*'Prices&amp;Fuel'!H41)+((AM41+AR41)*('Prices&amp;Fuel'!B41+'Long Term Deals'!AX41)*'Prices&amp;Fuel'!H41)+((AN41+AS41)*('Prices&amp;Fuel'!C41+'Long Term Deals'!AX41)*'Prices&amp;Fuel'!H41)+((AO41+AT41)*('Prices&amp;Fuel'!D41+'Long Term Deals'!AX41)*'Prices&amp;Fuel'!H41)+(AV41*'Prices&amp;Fuel'!H41*'Prices&amp;Fuel'!Q41)+AU41</f>
        <v>14332904.884318767</v>
      </c>
      <c r="BA41" s="6">
        <f t="shared" si="64"/>
        <v>546478.14910025708</v>
      </c>
      <c r="BB41" s="6">
        <f>IF('FP Corp'!T41-((BE41+BF41+BG41)*(1-'Prices&amp;Fuel'!F41))&lt;'Prices&amp;Fuel'!R41,('FP Corp'!T41-(BE41+BF41+BG41)*(1-'Prices&amp;Fuel'!F41)),'Prices&amp;Fuel'!R41)/(1-'Prices&amp;Fuel'!F41)</f>
        <v>4325.9640102827761</v>
      </c>
      <c r="BC41" s="14"/>
      <c r="BD41" s="14">
        <f>ROUND(IF('FP Corp'!T41/(1-'Prices&amp;Fuel'!F41)-BE41-BF41-BG41-BB41&gt;'Prices&amp;Fuel'!T41,'Prices&amp;Fuel'!T41,'FP Corp'!T41/(1-'Prices&amp;Fuel'!F41)-BE41-BF41-BG41-BB41),9)</f>
        <v>0</v>
      </c>
      <c r="BE41" s="14">
        <f>'Prices&amp;Fuel'!U41/(1-'Prices&amp;Fuel'!F41)</f>
        <v>2635.4755784061695</v>
      </c>
      <c r="BF41" s="14">
        <f>('Prices&amp;Fuel'!V41+'Prices&amp;Fuel'!X41)/(1-'Prices&amp;Fuel'!F41)</f>
        <v>3645.2442159383031</v>
      </c>
      <c r="BG41" s="14">
        <f>'Prices&amp;Fuel'!W41/(1-'Prices&amp;Fuel'!F41)</f>
        <v>1732.6478149100255</v>
      </c>
      <c r="BH41" s="25">
        <f>('Prices&amp;Fuel'!C41+'Prices&amp;Fuel'!D41)/2-0.05+('Prices&amp;Fuel'!M41+'Prices&amp;Fuel'!P41)*(1-'Prices&amp;Fuel'!F41)</f>
        <v>4.2621247499999999</v>
      </c>
      <c r="BI41" s="14">
        <f t="shared" si="58"/>
        <v>4325.9640102827761</v>
      </c>
      <c r="BJ41" s="14"/>
      <c r="BK41" s="25">
        <f>(((BB41+BE41)*('Prices&amp;Fuel'!B41+0.025))+(('Prices&amp;Fuel'!D41+0.025)*(BD41+BG41))+(('Prices&amp;Fuel'!C41+0.025)*(BC41+BF41))-(BI41+BJ41)*0.025)/(BB41+BC41+BD41+BE41+BF41+BG41)</f>
        <v>3.5353645833333331</v>
      </c>
      <c r="BL41" s="14">
        <f>(BB41+BC41+BD41+BE41+BF41+BG41)*BH41*'Prices&amp;Fuel'!H41</f>
        <v>1577753.120822622</v>
      </c>
      <c r="BM41" s="14">
        <f>'Prices&amp;Fuel'!X41*('Prices&amp;Fuel'!N41+'Prices&amp;Fuel'!O41)*'Prices&amp;Fuel'!H41</f>
        <v>8667.2700000000023</v>
      </c>
      <c r="BN41" s="14">
        <f>('Prices&amp;Fuel'!U41+'Prices&amp;Fuel'!V41+'Prices&amp;Fuel'!W41)*('Prices&amp;Fuel'!L41+'Prices&amp;Fuel'!O41)*'Prices&amp;Fuel'!H41</f>
        <v>90225.900000000009</v>
      </c>
      <c r="BO41" s="14">
        <f>((BB41+BC41+BD41)*(1-'Prices&amp;Fuel'!G41))*('Prices&amp;Fuel'!M41+'Prices&amp;Fuel'!P41)*'Prices&amp;Fuel'!H41</f>
        <v>100854.41100000001</v>
      </c>
      <c r="BP41" s="14">
        <f>((BD41+BC41+BB41+BE41+BF41+BG41)*BK41*'Prices&amp;Fuel'!H41)+BM41+BN41+BO41</f>
        <v>1508468.6606915165</v>
      </c>
      <c r="BQ41" s="6">
        <f t="shared" si="59"/>
        <v>69284.460131105501</v>
      </c>
      <c r="CA41" s="6">
        <f>(AF41+AG41+AH41+AL41)*0.005*'Prices&amp;Fuel'!H41</f>
        <v>20359.897172236506</v>
      </c>
      <c r="CB41" s="6">
        <f>(B41+C41+D41+O41+P41+Q41+X41+Y41+BB41+BC41+BD41+BE41+BF41+BG41+BR41+BS41)*0.005*'Prices&amp;Fuel'!H41</f>
        <v>5915.8997429305919</v>
      </c>
      <c r="CC41" s="1">
        <f t="shared" si="68"/>
        <v>18313957.954241648</v>
      </c>
      <c r="CD41" s="1">
        <f t="shared" si="69"/>
        <v>17714762.241925448</v>
      </c>
      <c r="CE41" s="1">
        <f t="shared" si="70"/>
        <v>599195.71231620014</v>
      </c>
      <c r="CF41" s="1">
        <f>'Index Price Deals'!AR41</f>
        <v>0</v>
      </c>
      <c r="CG41" s="1">
        <f>'Index Price Deals'!AS41</f>
        <v>0</v>
      </c>
      <c r="CH41" s="1">
        <f>'Index Price Deals'!AT41</f>
        <v>0</v>
      </c>
      <c r="CI41" s="1">
        <f>'Index Price Deals'!AU41</f>
        <v>0</v>
      </c>
      <c r="CJ41" s="1">
        <f t="shared" si="65"/>
        <v>18313957.954241648</v>
      </c>
      <c r="CK41" s="1">
        <f t="shared" si="48"/>
        <v>17714762.241925448</v>
      </c>
      <c r="CL41" s="1">
        <f t="shared" si="48"/>
        <v>599195.71231620014</v>
      </c>
      <c r="CM41" s="30"/>
      <c r="CN41" s="1">
        <f>Transport!U41</f>
        <v>364060.23600000009</v>
      </c>
      <c r="CO41" s="57">
        <f>[2]Sheet1!$AL82</f>
        <v>737968.20294099324</v>
      </c>
      <c r="CQ41" s="1">
        <f>(((($B41+$C41+$D41+$O41+$P41+$Q41)*0.5)+BR41+BS41)*(0.005*'Prices&amp;Fuel'!$H41)+'Index Price Deals'!AV41)+(((BB41+BC41+BD41+BE41+BF41+BG41)*(1-'Prices&amp;Fuel'!F41))*0.005*0.5*'Prices&amp;Fuel'!H41)</f>
        <v>2782.5</v>
      </c>
      <c r="CR41" s="1">
        <f>(((($B41+$C41+$D41+$O41+$P41+$Q41)*0.5)+X41+Y41)*(0.005*'Prices&amp;Fuel'!$H41)+CA41+'Index Price Deals'!AW41)+(((BB41+BC41+BD41+BE41+BF41+BG41)*(1-'Prices&amp;Fuel'!F41))*0.005*0.5*'Prices&amp;Fuel'!H41)</f>
        <v>23442.397172236506</v>
      </c>
      <c r="CS41" s="21">
        <f>'Short Term Firm For Budget'!E41</f>
        <v>127923.30000000002</v>
      </c>
      <c r="CT41" s="1">
        <f>[3]Sheet1!$O52</f>
        <v>108593.43749260542</v>
      </c>
      <c r="CU41" s="1">
        <f>'[4]Long Term Deals'!$Z40</f>
        <v>-33769.415777134331</v>
      </c>
      <c r="CV41" s="60">
        <f t="shared" si="23"/>
        <v>958664.12598745362</v>
      </c>
      <c r="CW41" s="13">
        <f>((B41+C41+D41+O41+P41+Q41+X41+Y41+AF41+AG41+AH41+BB41+BC41+BD41+BE41+BF41+BG41+BR41+BS41)+('Index Price Deals'!B41+'Index Price Deals'!C41+'Index Price Deals'!D41+'Index Price Deals'!L41+'Index Price Deals'!M41+'Index Price Deals'!N41+'Index Price Deals'!AD41+'Index Price Deals'!AE41+'Index Price Deals'!AF41+'Index Price Deals'!AK41+'Index Price Deals'!AL41+'Index Price Deals'!AM41))*'Prices&amp;Fuel'!H41</f>
        <v>5255159.3830334181</v>
      </c>
      <c r="CX41" s="65">
        <f>BQ41/(BB41+BC41+BD41+BE41+BF41+BG41)/'Prices&amp;Fuel'!H41</f>
        <v>0.18716427077083361</v>
      </c>
      <c r="CZ41" s="28">
        <f>(BA41-CT41+CU41)/(AF41+AG41+AH41)/'Prices&amp;Fuel'!H41</f>
        <v>9.924296090787324E-2</v>
      </c>
      <c r="DB41" s="3">
        <f>(O41+P41+Q41)*'Prices&amp;Fuel'!$H41</f>
        <v>753000</v>
      </c>
      <c r="DC41" s="3">
        <f>(X41+Y41)*'Prices&amp;Fuel'!$H41</f>
        <v>60000</v>
      </c>
      <c r="DE41" s="3">
        <v>132000</v>
      </c>
    </row>
    <row r="42" spans="1:109" x14ac:dyDescent="0.25">
      <c r="A42" s="10">
        <f t="shared" si="57"/>
        <v>36874.416666666577</v>
      </c>
      <c r="O42" s="1">
        <v>9036</v>
      </c>
      <c r="P42" s="1">
        <v>10794</v>
      </c>
      <c r="Q42" s="1">
        <v>5270</v>
      </c>
      <c r="R42" s="11">
        <f t="shared" si="66"/>
        <v>2.2906</v>
      </c>
      <c r="S42" s="11">
        <f t="shared" si="67"/>
        <v>2.2793000000000001</v>
      </c>
      <c r="T42" s="1">
        <f>(($O42*R42)+($P42*R42)+($Q42*R42))*'Prices&amp;Fuel'!$H42</f>
        <v>1782315.8599999999</v>
      </c>
      <c r="U42" s="1">
        <f>(($O42*S42)+($P42*S42)+($Q42*S42))*'Prices&amp;Fuel'!$H42</f>
        <v>1773523.33</v>
      </c>
      <c r="V42" s="13">
        <f t="shared" si="60"/>
        <v>8792.5299999997951</v>
      </c>
      <c r="X42" s="1">
        <f t="shared" ref="X42:X52" si="71">2000*0.5</f>
        <v>1000</v>
      </c>
      <c r="Y42" s="1">
        <f t="shared" si="61"/>
        <v>1000</v>
      </c>
      <c r="Z42" s="12">
        <v>2.2000000000000002</v>
      </c>
      <c r="AA42" s="12">
        <v>2.1800000000000002</v>
      </c>
      <c r="AB42" s="1">
        <f>($X42+$Y42)*Z42*'Prices&amp;Fuel'!$H42</f>
        <v>136400</v>
      </c>
      <c r="AC42" s="1">
        <f>($X42+$Y42)*AA42*'Prices&amp;Fuel'!$H42</f>
        <v>135160</v>
      </c>
      <c r="AD42" s="13">
        <f t="shared" si="62"/>
        <v>1240</v>
      </c>
      <c r="AF42" s="1">
        <f>(32000/(1-'Prices&amp;Fuel'!F42))+(25000/(1-'Prices&amp;Fuel'!G42))-AI42</f>
        <v>58611.825192802062</v>
      </c>
      <c r="AG42" s="1">
        <v>0</v>
      </c>
      <c r="AH42" s="1">
        <f>(75000/(1-'Prices&amp;Fuel'!G42))-AK42</f>
        <v>77120.822622107968</v>
      </c>
      <c r="AI42" s="1"/>
      <c r="AJ42" s="1"/>
      <c r="AK42" s="1"/>
      <c r="AL42" s="21">
        <f>ROUND((132000/(1-'Prices&amp;Fuel'!F42))-AF42-AG42-AH42,0)</f>
        <v>0</v>
      </c>
      <c r="AM42" s="1">
        <f t="shared" si="51"/>
        <v>0</v>
      </c>
      <c r="AO42" s="1">
        <f>ROUND((75000/(1-'Prices&amp;Fuel'!G42)-AV42-AK42)/2,0)</f>
        <v>38560</v>
      </c>
      <c r="AP42" s="1">
        <f t="shared" si="63"/>
        <v>58611.825192802062</v>
      </c>
      <c r="AR42" s="1">
        <f t="shared" si="53"/>
        <v>0</v>
      </c>
      <c r="AT42" s="13">
        <f t="shared" si="25"/>
        <v>38560.822622107968</v>
      </c>
      <c r="AU42" s="13">
        <f>AL42*AX42*'Prices&amp;Fuel'!H42</f>
        <v>0</v>
      </c>
      <c r="AW42" s="20">
        <f t="shared" si="56"/>
        <v>0.12</v>
      </c>
      <c r="AX42" s="20">
        <f t="shared" si="54"/>
        <v>2.5000000000000001E-2</v>
      </c>
      <c r="AY42" s="6">
        <f>('Prices&amp;Fuel'!H42*('Prices&amp;Fuel'!B42+AW42)*'Long Term Deals'!AF42)+('Prices&amp;Fuel'!H42*('Prices&amp;Fuel'!C42+'Long Term Deals'!AW42)*'Long Term Deals'!AG42)+(AH42*('Prices&amp;Fuel'!C42+AW42)*'Prices&amp;Fuel'!H42)+(AW42*AL42*'Prices&amp;Fuel'!H42)</f>
        <v>11672575.835475579</v>
      </c>
      <c r="AZ42" s="6">
        <f>(AP42*'Prices&amp;Fuel'!H42*'Prices&amp;Fuel'!B42)+(AQ42*'Prices&amp;Fuel'!C42*'Prices&amp;Fuel'!H42)+((AM42+AR42)*('Prices&amp;Fuel'!B42+'Long Term Deals'!AX42)*'Prices&amp;Fuel'!H42)+((AN42+AS42)*('Prices&amp;Fuel'!C42+'Long Term Deals'!AX42)*'Prices&amp;Fuel'!H42)+((AO42+AT42)*('Prices&amp;Fuel'!D42+'Long Term Deals'!AX42)*'Prices&amp;Fuel'!H42)+(AV42*'Prices&amp;Fuel'!H42*'Prices&amp;Fuel'!Q42)+AU42</f>
        <v>11107881.74807198</v>
      </c>
      <c r="BA42" s="6">
        <f t="shared" si="64"/>
        <v>564694.08740359917</v>
      </c>
      <c r="BB42" s="6">
        <f>IF('FP Corp'!T42-((BE42+BF42+BG42)*(1-'Prices&amp;Fuel'!F42))&lt;'Prices&amp;Fuel'!R42,('FP Corp'!T42-(BE42+BF42+BG42)*(1-'Prices&amp;Fuel'!F42)),'Prices&amp;Fuel'!R42)/(1-'Prices&amp;Fuel'!F42)</f>
        <v>4325.9640102827761</v>
      </c>
      <c r="BC42" s="14"/>
      <c r="BD42" s="14">
        <f>ROUND(IF('FP Corp'!T42/(1-'Prices&amp;Fuel'!F42)-BE42-BF42-BG42-BB42&gt;'Prices&amp;Fuel'!T42,'Prices&amp;Fuel'!T42,'FP Corp'!T42/(1-'Prices&amp;Fuel'!F42)-BE42-BF42-BG42-BB42),9)</f>
        <v>0</v>
      </c>
      <c r="BE42" s="14">
        <f>'Prices&amp;Fuel'!U42/(1-'Prices&amp;Fuel'!F42)</f>
        <v>2635.4755784061695</v>
      </c>
      <c r="BF42" s="14">
        <f>('Prices&amp;Fuel'!V42+'Prices&amp;Fuel'!X42)/(1-'Prices&amp;Fuel'!F42)</f>
        <v>3645.2442159383031</v>
      </c>
      <c r="BG42" s="14">
        <f>'Prices&amp;Fuel'!W42/(1-'Prices&amp;Fuel'!F42)</f>
        <v>1732.6478149100255</v>
      </c>
      <c r="BH42" s="25">
        <f>('Prices&amp;Fuel'!C42+'Prices&amp;Fuel'!D42)/2-0.05+('Prices&amp;Fuel'!M42+'Prices&amp;Fuel'!P42)*(1-'Prices&amp;Fuel'!F42)</f>
        <v>3.3821247500000005</v>
      </c>
      <c r="BI42" s="14">
        <f t="shared" si="58"/>
        <v>4325.9640102827761</v>
      </c>
      <c r="BJ42" s="14"/>
      <c r="BK42" s="25">
        <f>(((BB42+BE42)*('Prices&amp;Fuel'!B42+0.025))+(('Prices&amp;Fuel'!D42+0.025)*(BD42+BG42))+(('Prices&amp;Fuel'!C42+0.025)*(BC42+BF42))-(BI42+BJ42)*0.025)/(BB42+BC42+BD42+BE42+BF42+BG42)</f>
        <v>2.6553645833333333</v>
      </c>
      <c r="BL42" s="14">
        <f>(BB42+BC42+BD42+BE42+BF42+BG42)*BH42*'Prices&amp;Fuel'!H42</f>
        <v>1293727.9249357325</v>
      </c>
      <c r="BM42" s="14">
        <f>'Prices&amp;Fuel'!X42*('Prices&amp;Fuel'!N42+'Prices&amp;Fuel'!O42)*'Prices&amp;Fuel'!H42</f>
        <v>8956.1790000000019</v>
      </c>
      <c r="BN42" s="14">
        <f>('Prices&amp;Fuel'!U42+'Prices&amp;Fuel'!V42+'Prices&amp;Fuel'!W42)*('Prices&amp;Fuel'!L42+'Prices&amp;Fuel'!O42)*'Prices&amp;Fuel'!H42</f>
        <v>93233.430000000008</v>
      </c>
      <c r="BO42" s="14">
        <f>((BB42+BC42+BD42)*(1-'Prices&amp;Fuel'!G42))*('Prices&amp;Fuel'!M42+'Prices&amp;Fuel'!P42)*'Prices&amp;Fuel'!H42</f>
        <v>104216.22470000001</v>
      </c>
      <c r="BP42" s="14">
        <f>((BD42+BC42+BB42+BE42+BF42+BG42)*BK42*'Prices&amp;Fuel'!H42)+BM42+BN42+BO42</f>
        <v>1222133.9828002569</v>
      </c>
      <c r="BQ42" s="6">
        <f t="shared" si="59"/>
        <v>71593.942135475576</v>
      </c>
      <c r="CA42" s="6">
        <f>(AF42+AG42+AH42+AL42)*0.005*'Prices&amp;Fuel'!H42</f>
        <v>21038.560411311057</v>
      </c>
      <c r="CB42" s="6">
        <f>(B42+C42+D42+O42+P42+Q42+X42+Y42+BB42+BC42+BD42+BE42+BF42+BG42+BR42+BS42)*0.005*'Prices&amp;Fuel'!H42</f>
        <v>6113.0964010282787</v>
      </c>
      <c r="CC42" s="1">
        <f t="shared" si="68"/>
        <v>14885019.62041131</v>
      </c>
      <c r="CD42" s="1">
        <f t="shared" si="69"/>
        <v>14265850.717684576</v>
      </c>
      <c r="CE42" s="1">
        <f t="shared" si="70"/>
        <v>619168.90272673406</v>
      </c>
      <c r="CF42" s="1">
        <f>'Index Price Deals'!AR42</f>
        <v>0</v>
      </c>
      <c r="CG42" s="1">
        <f>'Index Price Deals'!AS42</f>
        <v>0</v>
      </c>
      <c r="CH42" s="1">
        <f>'Index Price Deals'!AT42</f>
        <v>0</v>
      </c>
      <c r="CI42" s="1">
        <f>'Index Price Deals'!AU42</f>
        <v>0</v>
      </c>
      <c r="CJ42" s="1">
        <f t="shared" si="65"/>
        <v>14885019.62041131</v>
      </c>
      <c r="CK42" s="1">
        <f t="shared" si="48"/>
        <v>14265850.717684576</v>
      </c>
      <c r="CL42" s="1">
        <f t="shared" si="48"/>
        <v>619168.90272673406</v>
      </c>
      <c r="CM42" s="1">
        <f>SUM(CL31:CL42)</f>
        <v>8442793.2379154731</v>
      </c>
      <c r="CN42" s="1">
        <f>Transport!U42</f>
        <v>376195.57720000006</v>
      </c>
      <c r="CO42" s="57">
        <f>[2]Sheet1!$AL83</f>
        <v>762567.14303902641</v>
      </c>
      <c r="CQ42" s="1">
        <f>(((($B42+$C42+$D42+$O42+$P42+$Q42)*0.5)+BR42+BS42)*(0.005*'Prices&amp;Fuel'!$H42)+'Index Price Deals'!AV42)+(((BB42+BC42+BD42+BE42+BF42+BG42)*(1-'Prices&amp;Fuel'!F42))*0.005*0.5*'Prices&amp;Fuel'!H42)</f>
        <v>2875.25</v>
      </c>
      <c r="CR42" s="1">
        <f>(((($B42+$C42+$D42+$O42+$P42+$Q42)*0.5)+X42+Y42)*(0.005*'Prices&amp;Fuel'!$H42)+CA42+'Index Price Deals'!AW42)+(((BB42+BC42+BD42+BE42+BF42+BG42)*(1-'Prices&amp;Fuel'!F42))*0.005*0.5*'Prices&amp;Fuel'!H42)</f>
        <v>24223.810411311057</v>
      </c>
      <c r="CS42" s="21">
        <f>'Short Term Firm For Budget'!E42</f>
        <v>132187.41000000003</v>
      </c>
      <c r="CT42" s="1">
        <f>[3]Sheet1!$O53</f>
        <v>112213.21874235899</v>
      </c>
      <c r="CU42" s="1">
        <f>'[4]Long Term Deals'!$Z41</f>
        <v>-34895.062969705476</v>
      </c>
      <c r="CV42" s="60">
        <f t="shared" si="23"/>
        <v>990619.59685369604</v>
      </c>
      <c r="CW42" s="13">
        <f>((B42+C42+D42+O42+P42+Q42+X42+Y42+AF42+AG42+AH42+BB42+BC42+BD42+BE42+BF42+BG42+BR42+BS42)+('Index Price Deals'!B42+'Index Price Deals'!C42+'Index Price Deals'!D42+'Index Price Deals'!L42+'Index Price Deals'!M42+'Index Price Deals'!N42+'Index Price Deals'!AD42+'Index Price Deals'!AE42+'Index Price Deals'!AF42+'Index Price Deals'!AK42+'Index Price Deals'!AL42+'Index Price Deals'!AM42))*'Prices&amp;Fuel'!H42</f>
        <v>5430331.3624678655</v>
      </c>
      <c r="CX42" s="65">
        <f>BQ42/(BB42+BC42+BD42+BE42+BF42+BG42)/'Prices&amp;Fuel'!H42</f>
        <v>0.18716427077083336</v>
      </c>
      <c r="CZ42" s="28">
        <f>(BA42-CT42+CU42)/(AF42+AG42+AH42)/'Prices&amp;Fuel'!H42</f>
        <v>9.9242960907873268E-2</v>
      </c>
      <c r="DB42" s="3">
        <f>(O42+P42+Q42)*'Prices&amp;Fuel'!$H42</f>
        <v>778100</v>
      </c>
      <c r="DC42" s="3">
        <f>(X42+Y42)*'Prices&amp;Fuel'!$H42</f>
        <v>62000</v>
      </c>
      <c r="DE42" s="3">
        <v>132000</v>
      </c>
    </row>
    <row r="43" spans="1:109" x14ac:dyDescent="0.25">
      <c r="A43" s="10">
        <f t="shared" si="57"/>
        <v>36904.833333333241</v>
      </c>
      <c r="O43" s="1">
        <v>9036</v>
      </c>
      <c r="P43" s="1">
        <v>10794</v>
      </c>
      <c r="Q43" s="1">
        <v>5270</v>
      </c>
      <c r="R43" s="11">
        <f t="shared" si="66"/>
        <v>2.2906</v>
      </c>
      <c r="S43" s="11">
        <f t="shared" si="67"/>
        <v>2.2793000000000001</v>
      </c>
      <c r="T43" s="1">
        <f>(($O43*R43)+($P43*R43)+($Q43*R43))*'Prices&amp;Fuel'!$H43</f>
        <v>1782315.8599999999</v>
      </c>
      <c r="U43" s="1">
        <f>(($O43*S43)+($P43*S43)+($Q43*S43))*'Prices&amp;Fuel'!$H43</f>
        <v>1773523.33</v>
      </c>
      <c r="V43" s="13">
        <f t="shared" si="60"/>
        <v>8792.5299999997951</v>
      </c>
      <c r="X43" s="1">
        <f t="shared" si="71"/>
        <v>1000</v>
      </c>
      <c r="Y43" s="1">
        <f t="shared" si="61"/>
        <v>1000</v>
      </c>
      <c r="Z43" s="12">
        <v>2.2000000000000002</v>
      </c>
      <c r="AA43" s="12">
        <v>2.1800000000000002</v>
      </c>
      <c r="AB43" s="1">
        <f>($X43+$Y43)*Z43*'Prices&amp;Fuel'!$H43</f>
        <v>136400</v>
      </c>
      <c r="AC43" s="1">
        <f>($X43+$Y43)*AA43*'Prices&amp;Fuel'!$H43</f>
        <v>135160</v>
      </c>
      <c r="AD43" s="13">
        <f t="shared" si="62"/>
        <v>1240</v>
      </c>
      <c r="AF43" s="1">
        <f>(32000/(1-'Prices&amp;Fuel'!F43))+(25000/(1-'Prices&amp;Fuel'!G43))-AI43</f>
        <v>58611.825192802062</v>
      </c>
      <c r="AG43" s="1">
        <v>0</v>
      </c>
      <c r="AH43" s="1">
        <f>(75000/(1-'Prices&amp;Fuel'!G43))-AK43</f>
        <v>77120.822622107968</v>
      </c>
      <c r="AI43" s="1"/>
      <c r="AJ43" s="1"/>
      <c r="AK43" s="1"/>
      <c r="AL43" s="21">
        <f>ROUND((132000/(1-'Prices&amp;Fuel'!F43))-AF43-AG43-AH43,0)</f>
        <v>0</v>
      </c>
      <c r="AM43" s="1">
        <f t="shared" si="51"/>
        <v>0</v>
      </c>
      <c r="AO43" s="1">
        <f>ROUND((75000/(1-'Prices&amp;Fuel'!G43)-AV43-AK43)/2,0)</f>
        <v>38560</v>
      </c>
      <c r="AP43" s="1">
        <f t="shared" si="63"/>
        <v>58611.825192802062</v>
      </c>
      <c r="AR43" s="1">
        <f t="shared" si="53"/>
        <v>0</v>
      </c>
      <c r="AT43" s="13">
        <f t="shared" si="25"/>
        <v>38560.822622107968</v>
      </c>
      <c r="AU43" s="13">
        <f>AL43*AX43*'Prices&amp;Fuel'!H43</f>
        <v>0</v>
      </c>
      <c r="AW43" s="20">
        <v>0.1</v>
      </c>
      <c r="AX43" s="20">
        <f t="shared" si="54"/>
        <v>2.5000000000000001E-2</v>
      </c>
      <c r="AY43" s="6">
        <f>('Prices&amp;Fuel'!H43*('Prices&amp;Fuel'!B43+AW43)*'Long Term Deals'!AF43)+('Prices&amp;Fuel'!H43*('Prices&amp;Fuel'!C43+'Long Term Deals'!AW43)*'Long Term Deals'!AG43)+(AH43*('Prices&amp;Fuel'!C43+AW43)*'Prices&amp;Fuel'!H43)+(AW43*AL43*'Prices&amp;Fuel'!H43)</f>
        <v>9905336.7609254513</v>
      </c>
      <c r="AZ43" s="6">
        <f>(AP43*'Prices&amp;Fuel'!H43*'Prices&amp;Fuel'!B43)+(AQ43*'Prices&amp;Fuel'!C43*'Prices&amp;Fuel'!H43)+((AM43+AR43)*('Prices&amp;Fuel'!B43+'Long Term Deals'!AX43)*'Prices&amp;Fuel'!H43)+((AN43+AS43)*('Prices&amp;Fuel'!C43+'Long Term Deals'!AX43)*'Prices&amp;Fuel'!H43)+((AO43+AT43)*('Prices&amp;Fuel'!D43+'Long Term Deals'!AX43)*'Prices&amp;Fuel'!H43)+(AV43*'Prices&amp;Fuel'!H43*'Prices&amp;Fuel'!Q43)+AU43</f>
        <v>9424796.915167097</v>
      </c>
      <c r="BA43" s="6">
        <f t="shared" si="64"/>
        <v>480539.84575835429</v>
      </c>
      <c r="BB43" s="6">
        <f>IF('FP Corp'!T43-((BE43+BF43+BG43)*(1-'Prices&amp;Fuel'!F43))&lt;'Prices&amp;Fuel'!R43,('FP Corp'!T43-(BE43+BF43+BG43)*(1-'Prices&amp;Fuel'!F43)),'Prices&amp;Fuel'!R43)/(1-'Prices&amp;Fuel'!F43)</f>
        <v>4325.9640102827761</v>
      </c>
      <c r="BC43" s="14"/>
      <c r="BD43" s="14">
        <f>ROUND(IF('FP Corp'!T43/(1-'Prices&amp;Fuel'!F43)-BE43-BF43-BG43-BB43&gt;'Prices&amp;Fuel'!T43,'Prices&amp;Fuel'!T43,'FP Corp'!T43/(1-'Prices&amp;Fuel'!F43)-BE43-BF43-BG43-BB43),9)</f>
        <v>0</v>
      </c>
      <c r="BE43" s="14">
        <f>'Prices&amp;Fuel'!U43/(1-'Prices&amp;Fuel'!F43)</f>
        <v>2635.4755784061695</v>
      </c>
      <c r="BF43" s="14">
        <f>('Prices&amp;Fuel'!V43+'Prices&amp;Fuel'!X43)/(1-'Prices&amp;Fuel'!F43)</f>
        <v>3645.2442159383031</v>
      </c>
      <c r="BG43" s="14">
        <f>'Prices&amp;Fuel'!W43/(1-'Prices&amp;Fuel'!F43)</f>
        <v>1732.6478149100255</v>
      </c>
      <c r="BH43" s="25">
        <f>('Prices&amp;Fuel'!C43+'Prices&amp;Fuel'!D43)/2-0.05+('Prices&amp;Fuel'!M43+'Prices&amp;Fuel'!P43)*(1-'Prices&amp;Fuel'!F43)</f>
        <v>2.9821247500000005</v>
      </c>
      <c r="BI43" s="14">
        <f t="shared" si="58"/>
        <v>4325.9640102827761</v>
      </c>
      <c r="BJ43" s="14"/>
      <c r="BK43" s="25">
        <f>(((BB43+BE43)*('Prices&amp;Fuel'!B43+0.025))+(('Prices&amp;Fuel'!D43+0.025)*(BD43+BG43))+(('Prices&amp;Fuel'!C43+0.025)*(BC43+BF43))-(BI43+BJ43)*0.025)/(BB43+BC43+BD43+BE43+BF43+BG43)</f>
        <v>2.2553645833333338</v>
      </c>
      <c r="BL43" s="14">
        <f>(BB43+BC43+BD43+BE43+BF43+BG43)*BH43*'Prices&amp;Fuel'!H43</f>
        <v>1140720.2128534706</v>
      </c>
      <c r="BM43" s="14">
        <f>'Prices&amp;Fuel'!X43*('Prices&amp;Fuel'!N43+'Prices&amp;Fuel'!O43)*'Prices&amp;Fuel'!H43</f>
        <v>8956.1790000000019</v>
      </c>
      <c r="BN43" s="14">
        <f>('Prices&amp;Fuel'!U43+'Prices&amp;Fuel'!V43+'Prices&amp;Fuel'!W43)*('Prices&amp;Fuel'!L43+'Prices&amp;Fuel'!O43)*'Prices&amp;Fuel'!H43</f>
        <v>93233.430000000008</v>
      </c>
      <c r="BO43" s="14">
        <f>((BB43+BC43+BD43)*(1-'Prices&amp;Fuel'!G43))*('Prices&amp;Fuel'!M43+'Prices&amp;Fuel'!P43)*'Prices&amp;Fuel'!H43</f>
        <v>104216.22470000001</v>
      </c>
      <c r="BP43" s="14">
        <f>((BD43+BC43+BB43+BE43+BF43+BG43)*BK43*'Prices&amp;Fuel'!H43)+BM43+BN43+BO43</f>
        <v>1069126.270717995</v>
      </c>
      <c r="BQ43" s="6">
        <f t="shared" si="59"/>
        <v>71593.942135475576</v>
      </c>
      <c r="CA43" s="6">
        <f>(AF43+AG43+AH43+AL43)*0.005*'Prices&amp;Fuel'!H43</f>
        <v>21038.560411311057</v>
      </c>
      <c r="CB43" s="6">
        <f>(B43+C43+D43+O43+P43+Q43+X43+Y43+BB43+BC43+BD43+BE43+BF43+BG43+BR43+BS43)*0.005*'Prices&amp;Fuel'!H43</f>
        <v>6113.0964010282787</v>
      </c>
      <c r="CC43" s="1">
        <f t="shared" si="68"/>
        <v>12964772.833778922</v>
      </c>
      <c r="CD43" s="1">
        <f t="shared" si="69"/>
        <v>12429758.172697432</v>
      </c>
      <c r="CE43" s="1">
        <f t="shared" si="70"/>
        <v>535014.66108148918</v>
      </c>
      <c r="CF43" s="1">
        <f>'Index Price Deals'!AR43</f>
        <v>0</v>
      </c>
      <c r="CG43" s="1">
        <f>'Index Price Deals'!AS43</f>
        <v>0</v>
      </c>
      <c r="CH43" s="1">
        <f>'Index Price Deals'!AT43</f>
        <v>0</v>
      </c>
      <c r="CI43" s="1">
        <f>'Index Price Deals'!AU43</f>
        <v>0</v>
      </c>
      <c r="CJ43" s="1">
        <f t="shared" si="65"/>
        <v>12964772.833778922</v>
      </c>
      <c r="CK43" s="1">
        <f t="shared" si="48"/>
        <v>12429758.172697432</v>
      </c>
      <c r="CL43" s="1">
        <f t="shared" si="48"/>
        <v>535014.66108148918</v>
      </c>
      <c r="CM43" s="30"/>
      <c r="CN43" s="1">
        <f>Transport!U43</f>
        <v>376195.57720000006</v>
      </c>
      <c r="CO43" s="57"/>
      <c r="CP43" s="13"/>
      <c r="CQ43" s="1">
        <f>(((($B43+$C43+$D43+$O43+$P43+$Q43)*0.5)+BR43+BS43)*(0.005*'Prices&amp;Fuel'!$H43)+'Index Price Deals'!AV43)+(((BB43+BC43+BD43+BE43+BF43+BG43)*(1-'Prices&amp;Fuel'!F43))*0.005*0.5*'Prices&amp;Fuel'!H43)</f>
        <v>2875.25</v>
      </c>
      <c r="CR43" s="1">
        <f>(((($B43+$C43+$D43+$O43+$P43+$Q43)*0.5)+X43+Y43)*(0.005*'Prices&amp;Fuel'!$H43)+CA43+'Index Price Deals'!AW43)+(((BB43+BC43+BD43+BE43+BF43+BG43)*(1-'Prices&amp;Fuel'!F43))*0.005*0.5*'Prices&amp;Fuel'!H43)</f>
        <v>24223.810411311057</v>
      </c>
      <c r="CS43" s="21">
        <f>'Short Term Firm For Budget'!E43</f>
        <v>132187.41000000003</v>
      </c>
      <c r="CT43" s="1">
        <f>[3]Sheet1!$O55</f>
        <v>27798.572017242986</v>
      </c>
      <c r="CU43" s="1">
        <f>'[4]Long Term Deals'!$Z42</f>
        <v>-34895.062969705476</v>
      </c>
      <c r="CV43" s="60">
        <f t="shared" si="23"/>
        <v>228312.8588945407</v>
      </c>
      <c r="CW43" s="13">
        <f>((B43+C43+D43+O43+P43+Q43+X43+Y43+AF43+AG43+AH43+BB43+BC43+BD43+BE43+BF43+BG43+BR43+BS43)+('Index Price Deals'!B43+'Index Price Deals'!C43+'Index Price Deals'!D43+'Index Price Deals'!L43+'Index Price Deals'!M43+'Index Price Deals'!N43+'Index Price Deals'!AD43+'Index Price Deals'!AE43+'Index Price Deals'!AF43+'Index Price Deals'!AK43+'Index Price Deals'!AL43+'Index Price Deals'!AM43))*'Prices&amp;Fuel'!H43</f>
        <v>5430331.3624678655</v>
      </c>
      <c r="CX43" s="65">
        <f>BQ43/(BB43+BC43+BD43+BE43+BF43+BG43)/'Prices&amp;Fuel'!H43</f>
        <v>0.18716427077083336</v>
      </c>
      <c r="CZ43" s="28">
        <f>(BA43-CT43+CU43)/(AF43+AG43+AH43)/'Prices&amp;Fuel'!H43</f>
        <v>9.9304848478785943E-2</v>
      </c>
      <c r="DB43" s="3">
        <f>(O43+P43+Q43)*'Prices&amp;Fuel'!$H43</f>
        <v>778100</v>
      </c>
      <c r="DC43" s="3">
        <f>(X43+Y43)*'Prices&amp;Fuel'!$H43</f>
        <v>62000</v>
      </c>
      <c r="DE43" s="3">
        <v>132000</v>
      </c>
    </row>
    <row r="44" spans="1:109" x14ac:dyDescent="0.25">
      <c r="A44" s="10">
        <f t="shared" si="57"/>
        <v>36935.249999999905</v>
      </c>
      <c r="O44" s="1">
        <v>9036</v>
      </c>
      <c r="P44" s="1">
        <v>10794</v>
      </c>
      <c r="Q44" s="1">
        <v>5270</v>
      </c>
      <c r="R44" s="11">
        <f t="shared" si="66"/>
        <v>2.2906</v>
      </c>
      <c r="S44" s="11">
        <f t="shared" si="67"/>
        <v>2.2793000000000001</v>
      </c>
      <c r="T44" s="1">
        <f>(($O44*R44)+($P44*R44)+($Q44*R44))*'Prices&amp;Fuel'!$H44</f>
        <v>1609833.68</v>
      </c>
      <c r="U44" s="1">
        <f>(($O44*S44)+($P44*S44)+($Q44*S44))*'Prices&amp;Fuel'!$H44</f>
        <v>1601892.04</v>
      </c>
      <c r="V44" s="13">
        <f t="shared" si="60"/>
        <v>7941.6399999998976</v>
      </c>
      <c r="X44" s="1">
        <f t="shared" si="71"/>
        <v>1000</v>
      </c>
      <c r="Y44" s="1">
        <f t="shared" si="61"/>
        <v>1000</v>
      </c>
      <c r="Z44" s="12">
        <v>2.2000000000000002</v>
      </c>
      <c r="AA44" s="12">
        <v>2.1800000000000002</v>
      </c>
      <c r="AB44" s="1">
        <f>($X44+$Y44)*Z44*'Prices&amp;Fuel'!$H44</f>
        <v>123200</v>
      </c>
      <c r="AC44" s="1">
        <f>($X44+$Y44)*AA44*'Prices&amp;Fuel'!$H44</f>
        <v>122080</v>
      </c>
      <c r="AD44" s="13">
        <f t="shared" si="62"/>
        <v>1120</v>
      </c>
      <c r="AF44" s="1">
        <f>(32000/(1-'Prices&amp;Fuel'!F44))+(25000/(1-'Prices&amp;Fuel'!G44))-AI44</f>
        <v>58611.825192802062</v>
      </c>
      <c r="AG44" s="1">
        <v>0</v>
      </c>
      <c r="AH44" s="1">
        <f>(75000/(1-'Prices&amp;Fuel'!G44))-AK44</f>
        <v>77120.822622107968</v>
      </c>
      <c r="AI44" s="1"/>
      <c r="AJ44" s="1"/>
      <c r="AK44" s="1"/>
      <c r="AL44" s="21">
        <f>ROUND((132000/(1-'Prices&amp;Fuel'!F44))-AF44-AG44-AH44,0)</f>
        <v>0</v>
      </c>
      <c r="AM44" s="1">
        <f t="shared" si="51"/>
        <v>0</v>
      </c>
      <c r="AO44" s="1">
        <f>ROUND((75000/(1-'Prices&amp;Fuel'!G44)-AV44-AK44)/2,0)</f>
        <v>38560</v>
      </c>
      <c r="AP44" s="1">
        <f t="shared" si="63"/>
        <v>58611.825192802062</v>
      </c>
      <c r="AR44" s="1">
        <f t="shared" si="53"/>
        <v>0</v>
      </c>
      <c r="AT44" s="13">
        <f t="shared" si="25"/>
        <v>38560.822622107968</v>
      </c>
      <c r="AU44" s="13">
        <f>AL44*AX44*'Prices&amp;Fuel'!H44</f>
        <v>0</v>
      </c>
      <c r="AW44" s="20">
        <f t="shared" ref="AW44:AW54" si="72">AW43</f>
        <v>0.1</v>
      </c>
      <c r="AX44" s="20">
        <f t="shared" si="54"/>
        <v>2.5000000000000001E-2</v>
      </c>
      <c r="AY44" s="6">
        <f>('Prices&amp;Fuel'!H44*('Prices&amp;Fuel'!B44+AW44)*'Long Term Deals'!AF44)+('Prices&amp;Fuel'!H44*('Prices&amp;Fuel'!C44+'Long Term Deals'!AW44)*'Long Term Deals'!AG44)+(AH44*('Prices&amp;Fuel'!C44+AW44)*'Prices&amp;Fuel'!H44)+(AW44*AL44*'Prices&amp;Fuel'!H44)</f>
        <v>9972894.6015424188</v>
      </c>
      <c r="AZ44" s="6">
        <f>(AP44*'Prices&amp;Fuel'!H44*'Prices&amp;Fuel'!B44)+(AQ44*'Prices&amp;Fuel'!C44*'Prices&amp;Fuel'!H44)+((AM44+AR44)*('Prices&amp;Fuel'!B44+'Long Term Deals'!AX44)*'Prices&amp;Fuel'!H44)+((AN44+AS44)*('Prices&amp;Fuel'!C44+'Long Term Deals'!AX44)*'Prices&amp;Fuel'!H44)+((AO44+AT44)*('Prices&amp;Fuel'!D44+'Long Term Deals'!AX44)*'Prices&amp;Fuel'!H44)+(AV44*'Prices&amp;Fuel'!H44*'Prices&amp;Fuel'!Q44)+AU44</f>
        <v>9538858.6118251942</v>
      </c>
      <c r="BA44" s="6">
        <f t="shared" si="64"/>
        <v>434035.98971722461</v>
      </c>
      <c r="BB44" s="6">
        <f>IF('FP Corp'!T44-((BE44+BF44+BG44)*(1-'Prices&amp;Fuel'!F44))&lt;'Prices&amp;Fuel'!R44,('FP Corp'!T44-(BE44+BF44+BG44)*(1-'Prices&amp;Fuel'!F44)),'Prices&amp;Fuel'!R44)/(1-'Prices&amp;Fuel'!F44)</f>
        <v>4325.9640102827761</v>
      </c>
      <c r="BC44" s="14"/>
      <c r="BD44" s="14">
        <f>ROUND(IF('FP Corp'!T44/(1-'Prices&amp;Fuel'!F44)-BE44-BF44-BG44-BB44&gt;'Prices&amp;Fuel'!T44,'Prices&amp;Fuel'!T44,'FP Corp'!T44/(1-'Prices&amp;Fuel'!F44)-BE44-BF44-BG44-BB44),9)</f>
        <v>0</v>
      </c>
      <c r="BE44" s="14">
        <f>'Prices&amp;Fuel'!U44/(1-'Prices&amp;Fuel'!F44)</f>
        <v>2635.4755784061695</v>
      </c>
      <c r="BF44" s="14">
        <f>('Prices&amp;Fuel'!V44+'Prices&amp;Fuel'!X44)/(1-'Prices&amp;Fuel'!F44)</f>
        <v>3645.2442159383031</v>
      </c>
      <c r="BG44" s="14">
        <f>'Prices&amp;Fuel'!W44/(1-'Prices&amp;Fuel'!F44)</f>
        <v>1732.6478149100255</v>
      </c>
      <c r="BH44" s="25">
        <f>('Prices&amp;Fuel'!C44+'Prices&amp;Fuel'!D44)/2-0.05+('Prices&amp;Fuel'!M44+'Prices&amp;Fuel'!P44)*(1-'Prices&amp;Fuel'!F44)</f>
        <v>3.2521247500000006</v>
      </c>
      <c r="BI44" s="14">
        <f t="shared" si="58"/>
        <v>4325.9640102827761</v>
      </c>
      <c r="BJ44" s="14"/>
      <c r="BK44" s="25">
        <f>(((BB44+BE44)*('Prices&amp;Fuel'!B44+0.025))+(('Prices&amp;Fuel'!D44+0.025)*(BD44+BG44))+(('Prices&amp;Fuel'!C44+0.025)*(BC44+BF44))-(BI44+BJ44)*0.025)/(BB44+BC44+BD44+BE44+BF44+BG44)</f>
        <v>2.5253645833333338</v>
      </c>
      <c r="BL44" s="14">
        <f>(BB44+BC44+BD44+BE44+BF44+BG44)*BH44*'Prices&amp;Fuel'!H44</f>
        <v>1123613.2812339333</v>
      </c>
      <c r="BM44" s="14">
        <f>'Prices&amp;Fuel'!X44*('Prices&amp;Fuel'!N44+'Prices&amp;Fuel'!O44)*'Prices&amp;Fuel'!H44</f>
        <v>8089.4520000000011</v>
      </c>
      <c r="BN44" s="14">
        <f>('Prices&amp;Fuel'!U44+'Prices&amp;Fuel'!V44+'Prices&amp;Fuel'!W44)*('Prices&amp;Fuel'!L44+'Prices&amp;Fuel'!O44)*'Prices&amp;Fuel'!H44</f>
        <v>84210.840000000011</v>
      </c>
      <c r="BO44" s="14">
        <f>((BB44+BC44+BD44)*(1-'Prices&amp;Fuel'!G44))*('Prices&amp;Fuel'!M44+'Prices&amp;Fuel'!P44)*'Prices&amp;Fuel'!H44</f>
        <v>94130.78360000001</v>
      </c>
      <c r="BP44" s="14">
        <f>((BD44+BC44+BB44+BE44+BF44+BG44)*BK44*'Prices&amp;Fuel'!H44)+BM44+BN44+BO44</f>
        <v>1058947.7851115682</v>
      </c>
      <c r="BQ44" s="6">
        <f t="shared" si="59"/>
        <v>64665.496122365119</v>
      </c>
      <c r="CA44" s="6">
        <f>(AF44+AG44+AH44+AL44)*0.005*'Prices&amp;Fuel'!H44</f>
        <v>19002.570694087408</v>
      </c>
      <c r="CB44" s="6">
        <f>(B44+C44+D44+O44+P44+Q44+X44+Y44+BB44+BC44+BD44+BE44+BF44+BG44+BR44+BS44)*0.005*'Prices&amp;Fuel'!H44</f>
        <v>5521.5064267352191</v>
      </c>
      <c r="CC44" s="1">
        <f t="shared" si="68"/>
        <v>12829541.562776351</v>
      </c>
      <c r="CD44" s="1">
        <f t="shared" si="69"/>
        <v>12346302.514057584</v>
      </c>
      <c r="CE44" s="1">
        <f t="shared" si="70"/>
        <v>483239.04871876724</v>
      </c>
      <c r="CF44" s="1">
        <f>'Index Price Deals'!AR44</f>
        <v>0</v>
      </c>
      <c r="CG44" s="1">
        <f>'Index Price Deals'!AS44</f>
        <v>0</v>
      </c>
      <c r="CH44" s="1">
        <f>'Index Price Deals'!AT44</f>
        <v>0</v>
      </c>
      <c r="CI44" s="1">
        <f>'Index Price Deals'!AU44</f>
        <v>0</v>
      </c>
      <c r="CJ44" s="1">
        <f t="shared" si="65"/>
        <v>12829541.562776351</v>
      </c>
      <c r="CK44" s="1">
        <f t="shared" si="48"/>
        <v>12346302.514057584</v>
      </c>
      <c r="CL44" s="1">
        <f t="shared" si="48"/>
        <v>483239.04871876724</v>
      </c>
      <c r="CM44" s="30"/>
      <c r="CN44" s="1">
        <f>Transport!U44</f>
        <v>339789.5536000001</v>
      </c>
      <c r="CO44" s="57"/>
      <c r="CQ44" s="1">
        <f>(((($B44+$C44+$D44+$O44+$P44+$Q44)*0.5)+BR44+BS44)*(0.005*'Prices&amp;Fuel'!$H44)+'Index Price Deals'!AV44)+(((BB44+BC44+BD44+BE44+BF44+BG44)*(1-'Prices&amp;Fuel'!F44))*0.005*0.5*'Prices&amp;Fuel'!H44)</f>
        <v>2597</v>
      </c>
      <c r="CR44" s="1">
        <f>(((($B44+$C44+$D44+$O44+$P44+$Q44)*0.5)+X44+Y44)*(0.005*'Prices&amp;Fuel'!$H44)+CA44+'Index Price Deals'!AW44)+(((BB44+BC44+BD44+BE44+BF44+BG44)*(1-'Prices&amp;Fuel'!F44))*0.005*0.5*'Prices&amp;Fuel'!H44)</f>
        <v>21879.570694087408</v>
      </c>
      <c r="CS44" s="21">
        <f>'Short Term Firm For Budget'!E44</f>
        <v>119395.08000000002</v>
      </c>
      <c r="CT44" s="1">
        <f>[3]Sheet1!$O56</f>
        <v>25108.387628477532</v>
      </c>
      <c r="CU44" s="1">
        <f>'[4]Long Term Deals'!$Z43</f>
        <v>-31518.121391992048</v>
      </c>
      <c r="CV44" s="60">
        <f t="shared" si="23"/>
        <v>206218.06609829757</v>
      </c>
      <c r="CW44" s="13">
        <f>((B44+C44+D44+O44+P44+Q44+X44+Y44+AF44+AG44+AH44+BB44+BC44+BD44+BE44+BF44+BG44+BR44+BS44)+('Index Price Deals'!B44+'Index Price Deals'!C44+'Index Price Deals'!D44+'Index Price Deals'!L44+'Index Price Deals'!M44+'Index Price Deals'!N44+'Index Price Deals'!AD44+'Index Price Deals'!AE44+'Index Price Deals'!AF44+'Index Price Deals'!AK44+'Index Price Deals'!AL44+'Index Price Deals'!AM44))*'Prices&amp;Fuel'!H44</f>
        <v>4904815.4241645234</v>
      </c>
      <c r="CX44" s="65">
        <f>BQ44/(BB44+BC44+BD44+BE44+BF44+BG44)/'Prices&amp;Fuel'!H44</f>
        <v>0.18716427077083359</v>
      </c>
      <c r="CZ44" s="28">
        <f>(BA44-CT44+CU44)/(AF44+AG44+AH44)/'Prices&amp;Fuel'!H44</f>
        <v>9.9304848478786317E-2</v>
      </c>
      <c r="DB44" s="3">
        <f>(O44+P44+Q44)*'Prices&amp;Fuel'!$H44</f>
        <v>702800</v>
      </c>
      <c r="DC44" s="3">
        <f>(X44+Y44)*'Prices&amp;Fuel'!$H44</f>
        <v>56000</v>
      </c>
      <c r="DE44" s="3">
        <v>132000</v>
      </c>
    </row>
    <row r="45" spans="1:109" x14ac:dyDescent="0.25">
      <c r="A45" s="10">
        <f t="shared" si="57"/>
        <v>36965.66666666657</v>
      </c>
      <c r="O45" s="1">
        <v>9036</v>
      </c>
      <c r="P45" s="1">
        <v>10794</v>
      </c>
      <c r="Q45" s="1">
        <v>5270</v>
      </c>
      <c r="R45" s="11">
        <f t="shared" si="66"/>
        <v>2.2906</v>
      </c>
      <c r="S45" s="11">
        <f t="shared" si="67"/>
        <v>2.2793000000000001</v>
      </c>
      <c r="T45" s="1">
        <f>(($O45*R45)+($P45*R45)+($Q45*R45))*'Prices&amp;Fuel'!$H45</f>
        <v>1782315.8599999999</v>
      </c>
      <c r="U45" s="1">
        <f>(($O45*S45)+($P45*S45)+($Q45*S45))*'Prices&amp;Fuel'!$H45</f>
        <v>1773523.33</v>
      </c>
      <c r="V45" s="13">
        <f t="shared" si="60"/>
        <v>8792.5299999997951</v>
      </c>
      <c r="X45" s="1">
        <f t="shared" si="71"/>
        <v>1000</v>
      </c>
      <c r="Y45" s="1">
        <f t="shared" si="61"/>
        <v>1000</v>
      </c>
      <c r="Z45" s="12">
        <v>2.2000000000000002</v>
      </c>
      <c r="AA45" s="12">
        <v>2.1800000000000002</v>
      </c>
      <c r="AB45" s="1">
        <f>($X45+$Y45)*Z45*'Prices&amp;Fuel'!$H45</f>
        <v>136400</v>
      </c>
      <c r="AC45" s="1">
        <f>($X45+$Y45)*AA45*'Prices&amp;Fuel'!$H45</f>
        <v>135160</v>
      </c>
      <c r="AD45" s="13">
        <f t="shared" si="62"/>
        <v>1240</v>
      </c>
      <c r="AF45" s="1">
        <f>(32000/(1-'Prices&amp;Fuel'!F45))+(25000/(1-'Prices&amp;Fuel'!G45))-AI45</f>
        <v>58611.825192802062</v>
      </c>
      <c r="AG45" s="1">
        <v>0</v>
      </c>
      <c r="AH45" s="1">
        <f>(75000/(1-'Prices&amp;Fuel'!G45))-AK45</f>
        <v>77120.822622107968</v>
      </c>
      <c r="AI45" s="1"/>
      <c r="AJ45" s="1"/>
      <c r="AK45" s="1"/>
      <c r="AL45" s="21">
        <f>ROUND((132000/(1-'Prices&amp;Fuel'!F45))-AF45-AG45-AH45,0)</f>
        <v>0</v>
      </c>
      <c r="AM45" s="1">
        <f t="shared" si="51"/>
        <v>0</v>
      </c>
      <c r="AO45" s="1">
        <f>ROUND((75000/(1-'Prices&amp;Fuel'!G45)-AV45-AK45)/2,0)</f>
        <v>38560</v>
      </c>
      <c r="AP45" s="1">
        <f t="shared" si="63"/>
        <v>58611.825192802062</v>
      </c>
      <c r="AR45" s="1">
        <f t="shared" ref="AR45:AR60" si="73">IF(AP45&gt;AF45,0,AF45-AM45-AP45)</f>
        <v>0</v>
      </c>
      <c r="AT45" s="13">
        <f t="shared" si="25"/>
        <v>38560.822622107968</v>
      </c>
      <c r="AU45" s="13">
        <f>AL45*AX45*'Prices&amp;Fuel'!H45</f>
        <v>0</v>
      </c>
      <c r="AW45" s="20">
        <f t="shared" si="72"/>
        <v>0.1</v>
      </c>
      <c r="AX45" s="20">
        <f t="shared" si="54"/>
        <v>2.5000000000000001E-2</v>
      </c>
      <c r="AY45" s="6">
        <f>('Prices&amp;Fuel'!H45*('Prices&amp;Fuel'!B45+AW45)*'Long Term Deals'!AF45)+('Prices&amp;Fuel'!H45*('Prices&amp;Fuel'!C45+'Long Term Deals'!AW45)*'Long Term Deals'!AG45)+(AH45*('Prices&amp;Fuel'!C45+AW45)*'Prices&amp;Fuel'!H45)+(AW45*AL45*'Prices&amp;Fuel'!H45)</f>
        <v>11041419.023136249</v>
      </c>
      <c r="AZ45" s="6">
        <f>(AP45*'Prices&amp;Fuel'!H45*'Prices&amp;Fuel'!B45)+(AQ45*'Prices&amp;Fuel'!C45*'Prices&amp;Fuel'!H45)+((AM45+AR45)*('Prices&amp;Fuel'!B45+'Long Term Deals'!AX45)*'Prices&amp;Fuel'!H45)+((AN45+AS45)*('Prices&amp;Fuel'!C45+'Long Term Deals'!AX45)*'Prices&amp;Fuel'!H45)+((AO45+AT45)*('Prices&amp;Fuel'!D45+'Long Term Deals'!AX45)*'Prices&amp;Fuel'!H45)+(AV45*'Prices&amp;Fuel'!H45*'Prices&amp;Fuel'!Q45)+AU45</f>
        <v>10560879.177377895</v>
      </c>
      <c r="BA45" s="6">
        <f t="shared" si="64"/>
        <v>480539.84575835429</v>
      </c>
      <c r="BB45" s="6">
        <f>IF('FP Corp'!T45-((BE45+BF45+BG45)*(1-'Prices&amp;Fuel'!F45))&lt;'Prices&amp;Fuel'!R45,('FP Corp'!T45-(BE45+BF45+BG45)*(1-'Prices&amp;Fuel'!F45)),'Prices&amp;Fuel'!R45)/(1-'Prices&amp;Fuel'!F45)</f>
        <v>4325.9640102827761</v>
      </c>
      <c r="BC45" s="14"/>
      <c r="BD45" s="14">
        <f>ROUND(IF('FP Corp'!T45/(1-'Prices&amp;Fuel'!F45)-BE45-BF45-BG45-BB45&gt;'Prices&amp;Fuel'!T45,'Prices&amp;Fuel'!T45,'FP Corp'!T45/(1-'Prices&amp;Fuel'!F45)-BE45-BF45-BG45-BB45),9)</f>
        <v>0</v>
      </c>
      <c r="BE45" s="14">
        <f>'Prices&amp;Fuel'!U45/(1-'Prices&amp;Fuel'!F45)</f>
        <v>2635.4755784061695</v>
      </c>
      <c r="BF45" s="14">
        <f>('Prices&amp;Fuel'!V45+'Prices&amp;Fuel'!X45)/(1-'Prices&amp;Fuel'!F45)</f>
        <v>3645.2442159383031</v>
      </c>
      <c r="BG45" s="14">
        <f>'Prices&amp;Fuel'!W45/(1-'Prices&amp;Fuel'!F45)</f>
        <v>1732.6478149100255</v>
      </c>
      <c r="BH45" s="25">
        <f>('Prices&amp;Fuel'!C45+'Prices&amp;Fuel'!D45)/2-0.05+('Prices&amp;Fuel'!M45+'Prices&amp;Fuel'!P45)*(1-'Prices&amp;Fuel'!F45)</f>
        <v>3.2521247500000006</v>
      </c>
      <c r="BI45" s="14">
        <f t="shared" si="58"/>
        <v>4325.9640102827761</v>
      </c>
      <c r="BJ45" s="14"/>
      <c r="BK45" s="25">
        <f>(((BB45+BE45)*('Prices&amp;Fuel'!B45+0.025))+(('Prices&amp;Fuel'!D45+0.025)*(BD45+BG45))+(('Prices&amp;Fuel'!C45+0.025)*(BC45+BF45))-(BI45+BJ45)*0.025)/(BB45+BC45+BD45+BE45+BF45+BG45)</f>
        <v>2.5253645833333338</v>
      </c>
      <c r="BL45" s="14">
        <f>(BB45+BC45+BD45+BE45+BF45+BG45)*BH45*'Prices&amp;Fuel'!H45</f>
        <v>1244000.4185089977</v>
      </c>
      <c r="BM45" s="14">
        <f>'Prices&amp;Fuel'!X45*('Prices&amp;Fuel'!N45+'Prices&amp;Fuel'!O45)*'Prices&amp;Fuel'!H45</f>
        <v>8956.1790000000019</v>
      </c>
      <c r="BN45" s="14">
        <f>('Prices&amp;Fuel'!U45+'Prices&amp;Fuel'!V45+'Prices&amp;Fuel'!W45)*('Prices&amp;Fuel'!L45+'Prices&amp;Fuel'!O45)*'Prices&amp;Fuel'!H45</f>
        <v>93233.430000000008</v>
      </c>
      <c r="BO45" s="14">
        <f>((BB45+BC45+BD45)*(1-'Prices&amp;Fuel'!G45))*('Prices&amp;Fuel'!M45+'Prices&amp;Fuel'!P45)*'Prices&amp;Fuel'!H45</f>
        <v>104216.22470000001</v>
      </c>
      <c r="BP45" s="14">
        <f>((BD45+BC45+BB45+BE45+BF45+BG45)*BK45*'Prices&amp;Fuel'!H45)+BM45+BN45+BO45</f>
        <v>1172406.4763735218</v>
      </c>
      <c r="BQ45" s="6">
        <f t="shared" si="59"/>
        <v>71593.942135475809</v>
      </c>
      <c r="CA45" s="6">
        <f>(AF45+AG45+AH45+AL45)*0.005*'Prices&amp;Fuel'!H45</f>
        <v>21038.560411311057</v>
      </c>
      <c r="CB45" s="6">
        <f>(B45+C45+D45+O45+P45+Q45+X45+Y45+BB45+BC45+BD45+BE45+BF45+BG45+BR45+BS45)*0.005*'Prices&amp;Fuel'!H45</f>
        <v>6113.0964010282787</v>
      </c>
      <c r="CC45" s="1">
        <f t="shared" si="68"/>
        <v>14204135.301645245</v>
      </c>
      <c r="CD45" s="1">
        <f t="shared" si="69"/>
        <v>13669120.640563756</v>
      </c>
      <c r="CE45" s="1">
        <f t="shared" si="70"/>
        <v>535014.66108148918</v>
      </c>
      <c r="CF45" s="1">
        <f>'Index Price Deals'!AR45</f>
        <v>0</v>
      </c>
      <c r="CG45" s="1">
        <f>'Index Price Deals'!AS45</f>
        <v>0</v>
      </c>
      <c r="CH45" s="1">
        <f>'Index Price Deals'!AT45</f>
        <v>0</v>
      </c>
      <c r="CI45" s="1">
        <f>'Index Price Deals'!AU45</f>
        <v>0</v>
      </c>
      <c r="CJ45" s="1">
        <f t="shared" si="65"/>
        <v>14204135.301645245</v>
      </c>
      <c r="CK45" s="1">
        <f t="shared" ref="CK45:CL64" si="74">CD45+CH45</f>
        <v>13669120.640563756</v>
      </c>
      <c r="CL45" s="1">
        <f t="shared" si="74"/>
        <v>535014.66108148918</v>
      </c>
      <c r="CM45" s="30"/>
      <c r="CN45" s="1">
        <f>Transport!U45</f>
        <v>376195.57720000006</v>
      </c>
      <c r="CO45" s="57"/>
      <c r="CQ45" s="1">
        <f>(((($B45+$C45+$D45+$O45+$P45+$Q45)*0.5)+BR45+BS45)*(0.005*'Prices&amp;Fuel'!$H45)+'Index Price Deals'!AV45)+(((BB45+BC45+BD45+BE45+BF45+BG45)*(1-'Prices&amp;Fuel'!F45))*0.005*0.5*'Prices&amp;Fuel'!H45)</f>
        <v>2875.25</v>
      </c>
      <c r="CR45" s="1">
        <f>(((($B45+$C45+$D45+$O45+$P45+$Q45)*0.5)+X45+Y45)*(0.005*'Prices&amp;Fuel'!$H45)+CA45+'Index Price Deals'!AW45)+(((BB45+BC45+BD45+BE45+BF45+BG45)*(1-'Prices&amp;Fuel'!F45))*0.005*0.5*'Prices&amp;Fuel'!H45)</f>
        <v>24223.810411311057</v>
      </c>
      <c r="CS45" s="21">
        <f>'Short Term Firm For Budget'!E45</f>
        <v>132187.41000000003</v>
      </c>
      <c r="CT45" s="1">
        <f>[3]Sheet1!$O57</f>
        <v>27798.572017242986</v>
      </c>
      <c r="CU45" s="1">
        <f>'[4]Long Term Deals'!$Z44</f>
        <v>-34895.062969705476</v>
      </c>
      <c r="CV45" s="60">
        <f t="shared" si="23"/>
        <v>228312.8588945407</v>
      </c>
      <c r="CW45" s="13">
        <f>((B45+C45+D45+O45+P45+Q45+X45+Y45+AF45+AG45+AH45+BB45+BC45+BD45+BE45+BF45+BG45+BR45+BS45)+('Index Price Deals'!B45+'Index Price Deals'!C45+'Index Price Deals'!D45+'Index Price Deals'!L45+'Index Price Deals'!M45+'Index Price Deals'!N45+'Index Price Deals'!AD45+'Index Price Deals'!AE45+'Index Price Deals'!AF45+'Index Price Deals'!AK45+'Index Price Deals'!AL45+'Index Price Deals'!AM45))*'Prices&amp;Fuel'!H45</f>
        <v>5430331.3624678655</v>
      </c>
      <c r="CX45" s="65">
        <f>BQ45/(BB45+BC45+BD45+BE45+BF45+BG45)/'Prices&amp;Fuel'!H45</f>
        <v>0.18716427077083397</v>
      </c>
      <c r="CZ45" s="28">
        <f>(BA45-CT45+CU45)/(AF45+AG45+AH45)/'Prices&amp;Fuel'!H45</f>
        <v>9.9304848478785943E-2</v>
      </c>
      <c r="DB45" s="3">
        <f>(O45+P45+Q45)*'Prices&amp;Fuel'!$H45</f>
        <v>778100</v>
      </c>
      <c r="DC45" s="3">
        <f>(X45+Y45)*'Prices&amp;Fuel'!$H45</f>
        <v>62000</v>
      </c>
      <c r="DE45" s="3">
        <v>132000</v>
      </c>
    </row>
    <row r="46" spans="1:109" x14ac:dyDescent="0.25">
      <c r="A46" s="10">
        <f t="shared" si="57"/>
        <v>36996.083333333234</v>
      </c>
      <c r="O46" s="1">
        <v>9036</v>
      </c>
      <c r="P46" s="1">
        <v>10794</v>
      </c>
      <c r="Q46" s="1">
        <v>5270</v>
      </c>
      <c r="R46" s="11">
        <f t="shared" si="66"/>
        <v>2.2906</v>
      </c>
      <c r="S46" s="11">
        <f t="shared" si="67"/>
        <v>2.2793000000000001</v>
      </c>
      <c r="T46" s="1">
        <f>(($O46*R46)+($P46*R46)+($Q46*R46))*'Prices&amp;Fuel'!$H46</f>
        <v>1724821.7999999998</v>
      </c>
      <c r="U46" s="1">
        <f>(($O46*S46)+($P46*S46)+($Q46*S46))*'Prices&amp;Fuel'!$H46</f>
        <v>1716312.9</v>
      </c>
      <c r="V46" s="13">
        <f t="shared" si="60"/>
        <v>8508.8999999999069</v>
      </c>
      <c r="X46" s="1">
        <f t="shared" si="71"/>
        <v>1000</v>
      </c>
      <c r="Y46" s="1">
        <f t="shared" si="61"/>
        <v>1000</v>
      </c>
      <c r="Z46" s="12">
        <v>2.2000000000000002</v>
      </c>
      <c r="AA46" s="12">
        <v>2.1800000000000002</v>
      </c>
      <c r="AB46" s="1">
        <f>($X46+$Y46)*Z46*'Prices&amp;Fuel'!$H46</f>
        <v>132000</v>
      </c>
      <c r="AC46" s="1">
        <f>($X46+$Y46)*AA46*'Prices&amp;Fuel'!$H46</f>
        <v>130800</v>
      </c>
      <c r="AD46" s="13">
        <f t="shared" si="62"/>
        <v>1200</v>
      </c>
      <c r="AF46" s="1">
        <f>(32000/(1-'Prices&amp;Fuel'!F46))+(25000/(1-'Prices&amp;Fuel'!G46))-AI46</f>
        <v>58611.825192802062</v>
      </c>
      <c r="AG46" s="1">
        <v>0</v>
      </c>
      <c r="AH46" s="1">
        <f>(75000/(1-'Prices&amp;Fuel'!G46))-AK46</f>
        <v>77120.822622107968</v>
      </c>
      <c r="AI46" s="1"/>
      <c r="AJ46" s="1"/>
      <c r="AK46" s="1"/>
      <c r="AL46" s="21">
        <f>ROUND((132000/(1-'Prices&amp;Fuel'!F46))-AF46-AG46-AH46,0)</f>
        <v>0</v>
      </c>
      <c r="AM46" s="1">
        <f t="shared" si="51"/>
        <v>0</v>
      </c>
      <c r="AO46" s="1">
        <f>ROUND((75000/(1-'Prices&amp;Fuel'!G46)-AV46-AK46)/2,0)</f>
        <v>38560</v>
      </c>
      <c r="AP46" s="1">
        <f t="shared" si="63"/>
        <v>58611.825192802062</v>
      </c>
      <c r="AR46" s="1">
        <f t="shared" si="73"/>
        <v>0</v>
      </c>
      <c r="AT46" s="13">
        <f t="shared" si="25"/>
        <v>38560.822622107968</v>
      </c>
      <c r="AU46" s="13">
        <f>AL46*AX46*'Prices&amp;Fuel'!H46</f>
        <v>0</v>
      </c>
      <c r="AW46" s="20">
        <f t="shared" si="72"/>
        <v>0.1</v>
      </c>
      <c r="AX46" s="20">
        <f t="shared" si="54"/>
        <v>2.5000000000000001E-2</v>
      </c>
      <c r="AY46" s="6">
        <f>('Prices&amp;Fuel'!H46*('Prices&amp;Fuel'!B46+AW46)*'Long Term Deals'!AF46)+('Prices&amp;Fuel'!H46*('Prices&amp;Fuel'!C46+'Long Term Deals'!AW46)*'Long Term Deals'!AG46)+(AH46*('Prices&amp;Fuel'!C46+AW46)*'Prices&amp;Fuel'!H46)+(AW46*AL46*'Prices&amp;Fuel'!H46)</f>
        <v>11784678.663239077</v>
      </c>
      <c r="AZ46" s="6">
        <f>(AP46*'Prices&amp;Fuel'!H46*'Prices&amp;Fuel'!B46)+(AQ46*'Prices&amp;Fuel'!C46*'Prices&amp;Fuel'!H46)+((AM46+AR46)*('Prices&amp;Fuel'!B46+'Long Term Deals'!AX46)*'Prices&amp;Fuel'!H46)+((AN46+AS46)*('Prices&amp;Fuel'!C46+'Long Term Deals'!AX46)*'Prices&amp;Fuel'!H46)+((AO46+AT46)*('Prices&amp;Fuel'!D46+'Long Term Deals'!AX46)*'Prices&amp;Fuel'!H46)+(AV46*'Prices&amp;Fuel'!H46*'Prices&amp;Fuel'!Q46)+AU46</f>
        <v>11319640.102827765</v>
      </c>
      <c r="BA46" s="6">
        <f t="shared" si="64"/>
        <v>465038.56041131169</v>
      </c>
      <c r="BB46" s="6">
        <f>IF('FP Corp'!T46-((BE46+BF46+BG46)*(1-'Prices&amp;Fuel'!F46))&lt;'Prices&amp;Fuel'!R46,('FP Corp'!T46-(BE46+BF46+BG46)*(1-'Prices&amp;Fuel'!F46)),'Prices&amp;Fuel'!R46)/(1-'Prices&amp;Fuel'!F46)</f>
        <v>6278.6632390745499</v>
      </c>
      <c r="BC46" s="14"/>
      <c r="BD46" s="14">
        <f>ROUND(IF('FP Corp'!T46/(1-'Prices&amp;Fuel'!F46)-BE46-BF46-BG46-BB46&gt;'Prices&amp;Fuel'!T46,'Prices&amp;Fuel'!T46,'FP Corp'!T46/(1-'Prices&amp;Fuel'!F46)-BE46-BF46-BG46-BB46),9)</f>
        <v>0</v>
      </c>
      <c r="BE46" s="14">
        <f>'Prices&amp;Fuel'!U46/(1-'Prices&amp;Fuel'!F46)</f>
        <v>1933.1619537275064</v>
      </c>
      <c r="BF46" s="14">
        <f>('Prices&amp;Fuel'!V46+'Prices&amp;Fuel'!X46)/(1-'Prices&amp;Fuel'!F46)</f>
        <v>2833.9331619537274</v>
      </c>
      <c r="BG46" s="14">
        <f>'Prices&amp;Fuel'!W46/(1-'Prices&amp;Fuel'!F46)</f>
        <v>1293.5732647814909</v>
      </c>
      <c r="BH46" s="25">
        <f>('Prices&amp;Fuel'!C46+'Prices&amp;Fuel'!D46)/2-0.05+('Prices&amp;Fuel'!M46+'Prices&amp;Fuel'!P46)*(1-'Prices&amp;Fuel'!F46)</f>
        <v>3.5221247500000006</v>
      </c>
      <c r="BI46" s="14">
        <f t="shared" si="58"/>
        <v>6278.6632390745499</v>
      </c>
      <c r="BJ46" s="14"/>
      <c r="BK46" s="25">
        <f>(((BB46+BE46)*('Prices&amp;Fuel'!B46+0.025))+(('Prices&amp;Fuel'!D46+0.025)*(BD46+BG46))+(('Prices&amp;Fuel'!C46+0.025)*(BC46+BF46))-(BI46+BJ46)*0.025)/(BB46+BC46+BD46+BE46+BF46+BG46)</f>
        <v>2.7871075000000003</v>
      </c>
      <c r="BL46" s="14">
        <f>(BB46+BC46+BD46+BE46+BF46+BG46)*BH46*'Prices&amp;Fuel'!H46</f>
        <v>1303819.9588688947</v>
      </c>
      <c r="BM46" s="14">
        <f>'Prices&amp;Fuel'!X46*('Prices&amp;Fuel'!N46+'Prices&amp;Fuel'!O46)*'Prices&amp;Fuel'!H46</f>
        <v>8667.2700000000023</v>
      </c>
      <c r="BN46" s="14">
        <f>('Prices&amp;Fuel'!U46+'Prices&amp;Fuel'!V46+'Prices&amp;Fuel'!W46)*('Prices&amp;Fuel'!L46+'Prices&amp;Fuel'!O46)*'Prices&amp;Fuel'!H46</f>
        <v>66127.590000000011</v>
      </c>
      <c r="BO46" s="14">
        <f>((BB46+BC46+BD46)*(1-'Prices&amp;Fuel'!G46))*('Prices&amp;Fuel'!M46+'Prices&amp;Fuel'!P46)*'Prices&amp;Fuel'!H46</f>
        <v>146379.13800000001</v>
      </c>
      <c r="BP46" s="14">
        <f>((BD46+BC46+BB46+BE46+BF46+BG46)*BK46*'Prices&amp;Fuel'!H46)+BM46+BN46+BO46</f>
        <v>1252905.3090539849</v>
      </c>
      <c r="BQ46" s="6">
        <f t="shared" si="59"/>
        <v>50914.64981490979</v>
      </c>
      <c r="CA46" s="6">
        <f>(AF46+AG46+AH46+AL46)*0.005*'Prices&amp;Fuel'!H46</f>
        <v>20359.897172236506</v>
      </c>
      <c r="CB46" s="6">
        <f>(B46+C46+D46+O46+P46+Q46+X46+Y46+BB46+BC46+BD46+BE46+BF46+BG46+BR46+BS46)*0.005*'Prices&amp;Fuel'!H46</f>
        <v>5915.89974293059</v>
      </c>
      <c r="CC46" s="1">
        <f t="shared" si="68"/>
        <v>14945320.422107972</v>
      </c>
      <c r="CD46" s="1">
        <f t="shared" si="69"/>
        <v>14445934.108796919</v>
      </c>
      <c r="CE46" s="1">
        <f t="shared" si="70"/>
        <v>499386.31331105344</v>
      </c>
      <c r="CF46" s="1">
        <f>'Index Price Deals'!AR46</f>
        <v>0</v>
      </c>
      <c r="CG46" s="1">
        <f>'Index Price Deals'!AS46</f>
        <v>0</v>
      </c>
      <c r="CH46" s="1">
        <f>'Index Price Deals'!AT46</f>
        <v>0</v>
      </c>
      <c r="CI46" s="1">
        <f>'Index Price Deals'!AU46</f>
        <v>0</v>
      </c>
      <c r="CJ46" s="1">
        <f t="shared" si="65"/>
        <v>14945320.422107972</v>
      </c>
      <c r="CK46" s="1">
        <f t="shared" si="74"/>
        <v>14445934.108796919</v>
      </c>
      <c r="CL46" s="1">
        <f t="shared" si="74"/>
        <v>499386.31331105344</v>
      </c>
      <c r="CM46" s="30"/>
      <c r="CN46" s="1">
        <f>Transport!U46</f>
        <v>550804.48800000001</v>
      </c>
      <c r="CO46" s="57"/>
      <c r="CQ46" s="1">
        <f>(((($B46+$C46+$D46+$O46+$P46+$Q46)*0.5)+BR46+BS46)*(0.005*'Prices&amp;Fuel'!$H46)+'Index Price Deals'!AV46)+(((BB46+BC46+BD46+BE46+BF46+BG46)*(1-'Prices&amp;Fuel'!F46))*0.005*0.5*'Prices&amp;Fuel'!H46)</f>
        <v>2782.5</v>
      </c>
      <c r="CR46" s="1">
        <f>(((($B46+$C46+$D46+$O46+$P46+$Q46)*0.5)+X46+Y46)*(0.005*'Prices&amp;Fuel'!$H46)+CA46+'Index Price Deals'!AW46)+(((BB46+BC46+BD46+BE46+BF46+BG46)*(1-'Prices&amp;Fuel'!F46))*0.005*0.5*'Prices&amp;Fuel'!H46)</f>
        <v>23442.397172236506</v>
      </c>
      <c r="CS46" s="21">
        <f>'Short Term Firm For Budget'!E46</f>
        <v>193541.4</v>
      </c>
      <c r="CT46" s="1">
        <f>[3]Sheet1!$O58</f>
        <v>26901.843887654482</v>
      </c>
      <c r="CU46" s="1">
        <f>'[4]Long Term Deals'!$Z45</f>
        <v>-33769.415777134331</v>
      </c>
      <c r="CV46" s="60">
        <f t="shared" si="23"/>
        <v>81451.965646264609</v>
      </c>
      <c r="CW46" s="13">
        <f>((B46+C46+D46+O46+P46+Q46+X46+Y46+AF46+AG46+AH46+BB46+BC46+BD46+BE46+BF46+BG46+BR46+BS46)+('Index Price Deals'!B46+'Index Price Deals'!C46+'Index Price Deals'!D46+'Index Price Deals'!L46+'Index Price Deals'!M46+'Index Price Deals'!N46+'Index Price Deals'!AD46+'Index Price Deals'!AE46+'Index Price Deals'!AF46+'Index Price Deals'!AK46+'Index Price Deals'!AL46+'Index Price Deals'!AM46))*'Prices&amp;Fuel'!H46</f>
        <v>5255159.38303342</v>
      </c>
      <c r="CX46" s="65">
        <f>BQ46/(BB46+BC46+BD46+BE46+BF46+BG46)/'Prices&amp;Fuel'!H46</f>
        <v>0.13754026929166602</v>
      </c>
      <c r="CZ46" s="28">
        <f>(BA46-CT46+CU46)/(AF46+AG46+AH46)/'Prices&amp;Fuel'!H46</f>
        <v>9.9304848478786206E-2</v>
      </c>
      <c r="DB46" s="3">
        <f>(O46+P46+Q46)*'Prices&amp;Fuel'!$H46</f>
        <v>753000</v>
      </c>
      <c r="DC46" s="3">
        <f>(X46+Y46)*'Prices&amp;Fuel'!$H46</f>
        <v>60000</v>
      </c>
      <c r="DE46" s="3">
        <v>132000</v>
      </c>
    </row>
    <row r="47" spans="1:109" x14ac:dyDescent="0.25">
      <c r="A47" s="10">
        <f t="shared" si="57"/>
        <v>37026.499999999898</v>
      </c>
      <c r="O47" s="1">
        <v>9036</v>
      </c>
      <c r="P47" s="1">
        <v>10794</v>
      </c>
      <c r="Q47" s="1">
        <v>5270</v>
      </c>
      <c r="R47" s="11">
        <f t="shared" si="66"/>
        <v>2.2906</v>
      </c>
      <c r="S47" s="11">
        <f t="shared" si="67"/>
        <v>2.2793000000000001</v>
      </c>
      <c r="T47" s="1">
        <f>(($O47*R47)+($P47*R47)+($Q47*R47))*'Prices&amp;Fuel'!$H47</f>
        <v>1782315.8599999999</v>
      </c>
      <c r="U47" s="1">
        <f>(($O47*S47)+($P47*S47)+($Q47*S47))*'Prices&amp;Fuel'!$H47</f>
        <v>1773523.33</v>
      </c>
      <c r="V47" s="13">
        <f t="shared" si="60"/>
        <v>8792.5299999997951</v>
      </c>
      <c r="X47" s="1">
        <f t="shared" si="71"/>
        <v>1000</v>
      </c>
      <c r="Y47" s="1">
        <f t="shared" si="61"/>
        <v>1000</v>
      </c>
      <c r="Z47" s="12">
        <v>2.2000000000000002</v>
      </c>
      <c r="AA47" s="12">
        <v>2.1800000000000002</v>
      </c>
      <c r="AB47" s="1">
        <f>($X47+$Y47)*Z47*'Prices&amp;Fuel'!$H47</f>
        <v>136400</v>
      </c>
      <c r="AC47" s="1">
        <f>($X47+$Y47)*AA47*'Prices&amp;Fuel'!$H47</f>
        <v>135160</v>
      </c>
      <c r="AD47" s="13">
        <f t="shared" si="62"/>
        <v>1240</v>
      </c>
      <c r="AF47" s="1">
        <f>((126000)/(1-'Prices&amp;Fuel'!F47))+(25000/(1-'Prices&amp;Fuel'!G47))-AI47</f>
        <v>155269.92287917738</v>
      </c>
      <c r="AG47" s="1">
        <v>0</v>
      </c>
      <c r="AH47" s="1">
        <f>(75000/(1-'Prices&amp;Fuel'!G47))-AK47</f>
        <v>77120.822622107968</v>
      </c>
      <c r="AI47" s="1"/>
      <c r="AJ47" s="1"/>
      <c r="AK47" s="1"/>
      <c r="AL47" s="21">
        <f>ROUND((226000/(1-'Prices&amp;Fuel'!F47))-AF47-AG47-AH47,0)</f>
        <v>0</v>
      </c>
      <c r="AM47" s="1">
        <f t="shared" si="51"/>
        <v>37635</v>
      </c>
      <c r="AO47" s="1">
        <f>ROUND((75000/(1-'Prices&amp;Fuel'!G47)-AV47-AK47)/2,0)</f>
        <v>38560</v>
      </c>
      <c r="AP47" s="1">
        <f t="shared" si="63"/>
        <v>80000</v>
      </c>
      <c r="AR47" s="1">
        <f t="shared" si="73"/>
        <v>37634.922879177378</v>
      </c>
      <c r="AT47" s="13">
        <f t="shared" si="25"/>
        <v>38560.822622107968</v>
      </c>
      <c r="AU47" s="13">
        <f>AL47*AX47*'Prices&amp;Fuel'!H47</f>
        <v>0</v>
      </c>
      <c r="AW47" s="20">
        <f t="shared" si="72"/>
        <v>0.1</v>
      </c>
      <c r="AX47" s="20">
        <f t="shared" si="54"/>
        <v>2.5000000000000001E-2</v>
      </c>
      <c r="AY47" s="6">
        <f>('Prices&amp;Fuel'!H47*('Prices&amp;Fuel'!B47+AW47)*'Long Term Deals'!AF47)+('Prices&amp;Fuel'!H47*('Prices&amp;Fuel'!C47+'Long Term Deals'!AW47)*'Long Term Deals'!AG47)+(AH47*('Prices&amp;Fuel'!C47+AW47)*'Prices&amp;Fuel'!H47)+(AW47*AL47*'Prices&amp;Fuel'!H47)</f>
        <v>22115989.717223652</v>
      </c>
      <c r="AZ47" s="6">
        <f>(AP47*'Prices&amp;Fuel'!H47*'Prices&amp;Fuel'!B47)+(AQ47*'Prices&amp;Fuel'!C47*'Prices&amp;Fuel'!H47)+((AM47+AR47)*('Prices&amp;Fuel'!B47+'Long Term Deals'!AX47)*'Prices&amp;Fuel'!H47)+((AN47+AS47)*('Prices&amp;Fuel'!C47+'Long Term Deals'!AX47)*'Prices&amp;Fuel'!H47)+((AO47+AT47)*('Prices&amp;Fuel'!D47+'Long Term Deals'!AX47)*'Prices&amp;Fuel'!H47)+(AV47*'Prices&amp;Fuel'!H47*'Prices&amp;Fuel'!Q47)+AU47</f>
        <v>21394143.958868895</v>
      </c>
      <c r="BA47" s="6">
        <f t="shared" si="64"/>
        <v>721845.75835475698</v>
      </c>
      <c r="BB47" s="6">
        <f>IF('FP Corp'!T47-((BE47+BF47+BG47)*(1-'Prices&amp;Fuel'!F47))&lt;'Prices&amp;Fuel'!R47,('FP Corp'!T47-(BE47+BF47+BG47)*(1-'Prices&amp;Fuel'!F47)),'Prices&amp;Fuel'!R47)/(1-'Prices&amp;Fuel'!F47)</f>
        <v>8976.8637532133671</v>
      </c>
      <c r="BC47" s="14"/>
      <c r="BD47" s="14">
        <f>ROUND(IF('FP Corp'!T47/(1-'Prices&amp;Fuel'!F47)-BE47-BF47-BG47-BB47&gt;'Prices&amp;Fuel'!T47,'Prices&amp;Fuel'!T47,'FP Corp'!T47/(1-'Prices&amp;Fuel'!F47)-BE47-BF47-BG47-BB47),9)</f>
        <v>6556.2982005140002</v>
      </c>
      <c r="BE47" s="14">
        <f>'Prices&amp;Fuel'!U47/(1-'Prices&amp;Fuel'!F47)</f>
        <v>1933.1619537275064</v>
      </c>
      <c r="BF47" s="14">
        <f>('Prices&amp;Fuel'!V47+'Prices&amp;Fuel'!X47)/(1-'Prices&amp;Fuel'!F47)</f>
        <v>3062.2107969151671</v>
      </c>
      <c r="BG47" s="14">
        <f>'Prices&amp;Fuel'!W47/(1-'Prices&amp;Fuel'!F47)</f>
        <v>1065.2956298200513</v>
      </c>
      <c r="BH47" s="25">
        <f>('Prices&amp;Fuel'!C47+'Prices&amp;Fuel'!D47)/2-0.05+('Prices&amp;Fuel'!M47+'Prices&amp;Fuel'!P47)*(1-'Prices&amp;Fuel'!F47)</f>
        <v>3.6839222500000006</v>
      </c>
      <c r="BI47" s="14">
        <f t="shared" si="58"/>
        <v>0</v>
      </c>
      <c r="BJ47" s="14"/>
      <c r="BK47" s="25">
        <f>(((BB47+BE47)*('Prices&amp;Fuel'!B47+0.025))+(('Prices&amp;Fuel'!D47+0.025)*(BD47+BG47))+(('Prices&amp;Fuel'!C47+0.025)*(BC47+BF47))-(BI47+BJ47)*0.025)/(BB47+BC47+BD47+BE47+BF47+BG47)</f>
        <v>2.9870380952380957</v>
      </c>
      <c r="BL47" s="14">
        <f>(BB47+BC47+BD47+BE47+BF47+BG47)*BH47*'Prices&amp;Fuel'!H47</f>
        <v>2466049.7529562823</v>
      </c>
      <c r="BM47" s="14">
        <f>'Prices&amp;Fuel'!X47*('Prices&amp;Fuel'!N47+'Prices&amp;Fuel'!O47)*'Prices&amp;Fuel'!H47</f>
        <v>8956.1790000000019</v>
      </c>
      <c r="BN47" s="14">
        <f>('Prices&amp;Fuel'!U47+'Prices&amp;Fuel'!V47+'Prices&amp;Fuel'!W47)*('Prices&amp;Fuel'!L47+'Prices&amp;Fuel'!O47)*'Prices&amp;Fuel'!H47</f>
        <v>68331.843000000008</v>
      </c>
      <c r="BO47" s="14">
        <f>((BB47+BC47+BD47)*(1-'Prices&amp;Fuel'!G47))*('Prices&amp;Fuel'!M47+'Prices&amp;Fuel'!P47)*'Prices&amp;Fuel'!H47</f>
        <v>360627.04859999678</v>
      </c>
      <c r="BP47" s="14">
        <f>((BD47+BC47+BB47+BE47+BF47+BG47)*BK47*'Prices&amp;Fuel'!H47)+BM47+BN47+BO47</f>
        <v>2437464.4793403437</v>
      </c>
      <c r="BQ47" s="6">
        <f t="shared" si="59"/>
        <v>28585.273615938611</v>
      </c>
      <c r="CA47" s="6">
        <f>(AF47+AG47+AH47+AL47)*0.005*'Prices&amp;Fuel'!H47</f>
        <v>36020.565552699227</v>
      </c>
      <c r="CB47" s="6">
        <f>(B47+C47+D47+O47+P47+Q47+X47+Y47+BB47+BC47+BD47+BE47+BF47+BG47+BR47+BS47)*0.005*'Prices&amp;Fuel'!H47</f>
        <v>7547.5437017994636</v>
      </c>
      <c r="CC47" s="1">
        <f t="shared" si="68"/>
        <v>26500755.330179933</v>
      </c>
      <c r="CD47" s="1">
        <f t="shared" si="69"/>
        <v>25783859.877463739</v>
      </c>
      <c r="CE47" s="1">
        <f t="shared" si="70"/>
        <v>716895.45271619409</v>
      </c>
      <c r="CF47" s="1">
        <f>'Index Price Deals'!AR47</f>
        <v>0</v>
      </c>
      <c r="CG47" s="1">
        <f>'Index Price Deals'!AS47</f>
        <v>0</v>
      </c>
      <c r="CH47" s="1">
        <f>'Index Price Deals'!AT47</f>
        <v>0</v>
      </c>
      <c r="CI47" s="1">
        <f>'Index Price Deals'!AU47</f>
        <v>0</v>
      </c>
      <c r="CJ47" s="1">
        <f t="shared" si="65"/>
        <v>26500755.330179933</v>
      </c>
      <c r="CK47" s="1">
        <f t="shared" si="74"/>
        <v>25783859.877463739</v>
      </c>
      <c r="CL47" s="1">
        <f t="shared" si="74"/>
        <v>716895.45271619409</v>
      </c>
      <c r="CM47" s="30"/>
      <c r="CN47" s="1">
        <f>Transport!U47</f>
        <v>3.1687275622971359E-9</v>
      </c>
      <c r="CO47" s="57"/>
      <c r="CQ47" s="1">
        <f>(((($B47+$C47+$D47+$O47+$P47+$Q47)*0.5)+BR47+BS47)*(0.005*'Prices&amp;Fuel'!$H47)+'Index Price Deals'!AV47)+(((BB47+BC47+BD47+BE47+BF47+BG47)*(1-'Prices&amp;Fuel'!F47))*0.005*0.5*'Prices&amp;Fuel'!H47)</f>
        <v>3572.7499999999895</v>
      </c>
      <c r="CR47" s="1">
        <f>(((($B47+$C47+$D47+$O47+$P47+$Q47)*0.5)+X47+Y47)*(0.005*'Prices&amp;Fuel'!$H47)+CA47+'Index Price Deals'!AW47)+(((BB47+BC47+BD47+BE47+BF47+BG47)*(1-'Prices&amp;Fuel'!F47))*0.005*0.5*'Prices&amp;Fuel'!H47)</f>
        <v>39903.31555269922</v>
      </c>
      <c r="CS47" s="21">
        <f>'Short Term Firm For Budget'!E47</f>
        <v>0</v>
      </c>
      <c r="CT47" s="1">
        <f>[3]Sheet1!$O59</f>
        <v>47594.524817400845</v>
      </c>
      <c r="CU47" s="1">
        <f>'[4]Long Term Deals'!$Z46</f>
        <v>-43972.901883593106</v>
      </c>
      <c r="CV47" s="60">
        <f t="shared" si="23"/>
        <v>625328.02601519704</v>
      </c>
      <c r="CW47" s="13">
        <f>((B47+C47+D47+O47+P47+Q47+X47+Y47+AF47+AG47+AH47+BB47+BC47+BD47+BE47+BF47+BG47+BR47+BS47)+('Index Price Deals'!B47+'Index Price Deals'!C47+'Index Price Deals'!D47+'Index Price Deals'!L47+'Index Price Deals'!M47+'Index Price Deals'!N47+'Index Price Deals'!AD47+'Index Price Deals'!AE47+'Index Price Deals'!AF47+'Index Price Deals'!AK47+'Index Price Deals'!AL47+'Index Price Deals'!AM47))*'Prices&amp;Fuel'!H47</f>
        <v>8713621.8508997373</v>
      </c>
      <c r="CX47" s="65">
        <f>BQ47/(BB47+BC47+BD47+BE47+BF47+BG47)/'Prices&amp;Fuel'!H47</f>
        <v>4.2702271261905497E-2</v>
      </c>
      <c r="CZ47" s="28">
        <f>(BA47-CT47+CU47)/(AF47+AG47+AH47)/'Prices&amp;Fuel'!H47</f>
        <v>8.7488677923677496E-2</v>
      </c>
      <c r="DB47" s="3">
        <f>(O47+P47+Q47)*'Prices&amp;Fuel'!$H47</f>
        <v>778100</v>
      </c>
      <c r="DC47" s="3">
        <f>(X47+Y47)*'Prices&amp;Fuel'!$H47</f>
        <v>62000</v>
      </c>
      <c r="DE47" s="3">
        <v>226000</v>
      </c>
    </row>
    <row r="48" spans="1:109" x14ac:dyDescent="0.25">
      <c r="A48" s="10">
        <f t="shared" si="57"/>
        <v>37056.916666666562</v>
      </c>
      <c r="O48" s="1">
        <v>9036</v>
      </c>
      <c r="P48" s="1">
        <v>10794</v>
      </c>
      <c r="Q48" s="1">
        <v>5270</v>
      </c>
      <c r="R48" s="11">
        <f t="shared" si="66"/>
        <v>2.2906</v>
      </c>
      <c r="S48" s="11">
        <f t="shared" si="67"/>
        <v>2.2793000000000001</v>
      </c>
      <c r="T48" s="1">
        <f>(($O48*R48)+($P48*R48)+($Q48*R48))*'Prices&amp;Fuel'!$H48</f>
        <v>1724821.7999999998</v>
      </c>
      <c r="U48" s="1">
        <f>(($O48*S48)+($P48*S48)+($Q48*S48))*'Prices&amp;Fuel'!$H48</f>
        <v>1716312.9</v>
      </c>
      <c r="V48" s="13">
        <f t="shared" si="60"/>
        <v>8508.8999999999069</v>
      </c>
      <c r="X48" s="1">
        <f t="shared" si="71"/>
        <v>1000</v>
      </c>
      <c r="Y48" s="1">
        <f t="shared" si="61"/>
        <v>1000</v>
      </c>
      <c r="Z48" s="12">
        <v>2.2000000000000002</v>
      </c>
      <c r="AA48" s="12">
        <v>2.1800000000000002</v>
      </c>
      <c r="AB48" s="1">
        <f>($X48+$Y48)*Z48*'Prices&amp;Fuel'!$H48</f>
        <v>132000</v>
      </c>
      <c r="AC48" s="1">
        <f>($X48+$Y48)*AA48*'Prices&amp;Fuel'!$H48</f>
        <v>130800</v>
      </c>
      <c r="AD48" s="13">
        <f t="shared" si="62"/>
        <v>1200</v>
      </c>
      <c r="AF48" s="1">
        <f>((126000)/(1-'Prices&amp;Fuel'!F48))+(25000/(1-'Prices&amp;Fuel'!G48))-AI48</f>
        <v>155269.92287917738</v>
      </c>
      <c r="AG48" s="1">
        <v>0</v>
      </c>
      <c r="AH48" s="1">
        <f>(75000/(1-'Prices&amp;Fuel'!G48))-AK48</f>
        <v>77120.822622107968</v>
      </c>
      <c r="AI48" s="1"/>
      <c r="AJ48" s="1"/>
      <c r="AK48" s="1"/>
      <c r="AL48" s="21">
        <f>ROUND((226000/(1-'Prices&amp;Fuel'!F48))-AF48-AG48-AH48,0)</f>
        <v>0</v>
      </c>
      <c r="AM48" s="1">
        <f t="shared" si="51"/>
        <v>37635</v>
      </c>
      <c r="AO48" s="1">
        <f>ROUND((75000/(1-'Prices&amp;Fuel'!G48)-AV48-AK48)/2,0)</f>
        <v>38560</v>
      </c>
      <c r="AP48" s="1">
        <f t="shared" si="63"/>
        <v>80000</v>
      </c>
      <c r="AR48" s="1">
        <f t="shared" si="73"/>
        <v>37634.922879177378</v>
      </c>
      <c r="AT48" s="13">
        <f t="shared" si="25"/>
        <v>38560.822622107968</v>
      </c>
      <c r="AU48" s="13">
        <f>AL48*AX48*'Prices&amp;Fuel'!H48</f>
        <v>0</v>
      </c>
      <c r="AW48" s="20">
        <f t="shared" si="72"/>
        <v>0.1</v>
      </c>
      <c r="AX48" s="20">
        <f t="shared" si="54"/>
        <v>2.5000000000000001E-2</v>
      </c>
      <c r="AY48" s="6">
        <f>('Prices&amp;Fuel'!H48*('Prices&amp;Fuel'!B48+AW48)*'Long Term Deals'!AF48)+('Prices&amp;Fuel'!H48*('Prices&amp;Fuel'!C48+'Long Term Deals'!AW48)*'Long Term Deals'!AG48)+(AH48*('Prices&amp;Fuel'!C48+AW48)*'Prices&amp;Fuel'!H48)+(AW48*AL48*'Prices&amp;Fuel'!H48)</f>
        <v>30535526.992287911</v>
      </c>
      <c r="AZ48" s="6">
        <f>(AP48*'Prices&amp;Fuel'!H48*'Prices&amp;Fuel'!B48)+(AQ48*'Prices&amp;Fuel'!C48*'Prices&amp;Fuel'!H48)+((AM48+AR48)*('Prices&amp;Fuel'!B48+'Long Term Deals'!AX48)*'Prices&amp;Fuel'!H48)+((AN48+AS48)*('Prices&amp;Fuel'!C48+'Long Term Deals'!AX48)*'Prices&amp;Fuel'!H48)+((AO48+AT48)*('Prices&amp;Fuel'!D48+'Long Term Deals'!AX48)*'Prices&amp;Fuel'!H48)+(AV48*'Prices&amp;Fuel'!H48*'Prices&amp;Fuel'!Q48)+AU48</f>
        <v>29836966.580976862</v>
      </c>
      <c r="BA48" s="6">
        <f t="shared" si="64"/>
        <v>698560.41131104901</v>
      </c>
      <c r="BB48" s="6">
        <f>IF('FP Corp'!T48-((BE48+BF48+BG48)*(1-'Prices&amp;Fuel'!F48))&lt;'Prices&amp;Fuel'!R48,('FP Corp'!T48-(BE48+BF48+BG48)*(1-'Prices&amp;Fuel'!F48)),'Prices&amp;Fuel'!R48)/(1-'Prices&amp;Fuel'!F48)</f>
        <v>8976.8637532133671</v>
      </c>
      <c r="BC48" s="14"/>
      <c r="BD48" s="14">
        <f>ROUND(IF('FP Corp'!T48/(1-'Prices&amp;Fuel'!F48)-BE48-BF48-BG48-BB48&gt;'Prices&amp;Fuel'!T48,'Prices&amp;Fuel'!T48,'FP Corp'!T48/(1-'Prices&amp;Fuel'!F48)-BE48-BF48-BG48-BB48),9)</f>
        <v>6556.2982005140002</v>
      </c>
      <c r="BE48" s="14">
        <f>'Prices&amp;Fuel'!U48/(1-'Prices&amp;Fuel'!F48)</f>
        <v>1933.1619537275064</v>
      </c>
      <c r="BF48" s="14">
        <f>('Prices&amp;Fuel'!V48+'Prices&amp;Fuel'!X48)/(1-'Prices&amp;Fuel'!F48)</f>
        <v>3062.2107969151671</v>
      </c>
      <c r="BG48" s="14">
        <f>'Prices&amp;Fuel'!W48/(1-'Prices&amp;Fuel'!F48)</f>
        <v>1065.2956298200513</v>
      </c>
      <c r="BH48" s="25">
        <f>('Prices&amp;Fuel'!C48+'Prices&amp;Fuel'!D48)/2-0.05+('Prices&amp;Fuel'!M48+'Prices&amp;Fuel'!P48)*(1-'Prices&amp;Fuel'!F48)</f>
        <v>4.9939222499999998</v>
      </c>
      <c r="BI48" s="14">
        <f t="shared" si="58"/>
        <v>0</v>
      </c>
      <c r="BJ48" s="14"/>
      <c r="BK48" s="25">
        <f>(((BB48+BE48)*('Prices&amp;Fuel'!B48+0.025))+(('Prices&amp;Fuel'!D48+0.025)*(BD48+BG48))+(('Prices&amp;Fuel'!C48+0.025)*(BC48+BF48))-(BI48+BJ48)*0.025)/(BB48+BC48+BD48+BE48+BF48+BG48)</f>
        <v>4.2970380952380962</v>
      </c>
      <c r="BL48" s="14">
        <f>(BB48+BC48+BD48+BE48+BF48+BG48)*BH48*'Prices&amp;Fuel'!H48</f>
        <v>3235137.2930591046</v>
      </c>
      <c r="BM48" s="14">
        <f>'Prices&amp;Fuel'!X48*('Prices&amp;Fuel'!N48+'Prices&amp;Fuel'!O48)*'Prices&amp;Fuel'!H48</f>
        <v>8667.2700000000023</v>
      </c>
      <c r="BN48" s="14">
        <f>('Prices&amp;Fuel'!U48+'Prices&amp;Fuel'!V48+'Prices&amp;Fuel'!W48)*('Prices&amp;Fuel'!L48+'Prices&amp;Fuel'!O48)*'Prices&amp;Fuel'!H48</f>
        <v>66127.590000000011</v>
      </c>
      <c r="BO48" s="14">
        <f>((BB48+BC48+BD48)*(1-'Prices&amp;Fuel'!G48))*('Prices&amp;Fuel'!M48+'Prices&amp;Fuel'!P48)*'Prices&amp;Fuel'!H48</f>
        <v>348993.91799999692</v>
      </c>
      <c r="BP48" s="14">
        <f>((BD48+BC48+BB48+BE48+BF48+BG48)*BK48*'Prices&amp;Fuel'!H48)+BM48+BN48+BO48</f>
        <v>3207474.1250436809</v>
      </c>
      <c r="BQ48" s="6">
        <f t="shared" si="59"/>
        <v>27663.168015423696</v>
      </c>
      <c r="CA48" s="6">
        <f>(AF48+AG48+AH48+AL48)*0.005*'Prices&amp;Fuel'!H48</f>
        <v>34858.611825192798</v>
      </c>
      <c r="CB48" s="6">
        <f>(B48+C48+D48+O48+P48+Q48+X48+Y48+BB48+BC48+BD48+BE48+BF48+BG48+BR48+BS48)*0.005*'Prices&amp;Fuel'!H48</f>
        <v>7304.0745501285137</v>
      </c>
      <c r="CC48" s="1">
        <f t="shared" si="68"/>
        <v>35627486.085347019</v>
      </c>
      <c r="CD48" s="1">
        <f t="shared" si="69"/>
        <v>34933716.29239586</v>
      </c>
      <c r="CE48" s="1">
        <f t="shared" si="70"/>
        <v>693769.79295115918</v>
      </c>
      <c r="CF48" s="1">
        <f>'Index Price Deals'!AR48</f>
        <v>0</v>
      </c>
      <c r="CG48" s="1">
        <f>'Index Price Deals'!AS48</f>
        <v>0</v>
      </c>
      <c r="CH48" s="1">
        <f>'Index Price Deals'!AT48</f>
        <v>0</v>
      </c>
      <c r="CI48" s="1">
        <f>'Index Price Deals'!AU48</f>
        <v>0</v>
      </c>
      <c r="CJ48" s="1">
        <f t="shared" si="65"/>
        <v>35627486.085347019</v>
      </c>
      <c r="CK48" s="1">
        <f t="shared" si="74"/>
        <v>34933716.29239586</v>
      </c>
      <c r="CL48" s="1">
        <f t="shared" si="74"/>
        <v>693769.79295115918</v>
      </c>
      <c r="CM48" s="30"/>
      <c r="CN48" s="1">
        <f>Transport!U48</f>
        <v>3.0665105441585185E-9</v>
      </c>
      <c r="CO48" s="57"/>
      <c r="CQ48" s="1">
        <f>(((($B48+$C48+$D48+$O48+$P48+$Q48)*0.5)+BR48+BS48)*(0.005*'Prices&amp;Fuel'!$H48)+'Index Price Deals'!AV48)+(((BB48+BC48+BD48+BE48+BF48+BG48)*(1-'Prices&amp;Fuel'!F48))*0.005*0.5*'Prices&amp;Fuel'!H48)</f>
        <v>3457.49999999999</v>
      </c>
      <c r="CR48" s="1">
        <f>(((($B48+$C48+$D48+$O48+$P48+$Q48)*0.5)+X48+Y48)*(0.005*'Prices&amp;Fuel'!$H48)+CA48+'Index Price Deals'!AW48)+(((BB48+BC48+BD48+BE48+BF48+BG48)*(1-'Prices&amp;Fuel'!F48))*0.005*0.5*'Prices&amp;Fuel'!H48)</f>
        <v>38616.111825192791</v>
      </c>
      <c r="CS48" s="21"/>
      <c r="CT48" s="1">
        <f>[3]Sheet1!$O60</f>
        <v>46059.217565226601</v>
      </c>
      <c r="CU48" s="1">
        <f>'[4]Long Term Deals'!$Z47</f>
        <v>-42554.421177670738</v>
      </c>
      <c r="CV48" s="60">
        <f t="shared" si="23"/>
        <v>605156.15420825884</v>
      </c>
      <c r="CW48" s="13">
        <f>((B48+C48+D48+O48+P48+Q48+X48+Y48+AF48+AG48+AH48+BB48+BC48+BD48+BE48+BF48+BG48+BR48+BS48)+('Index Price Deals'!B48+'Index Price Deals'!C48+'Index Price Deals'!D48+'Index Price Deals'!L48+'Index Price Deals'!M48+'Index Price Deals'!N48+'Index Price Deals'!AD48+'Index Price Deals'!AE48+'Index Price Deals'!AF48+'Index Price Deals'!AK48+'Index Price Deals'!AL48+'Index Price Deals'!AM48))*'Prices&amp;Fuel'!H48</f>
        <v>8432537.2750642616</v>
      </c>
      <c r="CX48" s="65">
        <f>BQ48/(BB48+BC48+BD48+BE48+BF48+BG48)/'Prices&amp;Fuel'!H48</f>
        <v>4.2702271261904318E-2</v>
      </c>
      <c r="CZ48" s="28">
        <f>(BA48-CT48+CU48)/(AF48+AG48+AH48)/'Prices&amp;Fuel'!H48</f>
        <v>8.7488677923676622E-2</v>
      </c>
      <c r="DB48" s="3">
        <f>(O48+P48+Q48)*'Prices&amp;Fuel'!$H48</f>
        <v>753000</v>
      </c>
      <c r="DC48" s="3">
        <f>(X48+Y48)*'Prices&amp;Fuel'!$H48</f>
        <v>60000</v>
      </c>
      <c r="DE48" s="3">
        <v>226000</v>
      </c>
    </row>
    <row r="49" spans="1:109" x14ac:dyDescent="0.25">
      <c r="A49" s="10">
        <f t="shared" ref="A49:A64" si="75">+A48+365/12</f>
        <v>37087.333333333227</v>
      </c>
      <c r="O49" s="1">
        <v>9036</v>
      </c>
      <c r="P49" s="1">
        <v>10794</v>
      </c>
      <c r="Q49" s="1">
        <v>5270</v>
      </c>
      <c r="R49" s="11">
        <f>ROUND(2.034*1.02*1.02*1.02*1.02*1.02*1.02*1.02,4)</f>
        <v>2.3363999999999998</v>
      </c>
      <c r="S49" s="11">
        <f>R49-ROUND(0.01*1.02*1.02*1.02*1.02*1.02*1.02*1.02,4)</f>
        <v>2.3249</v>
      </c>
      <c r="T49" s="1">
        <f>(($O49*R49)+($P49*R49)+($Q49*R49))*'Prices&amp;Fuel'!$H49</f>
        <v>1817952.84</v>
      </c>
      <c r="U49" s="1">
        <f>(($O49*S49)+($P49*S49)+($Q49*S49))*'Prices&amp;Fuel'!$H49</f>
        <v>1809004.69</v>
      </c>
      <c r="V49" s="13">
        <f t="shared" si="60"/>
        <v>8948.1500000001397</v>
      </c>
      <c r="X49" s="1">
        <f t="shared" si="71"/>
        <v>1000</v>
      </c>
      <c r="Y49" s="1">
        <f t="shared" si="61"/>
        <v>1000</v>
      </c>
      <c r="Z49" s="12">
        <v>2.2000000000000002</v>
      </c>
      <c r="AA49" s="12">
        <v>2.1800000000000002</v>
      </c>
      <c r="AB49" s="1">
        <f>($X49+$Y49)*Z49*'Prices&amp;Fuel'!$H49</f>
        <v>136400</v>
      </c>
      <c r="AC49" s="1">
        <f>($X49+$Y49)*AA49*'Prices&amp;Fuel'!$H49</f>
        <v>135160</v>
      </c>
      <c r="AD49" s="13">
        <f t="shared" si="62"/>
        <v>1240</v>
      </c>
      <c r="AF49" s="1">
        <f>((126000)/(1-'Prices&amp;Fuel'!F49))+(25000/(1-'Prices&amp;Fuel'!G49))-AI49</f>
        <v>155269.92287917738</v>
      </c>
      <c r="AG49" s="1">
        <v>0</v>
      </c>
      <c r="AH49" s="1">
        <f>(75000/(1-'Prices&amp;Fuel'!G49))-AK49</f>
        <v>77120.822622107968</v>
      </c>
      <c r="AI49" s="1"/>
      <c r="AJ49" s="1"/>
      <c r="AK49" s="1"/>
      <c r="AL49" s="21">
        <f>ROUND((226000/(1-'Prices&amp;Fuel'!F49))-AF49-AG49-AH49,0)</f>
        <v>0</v>
      </c>
      <c r="AM49" s="1">
        <f t="shared" si="51"/>
        <v>37635</v>
      </c>
      <c r="AO49" s="1">
        <f>ROUND((75000/(1-'Prices&amp;Fuel'!G49)-AV49-AK49)/2,0)</f>
        <v>38560</v>
      </c>
      <c r="AP49" s="1">
        <f t="shared" si="63"/>
        <v>80000</v>
      </c>
      <c r="AR49" s="1">
        <f t="shared" si="73"/>
        <v>37634.922879177378</v>
      </c>
      <c r="AT49" s="13">
        <f t="shared" si="25"/>
        <v>38560.822622107968</v>
      </c>
      <c r="AU49" s="13">
        <f>AL49*AX49*'Prices&amp;Fuel'!H49</f>
        <v>0</v>
      </c>
      <c r="AW49" s="20">
        <f t="shared" si="72"/>
        <v>0.1</v>
      </c>
      <c r="AX49" s="20">
        <f t="shared" si="54"/>
        <v>2.5000000000000001E-2</v>
      </c>
      <c r="AY49" s="6">
        <f>('Prices&amp;Fuel'!H49*('Prices&amp;Fuel'!B49+AW49)*'Long Term Deals'!AF49)+('Prices&amp;Fuel'!H49*('Prices&amp;Fuel'!C49+'Long Term Deals'!AW49)*'Long Term Deals'!AG49)+(AH49*('Prices&amp;Fuel'!C49+AW49)*'Prices&amp;Fuel'!H49)+(AW49*AL49*'Prices&amp;Fuel'!H49)</f>
        <v>31481336.760925449</v>
      </c>
      <c r="AZ49" s="6">
        <f>(AP49*'Prices&amp;Fuel'!H49*'Prices&amp;Fuel'!B49)+(AQ49*'Prices&amp;Fuel'!C49*'Prices&amp;Fuel'!H49)+((AM49+AR49)*('Prices&amp;Fuel'!B49+'Long Term Deals'!AX49)*'Prices&amp;Fuel'!H49)+((AN49+AS49)*('Prices&amp;Fuel'!C49+'Long Term Deals'!AX49)*'Prices&amp;Fuel'!H49)+((AO49+AT49)*('Prices&amp;Fuel'!D49+'Long Term Deals'!AX49)*'Prices&amp;Fuel'!H49)+(AV49*'Prices&amp;Fuel'!H49*'Prices&amp;Fuel'!Q49)+AU49</f>
        <v>30759491.002570692</v>
      </c>
      <c r="BA49" s="6">
        <f t="shared" si="64"/>
        <v>721845.75835475698</v>
      </c>
      <c r="BB49" s="6">
        <f>IF('FP Corp'!T49-((BE49+BF49+BG49)*(1-'Prices&amp;Fuel'!F49))&lt;'Prices&amp;Fuel'!R49,('FP Corp'!T49-(BE49+BF49+BG49)*(1-'Prices&amp;Fuel'!F49)),'Prices&amp;Fuel'!R49)/(1-'Prices&amp;Fuel'!F49)</f>
        <v>8976.8637532133671</v>
      </c>
      <c r="BC49" s="14"/>
      <c r="BD49" s="14">
        <f>ROUND(IF('FP Corp'!T49/(1-'Prices&amp;Fuel'!F49)-BE49-BF49-BG49-BB49&gt;'Prices&amp;Fuel'!T49,'Prices&amp;Fuel'!T49,'FP Corp'!T49/(1-'Prices&amp;Fuel'!F49)-BE49-BF49-BG49-BB49),9)</f>
        <v>6556.2982005140002</v>
      </c>
      <c r="BE49" s="14">
        <f>'Prices&amp;Fuel'!U49/(1-'Prices&amp;Fuel'!F49)</f>
        <v>1933.1619537275064</v>
      </c>
      <c r="BF49" s="14">
        <f>('Prices&amp;Fuel'!V49+'Prices&amp;Fuel'!X49)/(1-'Prices&amp;Fuel'!F49)</f>
        <v>3062.2107969151671</v>
      </c>
      <c r="BG49" s="14">
        <f>'Prices&amp;Fuel'!W49/(1-'Prices&amp;Fuel'!F49)</f>
        <v>1065.2956298200513</v>
      </c>
      <c r="BH49" s="25">
        <f>('Prices&amp;Fuel'!C49+'Prices&amp;Fuel'!D49)/2-0.05+('Prices&amp;Fuel'!M49+'Prices&amp;Fuel'!P49)*(1-'Prices&amp;Fuel'!F49)</f>
        <v>4.98392225</v>
      </c>
      <c r="BI49" s="14">
        <f t="shared" ref="BI49:BI64" si="76">IF(AP49=80000,0,BB49)</f>
        <v>0</v>
      </c>
      <c r="BJ49" s="14"/>
      <c r="BK49" s="25">
        <f>(((BB49+BE49)*('Prices&amp;Fuel'!B49+0.025))+(('Prices&amp;Fuel'!D49+0.025)*(BD49+BG49))+(('Prices&amp;Fuel'!C49+0.025)*(BC49+BF49))-(BI49+BJ49)*0.025)/(BB49+BC49+BD49+BE49+BF49+BG49)</f>
        <v>4.2870380952380955</v>
      </c>
      <c r="BL49" s="14">
        <f>(BB49+BC49+BD49+BE49+BF49+BG49)*BH49*'Prices&amp;Fuel'!H49</f>
        <v>3336281.1154241427</v>
      </c>
      <c r="BM49" s="14">
        <f>'Prices&amp;Fuel'!X49*('Prices&amp;Fuel'!N49+'Prices&amp;Fuel'!O49)*'Prices&amp;Fuel'!H49</f>
        <v>8956.1790000000019</v>
      </c>
      <c r="BN49" s="14">
        <f>('Prices&amp;Fuel'!U49+'Prices&amp;Fuel'!V49+'Prices&amp;Fuel'!W49)*('Prices&amp;Fuel'!L49+'Prices&amp;Fuel'!O49)*'Prices&amp;Fuel'!H49</f>
        <v>68331.843000000008</v>
      </c>
      <c r="BO49" s="14">
        <f>((BB49+BC49+BD49)*(1-'Prices&amp;Fuel'!G49))*('Prices&amp;Fuel'!M49+'Prices&amp;Fuel'!P49)*'Prices&amp;Fuel'!H49</f>
        <v>360627.04859999678</v>
      </c>
      <c r="BP49" s="14">
        <f>((BD49+BC49+BB49+BE49+BF49+BG49)*BK49*'Prices&amp;Fuel'!H49)+BM49+BN49+BO49</f>
        <v>3307695.8418082041</v>
      </c>
      <c r="BQ49" s="6">
        <f t="shared" si="59"/>
        <v>28585.273615938611</v>
      </c>
      <c r="CA49" s="6">
        <f>(AF49+AG49+AH49+AL49)*0.005*'Prices&amp;Fuel'!H49</f>
        <v>36020.565552699227</v>
      </c>
      <c r="CB49" s="6">
        <f>(B49+C49+D49+O49+P49+Q49+X49+Y49+BB49+BC49+BD49+BE49+BF49+BG49+BR49+BS49)*0.005*'Prices&amp;Fuel'!H49</f>
        <v>7547.5437017994636</v>
      </c>
      <c r="CC49" s="1">
        <f t="shared" si="68"/>
        <v>36771970.716349594</v>
      </c>
      <c r="CD49" s="1">
        <f t="shared" si="69"/>
        <v>36054919.643633395</v>
      </c>
      <c r="CE49" s="1">
        <f t="shared" si="70"/>
        <v>717051.07271619886</v>
      </c>
      <c r="CF49" s="1">
        <f>'Index Price Deals'!AR49</f>
        <v>0</v>
      </c>
      <c r="CG49" s="1">
        <f>'Index Price Deals'!AS49</f>
        <v>0</v>
      </c>
      <c r="CH49" s="1">
        <f>'Index Price Deals'!AT49</f>
        <v>0</v>
      </c>
      <c r="CI49" s="1">
        <f>'Index Price Deals'!AU49</f>
        <v>0</v>
      </c>
      <c r="CJ49" s="1">
        <f t="shared" si="65"/>
        <v>36771970.716349594</v>
      </c>
      <c r="CK49" s="1">
        <f t="shared" si="74"/>
        <v>36054919.643633395</v>
      </c>
      <c r="CL49" s="1">
        <f t="shared" si="74"/>
        <v>717051.07271619886</v>
      </c>
      <c r="CM49" s="30"/>
      <c r="CN49" s="1">
        <f>Transport!U49</f>
        <v>3.1687275622971359E-9</v>
      </c>
      <c r="CO49" s="57"/>
      <c r="CQ49" s="1">
        <f>(((($B49+$C49+$D49+$O49+$P49+$Q49)*0.5)+BR49+BS49)*(0.005*'Prices&amp;Fuel'!$H49)+'Index Price Deals'!AV49)+(((BB49+BC49+BD49+BE49+BF49+BG49)*(1-'Prices&amp;Fuel'!F49))*0.005*0.5*'Prices&amp;Fuel'!H49)</f>
        <v>3572.7499999999895</v>
      </c>
      <c r="CR49" s="1">
        <f>(((($B49+$C49+$D49+$O49+$P49+$Q49)*0.5)+X49+Y49)*(0.005*'Prices&amp;Fuel'!$H49)+CA49+'Index Price Deals'!AW49)+(((BB49+BC49+BD49+BE49+BF49+BG49)*(1-'Prices&amp;Fuel'!F49))*0.005*0.5*'Prices&amp;Fuel'!H49)</f>
        <v>39903.31555269922</v>
      </c>
      <c r="CS49" s="21"/>
      <c r="CT49" s="1">
        <f>[3]Sheet1!$O61</f>
        <v>47594.524817400845</v>
      </c>
      <c r="CU49" s="1">
        <f>'[4]Long Term Deals'!$Z48</f>
        <v>-43972.901883593106</v>
      </c>
      <c r="CV49" s="60">
        <f t="shared" si="23"/>
        <v>625483.64601520181</v>
      </c>
      <c r="CW49" s="13">
        <f>((B49+C49+D49+O49+P49+Q49+X49+Y49+AF49+AG49+AH49+BB49+BC49+BD49+BE49+BF49+BG49+BR49+BS49)+('Index Price Deals'!B49+'Index Price Deals'!C49+'Index Price Deals'!D49+'Index Price Deals'!L49+'Index Price Deals'!M49+'Index Price Deals'!N49+'Index Price Deals'!AD49+'Index Price Deals'!AE49+'Index Price Deals'!AF49+'Index Price Deals'!AK49+'Index Price Deals'!AL49+'Index Price Deals'!AM49))*'Prices&amp;Fuel'!H49</f>
        <v>8713621.8508997373</v>
      </c>
      <c r="CX49" s="65">
        <f>BQ49/(BB49+BC49+BD49+BE49+BF49+BG49)/'Prices&amp;Fuel'!H49</f>
        <v>4.2702271261905497E-2</v>
      </c>
      <c r="CZ49" s="28">
        <f>(BA49-CT49+CU49)/(AF49+AG49+AH49)/'Prices&amp;Fuel'!H49</f>
        <v>8.7488677923677496E-2</v>
      </c>
      <c r="DB49" s="3">
        <f>(O49+P49+Q49)*'Prices&amp;Fuel'!$H49</f>
        <v>778100</v>
      </c>
      <c r="DC49" s="3">
        <f>(X49+Y49)*'Prices&amp;Fuel'!$H49</f>
        <v>62000</v>
      </c>
      <c r="DE49" s="3">
        <v>226000</v>
      </c>
    </row>
    <row r="50" spans="1:109" x14ac:dyDescent="0.25">
      <c r="A50" s="10">
        <f t="shared" si="75"/>
        <v>37117.749999999891</v>
      </c>
      <c r="O50" s="1">
        <v>9036</v>
      </c>
      <c r="P50" s="1">
        <v>10794</v>
      </c>
      <c r="Q50" s="1">
        <v>5270</v>
      </c>
      <c r="R50" s="11">
        <f t="shared" ref="R50:R60" si="77">R49</f>
        <v>2.3363999999999998</v>
      </c>
      <c r="S50" s="11">
        <f t="shared" ref="S50:S60" si="78">S49</f>
        <v>2.3249</v>
      </c>
      <c r="T50" s="1">
        <f>(($O50*R50)+($P50*R50)+($Q50*R50))*'Prices&amp;Fuel'!$H50</f>
        <v>1817952.84</v>
      </c>
      <c r="U50" s="1">
        <f>(($O50*S50)+($P50*S50)+($Q50*S50))*'Prices&amp;Fuel'!$H50</f>
        <v>1809004.69</v>
      </c>
      <c r="V50" s="13">
        <f t="shared" si="60"/>
        <v>8948.1500000001397</v>
      </c>
      <c r="X50" s="1">
        <f t="shared" si="71"/>
        <v>1000</v>
      </c>
      <c r="Y50" s="1">
        <f t="shared" si="61"/>
        <v>1000</v>
      </c>
      <c r="Z50" s="12">
        <v>2.2000000000000002</v>
      </c>
      <c r="AA50" s="12">
        <v>2.1800000000000002</v>
      </c>
      <c r="AB50" s="1">
        <f>($X50+$Y50)*Z50*'Prices&amp;Fuel'!$H50</f>
        <v>136400</v>
      </c>
      <c r="AC50" s="1">
        <f>($X50+$Y50)*AA50*'Prices&amp;Fuel'!$H50</f>
        <v>135160</v>
      </c>
      <c r="AD50" s="13">
        <f t="shared" si="62"/>
        <v>1240</v>
      </c>
      <c r="AF50" s="1">
        <f>((126000)/(1-'Prices&amp;Fuel'!F50))+(25000/(1-'Prices&amp;Fuel'!G50))-AI50</f>
        <v>155269.92287917738</v>
      </c>
      <c r="AG50" s="1">
        <v>0</v>
      </c>
      <c r="AH50" s="1">
        <f>(75000/(1-'Prices&amp;Fuel'!G50))-AK50</f>
        <v>77120.822622107968</v>
      </c>
      <c r="AI50" s="1"/>
      <c r="AJ50" s="1"/>
      <c r="AK50" s="1"/>
      <c r="AL50" s="21">
        <f>ROUND((226000/(1-'Prices&amp;Fuel'!F50))-AF50-AG50-AH50,0)</f>
        <v>0</v>
      </c>
      <c r="AM50" s="1">
        <f t="shared" si="51"/>
        <v>37635</v>
      </c>
      <c r="AO50" s="1">
        <f>ROUND((75000/(1-'Prices&amp;Fuel'!G50)-AV50-AK50)/2,0)</f>
        <v>38560</v>
      </c>
      <c r="AP50" s="1">
        <f t="shared" si="63"/>
        <v>80000</v>
      </c>
      <c r="AR50" s="1">
        <f t="shared" si="73"/>
        <v>37634.922879177378</v>
      </c>
      <c r="AT50" s="13">
        <f t="shared" si="25"/>
        <v>38560.822622107968</v>
      </c>
      <c r="AU50" s="13">
        <f>AL50*AX50*'Prices&amp;Fuel'!H50</f>
        <v>0</v>
      </c>
      <c r="AW50" s="20">
        <f t="shared" si="72"/>
        <v>0.1</v>
      </c>
      <c r="AX50" s="20">
        <f t="shared" si="54"/>
        <v>2.5000000000000001E-2</v>
      </c>
      <c r="AY50" s="6">
        <f>('Prices&amp;Fuel'!H50*('Prices&amp;Fuel'!B50+AW50)*'Long Term Deals'!AF50)+('Prices&amp;Fuel'!H50*('Prices&amp;Fuel'!C50+'Long Term Deals'!AW50)*'Long Term Deals'!AG50)+(AH50*('Prices&amp;Fuel'!C50+AW50)*'Prices&amp;Fuel'!H50)+(AW50*AL50*'Prices&amp;Fuel'!H50)</f>
        <v>27591115.681233931</v>
      </c>
      <c r="AZ50" s="6">
        <f>(AP50*'Prices&amp;Fuel'!H50*'Prices&amp;Fuel'!B50)+(AQ50*'Prices&amp;Fuel'!C50*'Prices&amp;Fuel'!H50)+((AM50+AR50)*('Prices&amp;Fuel'!B50+'Long Term Deals'!AX50)*'Prices&amp;Fuel'!H50)+((AN50+AS50)*('Prices&amp;Fuel'!C50+'Long Term Deals'!AX50)*'Prices&amp;Fuel'!H50)+((AO50+AT50)*('Prices&amp;Fuel'!D50+'Long Term Deals'!AX50)*'Prices&amp;Fuel'!H50)+(AV50*'Prices&amp;Fuel'!H50*'Prices&amp;Fuel'!Q50)+AU50</f>
        <v>26869269.922879182</v>
      </c>
      <c r="BA50" s="6">
        <f t="shared" si="64"/>
        <v>721845.75835474953</v>
      </c>
      <c r="BB50" s="6">
        <f>IF('FP Corp'!T50-((BE50+BF50+BG50)*(1-'Prices&amp;Fuel'!F50))&lt;'Prices&amp;Fuel'!R50,('FP Corp'!T50-(BE50+BF50+BG50)*(1-'Prices&amp;Fuel'!F50)),'Prices&amp;Fuel'!R50)/(1-'Prices&amp;Fuel'!F50)</f>
        <v>8976.8637532133671</v>
      </c>
      <c r="BC50" s="14"/>
      <c r="BD50" s="14">
        <f>ROUND(IF('FP Corp'!T50/(1-'Prices&amp;Fuel'!F50)-BE50-BF50-BG50-BB50&gt;'Prices&amp;Fuel'!T50,'Prices&amp;Fuel'!T50,'FP Corp'!T50/(1-'Prices&amp;Fuel'!F50)-BE50-BF50-BG50-BB50),9)</f>
        <v>6556.2982005140002</v>
      </c>
      <c r="BE50" s="14">
        <f>'Prices&amp;Fuel'!U50/(1-'Prices&amp;Fuel'!F50)</f>
        <v>1933.1619537275064</v>
      </c>
      <c r="BF50" s="14">
        <f>('Prices&amp;Fuel'!V50+'Prices&amp;Fuel'!X50)/(1-'Prices&amp;Fuel'!F50)</f>
        <v>3062.2107969151671</v>
      </c>
      <c r="BG50" s="14">
        <f>'Prices&amp;Fuel'!W50/(1-'Prices&amp;Fuel'!F50)</f>
        <v>1065.2956298200513</v>
      </c>
      <c r="BH50" s="25">
        <f>('Prices&amp;Fuel'!C50+'Prices&amp;Fuel'!D50)/2-0.05+('Prices&amp;Fuel'!M50+'Prices&amp;Fuel'!P50)*(1-'Prices&amp;Fuel'!F50)</f>
        <v>4.44392225</v>
      </c>
      <c r="BI50" s="14">
        <f t="shared" si="76"/>
        <v>0</v>
      </c>
      <c r="BJ50" s="14"/>
      <c r="BK50" s="25">
        <f>(((BB50+BE50)*('Prices&amp;Fuel'!B50+0.025))+(('Prices&amp;Fuel'!D50+0.025)*(BD50+BG50))+(('Prices&amp;Fuel'!C50+0.025)*(BC50+BF50))-(BI50+BJ50)*0.025)/(BB50+BC50+BD50+BE50+BF50+BG50)</f>
        <v>3.7470380952380959</v>
      </c>
      <c r="BL50" s="14">
        <f>(BB50+BC50+BD50+BE50+BF50+BG50)*BH50*'Prices&amp;Fuel'!H50</f>
        <v>2974800.3956298009</v>
      </c>
      <c r="BM50" s="14">
        <f>'Prices&amp;Fuel'!X50*('Prices&amp;Fuel'!N50+'Prices&amp;Fuel'!O50)*'Prices&amp;Fuel'!H50</f>
        <v>8956.1790000000019</v>
      </c>
      <c r="BN50" s="14">
        <f>('Prices&amp;Fuel'!U50+'Prices&amp;Fuel'!V50+'Prices&amp;Fuel'!W50)*('Prices&amp;Fuel'!L50+'Prices&amp;Fuel'!O50)*'Prices&amp;Fuel'!H50</f>
        <v>68331.843000000008</v>
      </c>
      <c r="BO50" s="14">
        <f>((BB50+BC50+BD50)*(1-'Prices&amp;Fuel'!G50))*('Prices&amp;Fuel'!M50+'Prices&amp;Fuel'!P50)*'Prices&amp;Fuel'!H50</f>
        <v>360627.04859999678</v>
      </c>
      <c r="BP50" s="14">
        <f>((BD50+BC50+BB50+BE50+BF50+BG50)*BK50*'Prices&amp;Fuel'!H50)+BM50+BN50+BO50</f>
        <v>2946215.1220138622</v>
      </c>
      <c r="BQ50" s="6">
        <f t="shared" ref="BQ50:BQ65" si="79">BL50-BP50</f>
        <v>28585.273615938611</v>
      </c>
      <c r="CA50" s="6">
        <f>(AF50+AG50+AH50+AL50)*0.005*'Prices&amp;Fuel'!H50</f>
        <v>36020.565552699227</v>
      </c>
      <c r="CB50" s="6">
        <f>(B50+C50+D50+O50+P50+Q50+X50+Y50+BB50+BC50+BD50+BE50+BF50+BG50+BR50+BS50)*0.005*'Prices&amp;Fuel'!H50</f>
        <v>7547.5437017994636</v>
      </c>
      <c r="CC50" s="1">
        <f t="shared" si="68"/>
        <v>32520268.916863732</v>
      </c>
      <c r="CD50" s="1">
        <f t="shared" si="69"/>
        <v>31803217.844147544</v>
      </c>
      <c r="CE50" s="1">
        <f t="shared" si="70"/>
        <v>717051.07271618769</v>
      </c>
      <c r="CF50" s="1">
        <f>'Index Price Deals'!AR50</f>
        <v>0</v>
      </c>
      <c r="CG50" s="1">
        <f>'Index Price Deals'!AS50</f>
        <v>0</v>
      </c>
      <c r="CH50" s="1">
        <f>'Index Price Deals'!AT50</f>
        <v>0</v>
      </c>
      <c r="CI50" s="1">
        <f>'Index Price Deals'!AU50</f>
        <v>0</v>
      </c>
      <c r="CJ50" s="1">
        <f t="shared" si="65"/>
        <v>32520268.916863732</v>
      </c>
      <c r="CK50" s="1">
        <f t="shared" si="74"/>
        <v>31803217.844147544</v>
      </c>
      <c r="CL50" s="1">
        <f t="shared" si="74"/>
        <v>717051.07271618769</v>
      </c>
      <c r="CM50" s="30"/>
      <c r="CN50" s="1">
        <f>Transport!U50</f>
        <v>3.1687275622971359E-9</v>
      </c>
      <c r="CO50" s="57"/>
      <c r="CQ50" s="1">
        <f>(((($B50+$C50+$D50+$O50+$P50+$Q50)*0.5)+BR50+BS50)*(0.005*'Prices&amp;Fuel'!$H50)+'Index Price Deals'!AV50)+(((BB50+BC50+BD50+BE50+BF50+BG50)*(1-'Prices&amp;Fuel'!F50))*0.005*0.5*'Prices&amp;Fuel'!H50)</f>
        <v>3572.7499999999895</v>
      </c>
      <c r="CR50" s="1">
        <f>(((($B50+$C50+$D50+$O50+$P50+$Q50)*0.5)+X50+Y50)*(0.005*'Prices&amp;Fuel'!$H50)+CA50+'Index Price Deals'!AW50)+(((BB50+BC50+BD50+BE50+BF50+BG50)*(1-'Prices&amp;Fuel'!F50))*0.005*0.5*'Prices&amp;Fuel'!H50)</f>
        <v>39903.31555269922</v>
      </c>
      <c r="CS50" s="21"/>
      <c r="CT50" s="1">
        <f>[3]Sheet1!$O62</f>
        <v>47594.524817400845</v>
      </c>
      <c r="CU50" s="1">
        <f>'[4]Long Term Deals'!$Z49</f>
        <v>-43972.901883593106</v>
      </c>
      <c r="CV50" s="60">
        <f t="shared" si="23"/>
        <v>625483.64601519064</v>
      </c>
      <c r="CW50" s="13">
        <f>((B50+C50+D50+O50+P50+Q50+X50+Y50+AF50+AG50+AH50+BB50+BC50+BD50+BE50+BF50+BG50+BR50+BS50)+('Index Price Deals'!B50+'Index Price Deals'!C50+'Index Price Deals'!D50+'Index Price Deals'!L50+'Index Price Deals'!M50+'Index Price Deals'!N50+'Index Price Deals'!AD50+'Index Price Deals'!AE50+'Index Price Deals'!AF50+'Index Price Deals'!AK50+'Index Price Deals'!AL50+'Index Price Deals'!AM50))*'Prices&amp;Fuel'!H50</f>
        <v>8713621.8508997373</v>
      </c>
      <c r="CX50" s="65">
        <f>BQ50/(BB50+BC50+BD50+BE50+BF50+BG50)/'Prices&amp;Fuel'!H50</f>
        <v>4.2702271261905497E-2</v>
      </c>
      <c r="CZ50" s="28">
        <f>(BA50-CT50+CU50)/(AF50+AG50+AH50)/'Prices&amp;Fuel'!H50</f>
        <v>8.7488677923676456E-2</v>
      </c>
      <c r="DB50" s="3">
        <f>(O50+P50+Q50)*'Prices&amp;Fuel'!$H50</f>
        <v>778100</v>
      </c>
      <c r="DC50" s="3">
        <f>(X50+Y50)*'Prices&amp;Fuel'!$H50</f>
        <v>62000</v>
      </c>
      <c r="DE50" s="3">
        <v>226000</v>
      </c>
    </row>
    <row r="51" spans="1:109" x14ac:dyDescent="0.25">
      <c r="A51" s="10">
        <f t="shared" si="75"/>
        <v>37148.166666666555</v>
      </c>
      <c r="O51" s="1">
        <v>9036</v>
      </c>
      <c r="P51" s="1">
        <v>10794</v>
      </c>
      <c r="Q51" s="1">
        <v>5270</v>
      </c>
      <c r="R51" s="11">
        <f t="shared" si="77"/>
        <v>2.3363999999999998</v>
      </c>
      <c r="S51" s="11">
        <f t="shared" si="78"/>
        <v>2.3249</v>
      </c>
      <c r="T51" s="1">
        <f>(($O51*R51)+($P51*R51)+($Q51*R51))*'Prices&amp;Fuel'!$H51</f>
        <v>1759309.2</v>
      </c>
      <c r="U51" s="1">
        <f>(($O51*S51)+($P51*S51)+($Q51*S51))*'Prices&amp;Fuel'!$H51</f>
        <v>1750649.7</v>
      </c>
      <c r="V51" s="13">
        <f t="shared" si="60"/>
        <v>8659.5</v>
      </c>
      <c r="X51" s="1">
        <f t="shared" si="71"/>
        <v>1000</v>
      </c>
      <c r="Y51" s="1">
        <f t="shared" si="61"/>
        <v>1000</v>
      </c>
      <c r="Z51" s="12">
        <v>2.2000000000000002</v>
      </c>
      <c r="AA51" s="12">
        <v>2.1800000000000002</v>
      </c>
      <c r="AB51" s="1">
        <f>($X51+$Y51)*Z51*'Prices&amp;Fuel'!$H51</f>
        <v>132000</v>
      </c>
      <c r="AC51" s="1">
        <f>($X51+$Y51)*AA51*'Prices&amp;Fuel'!$H51</f>
        <v>130800</v>
      </c>
      <c r="AD51" s="13">
        <f t="shared" si="62"/>
        <v>1200</v>
      </c>
      <c r="AF51" s="1">
        <f>((126000)/(1-'Prices&amp;Fuel'!F51))+(25000/(1-'Prices&amp;Fuel'!G51))-AI51</f>
        <v>155269.92287917738</v>
      </c>
      <c r="AG51" s="1">
        <v>0</v>
      </c>
      <c r="AH51" s="1">
        <f>(75000/(1-'Prices&amp;Fuel'!G51))-AK51</f>
        <v>77120.822622107968</v>
      </c>
      <c r="AI51" s="1"/>
      <c r="AJ51" s="1"/>
      <c r="AK51" s="1"/>
      <c r="AL51" s="21">
        <f>ROUND((226000/(1-'Prices&amp;Fuel'!F51))-AF51-AG51-AH51,0)</f>
        <v>0</v>
      </c>
      <c r="AM51" s="1">
        <f t="shared" si="51"/>
        <v>37635</v>
      </c>
      <c r="AO51" s="1">
        <f>ROUND((75000/(1-'Prices&amp;Fuel'!G51)-AV51-AK51)/2,0)</f>
        <v>38560</v>
      </c>
      <c r="AP51" s="1">
        <f t="shared" si="63"/>
        <v>80000</v>
      </c>
      <c r="AR51" s="1">
        <f t="shared" si="73"/>
        <v>37634.922879177378</v>
      </c>
      <c r="AT51" s="13">
        <f t="shared" si="25"/>
        <v>38560.822622107968</v>
      </c>
      <c r="AU51" s="13">
        <f>AL51*AX51*'Prices&amp;Fuel'!H51</f>
        <v>0</v>
      </c>
      <c r="AW51" s="20">
        <f t="shared" si="72"/>
        <v>0.1</v>
      </c>
      <c r="AX51" s="20">
        <f t="shared" si="54"/>
        <v>2.5000000000000001E-2</v>
      </c>
      <c r="AY51" s="6">
        <f>('Prices&amp;Fuel'!H51*('Prices&amp;Fuel'!B51+AW51)*'Long Term Deals'!AF51)+('Prices&amp;Fuel'!H51*('Prices&amp;Fuel'!C51+'Long Term Deals'!AW51)*'Long Term Deals'!AG51)+(AH51*('Prices&amp;Fuel'!C51+AW51)*'Prices&amp;Fuel'!H51)+(AW51*AL51*'Prices&amp;Fuel'!H51)</f>
        <v>32069305.912596401</v>
      </c>
      <c r="AZ51" s="6">
        <f>(AP51*'Prices&amp;Fuel'!H51*'Prices&amp;Fuel'!B51)+(AQ51*'Prices&amp;Fuel'!C51*'Prices&amp;Fuel'!H51)+((AM51+AR51)*('Prices&amp;Fuel'!B51+'Long Term Deals'!AX51)*'Prices&amp;Fuel'!H51)+((AN51+AS51)*('Prices&amp;Fuel'!C51+'Long Term Deals'!AX51)*'Prices&amp;Fuel'!H51)+((AO51+AT51)*('Prices&amp;Fuel'!D51+'Long Term Deals'!AX51)*'Prices&amp;Fuel'!H51)+(AV51*'Prices&amp;Fuel'!H51*'Prices&amp;Fuel'!Q51)+AU51</f>
        <v>31370745.501285352</v>
      </c>
      <c r="BA51" s="6">
        <f t="shared" si="64"/>
        <v>698560.41131104901</v>
      </c>
      <c r="BB51" s="6">
        <f>IF('FP Corp'!T51-((BE51+BF51+BG51)*(1-'Prices&amp;Fuel'!F51))&lt;'Prices&amp;Fuel'!R51,('FP Corp'!T51-(BE51+BF51+BG51)*(1-'Prices&amp;Fuel'!F51)),'Prices&amp;Fuel'!R51)/(1-'Prices&amp;Fuel'!F51)</f>
        <v>8976.8637532133671</v>
      </c>
      <c r="BC51" s="14"/>
      <c r="BD51" s="14">
        <f>ROUND(IF('FP Corp'!T51/(1-'Prices&amp;Fuel'!F51)-BE51-BF51-BG51-BB51&gt;'Prices&amp;Fuel'!T51,'Prices&amp;Fuel'!T51,'FP Corp'!T51/(1-'Prices&amp;Fuel'!F51)-BE51-BF51-BG51-BB51),9)</f>
        <v>6556.2982005140002</v>
      </c>
      <c r="BE51" s="14">
        <f>'Prices&amp;Fuel'!U51/(1-'Prices&amp;Fuel'!F51)</f>
        <v>1933.1619537275064</v>
      </c>
      <c r="BF51" s="14">
        <f>('Prices&amp;Fuel'!V51+'Prices&amp;Fuel'!X51)/(1-'Prices&amp;Fuel'!F51)</f>
        <v>3062.2107969151671</v>
      </c>
      <c r="BG51" s="14">
        <f>'Prices&amp;Fuel'!W51/(1-'Prices&amp;Fuel'!F51)</f>
        <v>1065.2956298200513</v>
      </c>
      <c r="BH51" s="25">
        <f>('Prices&amp;Fuel'!C51+'Prices&amp;Fuel'!D51)/2-0.05+('Prices&amp;Fuel'!M51+'Prices&amp;Fuel'!P51)*(1-'Prices&amp;Fuel'!F51)</f>
        <v>5.2139222500000004</v>
      </c>
      <c r="BI51" s="14">
        <f t="shared" si="76"/>
        <v>0</v>
      </c>
      <c r="BJ51" s="14"/>
      <c r="BK51" s="25">
        <f>(((BB51+BE51)*('Prices&amp;Fuel'!B51+0.025))+(('Prices&amp;Fuel'!D51+0.025)*(BD51+BG51))+(('Prices&amp;Fuel'!C51+0.025)*(BC51+BF51))-(BI51+BJ51)*0.025)/(BB51+BC51+BD51+BE51+BF51+BG51)</f>
        <v>4.5170380952380969</v>
      </c>
      <c r="BL51" s="14">
        <f>(BB51+BC51+BD51+BE51+BF51+BG51)*BH51*'Prices&amp;Fuel'!H51</f>
        <v>3377656.57326476</v>
      </c>
      <c r="BM51" s="14">
        <f>'Prices&amp;Fuel'!X51*('Prices&amp;Fuel'!N51+'Prices&amp;Fuel'!O51)*'Prices&amp;Fuel'!H51</f>
        <v>8667.2700000000023</v>
      </c>
      <c r="BN51" s="14">
        <f>('Prices&amp;Fuel'!U51+'Prices&amp;Fuel'!V51+'Prices&amp;Fuel'!W51)*('Prices&amp;Fuel'!L51+'Prices&amp;Fuel'!O51)*'Prices&amp;Fuel'!H51</f>
        <v>66127.590000000011</v>
      </c>
      <c r="BO51" s="14">
        <f>((BB51+BC51+BD51)*(1-'Prices&amp;Fuel'!G51))*('Prices&amp;Fuel'!M51+'Prices&amp;Fuel'!P51)*'Prices&amp;Fuel'!H51</f>
        <v>348993.91799999692</v>
      </c>
      <c r="BP51" s="14">
        <f>((BD51+BC51+BB51+BE51+BF51+BG51)*BK51*'Prices&amp;Fuel'!H51)+BM51+BN51+BO51</f>
        <v>3349993.4052493363</v>
      </c>
      <c r="BQ51" s="6">
        <f t="shared" si="79"/>
        <v>27663.168015423696</v>
      </c>
      <c r="CA51" s="6">
        <f>(AF51+AG51+AH51+AL51)*0.005*'Prices&amp;Fuel'!H51</f>
        <v>34858.611825192798</v>
      </c>
      <c r="CB51" s="6">
        <f>(B51+C51+D51+O51+P51+Q51+X51+Y51+BB51+BC51+BD51+BE51+BF51+BG51+BR51+BS51)*0.005*'Prices&amp;Fuel'!H51</f>
        <v>7304.0745501285137</v>
      </c>
      <c r="CC51" s="1">
        <f t="shared" si="68"/>
        <v>37338271.685861163</v>
      </c>
      <c r="CD51" s="1">
        <f t="shared" si="69"/>
        <v>36644351.29291001</v>
      </c>
      <c r="CE51" s="1">
        <f t="shared" si="70"/>
        <v>693920.39295115322</v>
      </c>
      <c r="CF51" s="1">
        <f>'Index Price Deals'!AR51</f>
        <v>0</v>
      </c>
      <c r="CG51" s="1">
        <f>'Index Price Deals'!AS51</f>
        <v>0</v>
      </c>
      <c r="CH51" s="1">
        <f>'Index Price Deals'!AT51</f>
        <v>0</v>
      </c>
      <c r="CI51" s="1">
        <f>'Index Price Deals'!AU51</f>
        <v>0</v>
      </c>
      <c r="CJ51" s="1">
        <f t="shared" si="65"/>
        <v>37338271.685861163</v>
      </c>
      <c r="CK51" s="1">
        <f t="shared" si="74"/>
        <v>36644351.29291001</v>
      </c>
      <c r="CL51" s="1">
        <f t="shared" si="74"/>
        <v>693920.39295115322</v>
      </c>
      <c r="CM51" s="30"/>
      <c r="CN51" s="1">
        <f>Transport!U51</f>
        <v>3.0665105441585185E-9</v>
      </c>
      <c r="CO51" s="57"/>
      <c r="CQ51" s="1">
        <f>(((($B51+$C51+$D51+$O51+$P51+$Q51)*0.5)+BR51+BS51)*(0.005*'Prices&amp;Fuel'!$H51)+'Index Price Deals'!AV51)+(((BB51+BC51+BD51+BE51+BF51+BG51)*(1-'Prices&amp;Fuel'!F51))*0.005*0.5*'Prices&amp;Fuel'!H51)</f>
        <v>3457.49999999999</v>
      </c>
      <c r="CR51" s="1">
        <f>(((($B51+$C51+$D51+$O51+$P51+$Q51)*0.5)+X51+Y51)*(0.005*'Prices&amp;Fuel'!$H51)+CA51+'Index Price Deals'!AW51)+(((BB51+BC51+BD51+BE51+BF51+BG51)*(1-'Prices&amp;Fuel'!F51))*0.005*0.5*'Prices&amp;Fuel'!H51)</f>
        <v>38616.111825192791</v>
      </c>
      <c r="CS51" s="21"/>
      <c r="CT51" s="1">
        <f>[3]Sheet1!$O63</f>
        <v>46059.217565226601</v>
      </c>
      <c r="CU51" s="1">
        <f>'[4]Long Term Deals'!$Z50</f>
        <v>-42554.421177670738</v>
      </c>
      <c r="CV51" s="60">
        <f t="shared" si="23"/>
        <v>605306.75420825288</v>
      </c>
      <c r="CW51" s="13">
        <f>((B51+C51+D51+O51+P51+Q51+X51+Y51+AF51+AG51+AH51+BB51+BC51+BD51+BE51+BF51+BG51+BR51+BS51)+('Index Price Deals'!B51+'Index Price Deals'!C51+'Index Price Deals'!D51+'Index Price Deals'!L51+'Index Price Deals'!M51+'Index Price Deals'!N51+'Index Price Deals'!AD51+'Index Price Deals'!AE51+'Index Price Deals'!AF51+'Index Price Deals'!AK51+'Index Price Deals'!AL51+'Index Price Deals'!AM51))*'Prices&amp;Fuel'!H51</f>
        <v>8432537.2750642616</v>
      </c>
      <c r="CX51" s="65">
        <f>BQ51/(BB51+BC51+BD51+BE51+BF51+BG51)/'Prices&amp;Fuel'!H51</f>
        <v>4.2702271261904318E-2</v>
      </c>
      <c r="CZ51" s="28">
        <f>(BA51-CT51+CU51)/(AF51+AG51+AH51)/'Prices&amp;Fuel'!H51</f>
        <v>8.7488677923676622E-2</v>
      </c>
      <c r="DB51" s="3">
        <f>(O51+P51+Q51)*'Prices&amp;Fuel'!$H51</f>
        <v>753000</v>
      </c>
      <c r="DC51" s="3">
        <f>(X51+Y51)*'Prices&amp;Fuel'!$H51</f>
        <v>60000</v>
      </c>
      <c r="DE51" s="3">
        <v>226000</v>
      </c>
    </row>
    <row r="52" spans="1:109" x14ac:dyDescent="0.25">
      <c r="A52" s="10">
        <f t="shared" si="75"/>
        <v>37178.583333333219</v>
      </c>
      <c r="O52" s="1">
        <v>9036</v>
      </c>
      <c r="P52" s="1">
        <v>10794</v>
      </c>
      <c r="Q52" s="1">
        <v>5270</v>
      </c>
      <c r="R52" s="11">
        <f t="shared" si="77"/>
        <v>2.3363999999999998</v>
      </c>
      <c r="S52" s="11">
        <f t="shared" si="78"/>
        <v>2.3249</v>
      </c>
      <c r="T52" s="1">
        <f>(($O52*R52)+($P52*R52)+($Q52*R52))*'Prices&amp;Fuel'!$H52</f>
        <v>1817952.84</v>
      </c>
      <c r="U52" s="1">
        <f>(($O52*S52)+($P52*S52)+($Q52*S52))*'Prices&amp;Fuel'!$H52</f>
        <v>1809004.69</v>
      </c>
      <c r="V52" s="13">
        <f t="shared" si="60"/>
        <v>8948.1500000001397</v>
      </c>
      <c r="X52" s="1">
        <f t="shared" si="71"/>
        <v>1000</v>
      </c>
      <c r="Y52" s="1">
        <f t="shared" si="61"/>
        <v>1000</v>
      </c>
      <c r="Z52" s="12">
        <v>2.2000000000000002</v>
      </c>
      <c r="AA52" s="12">
        <v>2.1800000000000002</v>
      </c>
      <c r="AB52" s="1">
        <f>($X52+$Y52)*Z52*'Prices&amp;Fuel'!$H52</f>
        <v>136400</v>
      </c>
      <c r="AC52" s="1">
        <f>($X52+$Y52)*AA52*'Prices&amp;Fuel'!$H52</f>
        <v>135160</v>
      </c>
      <c r="AD52" s="13">
        <f t="shared" si="62"/>
        <v>1240</v>
      </c>
      <c r="AF52" s="1">
        <f>(32000/(1-'Prices&amp;Fuel'!F52))+(25000/(1-'Prices&amp;Fuel'!G52))-AI52</f>
        <v>58611.825192802062</v>
      </c>
      <c r="AG52" s="1">
        <v>0</v>
      </c>
      <c r="AH52" s="1">
        <f>(75000/(1-'Prices&amp;Fuel'!G52))-AK52</f>
        <v>77120.822622107968</v>
      </c>
      <c r="AI52" s="1"/>
      <c r="AJ52" s="1"/>
      <c r="AK52" s="1"/>
      <c r="AL52" s="21">
        <f>ROUND((132000/(1-'Prices&amp;Fuel'!F52))-AF52-AG52-AH52,0)</f>
        <v>0</v>
      </c>
      <c r="AM52" s="1">
        <f t="shared" si="51"/>
        <v>0</v>
      </c>
      <c r="AO52" s="1">
        <f>ROUND((75000/(1-'Prices&amp;Fuel'!G52)-AV52-AK52)/2,0)</f>
        <v>38560</v>
      </c>
      <c r="AP52" s="1">
        <f t="shared" si="63"/>
        <v>58611.825192802062</v>
      </c>
      <c r="AR52" s="1">
        <f t="shared" si="73"/>
        <v>0</v>
      </c>
      <c r="AT52" s="13">
        <f t="shared" si="25"/>
        <v>38560.822622107968</v>
      </c>
      <c r="AU52" s="13">
        <f>AL52*AX52*'Prices&amp;Fuel'!H52</f>
        <v>0</v>
      </c>
      <c r="AW52" s="20">
        <f t="shared" si="72"/>
        <v>0.1</v>
      </c>
      <c r="AX52" s="20">
        <f t="shared" si="54"/>
        <v>2.5000000000000001E-2</v>
      </c>
      <c r="AY52" s="6">
        <f>('Prices&amp;Fuel'!H52*('Prices&amp;Fuel'!B52+AW52)*'Long Term Deals'!AF52)+('Prices&amp;Fuel'!H52*('Prices&amp;Fuel'!C52+'Long Term Deals'!AW52)*'Long Term Deals'!AG52)+(AH52*('Prices&amp;Fuel'!C52+AW52)*'Prices&amp;Fuel'!H52)+(AW52*AL52*'Prices&amp;Fuel'!H52)</f>
        <v>22276010.282776348</v>
      </c>
      <c r="AZ52" s="6">
        <f>(AP52*'Prices&amp;Fuel'!H52*'Prices&amp;Fuel'!B52)+(AQ52*'Prices&amp;Fuel'!C52*'Prices&amp;Fuel'!H52)+((AM52+AR52)*('Prices&amp;Fuel'!B52+'Long Term Deals'!AX52)*'Prices&amp;Fuel'!H52)+((AN52+AS52)*('Prices&amp;Fuel'!C52+'Long Term Deals'!AX52)*'Prices&amp;Fuel'!H52)+((AO52+AT52)*('Prices&amp;Fuel'!D52+'Long Term Deals'!AX52)*'Prices&amp;Fuel'!H52)+(AV52*'Prices&amp;Fuel'!H52*'Prices&amp;Fuel'!Q52)+AU52</f>
        <v>21795470.437017996</v>
      </c>
      <c r="BA52" s="6">
        <f t="shared" si="64"/>
        <v>480539.84575835243</v>
      </c>
      <c r="BB52" s="6">
        <f>IF('FP Corp'!T52-((BE52+BF52+BG52)*(1-'Prices&amp;Fuel'!F52))&lt;'Prices&amp;Fuel'!R52,('FP Corp'!T52-(BE52+BF52+BG52)*(1-'Prices&amp;Fuel'!F52)),'Prices&amp;Fuel'!R52)/(1-'Prices&amp;Fuel'!F52)</f>
        <v>8976.8637532133671</v>
      </c>
      <c r="BC52" s="14"/>
      <c r="BD52" s="14">
        <f>ROUND(IF('FP Corp'!T52/(1-'Prices&amp;Fuel'!F52)-BE52-BF52-BG52-BB52&gt;'Prices&amp;Fuel'!T52,'Prices&amp;Fuel'!T52,'FP Corp'!T52/(1-'Prices&amp;Fuel'!F52)-BE52-BF52-BG52-BB52),9)</f>
        <v>3514.6529562979999</v>
      </c>
      <c r="BE52" s="14">
        <f>'Prices&amp;Fuel'!U52/(1-'Prices&amp;Fuel'!F52)</f>
        <v>2910.025706940874</v>
      </c>
      <c r="BF52" s="14">
        <f>('Prices&amp;Fuel'!V52+'Prices&amp;Fuel'!X52)/(1-'Prices&amp;Fuel'!F52)</f>
        <v>4628.2776349614396</v>
      </c>
      <c r="BG52" s="14">
        <f>'Prices&amp;Fuel'!W52/(1-'Prices&amp;Fuel'!F52)</f>
        <v>1564.0102827763496</v>
      </c>
      <c r="BH52" s="25">
        <f>('Prices&amp;Fuel'!C52+'Prices&amp;Fuel'!D52)/2-0.05+('Prices&amp;Fuel'!M52+'Prices&amp;Fuel'!P52)*(1-'Prices&amp;Fuel'!F52)</f>
        <v>5.8939222500000001</v>
      </c>
      <c r="BI52" s="14">
        <f t="shared" si="76"/>
        <v>8976.8637532133671</v>
      </c>
      <c r="BJ52" s="14"/>
      <c r="BK52" s="25">
        <f>(((BB52+BE52)*('Prices&amp;Fuel'!B52+0.025))+(('Prices&amp;Fuel'!D52+0.025)*(BD52+BG52))+(('Prices&amp;Fuel'!C52+0.025)*(BC52+BF52))-(BI52+BJ52)*0.025)/(BB52+BC52+BD52+BE52+BF52+BG52)</f>
        <v>5.1898190476190473</v>
      </c>
      <c r="BL52" s="14">
        <f>(BB52+BC52+BD52+BE52+BF52+BG52)*BH52*'Prices&amp;Fuel'!H52</f>
        <v>3945443.0691516344</v>
      </c>
      <c r="BM52" s="14">
        <f>'Prices&amp;Fuel'!X52*('Prices&amp;Fuel'!N52+'Prices&amp;Fuel'!O52)*'Prices&amp;Fuel'!H52</f>
        <v>13126.113000000001</v>
      </c>
      <c r="BN52" s="14">
        <f>('Prices&amp;Fuel'!U52+'Prices&amp;Fuel'!V52+'Prices&amp;Fuel'!W52)*('Prices&amp;Fuel'!L52+'Prices&amp;Fuel'!O52)*'Prices&amp;Fuel'!H52</f>
        <v>102950.16300000002</v>
      </c>
      <c r="BO52" s="14">
        <f>((BB52+BC52+BD52)*(1-'Prices&amp;Fuel'!G52))*('Prices&amp;Fuel'!M52+'Prices&amp;Fuel'!P52)*'Prices&amp;Fuel'!H52</f>
        <v>290010.41879999527</v>
      </c>
      <c r="BP52" s="14">
        <f>((BD52+BC52+BB52+BE52+BF52+BG52)*BK52*'Prices&amp;Fuel'!H52)+BM52+BN52+BO52</f>
        <v>3880196.926162431</v>
      </c>
      <c r="BQ52" s="6">
        <f t="shared" si="79"/>
        <v>65246.142989203334</v>
      </c>
      <c r="CA52" s="6">
        <f>(AF52+AG52+AH52+AL52)*0.005*'Prices&amp;Fuel'!H52</f>
        <v>21038.560411311057</v>
      </c>
      <c r="CB52" s="6">
        <f>(B52+C52+D52+O52+P52+Q52+X52+Y52+BB52+BC52+BD52+BE52+BF52+BG52+BR52+BS52)*0.005*'Prices&amp;Fuel'!H52</f>
        <v>7547.5437017994554</v>
      </c>
      <c r="CC52" s="1">
        <f t="shared" si="68"/>
        <v>28175806.191927984</v>
      </c>
      <c r="CD52" s="1">
        <f t="shared" si="69"/>
        <v>27648418.157293536</v>
      </c>
      <c r="CE52" s="1">
        <f t="shared" si="70"/>
        <v>527388.03463444859</v>
      </c>
      <c r="CF52" s="1">
        <f>'Index Price Deals'!AR52</f>
        <v>0</v>
      </c>
      <c r="CG52" s="1">
        <f>'Index Price Deals'!AS52</f>
        <v>0</v>
      </c>
      <c r="CH52" s="1">
        <f>'Index Price Deals'!AT52</f>
        <v>0</v>
      </c>
      <c r="CI52" s="1">
        <f>'Index Price Deals'!AU52</f>
        <v>0</v>
      </c>
      <c r="CJ52" s="1">
        <f t="shared" si="65"/>
        <v>28175806.191927984</v>
      </c>
      <c r="CK52" s="1">
        <f t="shared" si="74"/>
        <v>27648418.157293536</v>
      </c>
      <c r="CL52" s="1">
        <f t="shared" si="74"/>
        <v>527388.03463444859</v>
      </c>
      <c r="CM52" s="30"/>
      <c r="CN52" s="1">
        <f>Transport!U52</f>
        <v>4.4195410737302155E-9</v>
      </c>
      <c r="CO52" s="57"/>
      <c r="CQ52" s="1">
        <f>(((($B52+$C52+$D52+$O52+$P52+$Q52)*0.5)+BR52+BS52)*(0.005*'Prices&amp;Fuel'!$H52)+'Index Price Deals'!AV52)+(((BB52+BC52+BD52+BE52+BF52+BG52)*(1-'Prices&amp;Fuel'!F52))*0.005*0.5*'Prices&amp;Fuel'!H52)</f>
        <v>3572.749999999985</v>
      </c>
      <c r="CR52" s="1">
        <f>(((($B52+$C52+$D52+$O52+$P52+$Q52)*0.5)+X52+Y52)*(0.005*'Prices&amp;Fuel'!$H52)+CA52+'Index Price Deals'!AW52)+(((BB52+BC52+BD52+BE52+BF52+BG52)*(1-'Prices&amp;Fuel'!F52))*0.005*0.5*'Prices&amp;Fuel'!H52)</f>
        <v>24921.310411311042</v>
      </c>
      <c r="CS52" s="21"/>
      <c r="CT52" s="1">
        <f>[3]Sheet1!$O64</f>
        <v>27798.572017242986</v>
      </c>
      <c r="CU52" s="1">
        <f>'[4]Long Term Deals'!$Z51</f>
        <v>-34895.062969705476</v>
      </c>
      <c r="CV52" s="60">
        <f t="shared" si="23"/>
        <v>464694.39964749565</v>
      </c>
      <c r="CW52" s="13">
        <f>((B52+C52+D52+O52+P52+Q52+X52+Y52+AF52+AG52+AH52+BB52+BC52+BD52+BE52+BF52+BG52+BR52+BS52)+('Index Price Deals'!B52+'Index Price Deals'!C52+'Index Price Deals'!D52+'Index Price Deals'!L52+'Index Price Deals'!M52+'Index Price Deals'!N52+'Index Price Deals'!AD52+'Index Price Deals'!AE52+'Index Price Deals'!AF52+'Index Price Deals'!AK52+'Index Price Deals'!AL52+'Index Price Deals'!AM52))*'Prices&amp;Fuel'!H52</f>
        <v>5717220.8226221027</v>
      </c>
      <c r="CX52" s="65">
        <f>BQ52/(BB52+BC52+BD52+BE52+BF52+BG52)/'Prices&amp;Fuel'!H52</f>
        <v>9.74683165238108E-2</v>
      </c>
      <c r="CZ52" s="28">
        <f>(BA52-CT52+CU52)/(AF52+AG52+AH52)/'Prices&amp;Fuel'!H52</f>
        <v>9.9304848478785498E-2</v>
      </c>
      <c r="DB52" s="3">
        <f>(O52+P52+Q52)*'Prices&amp;Fuel'!$H52</f>
        <v>778100</v>
      </c>
      <c r="DC52" s="3">
        <f>(X52+Y52)*'Prices&amp;Fuel'!$H52</f>
        <v>62000</v>
      </c>
      <c r="DE52" s="3">
        <v>132000</v>
      </c>
    </row>
    <row r="53" spans="1:109" x14ac:dyDescent="0.25">
      <c r="A53" s="10">
        <f t="shared" si="75"/>
        <v>37208.999999999884</v>
      </c>
      <c r="O53" s="1">
        <v>9036</v>
      </c>
      <c r="P53" s="1">
        <v>10794</v>
      </c>
      <c r="Q53" s="1">
        <v>5270</v>
      </c>
      <c r="R53" s="11">
        <f t="shared" si="77"/>
        <v>2.3363999999999998</v>
      </c>
      <c r="S53" s="11">
        <f t="shared" si="78"/>
        <v>2.3249</v>
      </c>
      <c r="T53" s="1">
        <f>(($O53*R53)+($P53*R53)+($Q53*R53))*'Prices&amp;Fuel'!$H53</f>
        <v>1759309.2</v>
      </c>
      <c r="U53" s="1">
        <f>(($O53*S53)+($P53*S53)+($Q53*S53))*'Prices&amp;Fuel'!$H53</f>
        <v>1750649.7</v>
      </c>
      <c r="V53" s="13">
        <f t="shared" ref="V53:V68" si="80">T53-U53</f>
        <v>8659.5</v>
      </c>
      <c r="X53" s="1">
        <f>1000*0.5</f>
        <v>500</v>
      </c>
      <c r="Y53" s="1">
        <f t="shared" si="61"/>
        <v>500</v>
      </c>
      <c r="Z53" s="12">
        <v>2.2000000000000002</v>
      </c>
      <c r="AA53" s="12">
        <v>2.1800000000000002</v>
      </c>
      <c r="AB53" s="1">
        <f>($X53+$Y53)*Z53*'Prices&amp;Fuel'!$H53</f>
        <v>66000</v>
      </c>
      <c r="AC53" s="1">
        <f>($X53+$Y53)*AA53*'Prices&amp;Fuel'!$H53</f>
        <v>65400</v>
      </c>
      <c r="AD53" s="13">
        <f t="shared" ref="AD53:AD64" si="81">AB53-AC53</f>
        <v>600</v>
      </c>
      <c r="AF53" s="1">
        <f>(32000/(1-'Prices&amp;Fuel'!F53))+(25000/(1-'Prices&amp;Fuel'!G53))-AI53</f>
        <v>58611.825192802062</v>
      </c>
      <c r="AG53" s="1">
        <v>0</v>
      </c>
      <c r="AH53" s="1">
        <f>(75000/(1-'Prices&amp;Fuel'!G53))-AK53</f>
        <v>77120.822622107968</v>
      </c>
      <c r="AI53" s="1"/>
      <c r="AJ53" s="1"/>
      <c r="AK53" s="1"/>
      <c r="AL53" s="21">
        <f>ROUND((132000/(1-'Prices&amp;Fuel'!F53))-AF53-AG53-AH53,0)</f>
        <v>0</v>
      </c>
      <c r="AM53" s="1">
        <f t="shared" si="51"/>
        <v>0</v>
      </c>
      <c r="AO53" s="1">
        <f>ROUND((75000/(1-'Prices&amp;Fuel'!G53)-AV53-AK53)/2,0)</f>
        <v>38560</v>
      </c>
      <c r="AP53" s="1">
        <f t="shared" ref="AP53:AP68" si="82">IF(80000&gt;AF53,AF53,80000)</f>
        <v>58611.825192802062</v>
      </c>
      <c r="AR53" s="1">
        <f t="shared" si="73"/>
        <v>0</v>
      </c>
      <c r="AT53" s="13">
        <f t="shared" si="25"/>
        <v>38560.822622107968</v>
      </c>
      <c r="AU53" s="13">
        <f>AL53*AX53*'Prices&amp;Fuel'!H53</f>
        <v>0</v>
      </c>
      <c r="AW53" s="20">
        <f t="shared" si="72"/>
        <v>0.1</v>
      </c>
      <c r="AX53" s="20">
        <f t="shared" si="54"/>
        <v>2.5000000000000001E-2</v>
      </c>
      <c r="AY53" s="6">
        <f>('Prices&amp;Fuel'!H53*('Prices&amp;Fuel'!B53+AW53)*'Long Term Deals'!AF53)+('Prices&amp;Fuel'!H53*('Prices&amp;Fuel'!C53+'Long Term Deals'!AW53)*'Long Term Deals'!AG53)+(AH53*('Prices&amp;Fuel'!C53+AW53)*'Prices&amp;Fuel'!H53)+(AW53*AL53*'Prices&amp;Fuel'!H53)</f>
        <v>14512904.884318767</v>
      </c>
      <c r="AZ53" s="6">
        <f>(AP53*'Prices&amp;Fuel'!H53*'Prices&amp;Fuel'!B53)+(AQ53*'Prices&amp;Fuel'!C53*'Prices&amp;Fuel'!H53)+((AM53+AR53)*('Prices&amp;Fuel'!B53+'Long Term Deals'!AX53)*'Prices&amp;Fuel'!H53)+((AN53+AS53)*('Prices&amp;Fuel'!C53+'Long Term Deals'!AX53)*'Prices&amp;Fuel'!H53)+((AO53+AT53)*('Prices&amp;Fuel'!D53+'Long Term Deals'!AX53)*'Prices&amp;Fuel'!H53)+(AV53*'Prices&amp;Fuel'!H53*'Prices&amp;Fuel'!Q53)+AU53</f>
        <v>14047866.323907455</v>
      </c>
      <c r="BA53" s="6">
        <f t="shared" ref="BA53:BA68" si="83">AY53-AZ53</f>
        <v>465038.56041131169</v>
      </c>
      <c r="BB53" s="6">
        <f>IF('FP Corp'!T53-((BE53+BF53+BG53)*(1-'Prices&amp;Fuel'!F53))&lt;'Prices&amp;Fuel'!R53,('FP Corp'!T53-(BE53+BF53+BG53)*(1-'Prices&amp;Fuel'!F53)),'Prices&amp;Fuel'!R53)/(1-'Prices&amp;Fuel'!F53)</f>
        <v>4325.9640102827761</v>
      </c>
      <c r="BC53" s="14"/>
      <c r="BD53" s="14">
        <f>ROUND(IF('FP Corp'!T53/(1-'Prices&amp;Fuel'!F53)-BE53-BF53-BG53-BB53&gt;'Prices&amp;Fuel'!T53,'Prices&amp;Fuel'!T53,'FP Corp'!T53/(1-'Prices&amp;Fuel'!F53)-BE53-BF53-BG53-BB53),9)</f>
        <v>0</v>
      </c>
      <c r="BE53" s="14">
        <f>'Prices&amp;Fuel'!U53/(1-'Prices&amp;Fuel'!F53)</f>
        <v>2635.4755784061695</v>
      </c>
      <c r="BF53" s="14">
        <f>('Prices&amp;Fuel'!V53+'Prices&amp;Fuel'!X53)/(1-'Prices&amp;Fuel'!F53)</f>
        <v>3645.2442159383031</v>
      </c>
      <c r="BG53" s="14">
        <f>'Prices&amp;Fuel'!W53/(1-'Prices&amp;Fuel'!F53)</f>
        <v>1732.6478149100255</v>
      </c>
      <c r="BH53" s="25">
        <f>('Prices&amp;Fuel'!C53+'Prices&amp;Fuel'!D53)/2-0.05+('Prices&amp;Fuel'!M53+'Prices&amp;Fuel'!P53)*(1-'Prices&amp;Fuel'!F53)</f>
        <v>4.1639222500000006</v>
      </c>
      <c r="BI53" s="14">
        <f t="shared" si="76"/>
        <v>4325.9640102827761</v>
      </c>
      <c r="BJ53" s="14"/>
      <c r="BK53" s="25">
        <f>(((BB53+BE53)*('Prices&amp;Fuel'!B53+0.025))+(('Prices&amp;Fuel'!D53+0.025)*(BD53+BG53))+(('Prices&amp;Fuel'!C53+0.025)*(BC53+BF53))-(BI53+BJ53)*0.025)/(BB53+BC53+BD53+BE53+BF53+BG53)</f>
        <v>3.4653645833333333</v>
      </c>
      <c r="BL53" s="14">
        <f>(BB53+BC53+BD53+BE53+BF53+BG53)*BH53*'Prices&amp;Fuel'!H53</f>
        <v>1541400.5244215939</v>
      </c>
      <c r="BM53" s="14">
        <f>'Prices&amp;Fuel'!X53*('Prices&amp;Fuel'!N53+'Prices&amp;Fuel'!O53)*'Prices&amp;Fuel'!H53</f>
        <v>8667.2700000000023</v>
      </c>
      <c r="BN53" s="14">
        <f>('Prices&amp;Fuel'!U53+'Prices&amp;Fuel'!V53+'Prices&amp;Fuel'!W53)*('Prices&amp;Fuel'!L53+'Prices&amp;Fuel'!O53)*'Prices&amp;Fuel'!H53</f>
        <v>90225.900000000009</v>
      </c>
      <c r="BO53" s="14">
        <f>((BB53+BC53+BD53)*(1-'Prices&amp;Fuel'!G53))*('Prices&amp;Fuel'!M53+'Prices&amp;Fuel'!P53)*'Prices&amp;Fuel'!H53</f>
        <v>97194.320999999996</v>
      </c>
      <c r="BP53" s="14">
        <f>((BD53+BC53+BB53+BE53+BF53+BG53)*BK53*'Prices&amp;Fuel'!H53)+BM53+BN53+BO53</f>
        <v>1478895.9742904883</v>
      </c>
      <c r="BQ53" s="6">
        <f t="shared" si="79"/>
        <v>62504.550131105585</v>
      </c>
      <c r="CA53" s="6">
        <f>(AF53+AG53+AH53+AL53)*0.005*'Prices&amp;Fuel'!H53</f>
        <v>20359.897172236506</v>
      </c>
      <c r="CB53" s="6">
        <f>(B53+C53+D53+O53+P53+Q53+X53+Y53+BB53+BC53+BD53+BE53+BF53+BG53+BR53+BS53)*0.005*'Prices&amp;Fuel'!H53</f>
        <v>5765.8997429305919</v>
      </c>
      <c r="CC53" s="1">
        <f t="shared" si="68"/>
        <v>17879614.60874036</v>
      </c>
      <c r="CD53" s="1">
        <f t="shared" si="69"/>
        <v>17368937.795113109</v>
      </c>
      <c r="CE53" s="1">
        <f t="shared" si="70"/>
        <v>510676.81362725049</v>
      </c>
      <c r="CF53" s="1">
        <f>'Index Price Deals'!AR53</f>
        <v>0</v>
      </c>
      <c r="CG53" s="1">
        <f>'Index Price Deals'!AS53</f>
        <v>0</v>
      </c>
      <c r="CH53" s="1">
        <f>'Index Price Deals'!AT53</f>
        <v>0</v>
      </c>
      <c r="CI53" s="1">
        <f>'Index Price Deals'!AU53</f>
        <v>0</v>
      </c>
      <c r="CJ53" s="1">
        <f t="shared" ref="CJ53:CJ68" si="84">CC53+CF53</f>
        <v>17879614.60874036</v>
      </c>
      <c r="CK53" s="1">
        <f t="shared" si="74"/>
        <v>17368937.795113109</v>
      </c>
      <c r="CL53" s="1">
        <f t="shared" si="74"/>
        <v>510676.81362725049</v>
      </c>
      <c r="CM53" s="30"/>
      <c r="CN53" s="1">
        <f>Transport!U53</f>
        <v>0</v>
      </c>
      <c r="CO53" s="57"/>
      <c r="CQ53" s="1">
        <f>(((($B53+$C53+$D53+$O53+$P53+$Q53)*0.5)+BR53+BS53)*(0.005*'Prices&amp;Fuel'!$H53)+'Index Price Deals'!AV53)+(((BB53+BC53+BD53+BE53+BF53+BG53)*(1-'Prices&amp;Fuel'!F53))*0.005*0.5*'Prices&amp;Fuel'!H53)</f>
        <v>2782.5</v>
      </c>
      <c r="CR53" s="1">
        <f>(((($B53+$C53+$D53+$O53+$P53+$Q53)*0.5)+X53+Y53)*(0.005*'Prices&amp;Fuel'!$H53)+CA53+'Index Price Deals'!AW53)+(((BB53+BC53+BD53+BE53+BF53+BG53)*(1-'Prices&amp;Fuel'!F53))*0.005*0.5*'Prices&amp;Fuel'!H53)</f>
        <v>23292.397172236506</v>
      </c>
      <c r="CS53" s="21"/>
      <c r="CT53" s="1">
        <f>[3]Sheet1!$O65</f>
        <v>26901.843887654482</v>
      </c>
      <c r="CU53" s="1">
        <f>'[4]Long Term Deals'!$Z52</f>
        <v>-33769.415777134331</v>
      </c>
      <c r="CV53" s="60">
        <f t="shared" si="23"/>
        <v>450005.55396246165</v>
      </c>
      <c r="CW53" s="13">
        <f>((B53+C53+D53+O53+P53+Q53+X53+Y53+AF53+AG53+AH53+BB53+BC53+BD53+BE53+BF53+BG53+BR53+BS53)+('Index Price Deals'!B53+'Index Price Deals'!C53+'Index Price Deals'!D53+'Index Price Deals'!L53+'Index Price Deals'!M53+'Index Price Deals'!N53+'Index Price Deals'!AD53+'Index Price Deals'!AE53+'Index Price Deals'!AF53+'Index Price Deals'!AK53+'Index Price Deals'!AL53+'Index Price Deals'!AM53))*'Prices&amp;Fuel'!H53</f>
        <v>5225159.3830334181</v>
      </c>
      <c r="CX53" s="65">
        <f>BQ53/(BB53+BC53+BD53+BE53+BF53+BG53)/'Prices&amp;Fuel'!H53</f>
        <v>0.16884909722916719</v>
      </c>
      <c r="CZ53" s="28">
        <f>(BA53-CT53+CU53)/(AF53+AG53+AH53)/'Prices&amp;Fuel'!H53</f>
        <v>9.9304848478786206E-2</v>
      </c>
      <c r="DB53" s="3">
        <f>(O53+P53+Q53)*'Prices&amp;Fuel'!$H53</f>
        <v>753000</v>
      </c>
      <c r="DC53" s="3">
        <f>(X53+Y53)*'Prices&amp;Fuel'!$H53</f>
        <v>30000</v>
      </c>
      <c r="DE53" s="3">
        <v>132000</v>
      </c>
    </row>
    <row r="54" spans="1:109" x14ac:dyDescent="0.25">
      <c r="A54" s="10">
        <f t="shared" si="75"/>
        <v>37239.416666666548</v>
      </c>
      <c r="O54" s="1">
        <v>9036</v>
      </c>
      <c r="P54" s="1">
        <v>10794</v>
      </c>
      <c r="Q54" s="1">
        <v>5270</v>
      </c>
      <c r="R54" s="11">
        <f t="shared" si="77"/>
        <v>2.3363999999999998</v>
      </c>
      <c r="S54" s="11">
        <f t="shared" si="78"/>
        <v>2.3249</v>
      </c>
      <c r="T54" s="1">
        <f>(($O54*R54)+($P54*R54)+($Q54*R54))*'Prices&amp;Fuel'!$H54</f>
        <v>1817952.84</v>
      </c>
      <c r="U54" s="1">
        <f>(($O54*S54)+($P54*S54)+($Q54*S54))*'Prices&amp;Fuel'!$H54</f>
        <v>1809004.69</v>
      </c>
      <c r="V54" s="13">
        <f t="shared" si="80"/>
        <v>8948.1500000001397</v>
      </c>
      <c r="X54" s="1">
        <f t="shared" ref="X54:X64" si="85">1000*0.5</f>
        <v>500</v>
      </c>
      <c r="Y54" s="1">
        <f t="shared" si="61"/>
        <v>500</v>
      </c>
      <c r="Z54" s="12">
        <v>2.2000000000000002</v>
      </c>
      <c r="AA54" s="12">
        <v>2.1800000000000002</v>
      </c>
      <c r="AB54" s="1">
        <f>($X54+$Y54)*Z54*'Prices&amp;Fuel'!$H54</f>
        <v>68200</v>
      </c>
      <c r="AC54" s="1">
        <f>($X54+$Y54)*AA54*'Prices&amp;Fuel'!$H54</f>
        <v>67580</v>
      </c>
      <c r="AD54" s="13">
        <f t="shared" si="81"/>
        <v>620</v>
      </c>
      <c r="AF54" s="1">
        <f>(32000/(1-'Prices&amp;Fuel'!F54))+(25000/(1-'Prices&amp;Fuel'!G54))-AI54</f>
        <v>58611.825192802062</v>
      </c>
      <c r="AG54" s="1">
        <v>0</v>
      </c>
      <c r="AH54" s="1">
        <f>(75000/(1-'Prices&amp;Fuel'!G54))-AK54</f>
        <v>77120.822622107968</v>
      </c>
      <c r="AI54" s="1"/>
      <c r="AJ54" s="1"/>
      <c r="AK54" s="1"/>
      <c r="AL54" s="21">
        <f>ROUND((132000/(1-'Prices&amp;Fuel'!F54))-AF54-AG54-AH54,0)</f>
        <v>0</v>
      </c>
      <c r="AM54" s="1">
        <f t="shared" si="51"/>
        <v>0</v>
      </c>
      <c r="AO54" s="1">
        <f>ROUND((75000/(1-'Prices&amp;Fuel'!G54)-AV54-AK54)/2,0)</f>
        <v>38560</v>
      </c>
      <c r="AP54" s="1">
        <f t="shared" si="82"/>
        <v>58611.825192802062</v>
      </c>
      <c r="AR54" s="1">
        <f t="shared" si="73"/>
        <v>0</v>
      </c>
      <c r="AT54" s="13">
        <f t="shared" si="25"/>
        <v>38560.822622107968</v>
      </c>
      <c r="AU54" s="13">
        <f>AL54*AX54*'Prices&amp;Fuel'!H54</f>
        <v>0</v>
      </c>
      <c r="AW54" s="20">
        <f t="shared" si="72"/>
        <v>0.1</v>
      </c>
      <c r="AX54" s="20">
        <f t="shared" si="54"/>
        <v>2.5000000000000001E-2</v>
      </c>
      <c r="AY54" s="6">
        <f>('Prices&amp;Fuel'!H54*('Prices&amp;Fuel'!B54+AW54)*'Long Term Deals'!AF54)+('Prices&amp;Fuel'!H54*('Prices&amp;Fuel'!C54+'Long Term Deals'!AW54)*'Long Term Deals'!AG54)+(AH54*('Prices&amp;Fuel'!C54+AW54)*'Prices&amp;Fuel'!H54)+(AW54*AL54*'Prices&amp;Fuel'!H54)</f>
        <v>11293881.74807198</v>
      </c>
      <c r="AZ54" s="6">
        <f>(AP54*'Prices&amp;Fuel'!H54*'Prices&amp;Fuel'!B54)+(AQ54*'Prices&amp;Fuel'!C54*'Prices&amp;Fuel'!H54)+((AM54+AR54)*('Prices&amp;Fuel'!B54+'Long Term Deals'!AX54)*'Prices&amp;Fuel'!H54)+((AN54+AS54)*('Prices&amp;Fuel'!C54+'Long Term Deals'!AX54)*'Prices&amp;Fuel'!H54)+((AO54+AT54)*('Prices&amp;Fuel'!D54+'Long Term Deals'!AX54)*'Prices&amp;Fuel'!H54)+(AV54*'Prices&amp;Fuel'!H54*'Prices&amp;Fuel'!Q54)+AU54</f>
        <v>10813341.902313627</v>
      </c>
      <c r="BA54" s="6">
        <f t="shared" si="83"/>
        <v>480539.84575835243</v>
      </c>
      <c r="BB54" s="6">
        <f>IF('FP Corp'!T54-((BE54+BF54+BG54)*(1-'Prices&amp;Fuel'!F54))&lt;'Prices&amp;Fuel'!R54,('FP Corp'!T54-(BE54+BF54+BG54)*(1-'Prices&amp;Fuel'!F54)),'Prices&amp;Fuel'!R54)/(1-'Prices&amp;Fuel'!F54)</f>
        <v>4325.9640102827761</v>
      </c>
      <c r="BC54" s="14"/>
      <c r="BD54" s="14">
        <f>ROUND(IF('FP Corp'!T54/(1-'Prices&amp;Fuel'!F54)-BE54-BF54-BG54-BB54&gt;'Prices&amp;Fuel'!T54,'Prices&amp;Fuel'!T54,'FP Corp'!T54/(1-'Prices&amp;Fuel'!F54)-BE54-BF54-BG54-BB54),9)</f>
        <v>0</v>
      </c>
      <c r="BE54" s="14">
        <f>'Prices&amp;Fuel'!U54/(1-'Prices&amp;Fuel'!F54)</f>
        <v>2635.4755784061695</v>
      </c>
      <c r="BF54" s="14">
        <f>('Prices&amp;Fuel'!V54+'Prices&amp;Fuel'!X54)/(1-'Prices&amp;Fuel'!F54)</f>
        <v>3645.2442159383031</v>
      </c>
      <c r="BG54" s="14">
        <f>'Prices&amp;Fuel'!W54/(1-'Prices&amp;Fuel'!F54)</f>
        <v>1732.6478149100255</v>
      </c>
      <c r="BH54" s="25">
        <f>('Prices&amp;Fuel'!C54+'Prices&amp;Fuel'!D54)/2-0.05+('Prices&amp;Fuel'!M54+'Prices&amp;Fuel'!P54)*(1-'Prices&amp;Fuel'!F54)</f>
        <v>3.2839222500000007</v>
      </c>
      <c r="BI54" s="14">
        <f t="shared" si="76"/>
        <v>4325.9640102827761</v>
      </c>
      <c r="BJ54" s="14"/>
      <c r="BK54" s="25">
        <f>(((BB54+BE54)*('Prices&amp;Fuel'!B54+0.025))+(('Prices&amp;Fuel'!D54+0.025)*(BD54+BG54))+(('Prices&amp;Fuel'!C54+0.025)*(BC54+BF54))-(BI54+BJ54)*0.025)/(BB54+BC54+BD54+BE54+BF54+BG54)</f>
        <v>2.5853645833333334</v>
      </c>
      <c r="BL54" s="14">
        <f>(BB54+BC54+BD54+BE54+BF54+BG54)*BH54*'Prices&amp;Fuel'!H54</f>
        <v>1256163.5753213367</v>
      </c>
      <c r="BM54" s="14">
        <f>'Prices&amp;Fuel'!X54*('Prices&amp;Fuel'!N54+'Prices&amp;Fuel'!O54)*'Prices&amp;Fuel'!H54</f>
        <v>8956.1790000000019</v>
      </c>
      <c r="BN54" s="14">
        <f>('Prices&amp;Fuel'!U54+'Prices&amp;Fuel'!V54+'Prices&amp;Fuel'!W54)*('Prices&amp;Fuel'!L54+'Prices&amp;Fuel'!O54)*'Prices&amp;Fuel'!H54</f>
        <v>93233.430000000008</v>
      </c>
      <c r="BO54" s="14">
        <f>((BB54+BC54+BD54)*(1-'Prices&amp;Fuel'!G54))*('Prices&amp;Fuel'!M54+'Prices&amp;Fuel'!P54)*'Prices&amp;Fuel'!H54</f>
        <v>100434.1317</v>
      </c>
      <c r="BP54" s="14">
        <f>((BD54+BC54+BB54+BE54+BF54+BG54)*BK54*'Prices&amp;Fuel'!H54)+BM54+BN54+BO54</f>
        <v>1191575.5401858611</v>
      </c>
      <c r="BQ54" s="6">
        <f t="shared" si="79"/>
        <v>64588.035135475686</v>
      </c>
      <c r="CA54" s="6">
        <f>(AF54+AG54+AH54+AL54)*0.005*'Prices&amp;Fuel'!H54</f>
        <v>21038.560411311057</v>
      </c>
      <c r="CB54" s="6">
        <f>(B54+C54+D54+O54+P54+Q54+X54+Y54+BB54+BC54+BD54+BE54+BF54+BG54+BR54+BS54)*0.005*'Prices&amp;Fuel'!H54</f>
        <v>5958.0964010282787</v>
      </c>
      <c r="CC54" s="1">
        <f t="shared" ref="CC54:CC69" si="86">K54+T54+AB54+AY54+BL54+BX54</f>
        <v>14436198.163393317</v>
      </c>
      <c r="CD54" s="1">
        <f t="shared" ref="CD54:CD69" si="87">L54+U54+AC54+AZ54+BP54+BY54+CA54+CB54</f>
        <v>13908498.789311828</v>
      </c>
      <c r="CE54" s="1">
        <f t="shared" ref="CE54:CE69" si="88">CC54-CD54</f>
        <v>527699.3740814887</v>
      </c>
      <c r="CF54" s="1">
        <f>'Index Price Deals'!AR54</f>
        <v>0</v>
      </c>
      <c r="CG54" s="1">
        <f>'Index Price Deals'!AS54</f>
        <v>0</v>
      </c>
      <c r="CH54" s="1">
        <f>'Index Price Deals'!AT54</f>
        <v>0</v>
      </c>
      <c r="CI54" s="1">
        <f>'Index Price Deals'!AU54</f>
        <v>0</v>
      </c>
      <c r="CJ54" s="1">
        <f t="shared" si="84"/>
        <v>14436198.163393317</v>
      </c>
      <c r="CK54" s="1">
        <f t="shared" si="74"/>
        <v>13908498.789311828</v>
      </c>
      <c r="CL54" s="1">
        <f t="shared" si="74"/>
        <v>527699.3740814887</v>
      </c>
      <c r="CM54" s="1">
        <f>SUM(CL43:CL54)</f>
        <v>7157106.6905868798</v>
      </c>
      <c r="CN54" s="1">
        <f>Transport!U54</f>
        <v>0</v>
      </c>
      <c r="CO54" s="57"/>
      <c r="CQ54" s="1">
        <f>(((($B54+$C54+$D54+$O54+$P54+$Q54)*0.5)+BR54+BS54)*(0.005*'Prices&amp;Fuel'!$H54)+'Index Price Deals'!AV54)+(((BB54+BC54+BD54+BE54+BF54+BG54)*(1-'Prices&amp;Fuel'!F54))*0.005*0.5*'Prices&amp;Fuel'!H54)</f>
        <v>2875.25</v>
      </c>
      <c r="CR54" s="1">
        <f>(((($B54+$C54+$D54+$O54+$P54+$Q54)*0.5)+X54+Y54)*(0.005*'Prices&amp;Fuel'!$H54)+CA54+'Index Price Deals'!AW54)+(((BB54+BC54+BD54+BE54+BF54+BG54)*(1-'Prices&amp;Fuel'!F54))*0.005*0.5*'Prices&amp;Fuel'!H54)</f>
        <v>24068.810411311057</v>
      </c>
      <c r="CS54" s="21"/>
      <c r="CT54" s="1">
        <f>[3]Sheet1!$O66</f>
        <v>27798.572017242986</v>
      </c>
      <c r="CU54" s="1">
        <f>'[4]Long Term Deals'!$Z53</f>
        <v>-34895.062969705476</v>
      </c>
      <c r="CV54" s="60">
        <f t="shared" si="23"/>
        <v>465005.73909454019</v>
      </c>
      <c r="CW54" s="13">
        <f>((B54+C54+D54+O54+P54+Q54+X54+Y54+AF54+AG54+AH54+BB54+BC54+BD54+BE54+BF54+BG54+BR54+BS54)+('Index Price Deals'!B54+'Index Price Deals'!C54+'Index Price Deals'!D54+'Index Price Deals'!L54+'Index Price Deals'!M54+'Index Price Deals'!N54+'Index Price Deals'!AD54+'Index Price Deals'!AE54+'Index Price Deals'!AF54+'Index Price Deals'!AK54+'Index Price Deals'!AL54+'Index Price Deals'!AM54))*'Prices&amp;Fuel'!H54</f>
        <v>5399331.3624678655</v>
      </c>
      <c r="CX54" s="65">
        <f>BQ54/(BB54+BC54+BD54+BE54+BF54+BG54)/'Prices&amp;Fuel'!H54</f>
        <v>0.16884909722916697</v>
      </c>
      <c r="CZ54" s="28">
        <f>(BA54-CT54+CU54)/(AF54+AG54+AH54)/'Prices&amp;Fuel'!H54</f>
        <v>9.9304848478785498E-2</v>
      </c>
      <c r="DB54" s="3">
        <f>(O54+P54+Q54)*'Prices&amp;Fuel'!$H54</f>
        <v>778100</v>
      </c>
      <c r="DC54" s="3">
        <f>(X54+Y54)*'Prices&amp;Fuel'!$H54</f>
        <v>31000</v>
      </c>
      <c r="DE54" s="3">
        <v>132000</v>
      </c>
    </row>
    <row r="55" spans="1:109" x14ac:dyDescent="0.25">
      <c r="A55" s="10">
        <f t="shared" si="75"/>
        <v>37269.833333333212</v>
      </c>
      <c r="O55" s="1">
        <v>9036</v>
      </c>
      <c r="P55" s="1">
        <v>10794</v>
      </c>
      <c r="Q55" s="1">
        <v>5270</v>
      </c>
      <c r="R55" s="11">
        <f t="shared" si="77"/>
        <v>2.3363999999999998</v>
      </c>
      <c r="S55" s="11">
        <f t="shared" si="78"/>
        <v>2.3249</v>
      </c>
      <c r="T55" s="1">
        <f>(($O55*R55)+($P55*R55)+($Q55*R55))*'Prices&amp;Fuel'!$H55</f>
        <v>1817952.84</v>
      </c>
      <c r="U55" s="1">
        <f>(($O55*S55)+($P55*S55)+($Q55*S55))*'Prices&amp;Fuel'!$H55</f>
        <v>1809004.69</v>
      </c>
      <c r="V55" s="13">
        <f t="shared" si="80"/>
        <v>8948.1500000001397</v>
      </c>
      <c r="X55" s="1">
        <f t="shared" si="85"/>
        <v>500</v>
      </c>
      <c r="Y55" s="1">
        <f t="shared" si="61"/>
        <v>500</v>
      </c>
      <c r="Z55" s="12">
        <v>2.2000000000000002</v>
      </c>
      <c r="AA55" s="12">
        <v>2.1800000000000002</v>
      </c>
      <c r="AB55" s="1">
        <f>($X55+$Y55)*Z55*'Prices&amp;Fuel'!$H55</f>
        <v>68200</v>
      </c>
      <c r="AC55" s="1">
        <f>($X55+$Y55)*AA55*'Prices&amp;Fuel'!$H55</f>
        <v>67580</v>
      </c>
      <c r="AD55" s="13">
        <f t="shared" si="81"/>
        <v>620</v>
      </c>
      <c r="AF55" s="1">
        <f>(32000/(1-'Prices&amp;Fuel'!F55))+(25000/(1-'Prices&amp;Fuel'!G55))-AI55</f>
        <v>58611.825192802062</v>
      </c>
      <c r="AG55" s="1">
        <v>0</v>
      </c>
      <c r="AH55" s="1">
        <f>(75000/(1-'Prices&amp;Fuel'!G55))-AK55</f>
        <v>77120.822622107968</v>
      </c>
      <c r="AI55" s="1"/>
      <c r="AJ55" s="1"/>
      <c r="AK55" s="1"/>
      <c r="AL55" s="21">
        <f>ROUND((132000/(1-'Prices&amp;Fuel'!F55))-AF55-AG55-AH55,0)</f>
        <v>0</v>
      </c>
      <c r="AM55" s="1">
        <f t="shared" si="51"/>
        <v>0</v>
      </c>
      <c r="AO55" s="1">
        <f>ROUND((75000/(1-'Prices&amp;Fuel'!G55)-AV55-AK55)/2,0)</f>
        <v>38560</v>
      </c>
      <c r="AP55" s="1">
        <f t="shared" si="82"/>
        <v>58611.825192802062</v>
      </c>
      <c r="AR55" s="1">
        <f t="shared" si="73"/>
        <v>0</v>
      </c>
      <c r="AT55" s="13">
        <f t="shared" si="25"/>
        <v>38560.822622107968</v>
      </c>
      <c r="AU55" s="13">
        <f>AL55*AX55*'Prices&amp;Fuel'!H55</f>
        <v>0</v>
      </c>
      <c r="AW55" s="20">
        <v>0.09</v>
      </c>
      <c r="AX55" s="20">
        <f t="shared" si="54"/>
        <v>2.5000000000000001E-2</v>
      </c>
      <c r="AY55" s="6">
        <f>('Prices&amp;Fuel'!H55*('Prices&amp;Fuel'!B55+AW55)*'Long Term Deals'!AF55)+('Prices&amp;Fuel'!H55*('Prices&amp;Fuel'!C55+'Long Term Deals'!AW55)*'Long Term Deals'!AG55)+(AH55*('Prices&amp;Fuel'!C55+AW55)*'Prices&amp;Fuel'!H55)+(AW55*AL55*'Prices&amp;Fuel'!H55)</f>
        <v>9821182.5192802064</v>
      </c>
      <c r="AZ55" s="6">
        <f>(AP55*'Prices&amp;Fuel'!H55*'Prices&amp;Fuel'!B55)+(AQ55*'Prices&amp;Fuel'!C55*'Prices&amp;Fuel'!H55)+((AM55+AR55)*('Prices&amp;Fuel'!B55+'Long Term Deals'!AX55)*'Prices&amp;Fuel'!H55)+((AN55+AS55)*('Prices&amp;Fuel'!C55+'Long Term Deals'!AX55)*'Prices&amp;Fuel'!H55)+((AO55+AT55)*('Prices&amp;Fuel'!D55+'Long Term Deals'!AX55)*'Prices&amp;Fuel'!H55)+(AV55*'Prices&amp;Fuel'!H55*'Prices&amp;Fuel'!Q55)+AU55</f>
        <v>9382719.7943444755</v>
      </c>
      <c r="BA55" s="6">
        <f t="shared" si="83"/>
        <v>438462.72493573092</v>
      </c>
      <c r="BB55" s="6">
        <f>IF('FP Corp'!T55-((BE55+BF55+BG55)*(1-'Prices&amp;Fuel'!F55))&lt;'Prices&amp;Fuel'!R55,('FP Corp'!T55-(BE55+BF55+BG55)*(1-'Prices&amp;Fuel'!F55)),'Prices&amp;Fuel'!R55)/(1-'Prices&amp;Fuel'!F55)</f>
        <v>4325.9640102827761</v>
      </c>
      <c r="BC55" s="14"/>
      <c r="BD55" s="14">
        <f>ROUND(IF('FP Corp'!T55/(1-'Prices&amp;Fuel'!F55)-BE55-BF55-BG55-BB55&gt;'Prices&amp;Fuel'!T55,'Prices&amp;Fuel'!T55,'FP Corp'!T55/(1-'Prices&amp;Fuel'!F55)-BE55-BF55-BG55-BB55),9)</f>
        <v>0</v>
      </c>
      <c r="BE55" s="14">
        <f>'Prices&amp;Fuel'!U55/(1-'Prices&amp;Fuel'!F55)</f>
        <v>2635.4755784061695</v>
      </c>
      <c r="BF55" s="14">
        <f>('Prices&amp;Fuel'!V55+'Prices&amp;Fuel'!X55)/(1-'Prices&amp;Fuel'!F55)</f>
        <v>3645.2442159383031</v>
      </c>
      <c r="BG55" s="14">
        <f>'Prices&amp;Fuel'!W55/(1-'Prices&amp;Fuel'!F55)</f>
        <v>1732.6478149100255</v>
      </c>
      <c r="BH55" s="25">
        <f>('Prices&amp;Fuel'!C55+'Prices&amp;Fuel'!D55)/2-0.05+('Prices&amp;Fuel'!M55+'Prices&amp;Fuel'!P55)*(1-'Prices&amp;Fuel'!F55)</f>
        <v>2.9439222500000009</v>
      </c>
      <c r="BI55" s="14">
        <f t="shared" si="76"/>
        <v>4325.9640102827761</v>
      </c>
      <c r="BJ55" s="14"/>
      <c r="BK55" s="25">
        <f>(((BB55+BE55)*('Prices&amp;Fuel'!B55+0.025))+(('Prices&amp;Fuel'!D55+0.025)*(BD55+BG55))+(('Prices&amp;Fuel'!C55+0.025)*(BC55+BF55))-(BI55+BJ55)*0.025)/(BB55+BC55+BD55+BE55+BF55+BG55)</f>
        <v>2.2453645833333336</v>
      </c>
      <c r="BL55" s="14">
        <f>(BB55+BC55+BD55+BE55+BF55+BG55)*BH55*'Prices&amp;Fuel'!H55</f>
        <v>1126107.0200514141</v>
      </c>
      <c r="BM55" s="14">
        <f>'Prices&amp;Fuel'!X55*('Prices&amp;Fuel'!N55+'Prices&amp;Fuel'!O55)*'Prices&amp;Fuel'!H55</f>
        <v>8956.1790000000019</v>
      </c>
      <c r="BN55" s="14">
        <f>('Prices&amp;Fuel'!U55+'Prices&amp;Fuel'!V55+'Prices&amp;Fuel'!W55)*('Prices&amp;Fuel'!L55+'Prices&amp;Fuel'!O55)*'Prices&amp;Fuel'!H55</f>
        <v>93233.430000000008</v>
      </c>
      <c r="BO55" s="14">
        <f>((BB55+BC55+BD55)*(1-'Prices&amp;Fuel'!G55))*('Prices&amp;Fuel'!M55+'Prices&amp;Fuel'!P55)*'Prices&amp;Fuel'!H55</f>
        <v>100434.1317</v>
      </c>
      <c r="BP55" s="14">
        <f>((BD55+BC55+BB55+BE55+BF55+BG55)*BK55*'Prices&amp;Fuel'!H55)+BM55+BN55+BO55</f>
        <v>1061518.9849159382</v>
      </c>
      <c r="BQ55" s="6">
        <f t="shared" si="79"/>
        <v>64588.035135475919</v>
      </c>
      <c r="CA55" s="6">
        <f>(AF55+AG55+AH55+AL55)*0.005*'Prices&amp;Fuel'!H55</f>
        <v>21038.560411311057</v>
      </c>
      <c r="CB55" s="6">
        <f>(B55+C55+D55+O55+P55+Q55+X55+Y55+BB55+BC55+BD55+BE55+BF55+BG55+BR55+BS55)*0.005*'Prices&amp;Fuel'!H55</f>
        <v>5958.0964010282787</v>
      </c>
      <c r="CC55" s="1">
        <f t="shared" si="86"/>
        <v>12833442.37933162</v>
      </c>
      <c r="CD55" s="1">
        <f t="shared" si="87"/>
        <v>12347820.126072753</v>
      </c>
      <c r="CE55" s="1">
        <f t="shared" si="88"/>
        <v>485622.25325886719</v>
      </c>
      <c r="CF55" s="1">
        <f>'Index Price Deals'!AR55</f>
        <v>0</v>
      </c>
      <c r="CG55" s="1">
        <f>'Index Price Deals'!AS55</f>
        <v>0</v>
      </c>
      <c r="CH55" s="1">
        <f>'Index Price Deals'!AT55</f>
        <v>0</v>
      </c>
      <c r="CI55" s="1">
        <f>'Index Price Deals'!AU55</f>
        <v>0</v>
      </c>
      <c r="CJ55" s="1">
        <f t="shared" si="84"/>
        <v>12833442.37933162</v>
      </c>
      <c r="CK55" s="1">
        <f t="shared" si="74"/>
        <v>12347820.126072753</v>
      </c>
      <c r="CL55" s="1">
        <f t="shared" si="74"/>
        <v>485622.25325886719</v>
      </c>
      <c r="CM55" s="30"/>
      <c r="CN55" s="1">
        <f>Transport!U55</f>
        <v>0</v>
      </c>
      <c r="CO55" s="57"/>
      <c r="CQ55" s="1">
        <f>(((($B55+$C55+$D55+$O55+$P55+$Q55)*0.5)+BR55+BS55)*(0.005*'Prices&amp;Fuel'!$H55)+'Index Price Deals'!AV55)+(((BB55+BC55+BD55+BE55+BF55+BG55)*(1-'Prices&amp;Fuel'!F55))*0.005*0.5*'Prices&amp;Fuel'!H55)</f>
        <v>2875.25</v>
      </c>
      <c r="CR55" s="1">
        <f>(((($B55+$C55+$D55+$O55+$P55+$Q55)*0.5)+X55+Y55)*(0.005*'Prices&amp;Fuel'!$H55)+CA55+'Index Price Deals'!AW55)+(((BB55+BC55+BD55+BE55+BF55+BG55)*(1-'Prices&amp;Fuel'!F55))*0.005*0.5*'Prices&amp;Fuel'!H55)</f>
        <v>24068.810411311057</v>
      </c>
      <c r="CS55" s="21"/>
      <c r="CT55" s="1">
        <f>[3]Sheet1!$O68</f>
        <v>-14408.751345315075</v>
      </c>
      <c r="CU55" s="1">
        <f>'[4]Long Term Deals'!$Z54</f>
        <v>-34895.062969705476</v>
      </c>
      <c r="CV55" s="60">
        <f t="shared" si="23"/>
        <v>465135.94163447677</v>
      </c>
      <c r="CW55" s="13">
        <f>((B55+C55+D55+O55+P55+Q55+X55+Y55+AF55+AG55+AH55+BB55+BC55+BD55+BE55+BF55+BG55+BR55+BS55)+('Index Price Deals'!B55+'Index Price Deals'!C55+'Index Price Deals'!D55+'Index Price Deals'!L55+'Index Price Deals'!M55+'Index Price Deals'!N55+'Index Price Deals'!AD55+'Index Price Deals'!AE55+'Index Price Deals'!AF55+'Index Price Deals'!AK55+'Index Price Deals'!AL55+'Index Price Deals'!AM55))*'Prices&amp;Fuel'!H55</f>
        <v>5399331.3624678655</v>
      </c>
      <c r="CX55" s="65">
        <f>BQ55/(BB55+BC55+BD55+BE55+BF55+BG55)/'Prices&amp;Fuel'!H55</f>
        <v>0.16884909722916758</v>
      </c>
      <c r="CZ55" s="28">
        <f>(BA55-CT55+CU55)/(AF55+AG55+AH55)/'Prices&amp;Fuel'!H55</f>
        <v>9.9335792264242079E-2</v>
      </c>
      <c r="DB55" s="3">
        <f>(O55+P55+Q55)*'Prices&amp;Fuel'!$H55</f>
        <v>778100</v>
      </c>
      <c r="DC55" s="3">
        <f>(X55+Y55)*'Prices&amp;Fuel'!$H55</f>
        <v>31000</v>
      </c>
      <c r="DE55" s="3">
        <v>132000</v>
      </c>
    </row>
    <row r="56" spans="1:109" x14ac:dyDescent="0.25">
      <c r="A56" s="10">
        <f t="shared" si="75"/>
        <v>37300.249999999876</v>
      </c>
      <c r="O56" s="1">
        <v>9036</v>
      </c>
      <c r="P56" s="1">
        <v>10794</v>
      </c>
      <c r="Q56" s="1">
        <v>5270</v>
      </c>
      <c r="R56" s="11">
        <f t="shared" si="77"/>
        <v>2.3363999999999998</v>
      </c>
      <c r="S56" s="11">
        <f t="shared" si="78"/>
        <v>2.3249</v>
      </c>
      <c r="T56" s="1">
        <f>(($O56*R56)+($P56*R56)+($Q56*R56))*'Prices&amp;Fuel'!$H56</f>
        <v>1642021.92</v>
      </c>
      <c r="U56" s="1">
        <f>(($O56*S56)+($P56*S56)+($Q56*S56))*'Prices&amp;Fuel'!$H56</f>
        <v>1633939.72</v>
      </c>
      <c r="V56" s="13">
        <f t="shared" si="80"/>
        <v>8082.1999999999534</v>
      </c>
      <c r="X56" s="1">
        <f t="shared" si="85"/>
        <v>500</v>
      </c>
      <c r="Y56" s="1">
        <f t="shared" si="61"/>
        <v>500</v>
      </c>
      <c r="Z56" s="12">
        <v>2.2000000000000002</v>
      </c>
      <c r="AA56" s="12">
        <v>2.1800000000000002</v>
      </c>
      <c r="AB56" s="1">
        <f>($X56+$Y56)*Z56*'Prices&amp;Fuel'!$H56</f>
        <v>61600</v>
      </c>
      <c r="AC56" s="1">
        <f>($X56+$Y56)*AA56*'Prices&amp;Fuel'!$H56</f>
        <v>61040</v>
      </c>
      <c r="AD56" s="13">
        <f t="shared" si="81"/>
        <v>560</v>
      </c>
      <c r="AF56" s="1">
        <f>(32000/(1-'Prices&amp;Fuel'!F56))+(25000/(1-'Prices&amp;Fuel'!G56))-AI56</f>
        <v>58611.825192802062</v>
      </c>
      <c r="AG56" s="1">
        <v>0</v>
      </c>
      <c r="AH56" s="1">
        <f>(75000/(1-'Prices&amp;Fuel'!G56))-AK56</f>
        <v>77120.822622107968</v>
      </c>
      <c r="AI56" s="1"/>
      <c r="AJ56" s="1"/>
      <c r="AK56" s="1"/>
      <c r="AL56" s="21">
        <f>ROUND((132000/(1-'Prices&amp;Fuel'!F56))-AF56-AG56-AH56,0)</f>
        <v>0</v>
      </c>
      <c r="AM56" s="1">
        <f t="shared" si="51"/>
        <v>0</v>
      </c>
      <c r="AO56" s="1">
        <f>ROUND((75000/(1-'Prices&amp;Fuel'!G56)-AV56-AK56)/2,0)</f>
        <v>38560</v>
      </c>
      <c r="AP56" s="1">
        <f t="shared" si="82"/>
        <v>58611.825192802062</v>
      </c>
      <c r="AR56" s="1">
        <f t="shared" si="73"/>
        <v>0</v>
      </c>
      <c r="AT56" s="13">
        <f t="shared" si="25"/>
        <v>38560.822622107968</v>
      </c>
      <c r="AU56" s="13">
        <f>AL56*AX56*'Prices&amp;Fuel'!H56</f>
        <v>0</v>
      </c>
      <c r="AW56" s="20">
        <f t="shared" ref="AW56:AW66" si="89">AW55</f>
        <v>0.09</v>
      </c>
      <c r="AX56" s="20">
        <f t="shared" si="54"/>
        <v>2.5000000000000001E-2</v>
      </c>
      <c r="AY56" s="6">
        <f>('Prices&amp;Fuel'!H56*('Prices&amp;Fuel'!B56+AW56)*'Long Term Deals'!AF56)+('Prices&amp;Fuel'!H56*('Prices&amp;Fuel'!C56+'Long Term Deals'!AW56)*'Long Term Deals'!AG56)+(AH56*('Prices&amp;Fuel'!C56+AW56)*'Prices&amp;Fuel'!H56)+(AW56*AL56*'Prices&amp;Fuel'!H56)</f>
        <v>9896884.3187660687</v>
      </c>
      <c r="AZ56" s="6">
        <f>(AP56*'Prices&amp;Fuel'!H56*'Prices&amp;Fuel'!B56)+(AQ56*'Prices&amp;Fuel'!C56*'Prices&amp;Fuel'!H56)+((AM56+AR56)*('Prices&amp;Fuel'!B56+'Long Term Deals'!AX56)*'Prices&amp;Fuel'!H56)+((AN56+AS56)*('Prices&amp;Fuel'!C56+'Long Term Deals'!AX56)*'Prices&amp;Fuel'!H56)+((AO56+AT56)*('Prices&amp;Fuel'!D56+'Long Term Deals'!AX56)*'Prices&amp;Fuel'!H56)+(AV56*'Prices&amp;Fuel'!H56*'Prices&amp;Fuel'!Q56)+AU56</f>
        <v>9500853.4704370201</v>
      </c>
      <c r="BA56" s="6">
        <f t="shared" si="83"/>
        <v>396030.8483290486</v>
      </c>
      <c r="BB56" s="6">
        <f>IF('FP Corp'!T56-((BE56+BF56+BG56)*(1-'Prices&amp;Fuel'!F56))&lt;'Prices&amp;Fuel'!R56,('FP Corp'!T56-(BE56+BF56+BG56)*(1-'Prices&amp;Fuel'!F56)),'Prices&amp;Fuel'!R56)/(1-'Prices&amp;Fuel'!F56)</f>
        <v>4325.9640102827761</v>
      </c>
      <c r="BC56" s="14"/>
      <c r="BD56" s="14">
        <f>ROUND(IF('FP Corp'!T56/(1-'Prices&amp;Fuel'!F56)-BE56-BF56-BG56-BB56&gt;'Prices&amp;Fuel'!T56,'Prices&amp;Fuel'!T56,'FP Corp'!T56/(1-'Prices&amp;Fuel'!F56)-BE56-BF56-BG56-BB56),9)</f>
        <v>0</v>
      </c>
      <c r="BE56" s="14">
        <f>'Prices&amp;Fuel'!U56/(1-'Prices&amp;Fuel'!F56)</f>
        <v>2635.4755784061695</v>
      </c>
      <c r="BF56" s="14">
        <f>('Prices&amp;Fuel'!V56+'Prices&amp;Fuel'!X56)/(1-'Prices&amp;Fuel'!F56)</f>
        <v>3645.2442159383031</v>
      </c>
      <c r="BG56" s="14">
        <f>'Prices&amp;Fuel'!W56/(1-'Prices&amp;Fuel'!F56)</f>
        <v>1732.6478149100255</v>
      </c>
      <c r="BH56" s="25">
        <f>('Prices&amp;Fuel'!C56+'Prices&amp;Fuel'!D56)/2-0.05+('Prices&amp;Fuel'!M56+'Prices&amp;Fuel'!P56)*(1-'Prices&amp;Fuel'!F56)</f>
        <v>3.2139222500000009</v>
      </c>
      <c r="BI56" s="14">
        <f t="shared" si="76"/>
        <v>4325.9640102827761</v>
      </c>
      <c r="BJ56" s="14"/>
      <c r="BK56" s="25">
        <f>(((BB56+BE56)*('Prices&amp;Fuel'!B56+0.025))+(('Prices&amp;Fuel'!D56+0.025)*(BD56+BG56))+(('Prices&amp;Fuel'!C56+0.025)*(BC56+BF56))-(BI56+BJ56)*0.025)/(BB56+BC56+BD56+BE56+BF56+BG56)</f>
        <v>2.5153645833333336</v>
      </c>
      <c r="BL56" s="14">
        <f>(BB56+BC56+BD56+BE56+BF56+BG56)*BH56*'Prices&amp;Fuel'!H56</f>
        <v>1110414.2683804629</v>
      </c>
      <c r="BM56" s="14">
        <f>'Prices&amp;Fuel'!X56*('Prices&amp;Fuel'!N56+'Prices&amp;Fuel'!O56)*'Prices&amp;Fuel'!H56</f>
        <v>8089.4520000000011</v>
      </c>
      <c r="BN56" s="14">
        <f>('Prices&amp;Fuel'!U56+'Prices&amp;Fuel'!V56+'Prices&amp;Fuel'!W56)*('Prices&amp;Fuel'!L56+'Prices&amp;Fuel'!O56)*'Prices&amp;Fuel'!H56</f>
        <v>84210.840000000011</v>
      </c>
      <c r="BO56" s="14">
        <f>((BB56+BC56+BD56)*(1-'Prices&amp;Fuel'!G56))*('Prices&amp;Fuel'!M56+'Prices&amp;Fuel'!P56)*'Prices&amp;Fuel'!H56</f>
        <v>90714.699599999993</v>
      </c>
      <c r="BP56" s="14">
        <f>((BD56+BC56+BB56+BE56+BF56+BG56)*BK56*'Prices&amp;Fuel'!H56)+BM56+BN56+BO56</f>
        <v>1052076.6882580977</v>
      </c>
      <c r="BQ56" s="6">
        <f t="shared" si="79"/>
        <v>58337.580122365151</v>
      </c>
      <c r="CA56" s="6">
        <f>(AF56+AG56+AH56+AL56)*0.005*'Prices&amp;Fuel'!H56</f>
        <v>19002.570694087408</v>
      </c>
      <c r="CB56" s="6">
        <f>(B56+C56+D56+O56+P56+Q56+X56+Y56+BB56+BC56+BD56+BE56+BF56+BG56+BR56+BS56)*0.005*'Prices&amp;Fuel'!H56</f>
        <v>5381.5064267352191</v>
      </c>
      <c r="CC56" s="1">
        <f t="shared" si="86"/>
        <v>12710920.507146532</v>
      </c>
      <c r="CD56" s="1">
        <f t="shared" si="87"/>
        <v>12272293.955815941</v>
      </c>
      <c r="CE56" s="1">
        <f t="shared" si="88"/>
        <v>438626.55133059062</v>
      </c>
      <c r="CF56" s="1">
        <f>'Index Price Deals'!AR56</f>
        <v>0</v>
      </c>
      <c r="CG56" s="1">
        <f>'Index Price Deals'!AS56</f>
        <v>0</v>
      </c>
      <c r="CH56" s="1">
        <f>'Index Price Deals'!AT56</f>
        <v>0</v>
      </c>
      <c r="CI56" s="1">
        <f>'Index Price Deals'!AU56</f>
        <v>0</v>
      </c>
      <c r="CJ56" s="1">
        <f t="shared" si="84"/>
        <v>12710920.507146532</v>
      </c>
      <c r="CK56" s="1">
        <f t="shared" si="74"/>
        <v>12272293.955815941</v>
      </c>
      <c r="CL56" s="1">
        <f t="shared" si="74"/>
        <v>438626.55133059062</v>
      </c>
      <c r="CM56" s="30"/>
      <c r="CN56" s="1">
        <f>Transport!U56</f>
        <v>0</v>
      </c>
      <c r="CO56" s="57"/>
      <c r="CQ56" s="1">
        <f>(((($B56+$C56+$D56+$O56+$P56+$Q56)*0.5)+BR56+BS56)*(0.005*'Prices&amp;Fuel'!$H56)+'Index Price Deals'!AV56)+(((BB56+BC56+BD56+BE56+BF56+BG56)*(1-'Prices&amp;Fuel'!F56))*0.005*0.5*'Prices&amp;Fuel'!H56)</f>
        <v>2597</v>
      </c>
      <c r="CR56" s="1">
        <f>(((($B56+$C56+$D56+$O56+$P56+$Q56)*0.5)+X56+Y56)*(0.005*'Prices&amp;Fuel'!$H56)+CA56+'Index Price Deals'!AW56)+(((BB56+BC56+BD56+BE56+BF56+BG56)*(1-'Prices&amp;Fuel'!F56))*0.005*0.5*'Prices&amp;Fuel'!H56)</f>
        <v>21739.570694087408</v>
      </c>
      <c r="CS56" s="21"/>
      <c r="CT56" s="1">
        <f>[3]Sheet1!$O69</f>
        <v>-13014.356053832977</v>
      </c>
      <c r="CU56" s="1">
        <f>'[4]Long Term Deals'!$Z55</f>
        <v>-31518.121391992048</v>
      </c>
      <c r="CV56" s="60">
        <f t="shared" si="23"/>
        <v>420122.78599243157</v>
      </c>
      <c r="CW56" s="13">
        <f>((B56+C56+D56+O56+P56+Q56+X56+Y56+AF56+AG56+AH56+BB56+BC56+BD56+BE56+BF56+BG56+BR56+BS56)+('Index Price Deals'!B56+'Index Price Deals'!C56+'Index Price Deals'!D56+'Index Price Deals'!L56+'Index Price Deals'!M56+'Index Price Deals'!N56+'Index Price Deals'!AD56+'Index Price Deals'!AE56+'Index Price Deals'!AF56+'Index Price Deals'!AK56+'Index Price Deals'!AL56+'Index Price Deals'!AM56))*'Prices&amp;Fuel'!H56</f>
        <v>4876815.4241645234</v>
      </c>
      <c r="CX56" s="65">
        <f>BQ56/(BB56+BC56+BD56+BE56+BF56+BG56)/'Prices&amp;Fuel'!H56</f>
        <v>0.16884909722916699</v>
      </c>
      <c r="CZ56" s="28">
        <f>(BA56-CT56+CU56)/(AF56+AG56+AH56)/'Prices&amp;Fuel'!H56</f>
        <v>9.9335792264242426E-2</v>
      </c>
      <c r="DB56" s="3">
        <f>(O56+P56+Q56)*'Prices&amp;Fuel'!$H56</f>
        <v>702800</v>
      </c>
      <c r="DC56" s="3">
        <f>(X56+Y56)*'Prices&amp;Fuel'!$H56</f>
        <v>28000</v>
      </c>
      <c r="DE56" s="3">
        <v>132000</v>
      </c>
    </row>
    <row r="57" spans="1:109" x14ac:dyDescent="0.25">
      <c r="A57" s="10">
        <f t="shared" si="75"/>
        <v>37330.666666666541</v>
      </c>
      <c r="O57" s="1">
        <v>9036</v>
      </c>
      <c r="P57" s="1">
        <v>10794</v>
      </c>
      <c r="Q57" s="1">
        <v>5270</v>
      </c>
      <c r="R57" s="11">
        <f t="shared" si="77"/>
        <v>2.3363999999999998</v>
      </c>
      <c r="S57" s="11">
        <f t="shared" si="78"/>
        <v>2.3249</v>
      </c>
      <c r="T57" s="1">
        <f>(($O57*R57)+($P57*R57)+($Q57*R57))*'Prices&amp;Fuel'!$H57</f>
        <v>1817952.84</v>
      </c>
      <c r="U57" s="1">
        <f>(($O57*S57)+($P57*S57)+($Q57*S57))*'Prices&amp;Fuel'!$H57</f>
        <v>1809004.69</v>
      </c>
      <c r="V57" s="13">
        <f t="shared" si="80"/>
        <v>8948.1500000001397</v>
      </c>
      <c r="X57" s="1">
        <f t="shared" si="85"/>
        <v>500</v>
      </c>
      <c r="Y57" s="1">
        <f t="shared" si="61"/>
        <v>500</v>
      </c>
      <c r="Z57" s="12">
        <v>2.2000000000000002</v>
      </c>
      <c r="AA57" s="12">
        <v>2.1800000000000002</v>
      </c>
      <c r="AB57" s="1">
        <f>($X57+$Y57)*Z57*'Prices&amp;Fuel'!$H57</f>
        <v>68200</v>
      </c>
      <c r="AC57" s="1">
        <f>($X57+$Y57)*AA57*'Prices&amp;Fuel'!$H57</f>
        <v>67580</v>
      </c>
      <c r="AD57" s="13">
        <f t="shared" si="81"/>
        <v>620</v>
      </c>
      <c r="AF57" s="1">
        <f>(32000/(1-'Prices&amp;Fuel'!F57))+(25000/(1-'Prices&amp;Fuel'!G57))-AI57</f>
        <v>58611.825192802062</v>
      </c>
      <c r="AG57" s="1">
        <v>0</v>
      </c>
      <c r="AH57" s="1">
        <f>(75000/(1-'Prices&amp;Fuel'!G57))-AK57</f>
        <v>77120.822622107968</v>
      </c>
      <c r="AI57" s="1"/>
      <c r="AJ57" s="1"/>
      <c r="AK57" s="1"/>
      <c r="AL57" s="21">
        <f>ROUND((132000/(1-'Prices&amp;Fuel'!F57))-AF57-AG57-AH57,0)</f>
        <v>0</v>
      </c>
      <c r="AM57" s="1">
        <f t="shared" si="51"/>
        <v>0</v>
      </c>
      <c r="AO57" s="1">
        <f>ROUND((75000/(1-'Prices&amp;Fuel'!G57)-AV57-AK57)/2,0)</f>
        <v>38560</v>
      </c>
      <c r="AP57" s="1">
        <f t="shared" si="82"/>
        <v>58611.825192802062</v>
      </c>
      <c r="AR57" s="1">
        <f t="shared" si="73"/>
        <v>0</v>
      </c>
      <c r="AT57" s="13">
        <f t="shared" si="25"/>
        <v>38560.822622107968</v>
      </c>
      <c r="AU57" s="13">
        <f>AL57*AX57*'Prices&amp;Fuel'!H57</f>
        <v>0</v>
      </c>
      <c r="AW57" s="20">
        <f t="shared" si="89"/>
        <v>0.09</v>
      </c>
      <c r="AX57" s="20">
        <f t="shared" si="54"/>
        <v>2.5000000000000001E-2</v>
      </c>
      <c r="AY57" s="6">
        <f>('Prices&amp;Fuel'!H57*('Prices&amp;Fuel'!B57+AW57)*'Long Term Deals'!AF57)+('Prices&amp;Fuel'!H57*('Prices&amp;Fuel'!C57+'Long Term Deals'!AW57)*'Long Term Deals'!AG57)+(AH57*('Prices&amp;Fuel'!C57+AW57)*'Prices&amp;Fuel'!H57)+(AW57*AL57*'Prices&amp;Fuel'!H57)</f>
        <v>10957264.781491004</v>
      </c>
      <c r="AZ57" s="6">
        <f>(AP57*'Prices&amp;Fuel'!H57*'Prices&amp;Fuel'!B57)+(AQ57*'Prices&amp;Fuel'!C57*'Prices&amp;Fuel'!H57)+((AM57+AR57)*('Prices&amp;Fuel'!B57+'Long Term Deals'!AX57)*'Prices&amp;Fuel'!H57)+((AN57+AS57)*('Prices&amp;Fuel'!C57+'Long Term Deals'!AX57)*'Prices&amp;Fuel'!H57)+((AO57+AT57)*('Prices&amp;Fuel'!D57+'Long Term Deals'!AX57)*'Prices&amp;Fuel'!H57)+(AV57*'Prices&amp;Fuel'!H57*'Prices&amp;Fuel'!Q57)+AU57</f>
        <v>10518802.056555273</v>
      </c>
      <c r="BA57" s="6">
        <f t="shared" si="83"/>
        <v>438462.72493573092</v>
      </c>
      <c r="BB57" s="6">
        <f>IF('FP Corp'!T57-((BE57+BF57+BG57)*(1-'Prices&amp;Fuel'!F57))&lt;'Prices&amp;Fuel'!R57,('FP Corp'!T57-(BE57+BF57+BG57)*(1-'Prices&amp;Fuel'!F57)),'Prices&amp;Fuel'!R57)/(1-'Prices&amp;Fuel'!F57)</f>
        <v>4325.9640102827761</v>
      </c>
      <c r="BC57" s="14"/>
      <c r="BD57" s="14">
        <f>ROUND(IF('FP Corp'!T57/(1-'Prices&amp;Fuel'!F57)-BE57-BF57-BG57-BB57&gt;'Prices&amp;Fuel'!T57,'Prices&amp;Fuel'!T57,'FP Corp'!T57/(1-'Prices&amp;Fuel'!F57)-BE57-BF57-BG57-BB57),9)</f>
        <v>0</v>
      </c>
      <c r="BE57" s="14">
        <f>'Prices&amp;Fuel'!U57/(1-'Prices&amp;Fuel'!F57)</f>
        <v>2635.4755784061695</v>
      </c>
      <c r="BF57" s="14">
        <f>('Prices&amp;Fuel'!V57+'Prices&amp;Fuel'!X57)/(1-'Prices&amp;Fuel'!F57)</f>
        <v>3645.2442159383031</v>
      </c>
      <c r="BG57" s="14">
        <f>'Prices&amp;Fuel'!W57/(1-'Prices&amp;Fuel'!F57)</f>
        <v>1732.6478149100255</v>
      </c>
      <c r="BH57" s="25">
        <f>('Prices&amp;Fuel'!C57+'Prices&amp;Fuel'!D57)/2-0.05+('Prices&amp;Fuel'!M57+'Prices&amp;Fuel'!P57)*(1-'Prices&amp;Fuel'!F57)</f>
        <v>3.2139222500000009</v>
      </c>
      <c r="BI57" s="14">
        <f t="shared" si="76"/>
        <v>4325.9640102827761</v>
      </c>
      <c r="BJ57" s="14"/>
      <c r="BK57" s="25">
        <f>(((BB57+BE57)*('Prices&amp;Fuel'!B57+0.025))+(('Prices&amp;Fuel'!D57+0.025)*(BD57+BG57))+(('Prices&amp;Fuel'!C57+0.025)*(BC57+BF57))-(BI57+BJ57)*0.025)/(BB57+BC57+BD57+BE57+BF57+BG57)</f>
        <v>2.5153645833333336</v>
      </c>
      <c r="BL57" s="14">
        <f>(BB57+BC57+BD57+BE57+BF57+BG57)*BH57*'Prices&amp;Fuel'!H57</f>
        <v>1229387.225706941</v>
      </c>
      <c r="BM57" s="14">
        <f>'Prices&amp;Fuel'!X57*('Prices&amp;Fuel'!N57+'Prices&amp;Fuel'!O57)*'Prices&amp;Fuel'!H57</f>
        <v>8956.1790000000019</v>
      </c>
      <c r="BN57" s="14">
        <f>('Prices&amp;Fuel'!U57+'Prices&amp;Fuel'!V57+'Prices&amp;Fuel'!W57)*('Prices&amp;Fuel'!L57+'Prices&amp;Fuel'!O57)*'Prices&amp;Fuel'!H57</f>
        <v>93233.430000000008</v>
      </c>
      <c r="BO57" s="14">
        <f>((BB57+BC57+BD57)*(1-'Prices&amp;Fuel'!G57))*('Prices&amp;Fuel'!M57+'Prices&amp;Fuel'!P57)*'Prices&amp;Fuel'!H57</f>
        <v>100434.1317</v>
      </c>
      <c r="BP57" s="14">
        <f>((BD57+BC57+BB57+BE57+BF57+BG57)*BK57*'Prices&amp;Fuel'!H57)+BM57+BN57+BO57</f>
        <v>1164799.1905714653</v>
      </c>
      <c r="BQ57" s="6">
        <f t="shared" si="79"/>
        <v>64588.035135475686</v>
      </c>
      <c r="CA57" s="6">
        <f>(AF57+AG57+AH57+AL57)*0.005*'Prices&amp;Fuel'!H57</f>
        <v>21038.560411311057</v>
      </c>
      <c r="CB57" s="6">
        <f>(B57+C57+D57+O57+P57+Q57+X57+Y57+BB57+BC57+BD57+BE57+BF57+BG57+BR57+BS57)*0.005*'Prices&amp;Fuel'!H57</f>
        <v>5958.0964010282787</v>
      </c>
      <c r="CC57" s="1">
        <f t="shared" si="86"/>
        <v>14072804.847197944</v>
      </c>
      <c r="CD57" s="1">
        <f t="shared" si="87"/>
        <v>13587182.593939077</v>
      </c>
      <c r="CE57" s="1">
        <f t="shared" si="88"/>
        <v>485622.25325886719</v>
      </c>
      <c r="CF57" s="1">
        <f>'Index Price Deals'!AR57</f>
        <v>0</v>
      </c>
      <c r="CG57" s="1">
        <f>'Index Price Deals'!AS57</f>
        <v>0</v>
      </c>
      <c r="CH57" s="1">
        <f>'Index Price Deals'!AT57</f>
        <v>0</v>
      </c>
      <c r="CI57" s="1">
        <f>'Index Price Deals'!AU57</f>
        <v>0</v>
      </c>
      <c r="CJ57" s="1">
        <f t="shared" si="84"/>
        <v>14072804.847197944</v>
      </c>
      <c r="CK57" s="1">
        <f t="shared" si="74"/>
        <v>13587182.593939077</v>
      </c>
      <c r="CL57" s="1">
        <f t="shared" si="74"/>
        <v>485622.25325886719</v>
      </c>
      <c r="CM57" s="30"/>
      <c r="CN57" s="1">
        <f>Transport!U57</f>
        <v>0</v>
      </c>
      <c r="CO57" s="57"/>
      <c r="CQ57" s="1">
        <f>(((($B57+$C57+$D57+$O57+$P57+$Q57)*0.5)+BR57+BS57)*(0.005*'Prices&amp;Fuel'!$H57)+'Index Price Deals'!AV57)+(((BB57+BC57+BD57+BE57+BF57+BG57)*(1-'Prices&amp;Fuel'!F57))*0.005*0.5*'Prices&amp;Fuel'!H57)</f>
        <v>2875.25</v>
      </c>
      <c r="CR57" s="1">
        <f>(((($B57+$C57+$D57+$O57+$P57+$Q57)*0.5)+X57+Y57)*(0.005*'Prices&amp;Fuel'!$H57)+CA57+'Index Price Deals'!AW57)+(((BB57+BC57+BD57+BE57+BF57+BG57)*(1-'Prices&amp;Fuel'!F57))*0.005*0.5*'Prices&amp;Fuel'!H57)</f>
        <v>24068.810411311057</v>
      </c>
      <c r="CS57" s="21"/>
      <c r="CT57" s="1">
        <f>[3]Sheet1!$O70</f>
        <v>-14408.751345315075</v>
      </c>
      <c r="CU57" s="1">
        <f>'[4]Long Term Deals'!$Z56</f>
        <v>-34895.062969705476</v>
      </c>
      <c r="CV57" s="60">
        <f t="shared" si="23"/>
        <v>465135.94163447677</v>
      </c>
      <c r="CW57" s="13">
        <f>((B57+C57+D57+O57+P57+Q57+X57+Y57+AF57+AG57+AH57+BB57+BC57+BD57+BE57+BF57+BG57+BR57+BS57)+('Index Price Deals'!B57+'Index Price Deals'!C57+'Index Price Deals'!D57+'Index Price Deals'!L57+'Index Price Deals'!M57+'Index Price Deals'!N57+'Index Price Deals'!AD57+'Index Price Deals'!AE57+'Index Price Deals'!AF57+'Index Price Deals'!AK57+'Index Price Deals'!AL57+'Index Price Deals'!AM57))*'Prices&amp;Fuel'!H57</f>
        <v>5399331.3624678655</v>
      </c>
      <c r="CX57" s="65">
        <f>BQ57/(BB57+BC57+BD57+BE57+BF57+BG57)/'Prices&amp;Fuel'!H57</f>
        <v>0.16884909722916697</v>
      </c>
      <c r="CZ57" s="28">
        <f>(BA57-CT57+CU57)/(AF57+AG57+AH57)/'Prices&amp;Fuel'!H57</f>
        <v>9.9335792264242079E-2</v>
      </c>
      <c r="DB57" s="3">
        <f>(O57+P57+Q57)*'Prices&amp;Fuel'!$H57</f>
        <v>778100</v>
      </c>
      <c r="DC57" s="3">
        <f>(X57+Y57)*'Prices&amp;Fuel'!$H57</f>
        <v>31000</v>
      </c>
      <c r="DE57" s="3">
        <v>132000</v>
      </c>
    </row>
    <row r="58" spans="1:109" x14ac:dyDescent="0.25">
      <c r="A58" s="10">
        <f t="shared" si="75"/>
        <v>37361.083333333205</v>
      </c>
      <c r="O58" s="1">
        <v>9036</v>
      </c>
      <c r="P58" s="1">
        <v>10794</v>
      </c>
      <c r="Q58" s="1">
        <v>5270</v>
      </c>
      <c r="R58" s="11">
        <f t="shared" si="77"/>
        <v>2.3363999999999998</v>
      </c>
      <c r="S58" s="11">
        <f t="shared" si="78"/>
        <v>2.3249</v>
      </c>
      <c r="T58" s="1">
        <f>(($O58*R58)+($P58*R58)+($Q58*R58))*'Prices&amp;Fuel'!$H58</f>
        <v>1759309.2</v>
      </c>
      <c r="U58" s="1">
        <f>(($O58*S58)+($P58*S58)+($Q58*S58))*'Prices&amp;Fuel'!$H58</f>
        <v>1750649.7</v>
      </c>
      <c r="V58" s="13">
        <f t="shared" si="80"/>
        <v>8659.5</v>
      </c>
      <c r="X58" s="1">
        <f t="shared" si="85"/>
        <v>500</v>
      </c>
      <c r="Y58" s="1">
        <f t="shared" si="61"/>
        <v>500</v>
      </c>
      <c r="Z58" s="12">
        <v>2.2000000000000002</v>
      </c>
      <c r="AA58" s="12">
        <v>2.1800000000000002</v>
      </c>
      <c r="AB58" s="1">
        <f>($X58+$Y58)*Z58*'Prices&amp;Fuel'!$H58</f>
        <v>66000</v>
      </c>
      <c r="AC58" s="1">
        <f>($X58+$Y58)*AA58*'Prices&amp;Fuel'!$H58</f>
        <v>65400</v>
      </c>
      <c r="AD58" s="13">
        <f t="shared" si="81"/>
        <v>600</v>
      </c>
      <c r="AF58" s="1">
        <f>(32000/(1-'Prices&amp;Fuel'!F58))+(25000/(1-'Prices&amp;Fuel'!G58))-AI58</f>
        <v>58611.825192802062</v>
      </c>
      <c r="AG58" s="1">
        <v>0</v>
      </c>
      <c r="AH58" s="1">
        <f>(75000/(1-'Prices&amp;Fuel'!G58))-AK58</f>
        <v>77120.822622107968</v>
      </c>
      <c r="AI58" s="1"/>
      <c r="AJ58" s="1"/>
      <c r="AK58" s="1"/>
      <c r="AL58" s="21">
        <f>ROUND((132000/(1-'Prices&amp;Fuel'!F58))-AF58-AG58-AH58,0)</f>
        <v>0</v>
      </c>
      <c r="AM58" s="1">
        <f t="shared" si="51"/>
        <v>0</v>
      </c>
      <c r="AO58" s="1">
        <f>ROUND((75000/(1-'Prices&amp;Fuel'!G58)-AV58-AK58)/2,0)</f>
        <v>38560</v>
      </c>
      <c r="AP58" s="1">
        <f t="shared" si="82"/>
        <v>58611.825192802062</v>
      </c>
      <c r="AR58" s="1">
        <f t="shared" si="73"/>
        <v>0</v>
      </c>
      <c r="AT58" s="13">
        <f t="shared" si="25"/>
        <v>38560.822622107968</v>
      </c>
      <c r="AU58" s="13">
        <f>AL58*AX58*'Prices&amp;Fuel'!H58</f>
        <v>0</v>
      </c>
      <c r="AW58" s="20">
        <f t="shared" si="89"/>
        <v>0.09</v>
      </c>
      <c r="AX58" s="20">
        <f t="shared" si="54"/>
        <v>2.5000000000000001E-2</v>
      </c>
      <c r="AY58" s="6">
        <f>('Prices&amp;Fuel'!H58*('Prices&amp;Fuel'!B58+AW58)*'Long Term Deals'!AF58)+('Prices&amp;Fuel'!H58*('Prices&amp;Fuel'!C58+'Long Term Deals'!AW58)*'Long Term Deals'!AG58)+(AH58*('Prices&amp;Fuel'!C58+AW58)*'Prices&amp;Fuel'!H58)+(AW58*AL58*'Prices&amp;Fuel'!H58)</f>
        <v>11703239.074550129</v>
      </c>
      <c r="AZ58" s="6">
        <f>(AP58*'Prices&amp;Fuel'!H58*'Prices&amp;Fuel'!B58)+(AQ58*'Prices&amp;Fuel'!C58*'Prices&amp;Fuel'!H58)+((AM58+AR58)*('Prices&amp;Fuel'!B58+'Long Term Deals'!AX58)*'Prices&amp;Fuel'!H58)+((AN58+AS58)*('Prices&amp;Fuel'!C58+'Long Term Deals'!AX58)*'Prices&amp;Fuel'!H58)+((AO58+AT58)*('Prices&amp;Fuel'!D58+'Long Term Deals'!AX58)*'Prices&amp;Fuel'!H58)+(AV58*'Prices&amp;Fuel'!H58*'Prices&amp;Fuel'!Q58)+AU58</f>
        <v>11278920.308483291</v>
      </c>
      <c r="BA58" s="6">
        <f t="shared" si="83"/>
        <v>424318.76606683806</v>
      </c>
      <c r="BB58" s="6">
        <f>IF('FP Corp'!T58-((BE58+BF58+BG58)*(1-'Prices&amp;Fuel'!F58))&lt;'Prices&amp;Fuel'!R58,('FP Corp'!T58-(BE58+BF58+BG58)*(1-'Prices&amp;Fuel'!F58)),'Prices&amp;Fuel'!R58)/(1-'Prices&amp;Fuel'!F58)</f>
        <v>6278.6632390745499</v>
      </c>
      <c r="BC58" s="14"/>
      <c r="BD58" s="14">
        <f>ROUND(IF('FP Corp'!T58/(1-'Prices&amp;Fuel'!F58)-BE58-BF58-BG58-BB58&gt;'Prices&amp;Fuel'!T58,'Prices&amp;Fuel'!T58,'FP Corp'!T58/(1-'Prices&amp;Fuel'!F58)-BE58-BF58-BG58-BB58),9)</f>
        <v>0</v>
      </c>
      <c r="BE58" s="14">
        <f>'Prices&amp;Fuel'!U58/(1-'Prices&amp;Fuel'!F58)</f>
        <v>1933.1619537275064</v>
      </c>
      <c r="BF58" s="14">
        <f>('Prices&amp;Fuel'!V58+'Prices&amp;Fuel'!X58)/(1-'Prices&amp;Fuel'!F58)</f>
        <v>2833.9331619537274</v>
      </c>
      <c r="BG58" s="14">
        <f>'Prices&amp;Fuel'!W58/(1-'Prices&amp;Fuel'!F58)</f>
        <v>1293.5732647814909</v>
      </c>
      <c r="BH58" s="25">
        <f>('Prices&amp;Fuel'!C58+'Prices&amp;Fuel'!D58)/2-0.05+('Prices&amp;Fuel'!M58+'Prices&amp;Fuel'!P58)*(1-'Prices&amp;Fuel'!F58)</f>
        <v>3.4839222500000009</v>
      </c>
      <c r="BI58" s="14">
        <f t="shared" si="76"/>
        <v>6278.6632390745499</v>
      </c>
      <c r="BJ58" s="14"/>
      <c r="BK58" s="25">
        <f>(((BB58+BE58)*('Prices&amp;Fuel'!B58+0.025))+(('Prices&amp;Fuel'!D58+0.025)*(BD58+BG58))+(('Prices&amp;Fuel'!C58+0.025)*(BC58+BF58))-(BI58+BJ58)*0.025)/(BB58+BC58+BD58+BE58+BF58+BG58)</f>
        <v>2.777107500000001</v>
      </c>
      <c r="BL58" s="14">
        <f>(BB58+BC58+BD58+BE58+BF58+BG58)*BH58*'Prices&amp;Fuel'!H58</f>
        <v>1289678.1593830339</v>
      </c>
      <c r="BM58" s="14">
        <f>'Prices&amp;Fuel'!X58*('Prices&amp;Fuel'!N58+'Prices&amp;Fuel'!O58)*'Prices&amp;Fuel'!H58</f>
        <v>8667.2700000000023</v>
      </c>
      <c r="BN58" s="14">
        <f>('Prices&amp;Fuel'!U58+'Prices&amp;Fuel'!V58+'Prices&amp;Fuel'!W58)*('Prices&amp;Fuel'!L58+'Prices&amp;Fuel'!O58)*'Prices&amp;Fuel'!H58</f>
        <v>66127.590000000011</v>
      </c>
      <c r="BO58" s="14">
        <f>((BB58+BC58+BD58)*(1-'Prices&amp;Fuel'!G58))*('Prices&amp;Fuel'!M58+'Prices&amp;Fuel'!P58)*'Prices&amp;Fuel'!H58</f>
        <v>141066.91800000001</v>
      </c>
      <c r="BP58" s="14">
        <f>((BD58+BC58+BB58+BE58+BF58+BG58)*BK58*'Prices&amp;Fuel'!H58)+BM58+BN58+BO58</f>
        <v>1243891.2895681239</v>
      </c>
      <c r="BQ58" s="6">
        <f t="shared" si="79"/>
        <v>45786.869814909995</v>
      </c>
      <c r="CA58" s="6">
        <f>(AF58+AG58+AH58+AL58)*0.005*'Prices&amp;Fuel'!H58</f>
        <v>20359.897172236506</v>
      </c>
      <c r="CB58" s="6">
        <f>(B58+C58+D58+O58+P58+Q58+X58+Y58+BB58+BC58+BD58+BE58+BF58+BG58+BR58+BS58)*0.005*'Prices&amp;Fuel'!H58</f>
        <v>5765.89974293059</v>
      </c>
      <c r="CC58" s="1">
        <f t="shared" si="86"/>
        <v>14818226.433933163</v>
      </c>
      <c r="CD58" s="1">
        <f t="shared" si="87"/>
        <v>14364987.094966583</v>
      </c>
      <c r="CE58" s="1">
        <f t="shared" si="88"/>
        <v>453239.33896658011</v>
      </c>
      <c r="CF58" s="1">
        <f>'Index Price Deals'!AR58</f>
        <v>0</v>
      </c>
      <c r="CG58" s="1">
        <f>'Index Price Deals'!AS58</f>
        <v>0</v>
      </c>
      <c r="CH58" s="1">
        <f>'Index Price Deals'!AT58</f>
        <v>0</v>
      </c>
      <c r="CI58" s="1">
        <f>'Index Price Deals'!AU58</f>
        <v>0</v>
      </c>
      <c r="CJ58" s="1">
        <f t="shared" si="84"/>
        <v>14818226.433933163</v>
      </c>
      <c r="CK58" s="1">
        <f t="shared" si="74"/>
        <v>14364987.094966583</v>
      </c>
      <c r="CL58" s="1">
        <f t="shared" si="74"/>
        <v>453239.33896658011</v>
      </c>
      <c r="CM58" s="30"/>
      <c r="CN58" s="1">
        <f>Transport!U58</f>
        <v>0</v>
      </c>
      <c r="CO58" s="57"/>
      <c r="CQ58" s="1">
        <f>(((($B58+$C58+$D58+$O58+$P58+$Q58)*0.5)+BR58+BS58)*(0.005*'Prices&amp;Fuel'!$H58)+'Index Price Deals'!AV58)+(((BB58+BC58+BD58+BE58+BF58+BG58)*(1-'Prices&amp;Fuel'!F58))*0.005*0.5*'Prices&amp;Fuel'!H58)</f>
        <v>2782.5</v>
      </c>
      <c r="CR58" s="1">
        <f>(((($B58+$C58+$D58+$O58+$P58+$Q58)*0.5)+X58+Y58)*(0.005*'Prices&amp;Fuel'!$H58)+CA58+'Index Price Deals'!AW58)+(((BB58+BC58+BD58+BE58+BF58+BG58)*(1-'Prices&amp;Fuel'!F58))*0.005*0.5*'Prices&amp;Fuel'!H58)</f>
        <v>23292.397172236506</v>
      </c>
      <c r="CS58" s="21"/>
      <c r="CT58" s="1">
        <f>[3]Sheet1!$O71</f>
        <v>-13943.952914821071</v>
      </c>
      <c r="CU58" s="1">
        <f>'[4]Long Term Deals'!$Z57</f>
        <v>-33769.415777134331</v>
      </c>
      <c r="CV58" s="60">
        <f t="shared" si="23"/>
        <v>433413.87610426685</v>
      </c>
      <c r="CW58" s="13">
        <f>((B58+C58+D58+O58+P58+Q58+X58+Y58+AF58+AG58+AH58+BB58+BC58+BD58+BE58+BF58+BG58+BR58+BS58)+('Index Price Deals'!B58+'Index Price Deals'!C58+'Index Price Deals'!D58+'Index Price Deals'!L58+'Index Price Deals'!M58+'Index Price Deals'!N58+'Index Price Deals'!AD58+'Index Price Deals'!AE58+'Index Price Deals'!AF58+'Index Price Deals'!AK58+'Index Price Deals'!AL58+'Index Price Deals'!AM58))*'Prices&amp;Fuel'!H58</f>
        <v>5225159.38303342</v>
      </c>
      <c r="CX58" s="65">
        <f>BQ58/(BB58+BC58+BD58+BE58+BF58+BG58)/'Prices&amp;Fuel'!H58</f>
        <v>0.12368814137499992</v>
      </c>
      <c r="CZ58" s="28">
        <f>(BA58-CT58+CU58)/(AF58+AG58+AH58)/'Prices&amp;Fuel'!H58</f>
        <v>9.9335792264242509E-2</v>
      </c>
      <c r="DB58" s="3">
        <f>(O58+P58+Q58)*'Prices&amp;Fuel'!$H58</f>
        <v>753000</v>
      </c>
      <c r="DC58" s="3">
        <f>(X58+Y58)*'Prices&amp;Fuel'!$H58</f>
        <v>30000</v>
      </c>
      <c r="DE58" s="3">
        <v>132000</v>
      </c>
    </row>
    <row r="59" spans="1:109" x14ac:dyDescent="0.25">
      <c r="A59" s="10">
        <f t="shared" si="75"/>
        <v>37391.499999999869</v>
      </c>
      <c r="O59" s="1">
        <v>9036</v>
      </c>
      <c r="P59" s="1">
        <v>10794</v>
      </c>
      <c r="Q59" s="1">
        <v>5270</v>
      </c>
      <c r="R59" s="11">
        <f t="shared" si="77"/>
        <v>2.3363999999999998</v>
      </c>
      <c r="S59" s="11">
        <f t="shared" si="78"/>
        <v>2.3249</v>
      </c>
      <c r="T59" s="1">
        <f>(($O59*R59)+($P59*R59)+($Q59*R59))*'Prices&amp;Fuel'!$H59</f>
        <v>1817952.84</v>
      </c>
      <c r="U59" s="1">
        <f>(($O59*S59)+($P59*S59)+($Q59*S59))*'Prices&amp;Fuel'!$H59</f>
        <v>1809004.69</v>
      </c>
      <c r="V59" s="13">
        <f t="shared" si="80"/>
        <v>8948.1500000001397</v>
      </c>
      <c r="X59" s="1">
        <f t="shared" si="85"/>
        <v>500</v>
      </c>
      <c r="Y59" s="1">
        <f t="shared" si="61"/>
        <v>500</v>
      </c>
      <c r="Z59" s="12">
        <v>2.2000000000000002</v>
      </c>
      <c r="AA59" s="12">
        <v>2.1800000000000002</v>
      </c>
      <c r="AB59" s="1">
        <f>($X59+$Y59)*Z59*'Prices&amp;Fuel'!$H59</f>
        <v>68200</v>
      </c>
      <c r="AC59" s="1">
        <f>($X59+$Y59)*AA59*'Prices&amp;Fuel'!$H59</f>
        <v>67580</v>
      </c>
      <c r="AD59" s="13">
        <f t="shared" si="81"/>
        <v>620</v>
      </c>
      <c r="AF59" s="1">
        <f>((126000)/(1-'Prices&amp;Fuel'!F59))+(25000/(1-'Prices&amp;Fuel'!G59))-AI59</f>
        <v>155269.92287917738</v>
      </c>
      <c r="AG59" s="1">
        <v>0</v>
      </c>
      <c r="AH59" s="1">
        <f>(75000/(1-'Prices&amp;Fuel'!G59))-AK59</f>
        <v>77120.822622107968</v>
      </c>
      <c r="AI59" s="1"/>
      <c r="AJ59" s="1"/>
      <c r="AK59" s="1"/>
      <c r="AL59" s="21">
        <f>ROUND((226000/(1-'Prices&amp;Fuel'!F59))-AF59-AG59-AH59,0)</f>
        <v>0</v>
      </c>
      <c r="AM59" s="1">
        <f t="shared" si="51"/>
        <v>37635</v>
      </c>
      <c r="AO59" s="1">
        <f>ROUND((75000/(1-'Prices&amp;Fuel'!G59)-AV59-AK59)/2,0)</f>
        <v>38560</v>
      </c>
      <c r="AP59" s="1">
        <f t="shared" si="82"/>
        <v>80000</v>
      </c>
      <c r="AR59" s="1">
        <f t="shared" si="73"/>
        <v>37634.922879177378</v>
      </c>
      <c r="AT59" s="13">
        <f t="shared" si="25"/>
        <v>38560.822622107968</v>
      </c>
      <c r="AU59" s="13">
        <f>AL59*AX59*'Prices&amp;Fuel'!H59</f>
        <v>0</v>
      </c>
      <c r="AW59" s="20">
        <f t="shared" si="89"/>
        <v>0.09</v>
      </c>
      <c r="AX59" s="20">
        <f t="shared" si="54"/>
        <v>2.5000000000000001E-2</v>
      </c>
      <c r="AY59" s="6">
        <f>('Prices&amp;Fuel'!H59*('Prices&amp;Fuel'!B59+AW59)*'Long Term Deals'!AF59)+('Prices&amp;Fuel'!H59*('Prices&amp;Fuel'!C59+'Long Term Deals'!AW59)*'Long Term Deals'!AG59)+(AH59*('Prices&amp;Fuel'!C59+AW59)*'Prices&amp;Fuel'!H59)+(AW59*AL59*'Prices&amp;Fuel'!H59)</f>
        <v>21971907.455012854</v>
      </c>
      <c r="AZ59" s="6">
        <f>(AP59*'Prices&amp;Fuel'!H59*'Prices&amp;Fuel'!B59)+(AQ59*'Prices&amp;Fuel'!C59*'Prices&amp;Fuel'!H59)+((AM59+AR59)*('Prices&amp;Fuel'!B59+'Long Term Deals'!AX59)*'Prices&amp;Fuel'!H59)+((AN59+AS59)*('Prices&amp;Fuel'!C59+'Long Term Deals'!AX59)*'Prices&amp;Fuel'!H59)+((AO59+AT59)*('Prices&amp;Fuel'!D59+'Long Term Deals'!AX59)*'Prices&amp;Fuel'!H59)+(AV59*'Prices&amp;Fuel'!H59*'Prices&amp;Fuel'!Q59)+AU59</f>
        <v>21322102.827763498</v>
      </c>
      <c r="BA59" s="6">
        <f t="shared" si="83"/>
        <v>649804.62724935636</v>
      </c>
      <c r="BB59" s="6">
        <f>IF('FP Corp'!T59-((BE59+BF59+BG59)*(1-'Prices&amp;Fuel'!F59))&lt;'Prices&amp;Fuel'!R59,('FP Corp'!T59-(BE59+BF59+BG59)*(1-'Prices&amp;Fuel'!F59)),'Prices&amp;Fuel'!R59)/(1-'Prices&amp;Fuel'!F59)</f>
        <v>8976.8637532133671</v>
      </c>
      <c r="BC59" s="14"/>
      <c r="BD59" s="14">
        <f>ROUND(IF('FP Corp'!T59/(1-'Prices&amp;Fuel'!F59)-BE59-BF59-BG59-BB59&gt;'Prices&amp;Fuel'!T59,'Prices&amp;Fuel'!T59,'FP Corp'!T59/(1-'Prices&amp;Fuel'!F59)-BE59-BF59-BG59-BB59),9)</f>
        <v>6556.2982005140002</v>
      </c>
      <c r="BE59" s="14">
        <f>'Prices&amp;Fuel'!U59/(1-'Prices&amp;Fuel'!F59)</f>
        <v>1933.1619537275064</v>
      </c>
      <c r="BF59" s="14">
        <f>('Prices&amp;Fuel'!V59+'Prices&amp;Fuel'!X59)/(1-'Prices&amp;Fuel'!F59)</f>
        <v>3062.2107969151671</v>
      </c>
      <c r="BG59" s="14">
        <f>'Prices&amp;Fuel'!W59/(1-'Prices&amp;Fuel'!F59)</f>
        <v>1065.2956298200513</v>
      </c>
      <c r="BH59" s="25">
        <f>('Prices&amp;Fuel'!C59+'Prices&amp;Fuel'!D59)/2-0.05+('Prices&amp;Fuel'!M59+'Prices&amp;Fuel'!P59)*(1-'Prices&amp;Fuel'!F59)</f>
        <v>3.6739222500000008</v>
      </c>
      <c r="BI59" s="14">
        <f t="shared" si="76"/>
        <v>0</v>
      </c>
      <c r="BJ59" s="14"/>
      <c r="BK59" s="25">
        <f>(((BB59+BE59)*('Prices&amp;Fuel'!B59+0.025))+(('Prices&amp;Fuel'!D59+0.025)*(BD59+BG59))+(('Prices&amp;Fuel'!C59+0.025)*(BC59+BF59))-(BI59+BJ59)*0.025)/(BB59+BC59+BD59+BE59+BF59+BG59)</f>
        <v>2.9770380952380955</v>
      </c>
      <c r="BL59" s="14">
        <f>(BB59+BC59+BD59+BE59+BF59+BG59)*BH59*'Prices&amp;Fuel'!H59</f>
        <v>2459355.6655526841</v>
      </c>
      <c r="BM59" s="14">
        <f>'Prices&amp;Fuel'!X59*('Prices&amp;Fuel'!N59+'Prices&amp;Fuel'!O59)*'Prices&amp;Fuel'!H59</f>
        <v>8956.1790000000019</v>
      </c>
      <c r="BN59" s="14">
        <f>('Prices&amp;Fuel'!U59+'Prices&amp;Fuel'!V59+'Prices&amp;Fuel'!W59)*('Prices&amp;Fuel'!L59+'Prices&amp;Fuel'!O59)*'Prices&amp;Fuel'!H59</f>
        <v>68331.843000000008</v>
      </c>
      <c r="BO59" s="14">
        <f>((BB59+BC59+BD59)*(1-'Prices&amp;Fuel'!G59))*('Prices&amp;Fuel'!M59+'Prices&amp;Fuel'!P59)*'Prices&amp;Fuel'!H59</f>
        <v>360627.04859999678</v>
      </c>
      <c r="BP59" s="14">
        <f>((BD59+BC59+BB59+BE59+BF59+BG59)*BK59*'Prices&amp;Fuel'!H59)+BM59+BN59+BO59</f>
        <v>2430770.391936745</v>
      </c>
      <c r="BQ59" s="6">
        <f t="shared" si="79"/>
        <v>28585.273615939077</v>
      </c>
      <c r="CA59" s="6">
        <f>(AF59+AG59+AH59+AL59)*0.005*'Prices&amp;Fuel'!H59</f>
        <v>36020.565552699227</v>
      </c>
      <c r="CB59" s="6">
        <f>(B59+C59+D59+O59+P59+Q59+X59+Y59+BB59+BC59+BD59+BE59+BF59+BG59+BR59+BS59)*0.005*'Prices&amp;Fuel'!H59</f>
        <v>7392.5437017994636</v>
      </c>
      <c r="CC59" s="1">
        <f t="shared" si="86"/>
        <v>26317415.960565537</v>
      </c>
      <c r="CD59" s="1">
        <f t="shared" si="87"/>
        <v>25672871.018954743</v>
      </c>
      <c r="CE59" s="1">
        <f t="shared" si="88"/>
        <v>644544.94161079451</v>
      </c>
      <c r="CF59" s="1">
        <f>'Index Price Deals'!AR59</f>
        <v>0</v>
      </c>
      <c r="CG59" s="1">
        <f>'Index Price Deals'!AS59</f>
        <v>0</v>
      </c>
      <c r="CH59" s="1">
        <f>'Index Price Deals'!AT59</f>
        <v>0</v>
      </c>
      <c r="CI59" s="1">
        <f>'Index Price Deals'!AU59</f>
        <v>0</v>
      </c>
      <c r="CJ59" s="1">
        <f t="shared" si="84"/>
        <v>26317415.960565537</v>
      </c>
      <c r="CK59" s="1">
        <f t="shared" si="74"/>
        <v>25672871.018954743</v>
      </c>
      <c r="CL59" s="1">
        <f t="shared" si="74"/>
        <v>644544.94161079451</v>
      </c>
      <c r="CM59" s="30"/>
      <c r="CN59" s="1">
        <f>Transport!U59</f>
        <v>3.1687275622971359E-9</v>
      </c>
      <c r="CO59" s="57"/>
      <c r="CQ59" s="1">
        <f>(((($B59+$C59+$D59+$O59+$P59+$Q59)*0.5)+BR59+BS59)*(0.005*'Prices&amp;Fuel'!$H59)+'Index Price Deals'!AV59)+(((BB59+BC59+BD59+BE59+BF59+BG59)*(1-'Prices&amp;Fuel'!F59))*0.005*0.5*'Prices&amp;Fuel'!H59)</f>
        <v>3572.7499999999895</v>
      </c>
      <c r="CR59" s="1">
        <f>(((($B59+$C59+$D59+$O59+$P59+$Q59)*0.5)+X59+Y59)*(0.005*'Prices&amp;Fuel'!$H59)+CA59+'Index Price Deals'!AW59)+(((BB59+BC59+BD59+BE59+BF59+BG59)*(1-'Prices&amp;Fuel'!F59))*0.005*0.5*'Prices&amp;Fuel'!H59)</f>
        <v>39748.31555269922</v>
      </c>
      <c r="CS59" s="21"/>
      <c r="CT59" s="1">
        <f>[3]Sheet1!$O72</f>
        <v>-24669.528818494</v>
      </c>
      <c r="CU59" s="1">
        <f>'[4]Long Term Deals'!$Z58</f>
        <v>-43972.901883593106</v>
      </c>
      <c r="CV59" s="60">
        <f t="shared" si="23"/>
        <v>625241.56854569237</v>
      </c>
      <c r="CW59" s="13">
        <f>((B59+C59+D59+O59+P59+Q59+X59+Y59+AF59+AG59+AH59+BB59+BC59+BD59+BE59+BF59+BG59+BR59+BS59)+('Index Price Deals'!B59+'Index Price Deals'!C59+'Index Price Deals'!D59+'Index Price Deals'!L59+'Index Price Deals'!M59+'Index Price Deals'!N59+'Index Price Deals'!AD59+'Index Price Deals'!AE59+'Index Price Deals'!AF59+'Index Price Deals'!AK59+'Index Price Deals'!AL59+'Index Price Deals'!AM59))*'Prices&amp;Fuel'!H59</f>
        <v>8682621.8508997373</v>
      </c>
      <c r="CX59" s="65">
        <f>BQ59/(BB59+BC59+BD59+BE59+BF59+BG59)/'Prices&amp;Fuel'!H59</f>
        <v>4.2702271261906198E-2</v>
      </c>
      <c r="CZ59" s="28">
        <f>(BA59-CT59+CU59)/(AF59+AG59+AH59)/'Prices&amp;Fuel'!H59</f>
        <v>8.7519621709133605E-2</v>
      </c>
      <c r="DB59" s="3">
        <f>(O59+P59+Q59)*'Prices&amp;Fuel'!$H59</f>
        <v>778100</v>
      </c>
      <c r="DC59" s="3">
        <f>(X59+Y59)*'Prices&amp;Fuel'!$H59</f>
        <v>31000</v>
      </c>
      <c r="DE59" s="3">
        <v>226000</v>
      </c>
    </row>
    <row r="60" spans="1:109" x14ac:dyDescent="0.25">
      <c r="A60" s="10">
        <f t="shared" si="75"/>
        <v>37421.916666666533</v>
      </c>
      <c r="O60" s="1">
        <v>9036</v>
      </c>
      <c r="P60" s="1">
        <v>10794</v>
      </c>
      <c r="Q60" s="1">
        <v>5270</v>
      </c>
      <c r="R60" s="11">
        <f t="shared" si="77"/>
        <v>2.3363999999999998</v>
      </c>
      <c r="S60" s="11">
        <f t="shared" si="78"/>
        <v>2.3249</v>
      </c>
      <c r="T60" s="1">
        <f>(($O60*R60)+($P60*R60)+($Q60*R60))*'Prices&amp;Fuel'!$H60</f>
        <v>1759309.2</v>
      </c>
      <c r="U60" s="1">
        <f>(($O60*S60)+($P60*S60)+($Q60*S60))*'Prices&amp;Fuel'!$H60</f>
        <v>1750649.7</v>
      </c>
      <c r="V60" s="13">
        <f t="shared" si="80"/>
        <v>8659.5</v>
      </c>
      <c r="X60" s="1">
        <f t="shared" si="85"/>
        <v>500</v>
      </c>
      <c r="Y60" s="1">
        <f t="shared" si="61"/>
        <v>500</v>
      </c>
      <c r="Z60" s="12">
        <v>2.2000000000000002</v>
      </c>
      <c r="AA60" s="12">
        <v>2.1800000000000002</v>
      </c>
      <c r="AB60" s="1">
        <f>($X60+$Y60)*Z60*'Prices&amp;Fuel'!$H60</f>
        <v>66000</v>
      </c>
      <c r="AC60" s="1">
        <f>($X60+$Y60)*AA60*'Prices&amp;Fuel'!$H60</f>
        <v>65400</v>
      </c>
      <c r="AD60" s="13">
        <f t="shared" si="81"/>
        <v>600</v>
      </c>
      <c r="AF60" s="1">
        <f>((126000)/(1-'Prices&amp;Fuel'!F60))+(25000/(1-'Prices&amp;Fuel'!G60))-AI60</f>
        <v>155269.92287917738</v>
      </c>
      <c r="AG60" s="1">
        <v>0</v>
      </c>
      <c r="AH60" s="1">
        <f>(75000/(1-'Prices&amp;Fuel'!G60))-AK60</f>
        <v>77120.822622107968</v>
      </c>
      <c r="AI60" s="1"/>
      <c r="AJ60" s="1"/>
      <c r="AK60" s="1"/>
      <c r="AL60" s="21">
        <f>ROUND((226000/(1-'Prices&amp;Fuel'!F60))-AF60-AG60-AH60,0)</f>
        <v>0</v>
      </c>
      <c r="AM60" s="1">
        <f t="shared" si="51"/>
        <v>37635</v>
      </c>
      <c r="AO60" s="1">
        <f>ROUND((75000/(1-'Prices&amp;Fuel'!G60)-AV60-AK60)/2,0)</f>
        <v>38560</v>
      </c>
      <c r="AP60" s="1">
        <f t="shared" si="82"/>
        <v>80000</v>
      </c>
      <c r="AR60" s="1">
        <f t="shared" si="73"/>
        <v>37634.922879177378</v>
      </c>
      <c r="AT60" s="13">
        <f t="shared" si="25"/>
        <v>38560.822622107968</v>
      </c>
      <c r="AU60" s="13">
        <f>AL60*AX60*'Prices&amp;Fuel'!H60</f>
        <v>0</v>
      </c>
      <c r="AW60" s="20">
        <f t="shared" si="89"/>
        <v>0.09</v>
      </c>
      <c r="AX60" s="20">
        <f t="shared" si="54"/>
        <v>2.5000000000000001E-2</v>
      </c>
      <c r="AY60" s="6">
        <f>('Prices&amp;Fuel'!H60*('Prices&amp;Fuel'!B60+AW60)*'Long Term Deals'!AF60)+('Prices&amp;Fuel'!H60*('Prices&amp;Fuel'!C60+'Long Term Deals'!AW60)*'Long Term Deals'!AG60)+(AH60*('Prices&amp;Fuel'!C60+AW60)*'Prices&amp;Fuel'!H60)+(AW60*AL60*'Prices&amp;Fuel'!H60)</f>
        <v>30396092.544987142</v>
      </c>
      <c r="AZ60" s="6">
        <f>(AP60*'Prices&amp;Fuel'!H60*'Prices&amp;Fuel'!B60)+(AQ60*'Prices&amp;Fuel'!C60*'Prices&amp;Fuel'!H60)+((AM60+AR60)*('Prices&amp;Fuel'!B60+'Long Term Deals'!AX60)*'Prices&amp;Fuel'!H60)+((AN60+AS60)*('Prices&amp;Fuel'!C60+'Long Term Deals'!AX60)*'Prices&amp;Fuel'!H60)+((AO60+AT60)*('Prices&amp;Fuel'!D60+'Long Term Deals'!AX60)*'Prices&amp;Fuel'!H60)+(AV60*'Prices&amp;Fuel'!H60*'Prices&amp;Fuel'!Q60)+AU60</f>
        <v>29767249.357326478</v>
      </c>
      <c r="BA60" s="6">
        <f t="shared" si="83"/>
        <v>628843.18766066432</v>
      </c>
      <c r="BB60" s="6">
        <f>IF('FP Corp'!T60-((BE60+BF60+BG60)*(1-'Prices&amp;Fuel'!F60))&lt;'Prices&amp;Fuel'!R60,('FP Corp'!T60-(BE60+BF60+BG60)*(1-'Prices&amp;Fuel'!F60)),'Prices&amp;Fuel'!R60)/(1-'Prices&amp;Fuel'!F60)</f>
        <v>8976.8637532133671</v>
      </c>
      <c r="BC60" s="14"/>
      <c r="BD60" s="14">
        <f>ROUND(IF('FP Corp'!T60/(1-'Prices&amp;Fuel'!F60)-BE60-BF60-BG60-BB60&gt;'Prices&amp;Fuel'!T60,'Prices&amp;Fuel'!T60,'FP Corp'!T60/(1-'Prices&amp;Fuel'!F60)-BE60-BF60-BG60-BB60),9)</f>
        <v>6556.2982005140002</v>
      </c>
      <c r="BE60" s="14">
        <f>'Prices&amp;Fuel'!U60/(1-'Prices&amp;Fuel'!F60)</f>
        <v>1933.1619537275064</v>
      </c>
      <c r="BF60" s="14">
        <f>('Prices&amp;Fuel'!V60+'Prices&amp;Fuel'!X60)/(1-'Prices&amp;Fuel'!F60)</f>
        <v>3062.2107969151671</v>
      </c>
      <c r="BG60" s="14">
        <f>'Prices&amp;Fuel'!W60/(1-'Prices&amp;Fuel'!F60)</f>
        <v>1065.2956298200513</v>
      </c>
      <c r="BH60" s="25">
        <f>('Prices&amp;Fuel'!C60+'Prices&amp;Fuel'!D60)/2-0.05+('Prices&amp;Fuel'!M60+'Prices&amp;Fuel'!P60)*(1-'Prices&amp;Fuel'!F60)</f>
        <v>4.98392225</v>
      </c>
      <c r="BI60" s="14">
        <f t="shared" si="76"/>
        <v>0</v>
      </c>
      <c r="BJ60" s="14"/>
      <c r="BK60" s="25">
        <f>(((BB60+BE60)*('Prices&amp;Fuel'!B60+0.025))+(('Prices&amp;Fuel'!D60+0.025)*(BD60+BG60))+(('Prices&amp;Fuel'!C60+0.025)*(BC60+BF60))-(BI60+BJ60)*0.025)/(BB60+BC60+BD60+BE60+BF60+BG60)</f>
        <v>4.2870380952380955</v>
      </c>
      <c r="BL60" s="14">
        <f>(BB60+BC60+BD60+BE60+BF60+BG60)*BH60*'Prices&amp;Fuel'!H60</f>
        <v>3228659.1439588475</v>
      </c>
      <c r="BM60" s="14">
        <f>'Prices&amp;Fuel'!X60*('Prices&amp;Fuel'!N60+'Prices&amp;Fuel'!O60)*'Prices&amp;Fuel'!H60</f>
        <v>8667.2700000000023</v>
      </c>
      <c r="BN60" s="14">
        <f>('Prices&amp;Fuel'!U60+'Prices&amp;Fuel'!V60+'Prices&amp;Fuel'!W60)*('Prices&amp;Fuel'!L60+'Prices&amp;Fuel'!O60)*'Prices&amp;Fuel'!H60</f>
        <v>66127.590000000011</v>
      </c>
      <c r="BO60" s="14">
        <f>((BB60+BC60+BD60)*(1-'Prices&amp;Fuel'!G60))*('Prices&amp;Fuel'!M60+'Prices&amp;Fuel'!P60)*'Prices&amp;Fuel'!H60</f>
        <v>348993.91799999692</v>
      </c>
      <c r="BP60" s="14">
        <f>((BD60+BC60+BB60+BE60+BF60+BG60)*BK60*'Prices&amp;Fuel'!H60)+BM60+BN60+BO60</f>
        <v>3200995.9759434233</v>
      </c>
      <c r="BQ60" s="6">
        <f t="shared" si="79"/>
        <v>27663.168015424162</v>
      </c>
      <c r="CA60" s="6">
        <f>(AF60+AG60+AH60+AL60)*0.005*'Prices&amp;Fuel'!H60</f>
        <v>34858.611825192798</v>
      </c>
      <c r="CB60" s="6">
        <f>(B60+C60+D60+O60+P60+Q60+X60+Y60+BB60+BC60+BD60+BE60+BF60+BG60+BR60+BS60)*0.005*'Prices&amp;Fuel'!H60</f>
        <v>7154.0745501285137</v>
      </c>
      <c r="CC60" s="1">
        <f t="shared" si="86"/>
        <v>35450060.888945989</v>
      </c>
      <c r="CD60" s="1">
        <f t="shared" si="87"/>
        <v>34826307.719645217</v>
      </c>
      <c r="CE60" s="1">
        <f t="shared" si="88"/>
        <v>623753.16930077225</v>
      </c>
      <c r="CF60" s="1">
        <f>'Index Price Deals'!AR60</f>
        <v>0</v>
      </c>
      <c r="CG60" s="1">
        <f>'Index Price Deals'!AS60</f>
        <v>0</v>
      </c>
      <c r="CH60" s="1">
        <f>'Index Price Deals'!AT60</f>
        <v>0</v>
      </c>
      <c r="CI60" s="1">
        <f>'Index Price Deals'!AU60</f>
        <v>0</v>
      </c>
      <c r="CJ60" s="1">
        <f t="shared" si="84"/>
        <v>35450060.888945989</v>
      </c>
      <c r="CK60" s="1">
        <f t="shared" si="74"/>
        <v>34826307.719645217</v>
      </c>
      <c r="CL60" s="1">
        <f t="shared" si="74"/>
        <v>623753.16930077225</v>
      </c>
      <c r="CM60" s="30"/>
      <c r="CN60" s="1">
        <f>Transport!U60</f>
        <v>3.0665105441585185E-9</v>
      </c>
      <c r="CO60" s="57"/>
      <c r="CQ60" s="1">
        <f>(((($B60+$C60+$D60+$O60+$P60+$Q60)*0.5)+BR60+BS60)*(0.005*'Prices&amp;Fuel'!$H60)+'Index Price Deals'!AV60)+(((BB60+BC60+BD60+BE60+BF60+BG60)*(1-'Prices&amp;Fuel'!F60))*0.005*0.5*'Prices&amp;Fuel'!H60)</f>
        <v>3457.49999999999</v>
      </c>
      <c r="CR60" s="1">
        <f>(((($B60+$C60+$D60+$O60+$P60+$Q60)*0.5)+X60+Y60)*(0.005*'Prices&amp;Fuel'!$H60)+CA60+'Index Price Deals'!AW60)+(((BB60+BC60+BD60+BE60+BF60+BG60)*(1-'Prices&amp;Fuel'!F60))*0.005*0.5*'Prices&amp;Fuel'!H60)</f>
        <v>38466.111825192791</v>
      </c>
      <c r="CS60" s="21"/>
      <c r="CT60" s="1">
        <f>[3]Sheet1!$O73</f>
        <v>-23873.737566284544</v>
      </c>
      <c r="CU60" s="1">
        <f>'[4]Long Term Deals'!$Z59</f>
        <v>-42554.421177670738</v>
      </c>
      <c r="CV60" s="60">
        <f t="shared" si="23"/>
        <v>605072.48568938312</v>
      </c>
      <c r="CW60" s="13">
        <f>((B60+C60+D60+O60+P60+Q60+X60+Y60+AF60+AG60+AH60+BB60+BC60+BD60+BE60+BF60+BG60+BR60+BS60)+('Index Price Deals'!B60+'Index Price Deals'!C60+'Index Price Deals'!D60+'Index Price Deals'!L60+'Index Price Deals'!M60+'Index Price Deals'!N60+'Index Price Deals'!AD60+'Index Price Deals'!AE60+'Index Price Deals'!AF60+'Index Price Deals'!AK60+'Index Price Deals'!AL60+'Index Price Deals'!AM60))*'Prices&amp;Fuel'!H60</f>
        <v>8402537.2750642616</v>
      </c>
      <c r="CX60" s="65">
        <f>BQ60/(BB60+BC60+BD60+BE60+BF60+BG60)/'Prices&amp;Fuel'!H60</f>
        <v>4.2702271261905039E-2</v>
      </c>
      <c r="CZ60" s="28">
        <f>(BA60-CT60+CU60)/(AF60+AG60+AH60)/'Prices&amp;Fuel'!H60</f>
        <v>8.7519621709133189E-2</v>
      </c>
      <c r="DB60" s="3">
        <f>(O60+P60+Q60)*'Prices&amp;Fuel'!$H60</f>
        <v>753000</v>
      </c>
      <c r="DC60" s="3">
        <f>(X60+Y60)*'Prices&amp;Fuel'!$H60</f>
        <v>30000</v>
      </c>
      <c r="DE60" s="3">
        <v>226000</v>
      </c>
    </row>
    <row r="61" spans="1:109" x14ac:dyDescent="0.25">
      <c r="A61" s="10">
        <f t="shared" si="75"/>
        <v>37452.333333333198</v>
      </c>
      <c r="O61" s="1">
        <v>9036</v>
      </c>
      <c r="P61" s="1">
        <v>10794</v>
      </c>
      <c r="Q61" s="1">
        <v>5270</v>
      </c>
      <c r="R61" s="11">
        <f>ROUND(2.034*1.02*1.02*1.02*1.02*1.02*1.02*1.02*1.02,4)</f>
        <v>2.3832</v>
      </c>
      <c r="S61" s="11">
        <f>R61-ROUND(0.01*1.02*1.02*1.02*1.02*1.02*1.02*1.02*1.02,4)</f>
        <v>2.3715000000000002</v>
      </c>
      <c r="T61" s="1">
        <f>(($O61*R61)+($P61*R61)+($Q61*R61))*'Prices&amp;Fuel'!$H61</f>
        <v>1854367.92</v>
      </c>
      <c r="U61" s="1">
        <f>(($O61*S61)+($P61*S61)+($Q61*S61))*'Prices&amp;Fuel'!$H61</f>
        <v>1845264.1500000001</v>
      </c>
      <c r="V61" s="13">
        <f t="shared" si="80"/>
        <v>9103.7699999997858</v>
      </c>
      <c r="X61" s="1">
        <f t="shared" si="85"/>
        <v>500</v>
      </c>
      <c r="Y61" s="1">
        <f t="shared" si="61"/>
        <v>500</v>
      </c>
      <c r="Z61" s="12">
        <v>2.2000000000000002</v>
      </c>
      <c r="AA61" s="12">
        <v>2.1800000000000002</v>
      </c>
      <c r="AB61" s="1">
        <f>($X61+$Y61)*Z61*'Prices&amp;Fuel'!$H61</f>
        <v>68200</v>
      </c>
      <c r="AC61" s="1">
        <f>($X61+$Y61)*AA61*'Prices&amp;Fuel'!$H61</f>
        <v>67580</v>
      </c>
      <c r="AD61" s="13">
        <f t="shared" si="81"/>
        <v>620</v>
      </c>
      <c r="AF61" s="1">
        <f>((126000)/(1-'Prices&amp;Fuel'!F61))+(25000/(1-'Prices&amp;Fuel'!G61))-AI61</f>
        <v>155269.92287917738</v>
      </c>
      <c r="AG61" s="1">
        <v>0</v>
      </c>
      <c r="AH61" s="1">
        <f>(75000/(1-'Prices&amp;Fuel'!G61))-AK61</f>
        <v>77120.822622107968</v>
      </c>
      <c r="AI61" s="1"/>
      <c r="AJ61" s="1"/>
      <c r="AK61" s="1"/>
      <c r="AL61" s="21">
        <f>ROUND((226000/(1-'Prices&amp;Fuel'!F61))-AF61-AG61-AH61,0)</f>
        <v>0</v>
      </c>
      <c r="AM61" s="1">
        <f t="shared" si="51"/>
        <v>37635</v>
      </c>
      <c r="AO61" s="1">
        <f>ROUND((75000/(1-'Prices&amp;Fuel'!G61)-AV61-AK61)/2,0)</f>
        <v>38560</v>
      </c>
      <c r="AP61" s="1">
        <f t="shared" si="82"/>
        <v>80000</v>
      </c>
      <c r="AR61" s="1">
        <f t="shared" ref="AR61:AR76" si="90">IF(AP61&gt;AF61,0,AF61-AM61-AP61)</f>
        <v>37634.922879177378</v>
      </c>
      <c r="AT61" s="13">
        <f t="shared" si="25"/>
        <v>38560.822622107968</v>
      </c>
      <c r="AU61" s="13">
        <f>AL61*AX61*'Prices&amp;Fuel'!H61</f>
        <v>0</v>
      </c>
      <c r="AW61" s="20">
        <f t="shared" si="89"/>
        <v>0.09</v>
      </c>
      <c r="AX61" s="20">
        <f t="shared" si="54"/>
        <v>2.5000000000000001E-2</v>
      </c>
      <c r="AY61" s="6">
        <f>('Prices&amp;Fuel'!H61*('Prices&amp;Fuel'!B61+AW61)*'Long Term Deals'!AF61)+('Prices&amp;Fuel'!H61*('Prices&amp;Fuel'!C61+'Long Term Deals'!AW61)*'Long Term Deals'!AG61)+(AH61*('Prices&amp;Fuel'!C61+AW61)*'Prices&amp;Fuel'!H61)+(AW61*AL61*'Prices&amp;Fuel'!H61)</f>
        <v>31337254.498714652</v>
      </c>
      <c r="AZ61" s="6">
        <f>(AP61*'Prices&amp;Fuel'!H61*'Prices&amp;Fuel'!B61)+(AQ61*'Prices&amp;Fuel'!C61*'Prices&amp;Fuel'!H61)+((AM61+AR61)*('Prices&amp;Fuel'!B61+'Long Term Deals'!AX61)*'Prices&amp;Fuel'!H61)+((AN61+AS61)*('Prices&amp;Fuel'!C61+'Long Term Deals'!AX61)*'Prices&amp;Fuel'!H61)+((AO61+AT61)*('Prices&amp;Fuel'!D61+'Long Term Deals'!AX61)*'Prices&amp;Fuel'!H61)+(AV61*'Prices&amp;Fuel'!H61*'Prices&amp;Fuel'!Q61)+AU61</f>
        <v>30687449.871465296</v>
      </c>
      <c r="BA61" s="6">
        <f t="shared" si="83"/>
        <v>649804.62724935636</v>
      </c>
      <c r="BB61" s="6">
        <f>IF('FP Corp'!T61-((BE61+BF61+BG61)*(1-'Prices&amp;Fuel'!F61))&lt;'Prices&amp;Fuel'!R61,('FP Corp'!T61-(BE61+BF61+BG61)*(1-'Prices&amp;Fuel'!F61)),'Prices&amp;Fuel'!R61)/(1-'Prices&amp;Fuel'!F61)</f>
        <v>8976.8637532133671</v>
      </c>
      <c r="BC61" s="14"/>
      <c r="BD61" s="14">
        <f>ROUND(IF('FP Corp'!T61/(1-'Prices&amp;Fuel'!F61)-BE61-BF61-BG61-BB61&gt;'Prices&amp;Fuel'!T61,'Prices&amp;Fuel'!T61,'FP Corp'!T61/(1-'Prices&amp;Fuel'!F61)-BE61-BF61-BG61-BB61),9)</f>
        <v>6556.2982005140002</v>
      </c>
      <c r="BE61" s="14">
        <f>'Prices&amp;Fuel'!U61/(1-'Prices&amp;Fuel'!F61)</f>
        <v>1933.1619537275064</v>
      </c>
      <c r="BF61" s="14">
        <f>('Prices&amp;Fuel'!V61+'Prices&amp;Fuel'!X61)/(1-'Prices&amp;Fuel'!F61)</f>
        <v>3062.2107969151671</v>
      </c>
      <c r="BG61" s="14">
        <f>'Prices&amp;Fuel'!W61/(1-'Prices&amp;Fuel'!F61)</f>
        <v>1065.2956298200513</v>
      </c>
      <c r="BH61" s="25">
        <f>('Prices&amp;Fuel'!C61+'Prices&amp;Fuel'!D61)/2-0.05+('Prices&amp;Fuel'!M61+'Prices&amp;Fuel'!P61)*(1-'Prices&amp;Fuel'!F61)</f>
        <v>4.9739222500000002</v>
      </c>
      <c r="BI61" s="14">
        <f t="shared" si="76"/>
        <v>0</v>
      </c>
      <c r="BJ61" s="14"/>
      <c r="BK61" s="25">
        <f>(((BB61+BE61)*('Prices&amp;Fuel'!B61+0.025))+(('Prices&amp;Fuel'!D61+0.025)*(BD61+BG61))+(('Prices&amp;Fuel'!C61+0.025)*(BC61+BF61))-(BI61+BJ61)*0.025)/(BB61+BC61+BD61+BE61+BF61+BG61)</f>
        <v>4.2770380952380966</v>
      </c>
      <c r="BL61" s="14">
        <f>(BB61+BC61+BD61+BE61+BF61+BG61)*BH61*'Prices&amp;Fuel'!H61</f>
        <v>3329587.028020544</v>
      </c>
      <c r="BM61" s="14">
        <f>'Prices&amp;Fuel'!X61*('Prices&amp;Fuel'!N61+'Prices&amp;Fuel'!O61)*'Prices&amp;Fuel'!H61</f>
        <v>8956.1790000000019</v>
      </c>
      <c r="BN61" s="14">
        <f>('Prices&amp;Fuel'!U61+'Prices&amp;Fuel'!V61+'Prices&amp;Fuel'!W61)*('Prices&amp;Fuel'!L61+'Prices&amp;Fuel'!O61)*'Prices&amp;Fuel'!H61</f>
        <v>68331.843000000008</v>
      </c>
      <c r="BO61" s="14">
        <f>((BB61+BC61+BD61)*(1-'Prices&amp;Fuel'!G61))*('Prices&amp;Fuel'!M61+'Prices&amp;Fuel'!P61)*'Prices&amp;Fuel'!H61</f>
        <v>360627.04859999678</v>
      </c>
      <c r="BP61" s="14">
        <f>((BD61+BC61+BB61+BE61+BF61+BG61)*BK61*'Prices&amp;Fuel'!H61)+BM61+BN61+BO61</f>
        <v>3301001.7544046063</v>
      </c>
      <c r="BQ61" s="6">
        <f t="shared" si="79"/>
        <v>28585.27361593768</v>
      </c>
      <c r="CA61" s="6">
        <f>(AF61+AG61+AH61+AL61)*0.005*'Prices&amp;Fuel'!H61</f>
        <v>36020.565552699227</v>
      </c>
      <c r="CB61" s="6">
        <f>(B61+C61+D61+O61+P61+Q61+X61+Y61+BB61+BC61+BD61+BE61+BF61+BG61+BR61+BS61)*0.005*'Prices&amp;Fuel'!H61</f>
        <v>7392.5437017994636</v>
      </c>
      <c r="CC61" s="1">
        <f t="shared" si="86"/>
        <v>36589409.446735196</v>
      </c>
      <c r="CD61" s="1">
        <f t="shared" si="87"/>
        <v>35944708.885124393</v>
      </c>
      <c r="CE61" s="1">
        <f t="shared" si="88"/>
        <v>644700.56161080301</v>
      </c>
      <c r="CF61" s="1">
        <f>'Index Price Deals'!AR61</f>
        <v>0</v>
      </c>
      <c r="CG61" s="1">
        <f>'Index Price Deals'!AS61</f>
        <v>0</v>
      </c>
      <c r="CH61" s="1">
        <f>'Index Price Deals'!AT61</f>
        <v>0</v>
      </c>
      <c r="CI61" s="1">
        <f>'Index Price Deals'!AU61</f>
        <v>0</v>
      </c>
      <c r="CJ61" s="1">
        <f t="shared" si="84"/>
        <v>36589409.446735196</v>
      </c>
      <c r="CK61" s="1">
        <f t="shared" si="74"/>
        <v>35944708.885124393</v>
      </c>
      <c r="CL61" s="1">
        <f t="shared" si="74"/>
        <v>644700.56161080301</v>
      </c>
      <c r="CM61" s="30"/>
      <c r="CN61" s="1">
        <f>Transport!U61</f>
        <v>3.1687275622971359E-9</v>
      </c>
      <c r="CO61" s="57"/>
      <c r="CQ61" s="1">
        <f>(((($B61+$C61+$D61+$O61+$P61+$Q61)*0.5)+BR61+BS61)*(0.005*'Prices&amp;Fuel'!$H61)+'Index Price Deals'!AV61)+(((BB61+BC61+BD61+BE61+BF61+BG61)*(1-'Prices&amp;Fuel'!F61))*0.005*0.5*'Prices&amp;Fuel'!H61)</f>
        <v>3572.7499999999895</v>
      </c>
      <c r="CR61" s="1">
        <f>(((($B61+$C61+$D61+$O61+$P61+$Q61)*0.5)+X61+Y61)*(0.005*'Prices&amp;Fuel'!$H61)+CA61+'Index Price Deals'!AW61)+(((BB61+BC61+BD61+BE61+BF61+BG61)*(1-'Prices&amp;Fuel'!F61))*0.005*0.5*'Prices&amp;Fuel'!H61)</f>
        <v>39748.31555269922</v>
      </c>
      <c r="CS61" s="21"/>
      <c r="CT61" s="1">
        <f>[3]Sheet1!$O74</f>
        <v>-24669.528818494</v>
      </c>
      <c r="CU61" s="1">
        <f>'[4]Long Term Deals'!$Z60</f>
        <v>-43972.901883593106</v>
      </c>
      <c r="CV61" s="60">
        <f t="shared" si="23"/>
        <v>625397.18854570086</v>
      </c>
      <c r="CW61" s="13">
        <f>((B61+C61+D61+O61+P61+Q61+X61+Y61+AF61+AG61+AH61+BB61+BC61+BD61+BE61+BF61+BG61+BR61+BS61)+('Index Price Deals'!B61+'Index Price Deals'!C61+'Index Price Deals'!D61+'Index Price Deals'!L61+'Index Price Deals'!M61+'Index Price Deals'!N61+'Index Price Deals'!AD61+'Index Price Deals'!AE61+'Index Price Deals'!AF61+'Index Price Deals'!AK61+'Index Price Deals'!AL61+'Index Price Deals'!AM61))*'Prices&amp;Fuel'!H61</f>
        <v>8682621.8508997373</v>
      </c>
      <c r="CX61" s="65">
        <f>BQ61/(BB61+BC61+BD61+BE61+BF61+BG61)/'Prices&amp;Fuel'!H61</f>
        <v>4.2702271261904109E-2</v>
      </c>
      <c r="CZ61" s="28">
        <f>(BA61-CT61+CU61)/(AF61+AG61+AH61)/'Prices&amp;Fuel'!H61</f>
        <v>8.7519621709133605E-2</v>
      </c>
      <c r="DB61" s="3">
        <f>(O61+P61+Q61)*'Prices&amp;Fuel'!$H61</f>
        <v>778100</v>
      </c>
      <c r="DC61" s="3">
        <f>(X61+Y61)*'Prices&amp;Fuel'!$H61</f>
        <v>31000</v>
      </c>
      <c r="DE61" s="3">
        <v>226000</v>
      </c>
    </row>
    <row r="62" spans="1:109" x14ac:dyDescent="0.25">
      <c r="A62" s="10">
        <f t="shared" si="75"/>
        <v>37482.749999999862</v>
      </c>
      <c r="O62" s="1">
        <v>9036</v>
      </c>
      <c r="P62" s="1">
        <v>10794</v>
      </c>
      <c r="Q62" s="1">
        <v>5270</v>
      </c>
      <c r="R62" s="11">
        <f t="shared" ref="R62:R72" si="91">R61</f>
        <v>2.3832</v>
      </c>
      <c r="S62" s="11">
        <f t="shared" ref="S62:S72" si="92">S61</f>
        <v>2.3715000000000002</v>
      </c>
      <c r="T62" s="1">
        <f>(($O62*R62)+($P62*R62)+($Q62*R62))*'Prices&amp;Fuel'!$H62</f>
        <v>1854367.92</v>
      </c>
      <c r="U62" s="1">
        <f>(($O62*S62)+($P62*S62)+($Q62*S62))*'Prices&amp;Fuel'!$H62</f>
        <v>1845264.1500000001</v>
      </c>
      <c r="V62" s="13">
        <f t="shared" si="80"/>
        <v>9103.7699999997858</v>
      </c>
      <c r="X62" s="1">
        <f t="shared" si="85"/>
        <v>500</v>
      </c>
      <c r="Y62" s="1">
        <f t="shared" si="61"/>
        <v>500</v>
      </c>
      <c r="Z62" s="12">
        <v>2.2000000000000002</v>
      </c>
      <c r="AA62" s="12">
        <v>2.1800000000000002</v>
      </c>
      <c r="AB62" s="1">
        <f>($X62+$Y62)*Z62*'Prices&amp;Fuel'!$H62</f>
        <v>68200</v>
      </c>
      <c r="AC62" s="1">
        <f>($X62+$Y62)*AA62*'Prices&amp;Fuel'!$H62</f>
        <v>67580</v>
      </c>
      <c r="AD62" s="13">
        <f t="shared" si="81"/>
        <v>620</v>
      </c>
      <c r="AF62" s="1">
        <f>((126000)/(1-'Prices&amp;Fuel'!F62))+(25000/(1-'Prices&amp;Fuel'!G62))-AI62</f>
        <v>155269.92287917738</v>
      </c>
      <c r="AG62" s="1">
        <v>0</v>
      </c>
      <c r="AH62" s="1">
        <f>(75000/(1-'Prices&amp;Fuel'!G62))-AK62</f>
        <v>77120.822622107968</v>
      </c>
      <c r="AI62" s="1"/>
      <c r="AJ62" s="1"/>
      <c r="AK62" s="1"/>
      <c r="AL62" s="21">
        <f>ROUND((226000/(1-'Prices&amp;Fuel'!F62))-AF62-AG62-AH62,0)</f>
        <v>0</v>
      </c>
      <c r="AM62" s="1">
        <f t="shared" si="51"/>
        <v>37635</v>
      </c>
      <c r="AO62" s="1">
        <f>ROUND((75000/(1-'Prices&amp;Fuel'!G62)-AV62-AK62)/2,0)</f>
        <v>38560</v>
      </c>
      <c r="AP62" s="1">
        <f t="shared" si="82"/>
        <v>80000</v>
      </c>
      <c r="AR62" s="1">
        <f t="shared" si="90"/>
        <v>37634.922879177378</v>
      </c>
      <c r="AT62" s="13">
        <f t="shared" si="25"/>
        <v>38560.822622107968</v>
      </c>
      <c r="AU62" s="13">
        <f>AL62*AX62*'Prices&amp;Fuel'!H62</f>
        <v>0</v>
      </c>
      <c r="AW62" s="20">
        <f t="shared" si="89"/>
        <v>0.09</v>
      </c>
      <c r="AX62" s="20">
        <f t="shared" si="54"/>
        <v>2.5000000000000001E-2</v>
      </c>
      <c r="AY62" s="6">
        <f>('Prices&amp;Fuel'!H62*('Prices&amp;Fuel'!B62+AW62)*'Long Term Deals'!AF62)+('Prices&amp;Fuel'!H62*('Prices&amp;Fuel'!C62+'Long Term Deals'!AW62)*'Long Term Deals'!AG62)+(AH62*('Prices&amp;Fuel'!C62+AW62)*'Prices&amp;Fuel'!H62)+(AW62*AL62*'Prices&amp;Fuel'!H62)</f>
        <v>27447033.419023138</v>
      </c>
      <c r="AZ62" s="6">
        <f>(AP62*'Prices&amp;Fuel'!H62*'Prices&amp;Fuel'!B62)+(AQ62*'Prices&amp;Fuel'!C62*'Prices&amp;Fuel'!H62)+((AM62+AR62)*('Prices&amp;Fuel'!B62+'Long Term Deals'!AX62)*'Prices&amp;Fuel'!H62)+((AN62+AS62)*('Prices&amp;Fuel'!C62+'Long Term Deals'!AX62)*'Prices&amp;Fuel'!H62)+((AO62+AT62)*('Prices&amp;Fuel'!D62+'Long Term Deals'!AX62)*'Prices&amp;Fuel'!H62)+(AV62*'Prices&amp;Fuel'!H62*'Prices&amp;Fuel'!Q62)+AU62</f>
        <v>26797228.791773781</v>
      </c>
      <c r="BA62" s="6">
        <f t="shared" si="83"/>
        <v>649804.62724935636</v>
      </c>
      <c r="BB62" s="6">
        <f>IF('FP Corp'!T62-((BE62+BF62+BG62)*(1-'Prices&amp;Fuel'!F62))&lt;'Prices&amp;Fuel'!R62,('FP Corp'!T62-(BE62+BF62+BG62)*(1-'Prices&amp;Fuel'!F62)),'Prices&amp;Fuel'!R62)/(1-'Prices&amp;Fuel'!F62)</f>
        <v>8976.8637532133671</v>
      </c>
      <c r="BC62" s="14"/>
      <c r="BD62" s="14">
        <f>ROUND(IF('FP Corp'!T62/(1-'Prices&amp;Fuel'!F62)-BE62-BF62-BG62-BB62&gt;'Prices&amp;Fuel'!T62,'Prices&amp;Fuel'!T62,'FP Corp'!T62/(1-'Prices&amp;Fuel'!F62)-BE62-BF62-BG62-BB62),9)</f>
        <v>6556.2982005140002</v>
      </c>
      <c r="BE62" s="14">
        <f>'Prices&amp;Fuel'!U62/(1-'Prices&amp;Fuel'!F62)</f>
        <v>1933.1619537275064</v>
      </c>
      <c r="BF62" s="14">
        <f>('Prices&amp;Fuel'!V62+'Prices&amp;Fuel'!X62)/(1-'Prices&amp;Fuel'!F62)</f>
        <v>3062.2107969151671</v>
      </c>
      <c r="BG62" s="14">
        <f>'Prices&amp;Fuel'!W62/(1-'Prices&amp;Fuel'!F62)</f>
        <v>1065.2956298200513</v>
      </c>
      <c r="BH62" s="25">
        <f>('Prices&amp;Fuel'!C62+'Prices&amp;Fuel'!D62)/2-0.05+('Prices&amp;Fuel'!M62+'Prices&amp;Fuel'!P62)*(1-'Prices&amp;Fuel'!F62)</f>
        <v>4.4339222500000002</v>
      </c>
      <c r="BI62" s="14">
        <f t="shared" si="76"/>
        <v>0</v>
      </c>
      <c r="BJ62" s="14"/>
      <c r="BK62" s="25">
        <f>(((BB62+BE62)*('Prices&amp;Fuel'!B62+0.025))+(('Prices&amp;Fuel'!D62+0.025)*(BD62+BG62))+(('Prices&amp;Fuel'!C62+0.025)*(BC62+BF62))-(BI62+BJ62)*0.025)/(BB62+BC62+BD62+BE62+BF62+BG62)</f>
        <v>3.7370380952380953</v>
      </c>
      <c r="BL62" s="14">
        <f>(BB62+BC62+BD62+BE62+BF62+BG62)*BH62*'Prices&amp;Fuel'!H62</f>
        <v>2968106.3082262017</v>
      </c>
      <c r="BM62" s="14">
        <f>'Prices&amp;Fuel'!X62*('Prices&amp;Fuel'!N62+'Prices&amp;Fuel'!O62)*'Prices&amp;Fuel'!H62</f>
        <v>8956.1790000000019</v>
      </c>
      <c r="BN62" s="14">
        <f>('Prices&amp;Fuel'!U62+'Prices&amp;Fuel'!V62+'Prices&amp;Fuel'!W62)*('Prices&amp;Fuel'!L62+'Prices&amp;Fuel'!O62)*'Prices&amp;Fuel'!H62</f>
        <v>68331.843000000008</v>
      </c>
      <c r="BO62" s="14">
        <f>((BB62+BC62+BD62)*(1-'Prices&amp;Fuel'!G62))*('Prices&amp;Fuel'!M62+'Prices&amp;Fuel'!P62)*'Prices&amp;Fuel'!H62</f>
        <v>360627.04859999678</v>
      </c>
      <c r="BP62" s="14">
        <f>((BD62+BC62+BB62+BE62+BF62+BG62)*BK62*'Prices&amp;Fuel'!H62)+BM62+BN62+BO62</f>
        <v>2939521.0346102631</v>
      </c>
      <c r="BQ62" s="6">
        <f t="shared" si="79"/>
        <v>28585.273615938611</v>
      </c>
      <c r="CA62" s="6">
        <f>(AF62+AG62+AH62+AL62)*0.005*'Prices&amp;Fuel'!H62</f>
        <v>36020.565552699227</v>
      </c>
      <c r="CB62" s="6">
        <f>(B62+C62+D62+O62+P62+Q62+X62+Y62+BB62+BC62+BD62+BE62+BF62+BG62+BR62+BS62)*0.005*'Prices&amp;Fuel'!H62</f>
        <v>7392.5437017994636</v>
      </c>
      <c r="CC62" s="1">
        <f t="shared" si="86"/>
        <v>32337707.647249337</v>
      </c>
      <c r="CD62" s="1">
        <f t="shared" si="87"/>
        <v>31693007.085638542</v>
      </c>
      <c r="CE62" s="1">
        <f t="shared" si="88"/>
        <v>644700.56161079556</v>
      </c>
      <c r="CF62" s="1">
        <f>'Index Price Deals'!AR62</f>
        <v>0</v>
      </c>
      <c r="CG62" s="1">
        <f>'Index Price Deals'!AS62</f>
        <v>0</v>
      </c>
      <c r="CH62" s="1">
        <f>'Index Price Deals'!AT62</f>
        <v>0</v>
      </c>
      <c r="CI62" s="1">
        <f>'Index Price Deals'!AU62</f>
        <v>0</v>
      </c>
      <c r="CJ62" s="1">
        <f t="shared" si="84"/>
        <v>32337707.647249337</v>
      </c>
      <c r="CK62" s="1">
        <f t="shared" si="74"/>
        <v>31693007.085638542</v>
      </c>
      <c r="CL62" s="1">
        <f t="shared" si="74"/>
        <v>644700.56161079556</v>
      </c>
      <c r="CM62" s="30"/>
      <c r="CN62" s="1">
        <f>Transport!U62</f>
        <v>3.1687275622971359E-9</v>
      </c>
      <c r="CO62" s="57"/>
      <c r="CQ62" s="1">
        <f>(((($B62+$C62+$D62+$O62+$P62+$Q62)*0.5)+BR62+BS62)*(0.005*'Prices&amp;Fuel'!$H62)+'Index Price Deals'!AV62)+(((BB62+BC62+BD62+BE62+BF62+BG62)*(1-'Prices&amp;Fuel'!F62))*0.005*0.5*'Prices&amp;Fuel'!H62)</f>
        <v>3572.7499999999895</v>
      </c>
      <c r="CR62" s="1">
        <f>(((($B62+$C62+$D62+$O62+$P62+$Q62)*0.5)+X62+Y62)*(0.005*'Prices&amp;Fuel'!$H62)+CA62+'Index Price Deals'!AW62)+(((BB62+BC62+BD62+BE62+BF62+BG62)*(1-'Prices&amp;Fuel'!F62))*0.005*0.5*'Prices&amp;Fuel'!H62)</f>
        <v>39748.31555269922</v>
      </c>
      <c r="CS62" s="21"/>
      <c r="CT62" s="1">
        <f>[3]Sheet1!$O75</f>
        <v>-24669.528818494</v>
      </c>
      <c r="CU62" s="1">
        <f>'[4]Long Term Deals'!$Z61</f>
        <v>-43972.901883593106</v>
      </c>
      <c r="CV62" s="60">
        <f t="shared" si="23"/>
        <v>625397.18854569341</v>
      </c>
      <c r="CW62" s="13">
        <f>((B62+C62+D62+O62+P62+Q62+X62+Y62+AF62+AG62+AH62+BB62+BC62+BD62+BE62+BF62+BG62+BR62+BS62)+('Index Price Deals'!B62+'Index Price Deals'!C62+'Index Price Deals'!D62+'Index Price Deals'!L62+'Index Price Deals'!M62+'Index Price Deals'!N62+'Index Price Deals'!AD62+'Index Price Deals'!AE62+'Index Price Deals'!AF62+'Index Price Deals'!AK62+'Index Price Deals'!AL62+'Index Price Deals'!AM62))*'Prices&amp;Fuel'!H62</f>
        <v>8682621.8508997373</v>
      </c>
      <c r="CX62" s="65">
        <f>BQ62/(BB62+BC62+BD62+BE62+BF62+BG62)/'Prices&amp;Fuel'!H62</f>
        <v>4.2702271261905497E-2</v>
      </c>
      <c r="CZ62" s="28">
        <f>(BA62-CT62+CU62)/(AF62+AG62+AH62)/'Prices&amp;Fuel'!H62</f>
        <v>8.7519621709133605E-2</v>
      </c>
      <c r="DB62" s="3">
        <f>(O62+P62+Q62)*'Prices&amp;Fuel'!$H62</f>
        <v>778100</v>
      </c>
      <c r="DC62" s="3">
        <f>(X62+Y62)*'Prices&amp;Fuel'!$H62</f>
        <v>31000</v>
      </c>
      <c r="DE62" s="3">
        <v>226000</v>
      </c>
    </row>
    <row r="63" spans="1:109" x14ac:dyDescent="0.25">
      <c r="A63" s="10">
        <f t="shared" si="75"/>
        <v>37513.166666666526</v>
      </c>
      <c r="O63" s="1">
        <v>9036</v>
      </c>
      <c r="P63" s="1">
        <v>10794</v>
      </c>
      <c r="Q63" s="1">
        <v>5270</v>
      </c>
      <c r="R63" s="11">
        <f t="shared" si="91"/>
        <v>2.3832</v>
      </c>
      <c r="S63" s="11">
        <f t="shared" si="92"/>
        <v>2.3715000000000002</v>
      </c>
      <c r="T63" s="1">
        <f>(($O63*R63)+($P63*R63)+($Q63*R63))*'Prices&amp;Fuel'!$H63</f>
        <v>1794549.6</v>
      </c>
      <c r="U63" s="1">
        <f>(($O63*S63)+($P63*S63)+($Q63*S63))*'Prices&amp;Fuel'!$H63</f>
        <v>1785739.5</v>
      </c>
      <c r="V63" s="13">
        <f t="shared" si="80"/>
        <v>8810.1000000000931</v>
      </c>
      <c r="X63" s="1">
        <f t="shared" si="85"/>
        <v>500</v>
      </c>
      <c r="Y63" s="1">
        <f t="shared" si="61"/>
        <v>500</v>
      </c>
      <c r="Z63" s="12">
        <v>2.2000000000000002</v>
      </c>
      <c r="AA63" s="12">
        <v>2.1800000000000002</v>
      </c>
      <c r="AB63" s="1">
        <f>($X63+$Y63)*Z63*'Prices&amp;Fuel'!$H63</f>
        <v>66000</v>
      </c>
      <c r="AC63" s="1">
        <f>($X63+$Y63)*AA63*'Prices&amp;Fuel'!$H63</f>
        <v>65400</v>
      </c>
      <c r="AD63" s="13">
        <f t="shared" si="81"/>
        <v>600</v>
      </c>
      <c r="AF63" s="1">
        <f>((126000)/(1-'Prices&amp;Fuel'!F63))+(25000/(1-'Prices&amp;Fuel'!G63))-AI63</f>
        <v>155269.92287917738</v>
      </c>
      <c r="AG63" s="1">
        <v>0</v>
      </c>
      <c r="AH63" s="1">
        <f>(75000/(1-'Prices&amp;Fuel'!G63))-AK63</f>
        <v>77120.822622107968</v>
      </c>
      <c r="AI63" s="1"/>
      <c r="AJ63" s="1"/>
      <c r="AK63" s="1"/>
      <c r="AL63" s="21">
        <f>ROUND((226000/(1-'Prices&amp;Fuel'!F63))-AF63-AG63-AH63,0)</f>
        <v>0</v>
      </c>
      <c r="AM63" s="1">
        <f t="shared" si="51"/>
        <v>37635</v>
      </c>
      <c r="AO63" s="1">
        <f>ROUND((75000/(1-'Prices&amp;Fuel'!G63)-AV63-AK63)/2,0)</f>
        <v>38560</v>
      </c>
      <c r="AP63" s="1">
        <f t="shared" si="82"/>
        <v>80000</v>
      </c>
      <c r="AR63" s="1">
        <f t="shared" si="90"/>
        <v>37634.922879177378</v>
      </c>
      <c r="AT63" s="13">
        <f t="shared" si="25"/>
        <v>38560.822622107968</v>
      </c>
      <c r="AU63" s="13">
        <f>AL63*AX63*'Prices&amp;Fuel'!H63</f>
        <v>0</v>
      </c>
      <c r="AW63" s="20">
        <f t="shared" si="89"/>
        <v>0.09</v>
      </c>
      <c r="AX63" s="20">
        <f t="shared" ref="AX63:AX94" si="93">AX62</f>
        <v>2.5000000000000001E-2</v>
      </c>
      <c r="AY63" s="6">
        <f>('Prices&amp;Fuel'!H63*('Prices&amp;Fuel'!B63+AW63)*'Long Term Deals'!AF63)+('Prices&amp;Fuel'!H63*('Prices&amp;Fuel'!C63+'Long Term Deals'!AW63)*'Long Term Deals'!AG63)+(AH63*('Prices&amp;Fuel'!C63+AW63)*'Prices&amp;Fuel'!H63)+(AW63*AL63*'Prices&amp;Fuel'!H63)</f>
        <v>31929871.465295628</v>
      </c>
      <c r="AZ63" s="6">
        <f>(AP63*'Prices&amp;Fuel'!H63*'Prices&amp;Fuel'!B63)+(AQ63*'Prices&amp;Fuel'!C63*'Prices&amp;Fuel'!H63)+((AM63+AR63)*('Prices&amp;Fuel'!B63+'Long Term Deals'!AX63)*'Prices&amp;Fuel'!H63)+((AN63+AS63)*('Prices&amp;Fuel'!C63+'Long Term Deals'!AX63)*'Prices&amp;Fuel'!H63)+((AO63+AT63)*('Prices&amp;Fuel'!D63+'Long Term Deals'!AX63)*'Prices&amp;Fuel'!H63)+(AV63*'Prices&amp;Fuel'!H63*'Prices&amp;Fuel'!Q63)+AU63</f>
        <v>31301028.277634967</v>
      </c>
      <c r="BA63" s="6">
        <f t="shared" si="83"/>
        <v>628843.18766066059</v>
      </c>
      <c r="BB63" s="6">
        <f>IF('FP Corp'!T63-((BE63+BF63+BG63)*(1-'Prices&amp;Fuel'!F63))&lt;'Prices&amp;Fuel'!R63,('FP Corp'!T63-(BE63+BF63+BG63)*(1-'Prices&amp;Fuel'!F63)),'Prices&amp;Fuel'!R63)/(1-'Prices&amp;Fuel'!F63)</f>
        <v>8976.8637532133671</v>
      </c>
      <c r="BC63" s="14"/>
      <c r="BD63" s="14">
        <f>ROUND(IF('FP Corp'!T63/(1-'Prices&amp;Fuel'!F63)-BE63-BF63-BG63-BB63&gt;'Prices&amp;Fuel'!T63,'Prices&amp;Fuel'!T63,'FP Corp'!T63/(1-'Prices&amp;Fuel'!F63)-BE63-BF63-BG63-BB63),9)</f>
        <v>6556.2982005140002</v>
      </c>
      <c r="BE63" s="14">
        <f>'Prices&amp;Fuel'!U63/(1-'Prices&amp;Fuel'!F63)</f>
        <v>1933.1619537275064</v>
      </c>
      <c r="BF63" s="14">
        <f>('Prices&amp;Fuel'!V63+'Prices&amp;Fuel'!X63)/(1-'Prices&amp;Fuel'!F63)</f>
        <v>3062.2107969151671</v>
      </c>
      <c r="BG63" s="14">
        <f>'Prices&amp;Fuel'!W63/(1-'Prices&amp;Fuel'!F63)</f>
        <v>1065.2956298200513</v>
      </c>
      <c r="BH63" s="25">
        <f>('Prices&amp;Fuel'!C63+'Prices&amp;Fuel'!D63)/2-0.05+('Prices&amp;Fuel'!M63+'Prices&amp;Fuel'!P63)*(1-'Prices&amp;Fuel'!F63)</f>
        <v>5.2039222500000006</v>
      </c>
      <c r="BI63" s="14">
        <f t="shared" si="76"/>
        <v>0</v>
      </c>
      <c r="BJ63" s="14"/>
      <c r="BK63" s="25">
        <f>(((BB63+BE63)*('Prices&amp;Fuel'!B63+0.025))+(('Prices&amp;Fuel'!D63+0.025)*(BD63+BG63))+(('Prices&amp;Fuel'!C63+0.025)*(BC63+BF63))-(BI63+BJ63)*0.025)/(BB63+BC63+BD63+BE63+BF63+BG63)</f>
        <v>4.5070380952380962</v>
      </c>
      <c r="BL63" s="14">
        <f>(BB63+BC63+BD63+BE63+BF63+BG63)*BH63*'Prices&amp;Fuel'!H63</f>
        <v>3371178.4241645029</v>
      </c>
      <c r="BM63" s="14">
        <f>'Prices&amp;Fuel'!X63*('Prices&amp;Fuel'!N63+'Prices&amp;Fuel'!O63)*'Prices&amp;Fuel'!H63</f>
        <v>8667.2700000000023</v>
      </c>
      <c r="BN63" s="14">
        <f>('Prices&amp;Fuel'!U63+'Prices&amp;Fuel'!V63+'Prices&amp;Fuel'!W63)*('Prices&amp;Fuel'!L63+'Prices&amp;Fuel'!O63)*'Prices&amp;Fuel'!H63</f>
        <v>66127.590000000011</v>
      </c>
      <c r="BO63" s="14">
        <f>((BB63+BC63+BD63)*(1-'Prices&amp;Fuel'!G63))*('Prices&amp;Fuel'!M63+'Prices&amp;Fuel'!P63)*'Prices&amp;Fuel'!H63</f>
        <v>348993.91799999692</v>
      </c>
      <c r="BP63" s="14">
        <f>((BD63+BC63+BB63+BE63+BF63+BG63)*BK63*'Prices&amp;Fuel'!H63)+BM63+BN63+BO63</f>
        <v>3343515.2561490787</v>
      </c>
      <c r="BQ63" s="6">
        <f t="shared" si="79"/>
        <v>27663.168015424162</v>
      </c>
      <c r="CA63" s="6">
        <f>(AF63+AG63+AH63+AL63)*0.005*'Prices&amp;Fuel'!H63</f>
        <v>34858.611825192798</v>
      </c>
      <c r="CB63" s="6">
        <f>(B63+C63+D63+O63+P63+Q63+X63+Y63+BB63+BC63+BD63+BE63+BF63+BG63+BR63+BS63)*0.005*'Prices&amp;Fuel'!H63</f>
        <v>7154.0745501285137</v>
      </c>
      <c r="CC63" s="1">
        <f t="shared" si="86"/>
        <v>37161599.489460133</v>
      </c>
      <c r="CD63" s="1">
        <f t="shared" si="87"/>
        <v>36537695.720159367</v>
      </c>
      <c r="CE63" s="1">
        <f t="shared" si="88"/>
        <v>623903.76930076629</v>
      </c>
      <c r="CF63" s="1">
        <f>'Index Price Deals'!AR63</f>
        <v>0</v>
      </c>
      <c r="CG63" s="1">
        <f>'Index Price Deals'!AS63</f>
        <v>0</v>
      </c>
      <c r="CH63" s="1">
        <f>'Index Price Deals'!AT63</f>
        <v>0</v>
      </c>
      <c r="CI63" s="1">
        <f>'Index Price Deals'!AU63</f>
        <v>0</v>
      </c>
      <c r="CJ63" s="1">
        <f t="shared" si="84"/>
        <v>37161599.489460133</v>
      </c>
      <c r="CK63" s="1">
        <f t="shared" si="74"/>
        <v>36537695.720159367</v>
      </c>
      <c r="CL63" s="1">
        <f t="shared" si="74"/>
        <v>623903.76930076629</v>
      </c>
      <c r="CM63" s="30"/>
      <c r="CN63" s="1">
        <f>Transport!U63</f>
        <v>3.0665105441585185E-9</v>
      </c>
      <c r="CO63" s="57"/>
      <c r="CQ63" s="1">
        <f>(((($B63+$C63+$D63+$O63+$P63+$Q63)*0.5)+BR63+BS63)*(0.005*'Prices&amp;Fuel'!$H63)+'Index Price Deals'!AV63)+(((BB63+BC63+BD63+BE63+BF63+BG63)*(1-'Prices&amp;Fuel'!F63))*0.005*0.5*'Prices&amp;Fuel'!H63)</f>
        <v>3457.49999999999</v>
      </c>
      <c r="CR63" s="1">
        <f>(((($B63+$C63+$D63+$O63+$P63+$Q63)*0.5)+X63+Y63)*(0.005*'Prices&amp;Fuel'!$H63)+CA63+'Index Price Deals'!AW63)+(((BB63+BC63+BD63+BE63+BF63+BG63)*(1-'Prices&amp;Fuel'!F63))*0.005*0.5*'Prices&amp;Fuel'!H63)</f>
        <v>38466.111825192791</v>
      </c>
      <c r="CS63" s="21"/>
      <c r="CT63" s="1">
        <f>[3]Sheet1!$O76</f>
        <v>-23873.737566284544</v>
      </c>
      <c r="CU63" s="1">
        <f>'[4]Long Term Deals'!$Z62</f>
        <v>-42554.421177670738</v>
      </c>
      <c r="CV63" s="60">
        <f t="shared" si="23"/>
        <v>605223.08568937716</v>
      </c>
      <c r="CW63" s="13">
        <f>((B63+C63+D63+O63+P63+Q63+X63+Y63+AF63+AG63+AH63+BB63+BC63+BD63+BE63+BF63+BG63+BR63+BS63)+('Index Price Deals'!B63+'Index Price Deals'!C63+'Index Price Deals'!D63+'Index Price Deals'!L63+'Index Price Deals'!M63+'Index Price Deals'!N63+'Index Price Deals'!AD63+'Index Price Deals'!AE63+'Index Price Deals'!AF63+'Index Price Deals'!AK63+'Index Price Deals'!AL63+'Index Price Deals'!AM63))*'Prices&amp;Fuel'!H63</f>
        <v>8402537.2750642616</v>
      </c>
      <c r="CX63" s="65">
        <f>BQ63/(BB63+BC63+BD63+BE63+BF63+BG63)/'Prices&amp;Fuel'!H63</f>
        <v>4.2702271261905039E-2</v>
      </c>
      <c r="CZ63" s="28">
        <f>(BA63-CT63+CU63)/(AF63+AG63+AH63)/'Prices&amp;Fuel'!H63</f>
        <v>8.7519621709132661E-2</v>
      </c>
      <c r="DB63" s="3">
        <f>(O63+P63+Q63)*'Prices&amp;Fuel'!$H63</f>
        <v>753000</v>
      </c>
      <c r="DC63" s="3">
        <f>(X63+Y63)*'Prices&amp;Fuel'!$H63</f>
        <v>30000</v>
      </c>
      <c r="DE63" s="3">
        <v>226000</v>
      </c>
    </row>
    <row r="64" spans="1:109" x14ac:dyDescent="0.25">
      <c r="A64" s="10">
        <f t="shared" si="75"/>
        <v>37543.58333333319</v>
      </c>
      <c r="O64" s="1">
        <v>9036</v>
      </c>
      <c r="P64" s="1">
        <v>10794</v>
      </c>
      <c r="Q64" s="1">
        <v>5270</v>
      </c>
      <c r="R64" s="11">
        <f t="shared" si="91"/>
        <v>2.3832</v>
      </c>
      <c r="S64" s="11">
        <f t="shared" si="92"/>
        <v>2.3715000000000002</v>
      </c>
      <c r="T64" s="1">
        <f>(($O64*R64)+($P64*R64)+($Q64*R64))*'Prices&amp;Fuel'!$H64</f>
        <v>1854367.92</v>
      </c>
      <c r="U64" s="1">
        <f>(($O64*S64)+($P64*S64)+($Q64*S64))*'Prices&amp;Fuel'!$H64</f>
        <v>1845264.1500000001</v>
      </c>
      <c r="V64" s="13">
        <f t="shared" si="80"/>
        <v>9103.7699999997858</v>
      </c>
      <c r="X64" s="1">
        <f t="shared" si="85"/>
        <v>500</v>
      </c>
      <c r="Y64" s="1">
        <f t="shared" si="61"/>
        <v>500</v>
      </c>
      <c r="Z64" s="12">
        <v>2.2000000000000002</v>
      </c>
      <c r="AA64" s="12">
        <v>2.1800000000000002</v>
      </c>
      <c r="AB64" s="1">
        <f>($X64+$Y64)*Z64*'Prices&amp;Fuel'!$H64</f>
        <v>68200</v>
      </c>
      <c r="AC64" s="1">
        <f>($X64+$Y64)*AA64*'Prices&amp;Fuel'!$H64</f>
        <v>67580</v>
      </c>
      <c r="AD64" s="13">
        <f t="shared" si="81"/>
        <v>620</v>
      </c>
      <c r="AF64" s="1">
        <f>(32000/(1-'Prices&amp;Fuel'!F64))+(25000/(1-'Prices&amp;Fuel'!G64))-AI64</f>
        <v>58611.825192802062</v>
      </c>
      <c r="AG64" s="1">
        <v>0</v>
      </c>
      <c r="AH64" s="1">
        <f>(75000/(1-'Prices&amp;Fuel'!G64))-AK64</f>
        <v>77120.822622107968</v>
      </c>
      <c r="AI64" s="1"/>
      <c r="AJ64" s="1"/>
      <c r="AK64" s="1"/>
      <c r="AL64" s="21">
        <f>ROUND((132000/(1-'Prices&amp;Fuel'!F64))-AF64-AG64-AH64,0)</f>
        <v>0</v>
      </c>
      <c r="AM64" s="1">
        <f t="shared" si="51"/>
        <v>0</v>
      </c>
      <c r="AO64" s="1">
        <f>ROUND((75000/(1-'Prices&amp;Fuel'!G64)-AV64-AK64)/2,0)</f>
        <v>38560</v>
      </c>
      <c r="AP64" s="1">
        <f t="shared" si="82"/>
        <v>58611.825192802062</v>
      </c>
      <c r="AR64" s="1">
        <f t="shared" si="90"/>
        <v>0</v>
      </c>
      <c r="AT64" s="13">
        <f t="shared" si="25"/>
        <v>38560.822622107968</v>
      </c>
      <c r="AU64" s="13">
        <f>AL64*AX64*'Prices&amp;Fuel'!H64</f>
        <v>0</v>
      </c>
      <c r="AW64" s="20">
        <f t="shared" si="89"/>
        <v>0.09</v>
      </c>
      <c r="AX64" s="20">
        <f t="shared" si="93"/>
        <v>2.5000000000000001E-2</v>
      </c>
      <c r="AY64" s="6">
        <f>('Prices&amp;Fuel'!H64*('Prices&amp;Fuel'!B64+AW64)*'Long Term Deals'!AF64)+('Prices&amp;Fuel'!H64*('Prices&amp;Fuel'!C64+'Long Term Deals'!AW64)*'Long Term Deals'!AG64)+(AH64*('Prices&amp;Fuel'!C64+AW64)*'Prices&amp;Fuel'!H64)+(AW64*AL64*'Prices&amp;Fuel'!H64)</f>
        <v>22191856.041131105</v>
      </c>
      <c r="AZ64" s="6">
        <f>(AP64*'Prices&amp;Fuel'!H64*'Prices&amp;Fuel'!B64)+(AQ64*'Prices&amp;Fuel'!C64*'Prices&amp;Fuel'!H64)+((AM64+AR64)*('Prices&amp;Fuel'!B64+'Long Term Deals'!AX64)*'Prices&amp;Fuel'!H64)+((AN64+AS64)*('Prices&amp;Fuel'!C64+'Long Term Deals'!AX64)*'Prices&amp;Fuel'!H64)+((AO64+AT64)*('Prices&amp;Fuel'!D64+'Long Term Deals'!AX64)*'Prices&amp;Fuel'!H64)+(AV64*'Prices&amp;Fuel'!H64*'Prices&amp;Fuel'!Q64)+AU64</f>
        <v>21753393.316195376</v>
      </c>
      <c r="BA64" s="6">
        <f t="shared" si="83"/>
        <v>438462.72493572906</v>
      </c>
      <c r="BB64" s="6">
        <f>IF('FP Corp'!T64-((BE64+BF64+BG64)*(1-'Prices&amp;Fuel'!F64))&lt;'Prices&amp;Fuel'!R64,('FP Corp'!T64-(BE64+BF64+BG64)*(1-'Prices&amp;Fuel'!F64)),'Prices&amp;Fuel'!R64)/(1-'Prices&amp;Fuel'!F64)</f>
        <v>8976.8637532133671</v>
      </c>
      <c r="BC64" s="14"/>
      <c r="BD64" s="14">
        <f>ROUND(IF('FP Corp'!T64/(1-'Prices&amp;Fuel'!F64)-BE64-BF64-BG64-BB64&gt;'Prices&amp;Fuel'!T64,'Prices&amp;Fuel'!T64,'FP Corp'!T64/(1-'Prices&amp;Fuel'!F64)-BE64-BF64-BG64-BB64),9)</f>
        <v>3514.6529562979999</v>
      </c>
      <c r="BE64" s="14">
        <f>'Prices&amp;Fuel'!U64/(1-'Prices&amp;Fuel'!F64)</f>
        <v>2910.025706940874</v>
      </c>
      <c r="BF64" s="14">
        <f>('Prices&amp;Fuel'!V64+'Prices&amp;Fuel'!X64)/(1-'Prices&amp;Fuel'!F64)</f>
        <v>4628.2776349614396</v>
      </c>
      <c r="BG64" s="14">
        <f>'Prices&amp;Fuel'!W64/(1-'Prices&amp;Fuel'!F64)</f>
        <v>1564.0102827763496</v>
      </c>
      <c r="BH64" s="25">
        <f>('Prices&amp;Fuel'!C64+'Prices&amp;Fuel'!D64)/2-0.05+('Prices&amp;Fuel'!M64+'Prices&amp;Fuel'!P64)*(1-'Prices&amp;Fuel'!F64)</f>
        <v>5.8839222500000004</v>
      </c>
      <c r="BI64" s="14">
        <f t="shared" si="76"/>
        <v>8976.8637532133671</v>
      </c>
      <c r="BJ64" s="14"/>
      <c r="BK64" s="25">
        <f>(((BB64+BE64)*('Prices&amp;Fuel'!B64+0.025))+(('Prices&amp;Fuel'!D64+0.025)*(BD64+BG64))+(('Prices&amp;Fuel'!C64+0.025)*(BC64+BF64))-(BI64+BJ64)*0.025)/(BB64+BC64+BD64+BE64+BF64+BG64)</f>
        <v>5.1798190476190475</v>
      </c>
      <c r="BL64" s="14">
        <f>(BB64+BC64+BD64+BE64+BF64+BG64)*BH64*'Prices&amp;Fuel'!H64</f>
        <v>3938748.9817480361</v>
      </c>
      <c r="BM64" s="14">
        <f>'Prices&amp;Fuel'!X64*('Prices&amp;Fuel'!N64+'Prices&amp;Fuel'!O64)*'Prices&amp;Fuel'!H64</f>
        <v>13126.113000000001</v>
      </c>
      <c r="BN64" s="14">
        <f>('Prices&amp;Fuel'!U64+'Prices&amp;Fuel'!V64+'Prices&amp;Fuel'!W64)*('Prices&amp;Fuel'!L64+'Prices&amp;Fuel'!O64)*'Prices&amp;Fuel'!H64</f>
        <v>102950.16300000002</v>
      </c>
      <c r="BO64" s="14">
        <f>((BB64+BC64+BD64)*(1-'Prices&amp;Fuel'!G64))*('Prices&amp;Fuel'!M64+'Prices&amp;Fuel'!P64)*'Prices&amp;Fuel'!H64</f>
        <v>290010.41879999527</v>
      </c>
      <c r="BP64" s="14">
        <f>((BD64+BC64+BB64+BE64+BF64+BG64)*BK64*'Prices&amp;Fuel'!H64)+BM64+BN64+BO64</f>
        <v>3873502.8387588323</v>
      </c>
      <c r="BQ64" s="6">
        <f t="shared" si="79"/>
        <v>65246.1429892038</v>
      </c>
      <c r="CA64" s="6">
        <f>(AF64+AG64+AH64+AL64)*0.005*'Prices&amp;Fuel'!H64</f>
        <v>21038.560411311057</v>
      </c>
      <c r="CB64" s="6">
        <f>(B64+C64+D64+O64+P64+Q64+X64+Y64+BB64+BC64+BD64+BE64+BF64+BG64+BR64+BS64)*0.005*'Prices&amp;Fuel'!H64</f>
        <v>7392.5437017994554</v>
      </c>
      <c r="CC64" s="1">
        <f t="shared" si="86"/>
        <v>28053172.94287914</v>
      </c>
      <c r="CD64" s="1">
        <f t="shared" si="87"/>
        <v>27568171.409067318</v>
      </c>
      <c r="CE64" s="1">
        <f t="shared" si="88"/>
        <v>485001.53381182253</v>
      </c>
      <c r="CF64" s="1">
        <f>'Index Price Deals'!AR64</f>
        <v>0</v>
      </c>
      <c r="CG64" s="1">
        <f>'Index Price Deals'!AS64</f>
        <v>0</v>
      </c>
      <c r="CH64" s="1">
        <f>'Index Price Deals'!AT64</f>
        <v>0</v>
      </c>
      <c r="CI64" s="1">
        <f>'Index Price Deals'!AU64</f>
        <v>0</v>
      </c>
      <c r="CJ64" s="1">
        <f t="shared" si="84"/>
        <v>28053172.94287914</v>
      </c>
      <c r="CK64" s="1">
        <f t="shared" si="74"/>
        <v>27568171.409067318</v>
      </c>
      <c r="CL64" s="1">
        <f t="shared" si="74"/>
        <v>485001.53381182253</v>
      </c>
      <c r="CM64" s="30"/>
      <c r="CN64" s="1">
        <f>Transport!U64</f>
        <v>4.4195410737302155E-9</v>
      </c>
      <c r="CO64" s="57"/>
      <c r="CQ64" s="1">
        <f>(((($B64+$C64+$D64+$O64+$P64+$Q64)*0.5)+BR64+BS64)*(0.005*'Prices&amp;Fuel'!$H64)+'Index Price Deals'!AV64)+(((BB64+BC64+BD64+BE64+BF64+BG64)*(1-'Prices&amp;Fuel'!F64))*0.005*0.5*'Prices&amp;Fuel'!H64)</f>
        <v>3572.749999999985</v>
      </c>
      <c r="CR64" s="1">
        <f>(((($B64+$C64+$D64+$O64+$P64+$Q64)*0.5)+X64+Y64)*(0.005*'Prices&amp;Fuel'!$H64)+CA64+'Index Price Deals'!AW64)+(((BB64+BC64+BD64+BE64+BF64+BG64)*(1-'Prices&amp;Fuel'!F64))*0.005*0.5*'Prices&amp;Fuel'!H64)</f>
        <v>24766.310411311042</v>
      </c>
      <c r="CS64" s="21"/>
      <c r="CT64" s="1">
        <f>[3]Sheet1!$O77</f>
        <v>-14408.751345315075</v>
      </c>
      <c r="CU64" s="1">
        <f>'[4]Long Term Deals'!$Z63</f>
        <v>-34895.062969705476</v>
      </c>
      <c r="CV64" s="60">
        <f t="shared" si="23"/>
        <v>464515.22218742769</v>
      </c>
      <c r="CW64" s="13">
        <f>((B64+C64+D64+O64+P64+Q64+X64+Y64+AF64+AG64+AH64+BB64+BC64+BD64+BE64+BF64+BG64+BR64+BS64)+('Index Price Deals'!B64+'Index Price Deals'!C64+'Index Price Deals'!D64+'Index Price Deals'!L64+'Index Price Deals'!M64+'Index Price Deals'!N64+'Index Price Deals'!AD64+'Index Price Deals'!AE64+'Index Price Deals'!AF64+'Index Price Deals'!AK64+'Index Price Deals'!AL64+'Index Price Deals'!AM64))*'Prices&amp;Fuel'!H64</f>
        <v>5686220.8226221027</v>
      </c>
      <c r="CX64" s="65">
        <f>BQ64/(BB64+BC64+BD64+BE64+BF64+BG64)/'Prices&amp;Fuel'!H64</f>
        <v>9.746831652381148E-2</v>
      </c>
      <c r="CZ64" s="28">
        <f>(BA64-CT64+CU64)/(AF64+AG64+AH64)/'Prices&amp;Fuel'!H64</f>
        <v>9.9335792264241635E-2</v>
      </c>
      <c r="DB64" s="3">
        <f>(O64+P64+Q64)*'Prices&amp;Fuel'!$H64</f>
        <v>778100</v>
      </c>
      <c r="DC64" s="3">
        <f>(X64+Y64)*'Prices&amp;Fuel'!$H64</f>
        <v>31000</v>
      </c>
      <c r="DE64" s="3">
        <v>132000</v>
      </c>
    </row>
    <row r="65" spans="1:109" x14ac:dyDescent="0.25">
      <c r="A65" s="10">
        <f t="shared" ref="A65:A80" si="94">+A64+365/12</f>
        <v>37573.999999999854</v>
      </c>
      <c r="O65" s="1">
        <v>9036</v>
      </c>
      <c r="P65" s="1">
        <v>10794</v>
      </c>
      <c r="Q65" s="1">
        <v>5270</v>
      </c>
      <c r="R65" s="11">
        <f t="shared" si="91"/>
        <v>2.3832</v>
      </c>
      <c r="S65" s="11">
        <f t="shared" si="92"/>
        <v>2.3715000000000002</v>
      </c>
      <c r="T65" s="1">
        <f>(($O65*R65)+($P65*R65)+($Q65*R65))*'Prices&amp;Fuel'!$H65</f>
        <v>1794549.6</v>
      </c>
      <c r="U65" s="1">
        <f>(($O65*S65)+($P65*S65)+($Q65*S65))*'Prices&amp;Fuel'!$H65</f>
        <v>1785739.5</v>
      </c>
      <c r="V65" s="13">
        <f t="shared" si="80"/>
        <v>8810.1000000000931</v>
      </c>
      <c r="X65" s="1"/>
      <c r="AD65" s="1"/>
      <c r="AF65" s="1">
        <f>(32000/(1-'Prices&amp;Fuel'!F65))+(25000/(1-'Prices&amp;Fuel'!G65))-AI65</f>
        <v>58611.825192802062</v>
      </c>
      <c r="AG65" s="1">
        <v>0</v>
      </c>
      <c r="AH65" s="1">
        <f>(75000/(1-'Prices&amp;Fuel'!G65))-AK65</f>
        <v>77120.822622107968</v>
      </c>
      <c r="AI65" s="1"/>
      <c r="AJ65" s="1"/>
      <c r="AK65" s="1"/>
      <c r="AL65" s="21">
        <f>ROUND((132000/(1-'Prices&amp;Fuel'!F65))-AF65-AG65-AH65,0)</f>
        <v>0</v>
      </c>
      <c r="AM65" s="1">
        <f t="shared" si="51"/>
        <v>0</v>
      </c>
      <c r="AO65" s="1">
        <f>ROUND((75000/(1-'Prices&amp;Fuel'!G65)-AV65-AK65)/2,0)</f>
        <v>38560</v>
      </c>
      <c r="AP65" s="1">
        <f t="shared" si="82"/>
        <v>58611.825192802062</v>
      </c>
      <c r="AR65" s="1">
        <f t="shared" si="90"/>
        <v>0</v>
      </c>
      <c r="AT65" s="13">
        <f t="shared" si="25"/>
        <v>38560.822622107968</v>
      </c>
      <c r="AU65" s="13">
        <f>AL65*AX65*'Prices&amp;Fuel'!H65</f>
        <v>0</v>
      </c>
      <c r="AW65" s="20">
        <f t="shared" si="89"/>
        <v>0.09</v>
      </c>
      <c r="AX65" s="20">
        <f t="shared" si="93"/>
        <v>2.5000000000000001E-2</v>
      </c>
      <c r="AY65" s="6">
        <f>('Prices&amp;Fuel'!H65*('Prices&amp;Fuel'!B65+AW65)*'Long Term Deals'!AF65)+('Prices&amp;Fuel'!H65*('Prices&amp;Fuel'!C65+'Long Term Deals'!AW65)*'Long Term Deals'!AG65)+(AH65*('Prices&amp;Fuel'!C65+AW65)*'Prices&amp;Fuel'!H65)+(AW65*AL65*'Prices&amp;Fuel'!H65)</f>
        <v>14431465.295629822</v>
      </c>
      <c r="AZ65" s="6">
        <f>(AP65*'Prices&amp;Fuel'!H65*'Prices&amp;Fuel'!B65)+(AQ65*'Prices&amp;Fuel'!C65*'Prices&amp;Fuel'!H65)+((AM65+AR65)*('Prices&amp;Fuel'!B65+'Long Term Deals'!AX65)*'Prices&amp;Fuel'!H65)+((AN65+AS65)*('Prices&amp;Fuel'!C65+'Long Term Deals'!AX65)*'Prices&amp;Fuel'!H65)+((AO65+AT65)*('Prices&amp;Fuel'!D65+'Long Term Deals'!AX65)*'Prices&amp;Fuel'!H65)+(AV65*'Prices&amp;Fuel'!H65*'Prices&amp;Fuel'!Q65)+AU65</f>
        <v>14007146.529562984</v>
      </c>
      <c r="BA65" s="6">
        <f t="shared" si="83"/>
        <v>424318.76606683806</v>
      </c>
      <c r="BB65" s="6">
        <f>IF('FP Corp'!T65-((BE65+BF65+BG65)*(1-'Prices&amp;Fuel'!F65))&lt;'Prices&amp;Fuel'!R65,('FP Corp'!T65-(BE65+BF65+BG65)*(1-'Prices&amp;Fuel'!F65)),'Prices&amp;Fuel'!R65)/(1-'Prices&amp;Fuel'!F65)</f>
        <v>4325.9640102827761</v>
      </c>
      <c r="BC65" s="14"/>
      <c r="BD65" s="14">
        <f>ROUND(IF('FP Corp'!T65/(1-'Prices&amp;Fuel'!F65)-BE65-BF65-BG65-BB65&gt;'Prices&amp;Fuel'!T65,'Prices&amp;Fuel'!T65,'FP Corp'!T65/(1-'Prices&amp;Fuel'!F65)-BE65-BF65-BG65-BB65),9)</f>
        <v>0</v>
      </c>
      <c r="BE65" s="14">
        <f>'Prices&amp;Fuel'!U65/(1-'Prices&amp;Fuel'!F65)</f>
        <v>2635.4755784061695</v>
      </c>
      <c r="BF65" s="14">
        <f>('Prices&amp;Fuel'!V65+'Prices&amp;Fuel'!X65)/(1-'Prices&amp;Fuel'!F65)</f>
        <v>3645.2442159383031</v>
      </c>
      <c r="BG65" s="14">
        <f>'Prices&amp;Fuel'!W65/(1-'Prices&amp;Fuel'!F65)</f>
        <v>1732.6478149100255</v>
      </c>
      <c r="BH65" s="25">
        <f>('Prices&amp;Fuel'!C65+'Prices&amp;Fuel'!D65)/2-0.05+('Prices&amp;Fuel'!M65+'Prices&amp;Fuel'!P65)*(1-'Prices&amp;Fuel'!F65)</f>
        <v>4.1539222500000008</v>
      </c>
      <c r="BI65" s="14">
        <f t="shared" ref="BI65:BI80" si="95">IF(AP65=80000,0,BB65)</f>
        <v>4325.9640102827761</v>
      </c>
      <c r="BJ65" s="14"/>
      <c r="BK65" s="25">
        <f>(((BB65+BE65)*('Prices&amp;Fuel'!B65+0.025))+(('Prices&amp;Fuel'!D65+0.025)*(BD65+BG65))+(('Prices&amp;Fuel'!C65+0.025)*(BC65+BF65))-(BI65+BJ65)*0.025)/(BB65+BC65+BD65+BE65+BF65+BG65)</f>
        <v>3.455364583333334</v>
      </c>
      <c r="BL65" s="14">
        <f>(BB65+BC65+BD65+BE65+BF65+BG65)*BH65*'Prices&amp;Fuel'!H65</f>
        <v>1537698.7249357328</v>
      </c>
      <c r="BM65" s="14">
        <f>'Prices&amp;Fuel'!X65*('Prices&amp;Fuel'!N65+'Prices&amp;Fuel'!O65)*'Prices&amp;Fuel'!H65</f>
        <v>8667.2700000000023</v>
      </c>
      <c r="BN65" s="14">
        <f>('Prices&amp;Fuel'!U65+'Prices&amp;Fuel'!V65+'Prices&amp;Fuel'!W65)*('Prices&amp;Fuel'!L65+'Prices&amp;Fuel'!O65)*'Prices&amp;Fuel'!H65</f>
        <v>90225.900000000009</v>
      </c>
      <c r="BO65" s="14">
        <f>((BB65+BC65+BD65)*(1-'Prices&amp;Fuel'!G65))*('Prices&amp;Fuel'!M65+'Prices&amp;Fuel'!P65)*'Prices&amp;Fuel'!H65</f>
        <v>97194.320999999996</v>
      </c>
      <c r="BP65" s="14">
        <f>((BD65+BC65+BB65+BE65+BF65+BG65)*BK65*'Prices&amp;Fuel'!H65)+BM65+BN65+BO65</f>
        <v>1475194.1748046272</v>
      </c>
      <c r="BQ65" s="6">
        <f t="shared" si="79"/>
        <v>62504.550131105585</v>
      </c>
      <c r="CA65" s="6">
        <f>(AF65+AG65+AH65+AL65)*0.005*'Prices&amp;Fuel'!H65</f>
        <v>20359.897172236506</v>
      </c>
      <c r="CB65" s="6">
        <f>(B65+C65+D65+O65+P65+Q65+X65+Y65+BB65+BC65+BD65+BE65+BF65+BG65+BR65+BS65)*0.005*'Prices&amp;Fuel'!H65</f>
        <v>5615.8997429305909</v>
      </c>
      <c r="CC65" s="1">
        <f t="shared" si="86"/>
        <v>17763713.620565556</v>
      </c>
      <c r="CD65" s="1">
        <f t="shared" si="87"/>
        <v>17294056.001282778</v>
      </c>
      <c r="CE65" s="1">
        <f t="shared" si="88"/>
        <v>469657.61928277835</v>
      </c>
      <c r="CF65" s="1">
        <f>'Index Price Deals'!AR65</f>
        <v>0</v>
      </c>
      <c r="CG65" s="1">
        <f>'Index Price Deals'!AS65</f>
        <v>0</v>
      </c>
      <c r="CH65" s="1">
        <f>'Index Price Deals'!AT65</f>
        <v>0</v>
      </c>
      <c r="CI65" s="1">
        <f>'Index Price Deals'!AU65</f>
        <v>0</v>
      </c>
      <c r="CJ65" s="1">
        <f t="shared" si="84"/>
        <v>17763713.620565556</v>
      </c>
      <c r="CK65" s="1">
        <f t="shared" ref="CK65:CL84" si="96">CD65+CH65</f>
        <v>17294056.001282778</v>
      </c>
      <c r="CL65" s="1">
        <f t="shared" si="96"/>
        <v>469657.61928277835</v>
      </c>
      <c r="CM65" s="30"/>
      <c r="CN65" s="1">
        <f>Transport!U65</f>
        <v>0</v>
      </c>
      <c r="CO65" s="57"/>
      <c r="CQ65" s="1">
        <f>(((($B65+$C65+$D65+$O65+$P65+$Q65)*0.5)+BR65+BS65)*(0.005*'Prices&amp;Fuel'!$H65)+'Index Price Deals'!AV65)+(((BB65+BC65+BD65+BE65+BF65+BG65)*(1-'Prices&amp;Fuel'!F65))*0.005*0.5*'Prices&amp;Fuel'!H65)</f>
        <v>2782.5</v>
      </c>
      <c r="CR65" s="1">
        <f>(((($B65+$C65+$D65+$O65+$P65+$Q65)*0.5)+X65+Y65)*(0.005*'Prices&amp;Fuel'!$H65)+CA65+'Index Price Deals'!AW65)+(((BB65+BC65+BD65+BE65+BF65+BG65)*(1-'Prices&amp;Fuel'!F65))*0.005*0.5*'Prices&amp;Fuel'!H65)</f>
        <v>23142.397172236506</v>
      </c>
      <c r="CS65" s="21"/>
      <c r="CT65" s="1">
        <f>[3]Sheet1!$O78</f>
        <v>-13943.952914821071</v>
      </c>
      <c r="CU65" s="1">
        <f>'[4]Long Term Deals'!$Z64</f>
        <v>-33769.415777134331</v>
      </c>
      <c r="CV65" s="60">
        <f t="shared" si="23"/>
        <v>449832.15642046509</v>
      </c>
      <c r="CW65" s="13">
        <f>((B65+C65+D65+O65+P65+Q65+X65+Y65+AF65+AG65+AH65+BB65+BC65+BD65+BE65+BF65+BG65+BR65+BS65)+('Index Price Deals'!B65+'Index Price Deals'!C65+'Index Price Deals'!D65+'Index Price Deals'!L65+'Index Price Deals'!M65+'Index Price Deals'!N65+'Index Price Deals'!AD65+'Index Price Deals'!AE65+'Index Price Deals'!AF65+'Index Price Deals'!AK65+'Index Price Deals'!AL65+'Index Price Deals'!AM65))*'Prices&amp;Fuel'!H65</f>
        <v>5195159.3830334181</v>
      </c>
      <c r="CX65" s="65">
        <f>BQ65/(BB65+BC65+BD65+BE65+BF65+BG65)/'Prices&amp;Fuel'!H65</f>
        <v>0.16884909722916719</v>
      </c>
      <c r="CZ65" s="28">
        <f>(BA65-CT65+CU65)/(AF65+AG65+AH65)/'Prices&amp;Fuel'!H65</f>
        <v>9.9335792264242509E-2</v>
      </c>
      <c r="DB65" s="3">
        <f>(O65+P65+Q65)*'Prices&amp;Fuel'!$H65</f>
        <v>753000</v>
      </c>
      <c r="DE65" s="3">
        <v>132000</v>
      </c>
    </row>
    <row r="66" spans="1:109" x14ac:dyDescent="0.25">
      <c r="A66" s="10">
        <f t="shared" si="94"/>
        <v>37604.416666666519</v>
      </c>
      <c r="O66" s="1">
        <v>9036</v>
      </c>
      <c r="P66" s="1">
        <v>10794</v>
      </c>
      <c r="Q66" s="1">
        <v>5270</v>
      </c>
      <c r="R66" s="11">
        <f t="shared" si="91"/>
        <v>2.3832</v>
      </c>
      <c r="S66" s="11">
        <f t="shared" si="92"/>
        <v>2.3715000000000002</v>
      </c>
      <c r="T66" s="1">
        <f>(($O66*R66)+($P66*R66)+($Q66*R66))*'Prices&amp;Fuel'!$H66</f>
        <v>1854367.92</v>
      </c>
      <c r="U66" s="1">
        <f>(($O66*S66)+($P66*S66)+($Q66*S66))*'Prices&amp;Fuel'!$H66</f>
        <v>1845264.1500000001</v>
      </c>
      <c r="V66" s="13">
        <f t="shared" si="80"/>
        <v>9103.7699999997858</v>
      </c>
      <c r="X66" s="1"/>
      <c r="AF66" s="1">
        <f>(32000/(1-'Prices&amp;Fuel'!F66))+(25000/(1-'Prices&amp;Fuel'!G66))-AI66</f>
        <v>58611.825192802062</v>
      </c>
      <c r="AG66" s="1">
        <v>0</v>
      </c>
      <c r="AH66" s="1">
        <f>(75000/(1-'Prices&amp;Fuel'!G66))-AK66</f>
        <v>77120.822622107968</v>
      </c>
      <c r="AI66" s="1"/>
      <c r="AJ66" s="1"/>
      <c r="AK66" s="1"/>
      <c r="AL66" s="21">
        <f>ROUND((132000/(1-'Prices&amp;Fuel'!F66))-AF66-AG66-AH66,0)</f>
        <v>0</v>
      </c>
      <c r="AM66" s="1">
        <f t="shared" si="51"/>
        <v>0</v>
      </c>
      <c r="AO66" s="1">
        <f>ROUND((75000/(1-'Prices&amp;Fuel'!G66)-AV66-AK66)/2,0)</f>
        <v>38560</v>
      </c>
      <c r="AP66" s="1">
        <f t="shared" si="82"/>
        <v>58611.825192802062</v>
      </c>
      <c r="AR66" s="1">
        <f t="shared" si="90"/>
        <v>0</v>
      </c>
      <c r="AT66" s="13">
        <f t="shared" si="25"/>
        <v>38560.822622107968</v>
      </c>
      <c r="AU66" s="13">
        <f>AL66*AX66*'Prices&amp;Fuel'!H66</f>
        <v>0</v>
      </c>
      <c r="AW66" s="20">
        <f t="shared" si="89"/>
        <v>0.09</v>
      </c>
      <c r="AX66" s="20">
        <f t="shared" si="93"/>
        <v>2.5000000000000001E-2</v>
      </c>
      <c r="AY66" s="6">
        <f>('Prices&amp;Fuel'!H66*('Prices&amp;Fuel'!B66+AW66)*'Long Term Deals'!AF66)+('Prices&amp;Fuel'!H66*('Prices&amp;Fuel'!C66+'Long Term Deals'!AW66)*'Long Term Deals'!AG66)+(AH66*('Prices&amp;Fuel'!C66+AW66)*'Prices&amp;Fuel'!H66)+(AW66*AL66*'Prices&amp;Fuel'!H66)</f>
        <v>11209727.506426737</v>
      </c>
      <c r="AZ66" s="6">
        <f>(AP66*'Prices&amp;Fuel'!H66*'Prices&amp;Fuel'!B66)+(AQ66*'Prices&amp;Fuel'!C66*'Prices&amp;Fuel'!H66)+((AM66+AR66)*('Prices&amp;Fuel'!B66+'Long Term Deals'!AX66)*'Prices&amp;Fuel'!H66)+((AN66+AS66)*('Prices&amp;Fuel'!C66+'Long Term Deals'!AX66)*'Prices&amp;Fuel'!H66)+((AO66+AT66)*('Prices&amp;Fuel'!D66+'Long Term Deals'!AX66)*'Prices&amp;Fuel'!H66)+(AV66*'Prices&amp;Fuel'!H66*'Prices&amp;Fuel'!Q66)+AU66</f>
        <v>10771264.781491004</v>
      </c>
      <c r="BA66" s="6">
        <f t="shared" si="83"/>
        <v>438462.72493573278</v>
      </c>
      <c r="BB66" s="6">
        <f>IF('FP Corp'!T66-((BE66+BF66+BG66)*(1-'Prices&amp;Fuel'!F66))&lt;'Prices&amp;Fuel'!R66,('FP Corp'!T66-(BE66+BF66+BG66)*(1-'Prices&amp;Fuel'!F66)),'Prices&amp;Fuel'!R66)/(1-'Prices&amp;Fuel'!F66)</f>
        <v>4325.9640102827761</v>
      </c>
      <c r="BC66" s="14"/>
      <c r="BD66" s="14">
        <f>ROUND(IF('FP Corp'!T66/(1-'Prices&amp;Fuel'!F66)-BE66-BF66-BG66-BB66&gt;'Prices&amp;Fuel'!T66,'Prices&amp;Fuel'!T66,'FP Corp'!T66/(1-'Prices&amp;Fuel'!F66)-BE66-BF66-BG66-BB66),9)</f>
        <v>0</v>
      </c>
      <c r="BE66" s="14">
        <f>'Prices&amp;Fuel'!U66/(1-'Prices&amp;Fuel'!F66)</f>
        <v>2635.4755784061695</v>
      </c>
      <c r="BF66" s="14">
        <f>('Prices&amp;Fuel'!V66+'Prices&amp;Fuel'!X66)/(1-'Prices&amp;Fuel'!F66)</f>
        <v>3645.2442159383031</v>
      </c>
      <c r="BG66" s="14">
        <f>'Prices&amp;Fuel'!W66/(1-'Prices&amp;Fuel'!F66)</f>
        <v>1732.6478149100255</v>
      </c>
      <c r="BH66" s="25">
        <f>('Prices&amp;Fuel'!C66+'Prices&amp;Fuel'!D66)/2-0.05+('Prices&amp;Fuel'!M66+'Prices&amp;Fuel'!P66)*(1-'Prices&amp;Fuel'!F66)</f>
        <v>3.2739222500000009</v>
      </c>
      <c r="BI66" s="14">
        <f t="shared" si="95"/>
        <v>4325.9640102827761</v>
      </c>
      <c r="BJ66" s="14"/>
      <c r="BK66" s="25">
        <f>(((BB66+BE66)*('Prices&amp;Fuel'!B66+0.025))+(('Prices&amp;Fuel'!D66+0.025)*(BD66+BG66))+(('Prices&amp;Fuel'!C66+0.025)*(BC66+BF66))-(BI66+BJ66)*0.025)/(BB66+BC66+BD66+BE66+BF66+BG66)</f>
        <v>2.5753645833333341</v>
      </c>
      <c r="BL66" s="14">
        <f>(BB66+BC66+BD66+BE66+BF66+BG66)*BH66*'Prices&amp;Fuel'!H66</f>
        <v>1252338.3825192803</v>
      </c>
      <c r="BM66" s="14">
        <f>'Prices&amp;Fuel'!X66*('Prices&amp;Fuel'!N66+'Prices&amp;Fuel'!O66)*'Prices&amp;Fuel'!H66</f>
        <v>8956.1790000000019</v>
      </c>
      <c r="BN66" s="14">
        <f>('Prices&amp;Fuel'!U66+'Prices&amp;Fuel'!V66+'Prices&amp;Fuel'!W66)*('Prices&amp;Fuel'!L66+'Prices&amp;Fuel'!O66)*'Prices&amp;Fuel'!H66</f>
        <v>93233.430000000008</v>
      </c>
      <c r="BO66" s="14">
        <f>((BB66+BC66+BD66)*(1-'Prices&amp;Fuel'!G66))*('Prices&amp;Fuel'!M66+'Prices&amp;Fuel'!P66)*'Prices&amp;Fuel'!H66</f>
        <v>100434.1317</v>
      </c>
      <c r="BP66" s="14">
        <f>((BD66+BC66+BB66+BE66+BF66+BG66)*BK66*'Prices&amp;Fuel'!H66)+BM66+BN66+BO66</f>
        <v>1187750.3473838049</v>
      </c>
      <c r="BQ66" s="6">
        <f t="shared" ref="BQ66:BQ81" si="97">BL66-BP66</f>
        <v>64588.035135475453</v>
      </c>
      <c r="CA66" s="6">
        <f>(AF66+AG66+AH66+AL66)*0.005*'Prices&amp;Fuel'!H66</f>
        <v>21038.560411311057</v>
      </c>
      <c r="CB66" s="6">
        <f>(B66+C66+D66+O66+P66+Q66+X66+Y66+BB66+BC66+BD66+BE66+BF66+BG66+BR66+BS66)*0.005*'Prices&amp;Fuel'!H66</f>
        <v>5803.0964010282778</v>
      </c>
      <c r="CC66" s="1">
        <f t="shared" si="86"/>
        <v>14316433.808946017</v>
      </c>
      <c r="CD66" s="1">
        <f t="shared" si="87"/>
        <v>13831120.935687149</v>
      </c>
      <c r="CE66" s="1">
        <f t="shared" si="88"/>
        <v>485312.87325886823</v>
      </c>
      <c r="CF66" s="1">
        <f>'Index Price Deals'!AR66</f>
        <v>0</v>
      </c>
      <c r="CG66" s="1">
        <f>'Index Price Deals'!AS66</f>
        <v>0</v>
      </c>
      <c r="CH66" s="1">
        <f>'Index Price Deals'!AT66</f>
        <v>0</v>
      </c>
      <c r="CI66" s="1">
        <f>'Index Price Deals'!AU66</f>
        <v>0</v>
      </c>
      <c r="CJ66" s="1">
        <f t="shared" si="84"/>
        <v>14316433.808946017</v>
      </c>
      <c r="CK66" s="1">
        <f t="shared" si="96"/>
        <v>13831120.935687149</v>
      </c>
      <c r="CL66" s="1">
        <f t="shared" si="96"/>
        <v>485312.87325886823</v>
      </c>
      <c r="CM66" s="1">
        <f>SUM(CL55:CL66)</f>
        <v>6484685.4266023058</v>
      </c>
      <c r="CN66" s="1">
        <f>Transport!U66</f>
        <v>0</v>
      </c>
      <c r="CO66" s="57"/>
      <c r="CQ66" s="1">
        <f>(((($B66+$C66+$D66+$O66+$P66+$Q66)*0.5)+BR66+BS66)*(0.005*'Prices&amp;Fuel'!$H66)+'Index Price Deals'!AV66)+(((BB66+BC66+BD66+BE66+BF66+BG66)*(1-'Prices&amp;Fuel'!F66))*0.005*0.5*'Prices&amp;Fuel'!H66)</f>
        <v>2875.25</v>
      </c>
      <c r="CR66" s="1">
        <f>(((($B66+$C66+$D66+$O66+$P66+$Q66)*0.5)+X66+Y66)*(0.005*'Prices&amp;Fuel'!$H66)+CA66+'Index Price Deals'!AW66)+(((BB66+BC66+BD66+BE66+BF66+BG66)*(1-'Prices&amp;Fuel'!F66))*0.005*0.5*'Prices&amp;Fuel'!H66)</f>
        <v>23913.810411311057</v>
      </c>
      <c r="CS66" s="21"/>
      <c r="CT66" s="1">
        <f>[3]Sheet1!$O79</f>
        <v>-14408.751345315075</v>
      </c>
      <c r="CU66" s="1">
        <f>'[4]Long Term Deals'!$Z65</f>
        <v>-34895.062969705476</v>
      </c>
      <c r="CV66" s="60">
        <f t="shared" si="23"/>
        <v>464826.56163447781</v>
      </c>
      <c r="CW66" s="13">
        <f>((B66+C66+D66+O66+P66+Q66+X66+Y66+AF66+AG66+AH66+BB66+BC66+BD66+BE66+BF66+BG66+BR66+BS66)+('Index Price Deals'!B66+'Index Price Deals'!C66+'Index Price Deals'!D66+'Index Price Deals'!L66+'Index Price Deals'!M66+'Index Price Deals'!N66+'Index Price Deals'!AD66+'Index Price Deals'!AE66+'Index Price Deals'!AF66+'Index Price Deals'!AK66+'Index Price Deals'!AL66+'Index Price Deals'!AM66))*'Prices&amp;Fuel'!H66</f>
        <v>5368331.3624678655</v>
      </c>
      <c r="CX66" s="65">
        <f>BQ66/(BB66+BC66+BD66+BE66+BF66+BG66)/'Prices&amp;Fuel'!H66</f>
        <v>0.16884909722916638</v>
      </c>
      <c r="CZ66" s="28">
        <f>(BA66-CT66+CU66)/(AF66+AG66+AH66)/'Prices&amp;Fuel'!H66</f>
        <v>9.9335792264242523E-2</v>
      </c>
      <c r="DB66" s="3">
        <f>(O66+P66+Q66)*'Prices&amp;Fuel'!$H66</f>
        <v>778100</v>
      </c>
      <c r="DE66" s="3">
        <v>132000</v>
      </c>
    </row>
    <row r="67" spans="1:109" x14ac:dyDescent="0.25">
      <c r="A67" s="10">
        <f t="shared" si="94"/>
        <v>37634.833333333183</v>
      </c>
      <c r="O67" s="1">
        <v>9036</v>
      </c>
      <c r="P67" s="1">
        <v>10794</v>
      </c>
      <c r="Q67" s="1">
        <v>5270</v>
      </c>
      <c r="R67" s="11">
        <f t="shared" si="91"/>
        <v>2.3832</v>
      </c>
      <c r="S67" s="11">
        <f t="shared" si="92"/>
        <v>2.3715000000000002</v>
      </c>
      <c r="T67" s="1">
        <f>(($O67*R67)+($P67*R67)+($Q67*R67))*'Prices&amp;Fuel'!$H67</f>
        <v>1854367.92</v>
      </c>
      <c r="U67" s="1">
        <f>(($O67*S67)+($P67*S67)+($Q67*S67))*'Prices&amp;Fuel'!$H67</f>
        <v>1845264.1500000001</v>
      </c>
      <c r="V67" s="13">
        <f t="shared" si="80"/>
        <v>9103.7699999997858</v>
      </c>
      <c r="X67" s="1"/>
      <c r="AF67" s="1">
        <f>(32000/(1-'Prices&amp;Fuel'!F67))+(25000/(1-'Prices&amp;Fuel'!G67))-AI67</f>
        <v>58611.825192802062</v>
      </c>
      <c r="AG67" s="1">
        <v>0</v>
      </c>
      <c r="AH67" s="1">
        <f>(75000/(1-'Prices&amp;Fuel'!G67))-AK67</f>
        <v>77120.822622107968</v>
      </c>
      <c r="AI67" s="1"/>
      <c r="AJ67" s="1"/>
      <c r="AK67" s="1"/>
      <c r="AL67" s="21">
        <f>ROUND((132000/(1-'Prices&amp;Fuel'!F67))-AF67-AG67-AH67,0)</f>
        <v>0</v>
      </c>
      <c r="AM67" s="1">
        <f t="shared" si="51"/>
        <v>0</v>
      </c>
      <c r="AO67" s="1">
        <f>ROUND((75000/(1-'Prices&amp;Fuel'!G67)-AV67-AK67)/2,0)</f>
        <v>38560</v>
      </c>
      <c r="AP67" s="1">
        <f t="shared" si="82"/>
        <v>58611.825192802062</v>
      </c>
      <c r="AR67" s="1">
        <f t="shared" si="90"/>
        <v>0</v>
      </c>
      <c r="AT67" s="13">
        <f t="shared" si="25"/>
        <v>38560.822622107968</v>
      </c>
      <c r="AU67" s="13">
        <f>AL67*AX67*'Prices&amp;Fuel'!H67</f>
        <v>0</v>
      </c>
      <c r="AW67" s="20">
        <v>0.08</v>
      </c>
      <c r="AX67" s="20">
        <f t="shared" si="93"/>
        <v>2.5000000000000001E-2</v>
      </c>
      <c r="AY67" s="6">
        <f>('Prices&amp;Fuel'!H67*('Prices&amp;Fuel'!B67+AW67)*'Long Term Deals'!AF67)+('Prices&amp;Fuel'!H67*('Prices&amp;Fuel'!C67+'Long Term Deals'!AW67)*'Long Term Deals'!AG67)+(AH67*('Prices&amp;Fuel'!C67+AW67)*'Prices&amp;Fuel'!H67)+(AW67*AL67*'Prices&amp;Fuel'!H67)</f>
        <v>9874620.4627249371</v>
      </c>
      <c r="AZ67" s="6">
        <f>(AP67*'Prices&amp;Fuel'!H67*'Prices&amp;Fuel'!B67)+(AQ67*'Prices&amp;Fuel'!C67*'Prices&amp;Fuel'!H67)+((AM67+AR67)*('Prices&amp;Fuel'!B67+'Long Term Deals'!AX67)*'Prices&amp;Fuel'!H67)+((AN67+AS67)*('Prices&amp;Fuel'!C67+'Long Term Deals'!AX67)*'Prices&amp;Fuel'!H67)+((AO67+AT67)*('Prices&amp;Fuel'!D67+'Long Term Deals'!AX67)*'Prices&amp;Fuel'!H67)+(AV67*'Prices&amp;Fuel'!H67*'Prices&amp;Fuel'!Q67)+AU67</f>
        <v>9478234.8586118277</v>
      </c>
      <c r="BA67" s="6">
        <f t="shared" si="83"/>
        <v>396385.60411310941</v>
      </c>
      <c r="BB67" s="6">
        <f>IF('FP Corp'!T67-((BE67+BF67+BG67)*(1-'Prices&amp;Fuel'!F67))&lt;'Prices&amp;Fuel'!R67,('FP Corp'!T67-(BE67+BF67+BG67)*(1-'Prices&amp;Fuel'!F67)),'Prices&amp;Fuel'!R67)/(1-'Prices&amp;Fuel'!F67)</f>
        <v>4325.9640102827761</v>
      </c>
      <c r="BC67" s="14"/>
      <c r="BD67" s="14">
        <f>ROUND(IF('FP Corp'!T67/(1-'Prices&amp;Fuel'!F67)-BE67-BF67-BG67-BB67&gt;'Prices&amp;Fuel'!T67,'Prices&amp;Fuel'!T67,'FP Corp'!T67/(1-'Prices&amp;Fuel'!F67)-BE67-BF67-BG67-BB67),9)</f>
        <v>0</v>
      </c>
      <c r="BE67" s="14">
        <f>'Prices&amp;Fuel'!U67/(1-'Prices&amp;Fuel'!F67)</f>
        <v>2635.4755784061695</v>
      </c>
      <c r="BF67" s="14">
        <f>('Prices&amp;Fuel'!V67+'Prices&amp;Fuel'!X67)/(1-'Prices&amp;Fuel'!F67)</f>
        <v>3645.2442159383031</v>
      </c>
      <c r="BG67" s="14">
        <f>'Prices&amp;Fuel'!W67/(1-'Prices&amp;Fuel'!F67)</f>
        <v>1732.6478149100255</v>
      </c>
      <c r="BH67" s="25">
        <f>('Prices&amp;Fuel'!C67+'Prices&amp;Fuel'!D67)/2-0.05+('Prices&amp;Fuel'!M67+'Prices&amp;Fuel'!P67)*(1-'Prices&amp;Fuel'!F67)</f>
        <v>2.9666222500000008</v>
      </c>
      <c r="BI67" s="14">
        <f t="shared" si="95"/>
        <v>4325.9640102827761</v>
      </c>
      <c r="BJ67" s="14"/>
      <c r="BK67" s="25">
        <f>(((BB67+BE67)*('Prices&amp;Fuel'!B67+0.025))+(('Prices&amp;Fuel'!D67+0.025)*(BD67+BG67))+(('Prices&amp;Fuel'!C67+0.025)*(BC67+BF67))-(BI67+BJ67)*0.025)/(BB67+BC67+BD67+BE67+BF67+BG67)</f>
        <v>2.2680645833333335</v>
      </c>
      <c r="BL67" s="14">
        <f>(BB67+BC67+BD67+BE67+BF67+BG67)*BH67*'Prices&amp;Fuel'!H67</f>
        <v>1134790.2077120824</v>
      </c>
      <c r="BM67" s="14">
        <f>'Prices&amp;Fuel'!X67*('Prices&amp;Fuel'!N67+'Prices&amp;Fuel'!O67)*'Prices&amp;Fuel'!H67</f>
        <v>8908.4139348759727</v>
      </c>
      <c r="BN67" s="14">
        <f>('Prices&amp;Fuel'!U67+'Prices&amp;Fuel'!V67+'Prices&amp;Fuel'!W67)*('Prices&amp;Fuel'!L67+'Prices&amp;Fuel'!O67)*'Prices&amp;Fuel'!H67</f>
        <v>92736.197770085157</v>
      </c>
      <c r="BO67" s="14">
        <f>((BB67+BC67+BD67)*(1-'Prices&amp;Fuel'!G67))*('Prices&amp;Fuel'!M67+'Prices&amp;Fuel'!P67)*'Prices&amp;Fuel'!H67</f>
        <v>100434.1317</v>
      </c>
      <c r="BP67" s="14">
        <f>((BD67+BC67+BB67+BE67+BF67+BG67)*BK67*'Prices&amp;Fuel'!H67)+BM67+BN67+BO67</f>
        <v>1069657.1752815677</v>
      </c>
      <c r="BQ67" s="6">
        <f t="shared" si="97"/>
        <v>65133.032430514693</v>
      </c>
      <c r="CA67" s="6">
        <f>(AF67+AG67+AH67+AL67)*0.005*'Prices&amp;Fuel'!H67</f>
        <v>21038.560411311057</v>
      </c>
      <c r="CB67" s="6">
        <f>(B67+C67+D67+O67+P67+Q67+X67+Y67+BB67+BC67+BD67+BE67+BF67+BG67+BR67+BS67)*0.005*'Prices&amp;Fuel'!H67</f>
        <v>5803.0964010282778</v>
      </c>
      <c r="CC67" s="1">
        <f t="shared" si="86"/>
        <v>12863778.590437019</v>
      </c>
      <c r="CD67" s="1">
        <f t="shared" si="87"/>
        <v>12419997.840705736</v>
      </c>
      <c r="CE67" s="1">
        <f t="shared" si="88"/>
        <v>443780.74973128363</v>
      </c>
      <c r="CF67" s="1">
        <f>'Index Price Deals'!AR67</f>
        <v>0</v>
      </c>
      <c r="CG67" s="1">
        <f>'Index Price Deals'!AS67</f>
        <v>0</v>
      </c>
      <c r="CH67" s="1">
        <f>'Index Price Deals'!AT67</f>
        <v>0</v>
      </c>
      <c r="CI67" s="1">
        <f>'Index Price Deals'!AU67</f>
        <v>0</v>
      </c>
      <c r="CJ67" s="1">
        <f t="shared" si="84"/>
        <v>12863778.590437019</v>
      </c>
      <c r="CK67" s="1">
        <f t="shared" si="96"/>
        <v>12419997.840705736</v>
      </c>
      <c r="CL67" s="1">
        <f t="shared" si="96"/>
        <v>443780.74973128363</v>
      </c>
      <c r="CM67" s="30"/>
      <c r="CN67" s="1">
        <f>Transport!U67</f>
        <v>0</v>
      </c>
      <c r="CO67" s="57"/>
      <c r="CQ67" s="1">
        <f>(((($B67+$C67+$D67+$O67+$P67+$Q67)*0.5)+BR67+BS67)*(0.005*'Prices&amp;Fuel'!$H67)+'Index Price Deals'!AV67)+(((BB67+BC67+BD67+BE67+BF67+BG67)*(1-'Prices&amp;Fuel'!F67))*0.005*0.5*'Prices&amp;Fuel'!H67)</f>
        <v>2875.25</v>
      </c>
      <c r="CR67" s="1">
        <f>(((($B67+$C67+$D67+$O67+$P67+$Q67)*0.5)+X67+Y67)*(0.005*'Prices&amp;Fuel'!$H67)+CA67+'Index Price Deals'!AW67)+(((BB67+BC67+BD67+BE67+BF67+BG67)*(1-'Prices&amp;Fuel'!F67))*0.005*0.5*'Prices&amp;Fuel'!H67)</f>
        <v>23913.810411311057</v>
      </c>
      <c r="CS67" s="21"/>
      <c r="CT67" s="1">
        <f>[3]Sheet1!$O81</f>
        <v>-56616.074707873078</v>
      </c>
      <c r="CU67" s="1">
        <f>'[4]Long Term Deals'!$Z66</f>
        <v>-34895.062969705476</v>
      </c>
      <c r="CV67" s="60">
        <f t="shared" si="23"/>
        <v>465501.76146945119</v>
      </c>
      <c r="CW67" s="13">
        <f>((B67+C67+D67+O67+P67+Q67+X67+Y67+AF67+AG67+AH67+BB67+BC67+BD67+BE67+BF67+BG67+BR67+BS67)+('Index Price Deals'!B67+'Index Price Deals'!C67+'Index Price Deals'!D67+'Index Price Deals'!L67+'Index Price Deals'!M67+'Index Price Deals'!N67+'Index Price Deals'!AD67+'Index Price Deals'!AE67+'Index Price Deals'!AF67+'Index Price Deals'!AK67+'Index Price Deals'!AL67+'Index Price Deals'!AM67))*'Prices&amp;Fuel'!H67</f>
        <v>5368331.3624678655</v>
      </c>
      <c r="CX67" s="65">
        <f>BQ67/(BB67+BC67+BD67+BE67+BF67+BG67)/'Prices&amp;Fuel'!H67</f>
        <v>0.17027385494267622</v>
      </c>
      <c r="CY67" s="66"/>
      <c r="CZ67" s="28">
        <f>(BA67-CT67+CU67)/(AF67+AG67+AH67)/'Prices&amp;Fuel'!H67</f>
        <v>9.9366736049698631E-2</v>
      </c>
      <c r="DB67" s="3">
        <f>(O67+P67+Q67)*'Prices&amp;Fuel'!$H67</f>
        <v>778100</v>
      </c>
      <c r="DE67" s="3">
        <v>132000</v>
      </c>
    </row>
    <row r="68" spans="1:109" x14ac:dyDescent="0.25">
      <c r="A68" s="10">
        <f t="shared" si="94"/>
        <v>37665.249999999847</v>
      </c>
      <c r="O68" s="1">
        <v>9036</v>
      </c>
      <c r="P68" s="1">
        <v>10794</v>
      </c>
      <c r="Q68" s="1">
        <v>5270</v>
      </c>
      <c r="R68" s="11">
        <f t="shared" si="91"/>
        <v>2.3832</v>
      </c>
      <c r="S68" s="11">
        <f t="shared" si="92"/>
        <v>2.3715000000000002</v>
      </c>
      <c r="T68" s="1">
        <f>(($O68*R68)+($P68*R68)+($Q68*R68))*'Prices&amp;Fuel'!$H68</f>
        <v>1674912.96</v>
      </c>
      <c r="U68" s="1">
        <f>(($O68*S68)+($P68*S68)+($Q68*S68))*'Prices&amp;Fuel'!$H68</f>
        <v>1666690.2</v>
      </c>
      <c r="V68" s="13">
        <f t="shared" si="80"/>
        <v>8222.7600000000093</v>
      </c>
      <c r="X68" s="1"/>
      <c r="AF68" s="1">
        <f>(32000/(1-'Prices&amp;Fuel'!F68))+(25000/(1-'Prices&amp;Fuel'!G68))-AI68</f>
        <v>58611.825192802062</v>
      </c>
      <c r="AG68" s="1">
        <v>0</v>
      </c>
      <c r="AH68" s="1">
        <f>(75000/(1-'Prices&amp;Fuel'!G68))-AK68</f>
        <v>77120.822622107968</v>
      </c>
      <c r="AI68" s="1"/>
      <c r="AJ68" s="1"/>
      <c r="AK68" s="1"/>
      <c r="AL68" s="21">
        <f>ROUND((132000/(1-'Prices&amp;Fuel'!F68))-AF68-AG68-AH68,0)</f>
        <v>0</v>
      </c>
      <c r="AM68" s="1">
        <f t="shared" si="51"/>
        <v>0</v>
      </c>
      <c r="AO68" s="1">
        <f>ROUND((75000/(1-'Prices&amp;Fuel'!G68)-AV68-AK68)/2,0)</f>
        <v>38560</v>
      </c>
      <c r="AP68" s="1">
        <f t="shared" si="82"/>
        <v>58611.825192802062</v>
      </c>
      <c r="AR68" s="1">
        <f t="shared" si="90"/>
        <v>0</v>
      </c>
      <c r="AT68" s="13">
        <f t="shared" si="25"/>
        <v>38560.822622107968</v>
      </c>
      <c r="AU68" s="13">
        <f>AL68*AX68*'Prices&amp;Fuel'!H68</f>
        <v>0</v>
      </c>
      <c r="AW68" s="20">
        <f t="shared" ref="AW68:AW78" si="98">AW67</f>
        <v>0.08</v>
      </c>
      <c r="AX68" s="20">
        <f t="shared" si="93"/>
        <v>2.5000000000000001E-2</v>
      </c>
      <c r="AY68" s="6">
        <f>('Prices&amp;Fuel'!H68*('Prices&amp;Fuel'!B68+AW68)*'Long Term Deals'!AF68)+('Prices&amp;Fuel'!H68*('Prices&amp;Fuel'!C68+'Long Term Deals'!AW68)*'Long Term Deals'!AG68)+(AH68*('Prices&amp;Fuel'!C68+AW68)*'Prices&amp;Fuel'!H68)+(AW68*AL68*'Prices&amp;Fuel'!H68)</f>
        <v>9955412.2365038581</v>
      </c>
      <c r="AZ68" s="6">
        <f>(AP68*'Prices&amp;Fuel'!H68*'Prices&amp;Fuel'!B68)+(AQ68*'Prices&amp;Fuel'!C68*'Prices&amp;Fuel'!H68)+((AM68+AR68)*('Prices&amp;Fuel'!B68+'Long Term Deals'!AX68)*'Prices&amp;Fuel'!H68)+((AN68+AS68)*('Prices&amp;Fuel'!C68+'Long Term Deals'!AX68)*'Prices&amp;Fuel'!H68)+((AO68+AT68)*('Prices&amp;Fuel'!D68+'Long Term Deals'!AX68)*'Prices&amp;Fuel'!H68)+(AV68*'Prices&amp;Fuel'!H68*'Prices&amp;Fuel'!Q68)+AU68</f>
        <v>9597386.5295629837</v>
      </c>
      <c r="BA68" s="6">
        <f t="shared" si="83"/>
        <v>358025.70694087446</v>
      </c>
      <c r="BB68" s="6">
        <f>IF('FP Corp'!T68-((BE68+BF68+BG68)*(1-'Prices&amp;Fuel'!F68))&lt;'Prices&amp;Fuel'!R68,('FP Corp'!T68-(BE68+BF68+BG68)*(1-'Prices&amp;Fuel'!F68)),'Prices&amp;Fuel'!R68)/(1-'Prices&amp;Fuel'!F68)</f>
        <v>4325.9640102827761</v>
      </c>
      <c r="BC68" s="14"/>
      <c r="BD68" s="14">
        <f>ROUND(IF('FP Corp'!T68/(1-'Prices&amp;Fuel'!F68)-BE68-BF68-BG68-BB68&gt;'Prices&amp;Fuel'!T68,'Prices&amp;Fuel'!T68,'FP Corp'!T68/(1-'Prices&amp;Fuel'!F68)-BE68-BF68-BG68-BB68),9)</f>
        <v>0</v>
      </c>
      <c r="BE68" s="14">
        <f>'Prices&amp;Fuel'!U68/(1-'Prices&amp;Fuel'!F68)</f>
        <v>2635.4755784061695</v>
      </c>
      <c r="BF68" s="14">
        <f>('Prices&amp;Fuel'!V68+'Prices&amp;Fuel'!X68)/(1-'Prices&amp;Fuel'!F68)</f>
        <v>3645.2442159383031</v>
      </c>
      <c r="BG68" s="14">
        <f>'Prices&amp;Fuel'!W68/(1-'Prices&amp;Fuel'!F68)</f>
        <v>1732.6478149100255</v>
      </c>
      <c r="BH68" s="25">
        <f>('Prices&amp;Fuel'!C68+'Prices&amp;Fuel'!D68)/2-0.05+('Prices&amp;Fuel'!M68+'Prices&amp;Fuel'!P68)*(1-'Prices&amp;Fuel'!F68)</f>
        <v>3.2393222500000007</v>
      </c>
      <c r="BI68" s="14">
        <f t="shared" si="95"/>
        <v>4325.9640102827761</v>
      </c>
      <c r="BJ68" s="14"/>
      <c r="BK68" s="25">
        <f>(((BB68+BE68)*('Prices&amp;Fuel'!B68+0.025))+(('Prices&amp;Fuel'!D68+0.025)*(BD68+BG68))+(('Prices&amp;Fuel'!C68+0.025)*(BC68+BF68))-(BI68+BJ68)*0.025)/(BB68+BC68+BD68+BE68+BF68+BG68)</f>
        <v>2.5407645833333334</v>
      </c>
      <c r="BL68" s="14">
        <f>(BB68+BC68+BD68+BE68+BF68+BG68)*BH68*'Prices&amp;Fuel'!H68</f>
        <v>1119190.0010282779</v>
      </c>
      <c r="BM68" s="14">
        <f>'Prices&amp;Fuel'!X68*('Prices&amp;Fuel'!N68+'Prices&amp;Fuel'!O68)*'Prices&amp;Fuel'!H68</f>
        <v>8046.3093605331378</v>
      </c>
      <c r="BN68" s="14">
        <f>('Prices&amp;Fuel'!U68+'Prices&amp;Fuel'!V68+'Prices&amp;Fuel'!W68)*('Prices&amp;Fuel'!L68+'Prices&amp;Fuel'!O68)*'Prices&amp;Fuel'!H68</f>
        <v>83761.727018141435</v>
      </c>
      <c r="BO68" s="14">
        <f>((BB68+BC68+BD68)*(1-'Prices&amp;Fuel'!G68))*('Prices&amp;Fuel'!M68+'Prices&amp;Fuel'!P68)*'Prices&amp;Fuel'!H68</f>
        <v>90714.699599999993</v>
      </c>
      <c r="BP68" s="14">
        <f>((BD68+BC68+BB68+BE68+BF68+BG68)*BK68*'Prices&amp;Fuel'!H68)+BM68+BN68+BO68</f>
        <v>1060360.1652845871</v>
      </c>
      <c r="BQ68" s="6">
        <f t="shared" si="97"/>
        <v>58829.835743690841</v>
      </c>
      <c r="CA68" s="6">
        <f>(AF68+AG68+AH68+AL68)*0.005*'Prices&amp;Fuel'!H68</f>
        <v>19002.570694087408</v>
      </c>
      <c r="CB68" s="6">
        <f>(B68+C68+D68+O68+P68+Q68+X68+Y68+BB68+BC68+BD68+BE68+BF68+BG68+BR68+BS68)*0.005*'Prices&amp;Fuel'!H68</f>
        <v>5241.5064267352182</v>
      </c>
      <c r="CC68" s="1">
        <f t="shared" si="86"/>
        <v>12749515.197532136</v>
      </c>
      <c r="CD68" s="1">
        <f t="shared" si="87"/>
        <v>12348680.971968392</v>
      </c>
      <c r="CE68" s="1">
        <f t="shared" si="88"/>
        <v>400834.22556374408</v>
      </c>
      <c r="CF68" s="1">
        <f>'Index Price Deals'!AR68</f>
        <v>0</v>
      </c>
      <c r="CG68" s="1">
        <f>'Index Price Deals'!AS68</f>
        <v>0</v>
      </c>
      <c r="CH68" s="1">
        <f>'Index Price Deals'!AT68</f>
        <v>0</v>
      </c>
      <c r="CI68" s="1">
        <f>'Index Price Deals'!AU68</f>
        <v>0</v>
      </c>
      <c r="CJ68" s="1">
        <f t="shared" si="84"/>
        <v>12749515.197532136</v>
      </c>
      <c r="CK68" s="1">
        <f t="shared" si="96"/>
        <v>12348680.971968392</v>
      </c>
      <c r="CL68" s="1">
        <f t="shared" si="96"/>
        <v>400834.22556374408</v>
      </c>
      <c r="CM68" s="30"/>
      <c r="CN68" s="1">
        <f>Transport!U68</f>
        <v>0</v>
      </c>
      <c r="CO68" s="57"/>
      <c r="CQ68" s="1">
        <f>(((($B68+$C68+$D68+$O68+$P68+$Q68)*0.5)+BR68+BS68)*(0.005*'Prices&amp;Fuel'!$H68)+'Index Price Deals'!AV68)+(((BB68+BC68+BD68+BE68+BF68+BG68)*(1-'Prices&amp;Fuel'!F68))*0.005*0.5*'Prices&amp;Fuel'!H68)</f>
        <v>2597</v>
      </c>
      <c r="CR68" s="1">
        <f>(((($B68+$C68+$D68+$O68+$P68+$Q68)*0.5)+X68+Y68)*(0.005*'Prices&amp;Fuel'!$H68)+CA68+'Index Price Deals'!AW68)+(((BB68+BC68+BD68+BE68+BF68+BG68)*(1-'Prices&amp;Fuel'!F68))*0.005*0.5*'Prices&amp;Fuel'!H68)</f>
        <v>21599.570694087408</v>
      </c>
      <c r="CS68" s="21"/>
      <c r="CT68" s="1">
        <f>[3]Sheet1!$O82</f>
        <v>-51137.099736143427</v>
      </c>
      <c r="CU68" s="1">
        <f>'[4]Long Term Deals'!$Z67</f>
        <v>-31518.121391992048</v>
      </c>
      <c r="CV68" s="60">
        <f t="shared" si="23"/>
        <v>420453.20390789548</v>
      </c>
      <c r="CW68" s="13">
        <f>((B68+C68+D68+O68+P68+Q68+X68+Y68+AF68+AG68+AH68+BB68+BC68+BD68+BE68+BF68+BG68+BR68+BS68)+('Index Price Deals'!B68+'Index Price Deals'!C68+'Index Price Deals'!D68+'Index Price Deals'!L68+'Index Price Deals'!M68+'Index Price Deals'!N68+'Index Price Deals'!AD68+'Index Price Deals'!AE68+'Index Price Deals'!AF68+'Index Price Deals'!AK68+'Index Price Deals'!AL68+'Index Price Deals'!AM68))*'Prices&amp;Fuel'!H68</f>
        <v>4848815.4241645234</v>
      </c>
      <c r="CX68" s="65">
        <f>BQ68/(BB68+BC68+BD68+BE68+BF68+BG68)/'Prices&amp;Fuel'!H68</f>
        <v>0.17027385494267663</v>
      </c>
      <c r="CY68" s="66"/>
      <c r="CZ68" s="28">
        <f>(BA68-CT68+CU68)/(AF68+AG68+AH68)/'Prices&amp;Fuel'!H68</f>
        <v>9.936673604969902E-2</v>
      </c>
      <c r="DB68" s="3">
        <f>(O68+P68+Q68)*'Prices&amp;Fuel'!$H68</f>
        <v>702800</v>
      </c>
      <c r="DE68" s="3">
        <v>132000</v>
      </c>
    </row>
    <row r="69" spans="1:109" x14ac:dyDescent="0.25">
      <c r="A69" s="10">
        <f t="shared" si="94"/>
        <v>37695.666666666511</v>
      </c>
      <c r="O69" s="1">
        <v>9036</v>
      </c>
      <c r="P69" s="1">
        <v>10794</v>
      </c>
      <c r="Q69" s="1">
        <v>5270</v>
      </c>
      <c r="R69" s="11">
        <f t="shared" si="91"/>
        <v>2.3832</v>
      </c>
      <c r="S69" s="11">
        <f t="shared" si="92"/>
        <v>2.3715000000000002</v>
      </c>
      <c r="T69" s="1">
        <f>(($O69*R69)+($P69*R69)+($Q69*R69))*'Prices&amp;Fuel'!$H69</f>
        <v>1854367.92</v>
      </c>
      <c r="U69" s="1">
        <f>(($O69*S69)+($P69*S69)+($Q69*S69))*'Prices&amp;Fuel'!$H69</f>
        <v>1845264.1500000001</v>
      </c>
      <c r="V69" s="13">
        <f t="shared" ref="V69:V84" si="99">T69-U69</f>
        <v>9103.7699999997858</v>
      </c>
      <c r="X69" s="1"/>
      <c r="AF69" s="1">
        <f>(32000/(1-'Prices&amp;Fuel'!F69))+(25000/(1-'Prices&amp;Fuel'!G69))-AI69</f>
        <v>58611.825192802062</v>
      </c>
      <c r="AG69" s="1">
        <v>0</v>
      </c>
      <c r="AH69" s="1">
        <f>(75000/(1-'Prices&amp;Fuel'!G69))-AK69</f>
        <v>77120.822622107968</v>
      </c>
      <c r="AI69" s="1"/>
      <c r="AJ69" s="1"/>
      <c r="AK69" s="1"/>
      <c r="AL69" s="21">
        <f>ROUND((132000/(1-'Prices&amp;Fuel'!F69))-AF69-AG69-AH69,0)</f>
        <v>0</v>
      </c>
      <c r="AM69" s="1">
        <f t="shared" si="51"/>
        <v>0</v>
      </c>
      <c r="AO69" s="1">
        <f>ROUND((75000/(1-'Prices&amp;Fuel'!G69)-AV69-AK69)/2,0)</f>
        <v>38560</v>
      </c>
      <c r="AP69" s="1">
        <f t="shared" ref="AP69:AP75" si="100">IF(80000&gt;AF69,AF69,80000)</f>
        <v>58611.825192802062</v>
      </c>
      <c r="AR69" s="1">
        <f t="shared" si="90"/>
        <v>0</v>
      </c>
      <c r="AT69" s="13">
        <f t="shared" si="25"/>
        <v>38560.822622107968</v>
      </c>
      <c r="AU69" s="13">
        <f>AL69*AX69*'Prices&amp;Fuel'!H69</f>
        <v>0</v>
      </c>
      <c r="AW69" s="20">
        <f t="shared" si="98"/>
        <v>0.08</v>
      </c>
      <c r="AX69" s="20">
        <f t="shared" si="93"/>
        <v>2.5000000000000001E-2</v>
      </c>
      <c r="AY69" s="6">
        <f>('Prices&amp;Fuel'!H69*('Prices&amp;Fuel'!B69+AW69)*'Long Term Deals'!AF69)+('Prices&amp;Fuel'!H69*('Prices&amp;Fuel'!C69+'Long Term Deals'!AW69)*'Long Term Deals'!AG69)+(AH69*('Prices&amp;Fuel'!C69+AW69)*'Prices&amp;Fuel'!H69)+(AW69*AL69*'Prices&amp;Fuel'!H69)</f>
        <v>11022063.547557842</v>
      </c>
      <c r="AZ69" s="6">
        <f>(AP69*'Prices&amp;Fuel'!H69*'Prices&amp;Fuel'!B69)+(AQ69*'Prices&amp;Fuel'!C69*'Prices&amp;Fuel'!H69)+((AM69+AR69)*('Prices&amp;Fuel'!B69+'Long Term Deals'!AX69)*'Prices&amp;Fuel'!H69)+((AN69+AS69)*('Prices&amp;Fuel'!C69+'Long Term Deals'!AX69)*'Prices&amp;Fuel'!H69)+((AO69+AT69)*('Prices&amp;Fuel'!D69+'Long Term Deals'!AX69)*'Prices&amp;Fuel'!H69)+(AV69*'Prices&amp;Fuel'!H69*'Prices&amp;Fuel'!Q69)+AU69</f>
        <v>10625677.943444733</v>
      </c>
      <c r="BA69" s="6">
        <f t="shared" ref="BA69:BA84" si="101">AY69-AZ69</f>
        <v>396385.60411310941</v>
      </c>
      <c r="BB69" s="6">
        <f>IF('FP Corp'!T69-((BE69+BF69+BG69)*(1-'Prices&amp;Fuel'!F69))&lt;'Prices&amp;Fuel'!R69,('FP Corp'!T69-(BE69+BF69+BG69)*(1-'Prices&amp;Fuel'!F69)),'Prices&amp;Fuel'!R69)/(1-'Prices&amp;Fuel'!F69)</f>
        <v>4325.9640102827761</v>
      </c>
      <c r="BC69" s="14"/>
      <c r="BD69" s="14">
        <f>ROUND(IF('FP Corp'!T69/(1-'Prices&amp;Fuel'!F69)-BE69-BF69-BG69-BB69&gt;'Prices&amp;Fuel'!T69,'Prices&amp;Fuel'!T69,'FP Corp'!T69/(1-'Prices&amp;Fuel'!F69)-BE69-BF69-BG69-BB69),9)</f>
        <v>0</v>
      </c>
      <c r="BE69" s="14">
        <f>'Prices&amp;Fuel'!U69/(1-'Prices&amp;Fuel'!F69)</f>
        <v>2635.4755784061695</v>
      </c>
      <c r="BF69" s="14">
        <f>('Prices&amp;Fuel'!V69+'Prices&amp;Fuel'!X69)/(1-'Prices&amp;Fuel'!F69)</f>
        <v>3645.2442159383031</v>
      </c>
      <c r="BG69" s="14">
        <f>'Prices&amp;Fuel'!W69/(1-'Prices&amp;Fuel'!F69)</f>
        <v>1732.6478149100255</v>
      </c>
      <c r="BH69" s="25">
        <f>('Prices&amp;Fuel'!C69+'Prices&amp;Fuel'!D69)/2-0.05+('Prices&amp;Fuel'!M69+'Prices&amp;Fuel'!P69)*(1-'Prices&amp;Fuel'!F69)</f>
        <v>3.2393222500000007</v>
      </c>
      <c r="BI69" s="14">
        <f t="shared" si="95"/>
        <v>4325.9640102827761</v>
      </c>
      <c r="BJ69" s="14"/>
      <c r="BK69" s="25">
        <f>(((BB69+BE69)*('Prices&amp;Fuel'!B69+0.025))+(('Prices&amp;Fuel'!D69+0.025)*(BD69+BG69))+(('Prices&amp;Fuel'!C69+0.025)*(BC69+BF69))-(BI69+BJ69)*0.025)/(BB69+BC69+BD69+BE69+BF69+BG69)</f>
        <v>2.5407645833333334</v>
      </c>
      <c r="BL69" s="14">
        <f>(BB69+BC69+BD69+BE69+BF69+BG69)*BH69*'Prices&amp;Fuel'!H69</f>
        <v>1239103.2154241647</v>
      </c>
      <c r="BM69" s="14">
        <f>'Prices&amp;Fuel'!X69*('Prices&amp;Fuel'!N69+'Prices&amp;Fuel'!O69)*'Prices&amp;Fuel'!H69</f>
        <v>8908.4139348759727</v>
      </c>
      <c r="BN69" s="14">
        <f>('Prices&amp;Fuel'!U69+'Prices&amp;Fuel'!V69+'Prices&amp;Fuel'!W69)*('Prices&amp;Fuel'!L69+'Prices&amp;Fuel'!O69)*'Prices&amp;Fuel'!H69</f>
        <v>92736.197770085157</v>
      </c>
      <c r="BO69" s="14">
        <f>((BB69+BC69+BD69)*(1-'Prices&amp;Fuel'!G69))*('Prices&amp;Fuel'!M69+'Prices&amp;Fuel'!P69)*'Prices&amp;Fuel'!H69</f>
        <v>100434.1317</v>
      </c>
      <c r="BP69" s="14">
        <f>((BD69+BC69+BB69+BE69+BF69+BG69)*BK69*'Prices&amp;Fuel'!H69)+BM69+BN69+BO69</f>
        <v>1173970.18299365</v>
      </c>
      <c r="BQ69" s="6">
        <f t="shared" si="97"/>
        <v>65133.032430514693</v>
      </c>
      <c r="CA69" s="6">
        <f>(AF69+AG69+AH69+AL69)*0.005*'Prices&amp;Fuel'!H69</f>
        <v>21038.560411311057</v>
      </c>
      <c r="CB69" s="6">
        <f>(B69+C69+D69+O69+P69+Q69+X69+Y69+BB69+BC69+BD69+BE69+BF69+BG69+BR69+BS69)*0.005*'Prices&amp;Fuel'!H69</f>
        <v>5803.0964010282778</v>
      </c>
      <c r="CC69" s="1">
        <f t="shared" si="86"/>
        <v>14115534.682982007</v>
      </c>
      <c r="CD69" s="1">
        <f t="shared" si="87"/>
        <v>13671753.933250723</v>
      </c>
      <c r="CE69" s="1">
        <f t="shared" si="88"/>
        <v>443780.74973128363</v>
      </c>
      <c r="CF69" s="1">
        <f>'Index Price Deals'!AR69</f>
        <v>0</v>
      </c>
      <c r="CG69" s="1">
        <f>'Index Price Deals'!AS69</f>
        <v>0</v>
      </c>
      <c r="CH69" s="1">
        <f>'Index Price Deals'!AT69</f>
        <v>0</v>
      </c>
      <c r="CI69" s="1">
        <f>'Index Price Deals'!AU69</f>
        <v>0</v>
      </c>
      <c r="CJ69" s="1">
        <f t="shared" ref="CJ69:CJ84" si="102">CC69+CF69</f>
        <v>14115534.682982007</v>
      </c>
      <c r="CK69" s="1">
        <f t="shared" si="96"/>
        <v>13671753.933250723</v>
      </c>
      <c r="CL69" s="1">
        <f t="shared" si="96"/>
        <v>443780.74973128363</v>
      </c>
      <c r="CM69" s="30"/>
      <c r="CN69" s="1">
        <f>Transport!U69</f>
        <v>0</v>
      </c>
      <c r="CO69" s="57"/>
      <c r="CQ69" s="1">
        <f>(((($B69+$C69+$D69+$O69+$P69+$Q69)*0.5)+BR69+BS69)*(0.005*'Prices&amp;Fuel'!$H69)+'Index Price Deals'!AV69)+(((BB69+BC69+BD69+BE69+BF69+BG69)*(1-'Prices&amp;Fuel'!F69))*0.005*0.5*'Prices&amp;Fuel'!H69)</f>
        <v>2875.25</v>
      </c>
      <c r="CR69" s="1">
        <f>(((($B69+$C69+$D69+$O69+$P69+$Q69)*0.5)+X69+Y69)*(0.005*'Prices&amp;Fuel'!$H69)+CA69+'Index Price Deals'!AW69)+(((BB69+BC69+BD69+BE69+BF69+BG69)*(1-'Prices&amp;Fuel'!F69))*0.005*0.5*'Prices&amp;Fuel'!H69)</f>
        <v>23913.810411311057</v>
      </c>
      <c r="CS69" s="21"/>
      <c r="CT69" s="1">
        <f>[3]Sheet1!$O83</f>
        <v>-56616.074707873078</v>
      </c>
      <c r="CU69" s="1">
        <f>'[4]Long Term Deals'!$Z68</f>
        <v>-34895.062969705476</v>
      </c>
      <c r="CV69" s="60">
        <f t="shared" si="23"/>
        <v>465501.76146945119</v>
      </c>
      <c r="CW69" s="13">
        <f>((B69+C69+D69+O69+P69+Q69+X69+Y69+AF69+AG69+AH69+BB69+BC69+BD69+BE69+BF69+BG69+BR69+BS69)+('Index Price Deals'!B69+'Index Price Deals'!C69+'Index Price Deals'!D69+'Index Price Deals'!L69+'Index Price Deals'!M69+'Index Price Deals'!N69+'Index Price Deals'!AD69+'Index Price Deals'!AE69+'Index Price Deals'!AF69+'Index Price Deals'!AK69+'Index Price Deals'!AL69+'Index Price Deals'!AM69))*'Prices&amp;Fuel'!H69</f>
        <v>5368331.3624678655</v>
      </c>
      <c r="CX69" s="65">
        <f>BQ69/(BB69+BC69+BD69+BE69+BF69+BG69)/'Prices&amp;Fuel'!H69</f>
        <v>0.17027385494267622</v>
      </c>
      <c r="CY69" s="66"/>
      <c r="CZ69" s="28">
        <f>(BA69-CT69+CU69)/(AF69+AG69+AH69)/'Prices&amp;Fuel'!H69</f>
        <v>9.9366736049698631E-2</v>
      </c>
      <c r="DB69" s="3">
        <f>(O69+P69+Q69)*'Prices&amp;Fuel'!$H69</f>
        <v>778100</v>
      </c>
      <c r="DE69" s="3">
        <v>132000</v>
      </c>
    </row>
    <row r="70" spans="1:109" x14ac:dyDescent="0.25">
      <c r="A70" s="10">
        <f t="shared" si="94"/>
        <v>37726.083333333176</v>
      </c>
      <c r="O70" s="1">
        <v>9036</v>
      </c>
      <c r="P70" s="1">
        <v>10794</v>
      </c>
      <c r="Q70" s="1">
        <v>5270</v>
      </c>
      <c r="R70" s="11">
        <f t="shared" si="91"/>
        <v>2.3832</v>
      </c>
      <c r="S70" s="11">
        <f t="shared" si="92"/>
        <v>2.3715000000000002</v>
      </c>
      <c r="T70" s="1">
        <f>(($O70*R70)+($P70*R70)+($Q70*R70))*'Prices&amp;Fuel'!$H70</f>
        <v>1794549.6</v>
      </c>
      <c r="U70" s="1">
        <f>(($O70*S70)+($P70*S70)+($Q70*S70))*'Prices&amp;Fuel'!$H70</f>
        <v>1785739.5</v>
      </c>
      <c r="V70" s="13">
        <f t="shared" si="99"/>
        <v>8810.1000000000931</v>
      </c>
      <c r="X70" s="1"/>
      <c r="AF70" s="1">
        <f>(32000/(1-'Prices&amp;Fuel'!F70))+(25000/(1-'Prices&amp;Fuel'!G70))-AI70</f>
        <v>58611.825192802062</v>
      </c>
      <c r="AG70" s="1">
        <v>0</v>
      </c>
      <c r="AH70" s="1">
        <f>(75000/(1-'Prices&amp;Fuel'!G70))-AK70</f>
        <v>77120.822622107968</v>
      </c>
      <c r="AI70" s="1"/>
      <c r="AJ70" s="1"/>
      <c r="AK70" s="1"/>
      <c r="AL70" s="21">
        <f>ROUND((132000/(1-'Prices&amp;Fuel'!F70))-AF70-AG70-AH70,0)</f>
        <v>0</v>
      </c>
      <c r="AM70" s="1">
        <f t="shared" si="51"/>
        <v>0</v>
      </c>
      <c r="AO70" s="1">
        <f>ROUND((75000/(1-'Prices&amp;Fuel'!G70)-AV70-AK70)/2,0)</f>
        <v>38560</v>
      </c>
      <c r="AP70" s="1">
        <f t="shared" si="100"/>
        <v>58611.825192802062</v>
      </c>
      <c r="AR70" s="1">
        <f t="shared" si="90"/>
        <v>0</v>
      </c>
      <c r="AT70" s="13">
        <f t="shared" si="25"/>
        <v>38560.822622107968</v>
      </c>
      <c r="AU70" s="13">
        <f>AL70*AX70*'Prices&amp;Fuel'!H70</f>
        <v>0</v>
      </c>
      <c r="AW70" s="20">
        <f t="shared" si="98"/>
        <v>0.08</v>
      </c>
      <c r="AX70" s="20">
        <f t="shared" si="93"/>
        <v>2.5000000000000001E-2</v>
      </c>
      <c r="AY70" s="6">
        <f>('Prices&amp;Fuel'!H70*('Prices&amp;Fuel'!B70+AW70)*'Long Term Deals'!AF70)+('Prices&amp;Fuel'!H70*('Prices&amp;Fuel'!C70+'Long Term Deals'!AW70)*'Long Term Deals'!AG70)+(AH70*('Prices&amp;Fuel'!C70+AW70)*'Prices&amp;Fuel'!H70)+(AW70*AL70*'Prices&amp;Fuel'!H70)</f>
        <v>11776941.902313627</v>
      </c>
      <c r="AZ70" s="6">
        <f>(AP70*'Prices&amp;Fuel'!H70*'Prices&amp;Fuel'!B70)+(AQ70*'Prices&amp;Fuel'!C70*'Prices&amp;Fuel'!H70)+((AM70+AR70)*('Prices&amp;Fuel'!B70+'Long Term Deals'!AX70)*'Prices&amp;Fuel'!H70)+((AN70+AS70)*('Prices&amp;Fuel'!C70+'Long Term Deals'!AX70)*'Prices&amp;Fuel'!H70)+((AO70+AT70)*('Prices&amp;Fuel'!D70+'Long Term Deals'!AX70)*'Prices&amp;Fuel'!H70)+(AV70*'Prices&amp;Fuel'!H70*'Prices&amp;Fuel'!Q70)+AU70</f>
        <v>11393342.930591263</v>
      </c>
      <c r="BA70" s="6">
        <f t="shared" si="101"/>
        <v>383598.97172236443</v>
      </c>
      <c r="BB70" s="6">
        <f>IF('FP Corp'!T70-((BE70+BF70+BG70)*(1-'Prices&amp;Fuel'!F70))&lt;'Prices&amp;Fuel'!R70,('FP Corp'!T70-(BE70+BF70+BG70)*(1-'Prices&amp;Fuel'!F70)),'Prices&amp;Fuel'!R70)/(1-'Prices&amp;Fuel'!F70)</f>
        <v>6278.6632390745499</v>
      </c>
      <c r="BC70" s="14"/>
      <c r="BD70" s="14">
        <f>ROUND(IF('FP Corp'!T70/(1-'Prices&amp;Fuel'!F70)-BE70-BF70-BG70-BB70&gt;'Prices&amp;Fuel'!T70,'Prices&amp;Fuel'!T70,'FP Corp'!T70/(1-'Prices&amp;Fuel'!F70)-BE70-BF70-BG70-BB70),9)</f>
        <v>0</v>
      </c>
      <c r="BE70" s="14">
        <f>'Prices&amp;Fuel'!U70/(1-'Prices&amp;Fuel'!F70)</f>
        <v>1933.1619537275064</v>
      </c>
      <c r="BF70" s="14">
        <f>('Prices&amp;Fuel'!V70+'Prices&amp;Fuel'!X70)/(1-'Prices&amp;Fuel'!F70)</f>
        <v>2833.9331619537274</v>
      </c>
      <c r="BG70" s="14">
        <f>'Prices&amp;Fuel'!W70/(1-'Prices&amp;Fuel'!F70)</f>
        <v>1293.5732647814909</v>
      </c>
      <c r="BH70" s="25">
        <f>('Prices&amp;Fuel'!C70+'Prices&amp;Fuel'!D70)/2-0.05+('Prices&amp;Fuel'!M70+'Prices&amp;Fuel'!P70)*(1-'Prices&amp;Fuel'!F70)</f>
        <v>3.5120222500000011</v>
      </c>
      <c r="BI70" s="14">
        <f t="shared" si="95"/>
        <v>6278.6632390745499</v>
      </c>
      <c r="BJ70" s="14"/>
      <c r="BK70" s="25">
        <f>(((BB70+BE70)*('Prices&amp;Fuel'!B70+0.025))+(('Prices&amp;Fuel'!D70+0.025)*(BD70+BG70))+(('Prices&amp;Fuel'!C70+0.025)*(BC70+BF70))-(BI70+BJ70)*0.025)/(BB70+BC70+BD70+BE70+BF70+BG70)</f>
        <v>2.8052075000000007</v>
      </c>
      <c r="BL70" s="14">
        <f>(BB70+BC70+BD70+BE70+BF70+BG70)*BH70*'Prices&amp;Fuel'!H70</f>
        <v>1300080.2159383036</v>
      </c>
      <c r="BM70" s="14">
        <f>'Prices&amp;Fuel'!X70*('Prices&amp;Fuel'!N70+'Prices&amp;Fuel'!O70)*'Prices&amp;Fuel'!H70</f>
        <v>8621.0457434283617</v>
      </c>
      <c r="BN70" s="14">
        <f>('Prices&amp;Fuel'!U70+'Prices&amp;Fuel'!V70+'Prices&amp;Fuel'!W70)*('Prices&amp;Fuel'!L70+'Prices&amp;Fuel'!O70)*'Prices&amp;Fuel'!H70</f>
        <v>65774.918549055918</v>
      </c>
      <c r="BO70" s="14">
        <f>((BB70+BC70+BD70)*(1-'Prices&amp;Fuel'!G70))*('Prices&amp;Fuel'!M70+'Prices&amp;Fuel'!P70)*'Prices&amp;Fuel'!H70</f>
        <v>141066.91800000001</v>
      </c>
      <c r="BP70" s="14">
        <f>((BD70+BC70+BB70+BE70+BF70+BG70)*BK70*'Prices&amp;Fuel'!H70)+BM70+BN70+BO70</f>
        <v>1253894.4504158781</v>
      </c>
      <c r="BQ70" s="6">
        <f t="shared" si="97"/>
        <v>46185.765522425529</v>
      </c>
      <c r="CA70" s="6">
        <f>(AF70+AG70+AH70+AL70)*0.005*'Prices&amp;Fuel'!H70</f>
        <v>20359.897172236506</v>
      </c>
      <c r="CB70" s="6">
        <f>(B70+C70+D70+O70+P70+Q70+X70+Y70+BB70+BC70+BD70+BE70+BF70+BG70+BR70+BS70)*0.005*'Prices&amp;Fuel'!H70</f>
        <v>5615.89974293059</v>
      </c>
      <c r="CC70" s="1">
        <f t="shared" ref="CC70:CC85" si="103">K70+T70+AB70+AY70+BL70+BX70</f>
        <v>14871571.718251931</v>
      </c>
      <c r="CD70" s="1">
        <f t="shared" ref="CD70:CD85" si="104">L70+U70+AC70+AZ70+BP70+BY70+CA70+CB70</f>
        <v>14458952.677922308</v>
      </c>
      <c r="CE70" s="1">
        <f t="shared" ref="CE70:CE85" si="105">CC70-CD70</f>
        <v>412619.0403296221</v>
      </c>
      <c r="CF70" s="1">
        <f>'Index Price Deals'!AR70</f>
        <v>0</v>
      </c>
      <c r="CG70" s="1">
        <f>'Index Price Deals'!AS70</f>
        <v>0</v>
      </c>
      <c r="CH70" s="1">
        <f>'Index Price Deals'!AT70</f>
        <v>0</v>
      </c>
      <c r="CI70" s="1">
        <f>'Index Price Deals'!AU70</f>
        <v>0</v>
      </c>
      <c r="CJ70" s="1">
        <f t="shared" si="102"/>
        <v>14871571.718251931</v>
      </c>
      <c r="CK70" s="1">
        <f t="shared" si="96"/>
        <v>14458952.677922308</v>
      </c>
      <c r="CL70" s="1">
        <f t="shared" si="96"/>
        <v>412619.0403296221</v>
      </c>
      <c r="CM70" s="30"/>
      <c r="CN70" s="1">
        <f>Transport!U70</f>
        <v>0</v>
      </c>
      <c r="CO70" s="57"/>
      <c r="CQ70" s="1">
        <f>(((($B70+$C70+$D70+$O70+$P70+$Q70)*0.5)+BR70+BS70)*(0.005*'Prices&amp;Fuel'!$H70)+'Index Price Deals'!AV70)+(((BB70+BC70+BD70+BE70+BF70+BG70)*(1-'Prices&amp;Fuel'!F70))*0.005*0.5*'Prices&amp;Fuel'!H70)</f>
        <v>2782.5</v>
      </c>
      <c r="CR70" s="1">
        <f>(((($B70+$C70+$D70+$O70+$P70+$Q70)*0.5)+X70+Y70)*(0.005*'Prices&amp;Fuel'!$H70)+CA70+'Index Price Deals'!AW70)+(((BB70+BC70+BD70+BE70+BF70+BG70)*(1-'Prices&amp;Fuel'!F70))*0.005*0.5*'Prices&amp;Fuel'!H70)</f>
        <v>23142.397172236506</v>
      </c>
      <c r="CS70" s="21"/>
      <c r="CT70" s="1">
        <f>[3]Sheet1!$O84</f>
        <v>-54789.749717296538</v>
      </c>
      <c r="CU70" s="1">
        <f>'[4]Long Term Deals'!$Z69</f>
        <v>-33769.415777134331</v>
      </c>
      <c r="CV70" s="60">
        <f t="shared" ref="CV70:CV133" si="106">CL70-CN70-CT70+CU70+CS70+CO70</f>
        <v>433639.37426978431</v>
      </c>
      <c r="CW70" s="13">
        <f>((B70+C70+D70+O70+P70+Q70+X70+Y70+AF70+AG70+AH70+BB70+BC70+BD70+BE70+BF70+BG70+BR70+BS70)+('Index Price Deals'!B70+'Index Price Deals'!C70+'Index Price Deals'!D70+'Index Price Deals'!L70+'Index Price Deals'!M70+'Index Price Deals'!N70+'Index Price Deals'!AD70+'Index Price Deals'!AE70+'Index Price Deals'!AF70+'Index Price Deals'!AK70+'Index Price Deals'!AL70+'Index Price Deals'!AM70))*'Prices&amp;Fuel'!H70</f>
        <v>5195159.38303342</v>
      </c>
      <c r="CX70" s="65">
        <f>BQ70/(BB70+BC70+BD70+BE70+BF70+BG70)/'Prices&amp;Fuel'!H70</f>
        <v>0.12476571380710785</v>
      </c>
      <c r="CY70" s="66"/>
      <c r="CZ70" s="28">
        <f>(BA70-CT70+CU70)/(AF70+AG70+AH70)/'Prices&amp;Fuel'!H70</f>
        <v>9.936673604969877E-2</v>
      </c>
      <c r="DB70" s="3">
        <f>(O70+P70+Q70)*'Prices&amp;Fuel'!$H70</f>
        <v>753000</v>
      </c>
      <c r="DE70" s="3">
        <v>132000</v>
      </c>
    </row>
    <row r="71" spans="1:109" x14ac:dyDescent="0.25">
      <c r="A71" s="10">
        <f t="shared" si="94"/>
        <v>37756.49999999984</v>
      </c>
      <c r="O71" s="1">
        <v>9036</v>
      </c>
      <c r="P71" s="1">
        <v>10794</v>
      </c>
      <c r="Q71" s="1">
        <v>5270</v>
      </c>
      <c r="R71" s="11">
        <f t="shared" si="91"/>
        <v>2.3832</v>
      </c>
      <c r="S71" s="11">
        <f t="shared" si="92"/>
        <v>2.3715000000000002</v>
      </c>
      <c r="T71" s="1">
        <f>(($O71*R71)+($P71*R71)+($Q71*R71))*'Prices&amp;Fuel'!$H71</f>
        <v>1854367.92</v>
      </c>
      <c r="U71" s="1">
        <f>(($O71*S71)+($P71*S71)+($Q71*S71))*'Prices&amp;Fuel'!$H71</f>
        <v>1845264.1500000001</v>
      </c>
      <c r="V71" s="13">
        <f t="shared" si="99"/>
        <v>9103.7699999997858</v>
      </c>
      <c r="X71" s="1"/>
      <c r="AF71" s="1">
        <f>((126000)/(1-'Prices&amp;Fuel'!F71))+(25000/(1-'Prices&amp;Fuel'!G71))-AI71</f>
        <v>155269.92287917738</v>
      </c>
      <c r="AG71" s="1">
        <v>0</v>
      </c>
      <c r="AH71" s="1">
        <f>(75000/(1-'Prices&amp;Fuel'!G71))-AK71</f>
        <v>77120.822622107968</v>
      </c>
      <c r="AI71" s="1"/>
      <c r="AJ71" s="1"/>
      <c r="AK71" s="1"/>
      <c r="AL71" s="21">
        <f>ROUND((226000/(1-'Prices&amp;Fuel'!F71))-AF71-AG71-AH71,0)</f>
        <v>0</v>
      </c>
      <c r="AM71" s="1">
        <f t="shared" si="51"/>
        <v>37635</v>
      </c>
      <c r="AO71" s="1">
        <f>ROUND((75000/(1-'Prices&amp;Fuel'!G71)-AV71-AK71)/2,0)</f>
        <v>38560</v>
      </c>
      <c r="AP71" s="1">
        <f t="shared" si="100"/>
        <v>80000</v>
      </c>
      <c r="AR71" s="1">
        <f t="shared" si="90"/>
        <v>37634.922879177378</v>
      </c>
      <c r="AT71" s="13">
        <f t="shared" si="25"/>
        <v>38560.822622107968</v>
      </c>
      <c r="AU71" s="13">
        <f>AL71*AX71*'Prices&amp;Fuel'!H71</f>
        <v>0</v>
      </c>
      <c r="AW71" s="20">
        <f t="shared" si="98"/>
        <v>0.08</v>
      </c>
      <c r="AX71" s="20">
        <f t="shared" si="93"/>
        <v>2.5000000000000001E-2</v>
      </c>
      <c r="AY71" s="6">
        <f>('Prices&amp;Fuel'!H71*('Prices&amp;Fuel'!B71+AW71)*'Long Term Deals'!AF71)+('Prices&amp;Fuel'!H71*('Prices&amp;Fuel'!C71+'Long Term Deals'!AW71)*'Long Term Deals'!AG71)+(AH71*('Prices&amp;Fuel'!C71+AW71)*'Prices&amp;Fuel'!H71)+(AW71*AL71*'Prices&amp;Fuel'!H71)</f>
        <v>22115989.717223655</v>
      </c>
      <c r="AZ71" s="6">
        <f>(AP71*'Prices&amp;Fuel'!H71*'Prices&amp;Fuel'!B71)+(AQ71*'Prices&amp;Fuel'!C71*'Prices&amp;Fuel'!H71)+((AM71+AR71)*('Prices&amp;Fuel'!B71+'Long Term Deals'!AX71)*'Prices&amp;Fuel'!H71)+((AN71+AS71)*('Prices&amp;Fuel'!C71+'Long Term Deals'!AX71)*'Prices&amp;Fuel'!H71)+((AO71+AT71)*('Prices&amp;Fuel'!D71+'Long Term Deals'!AX71)*'Prices&amp;Fuel'!H71)+(AV71*'Prices&amp;Fuel'!H71*'Prices&amp;Fuel'!Q71)+AU71</f>
        <v>21538226.221079696</v>
      </c>
      <c r="BA71" s="6">
        <f t="shared" si="101"/>
        <v>577763.49614395946</v>
      </c>
      <c r="BB71" s="6">
        <f>IF('FP Corp'!T71-((BE71+BF71+BG71)*(1-'Prices&amp;Fuel'!F71))&lt;'Prices&amp;Fuel'!R71,('FP Corp'!T71-(BE71+BF71+BG71)*(1-'Prices&amp;Fuel'!F71)),'Prices&amp;Fuel'!R71)/(1-'Prices&amp;Fuel'!F71)</f>
        <v>8976.8637532133671</v>
      </c>
      <c r="BC71" s="14"/>
      <c r="BD71" s="14">
        <f>ROUND(IF('FP Corp'!T71/(1-'Prices&amp;Fuel'!F71)-BE71-BF71-BG71-BB71&gt;'Prices&amp;Fuel'!T71,'Prices&amp;Fuel'!T71,'FP Corp'!T71/(1-'Prices&amp;Fuel'!F71)-BE71-BF71-BG71-BB71),9)</f>
        <v>6556.2982005140002</v>
      </c>
      <c r="BE71" s="14">
        <f>'Prices&amp;Fuel'!U71/(1-'Prices&amp;Fuel'!F71)</f>
        <v>1933.1619537275064</v>
      </c>
      <c r="BF71" s="14">
        <f>('Prices&amp;Fuel'!V71+'Prices&amp;Fuel'!X71)/(1-'Prices&amp;Fuel'!F71)</f>
        <v>3062.2107969151671</v>
      </c>
      <c r="BG71" s="14">
        <f>'Prices&amp;Fuel'!W71/(1-'Prices&amp;Fuel'!F71)</f>
        <v>1065.2956298200513</v>
      </c>
      <c r="BH71" s="25">
        <f>('Prices&amp;Fuel'!C71+'Prices&amp;Fuel'!D71)/2-0.05+('Prices&amp;Fuel'!M71+'Prices&amp;Fuel'!P71)*(1-'Prices&amp;Fuel'!F71)</f>
        <v>3.7039222500000011</v>
      </c>
      <c r="BI71" s="14">
        <f t="shared" si="95"/>
        <v>0</v>
      </c>
      <c r="BJ71" s="14"/>
      <c r="BK71" s="25">
        <f>(((BB71+BE71)*('Prices&amp;Fuel'!B71+0.025))+(('Prices&amp;Fuel'!D71+0.025)*(BD71+BG71))+(('Prices&amp;Fuel'!C71+0.025)*(BC71+BF71))-(BI71+BJ71)*0.025)/(BB71+BC71+BD71+BE71+BF71+BG71)</f>
        <v>3.0070380952380962</v>
      </c>
      <c r="BL71" s="14">
        <f>(BB71+BC71+BD71+BE71+BF71+BG71)*BH71*'Prices&amp;Fuel'!H71</f>
        <v>2479437.9277634807</v>
      </c>
      <c r="BM71" s="14">
        <f>'Prices&amp;Fuel'!X71*('Prices&amp;Fuel'!N71+'Prices&amp;Fuel'!O71)*'Prices&amp;Fuel'!H71</f>
        <v>8908.4139348759727</v>
      </c>
      <c r="BN71" s="14">
        <f>('Prices&amp;Fuel'!U71+'Prices&amp;Fuel'!V71+'Prices&amp;Fuel'!W71)*('Prices&amp;Fuel'!L71+'Prices&amp;Fuel'!O71)*'Prices&amp;Fuel'!H71</f>
        <v>67967.415834024447</v>
      </c>
      <c r="BO71" s="14">
        <f>((BB71+BC71+BD71)*(1-'Prices&amp;Fuel'!G71))*('Prices&amp;Fuel'!M71+'Prices&amp;Fuel'!P71)*'Prices&amp;Fuel'!H71</f>
        <v>360627.04859999678</v>
      </c>
      <c r="BP71" s="14">
        <f>((BD71+BC71+BB71+BE71+BF71+BG71)*BK71*'Prices&amp;Fuel'!H71)+BM71+BN71+BO71</f>
        <v>2450440.4619164425</v>
      </c>
      <c r="BQ71" s="6">
        <f t="shared" si="97"/>
        <v>28997.465847038198</v>
      </c>
      <c r="CA71" s="6">
        <f>(AF71+AG71+AH71+AL71)*0.005*'Prices&amp;Fuel'!H71</f>
        <v>36020.565552699227</v>
      </c>
      <c r="CB71" s="6">
        <f>(B71+C71+D71+O71+P71+Q71+X71+Y71+BB71+BC71+BD71+BE71+BF71+BG71+BR71+BS71)*0.005*'Prices&amp;Fuel'!H71</f>
        <v>7237.5437017994636</v>
      </c>
      <c r="CC71" s="1">
        <f t="shared" si="103"/>
        <v>26449795.564987134</v>
      </c>
      <c r="CD71" s="1">
        <f t="shared" si="104"/>
        <v>25877188.942250635</v>
      </c>
      <c r="CE71" s="1">
        <f t="shared" si="105"/>
        <v>572606.62273649871</v>
      </c>
      <c r="CF71" s="1">
        <f>'Index Price Deals'!AR71</f>
        <v>0</v>
      </c>
      <c r="CG71" s="1">
        <f>'Index Price Deals'!AS71</f>
        <v>0</v>
      </c>
      <c r="CH71" s="1">
        <f>'Index Price Deals'!AT71</f>
        <v>0</v>
      </c>
      <c r="CI71" s="1">
        <f>'Index Price Deals'!AU71</f>
        <v>0</v>
      </c>
      <c r="CJ71" s="1">
        <f t="shared" si="102"/>
        <v>26449795.564987134</v>
      </c>
      <c r="CK71" s="1">
        <f t="shared" si="96"/>
        <v>25877188.942250635</v>
      </c>
      <c r="CL71" s="1">
        <f t="shared" si="96"/>
        <v>572606.62273649871</v>
      </c>
      <c r="CM71" s="30"/>
      <c r="CN71" s="1">
        <f>Transport!U71</f>
        <v>3.1687275622971359E-9</v>
      </c>
      <c r="CO71" s="57"/>
      <c r="CQ71" s="1">
        <f>(((($B71+$C71+$D71+$O71+$P71+$Q71)*0.5)+BR71+BS71)*(0.005*'Prices&amp;Fuel'!$H71)+'Index Price Deals'!AV71)+(((BB71+BC71+BD71+BE71+BF71+BG71)*(1-'Prices&amp;Fuel'!F71))*0.005*0.5*'Prices&amp;Fuel'!H71)</f>
        <v>3572.7499999999895</v>
      </c>
      <c r="CR71" s="1">
        <f>(((($B71+$C71+$D71+$O71+$P71+$Q71)*0.5)+X71+Y71)*(0.005*'Prices&amp;Fuel'!$H71)+CA71+'Index Price Deals'!AW71)+(((BB71+BC71+BD71+BE71+BF71+BG71)*(1-'Prices&amp;Fuel'!F71))*0.005*0.5*'Prices&amp;Fuel'!H71)</f>
        <v>39593.31555269922</v>
      </c>
      <c r="CS71" s="21"/>
      <c r="CT71" s="1">
        <f>[3]Sheet1!$O85</f>
        <v>-96933.582454388787</v>
      </c>
      <c r="CU71" s="1">
        <f>'[4]Long Term Deals'!$Z70</f>
        <v>-43972.901883593106</v>
      </c>
      <c r="CV71" s="60">
        <f t="shared" si="106"/>
        <v>625567.30330729135</v>
      </c>
      <c r="CW71" s="13">
        <f>((B71+C71+D71+O71+P71+Q71+X71+Y71+AF71+AG71+AH71+BB71+BC71+BD71+BE71+BF71+BG71+BR71+BS71)+('Index Price Deals'!B71+'Index Price Deals'!C71+'Index Price Deals'!D71+'Index Price Deals'!L71+'Index Price Deals'!M71+'Index Price Deals'!N71+'Index Price Deals'!AD71+'Index Price Deals'!AE71+'Index Price Deals'!AF71+'Index Price Deals'!AK71+'Index Price Deals'!AL71+'Index Price Deals'!AM71))*'Prices&amp;Fuel'!H71</f>
        <v>8651621.8508997373</v>
      </c>
      <c r="CX71" s="65">
        <f>BQ71/(BB71+BC71+BD71+BE71+BF71+BG71)/'Prices&amp;Fuel'!H71</f>
        <v>4.3318026937396059E-2</v>
      </c>
      <c r="CY71" s="66"/>
      <c r="CZ71" s="28">
        <f>(BA71-CT71+CU71)/(AF71+AG71+AH71)/'Prices&amp;Fuel'!H71</f>
        <v>8.7550565494590255E-2</v>
      </c>
      <c r="DB71" s="3">
        <f>(O71+P71+Q71)*'Prices&amp;Fuel'!$H71</f>
        <v>778100</v>
      </c>
      <c r="DE71" s="3">
        <v>226000</v>
      </c>
    </row>
    <row r="72" spans="1:109" x14ac:dyDescent="0.25">
      <c r="A72" s="10">
        <f t="shared" si="94"/>
        <v>37786.916666666504</v>
      </c>
      <c r="O72" s="1">
        <v>9036</v>
      </c>
      <c r="P72" s="1">
        <v>10794</v>
      </c>
      <c r="Q72" s="1">
        <v>5270</v>
      </c>
      <c r="R72" s="11">
        <f t="shared" si="91"/>
        <v>2.3832</v>
      </c>
      <c r="S72" s="11">
        <f t="shared" si="92"/>
        <v>2.3715000000000002</v>
      </c>
      <c r="T72" s="1">
        <f>(($O72*R72)+($P72*R72)+($Q72*R72))*'Prices&amp;Fuel'!$H72</f>
        <v>1794549.6</v>
      </c>
      <c r="U72" s="1">
        <f>(($O72*S72)+($P72*S72)+($Q72*S72))*'Prices&amp;Fuel'!$H72</f>
        <v>1785739.5</v>
      </c>
      <c r="V72" s="13">
        <f t="shared" si="99"/>
        <v>8810.1000000000931</v>
      </c>
      <c r="X72" s="1"/>
      <c r="AF72" s="1">
        <f>((126000)/(1-'Prices&amp;Fuel'!F72))+(25000/(1-'Prices&amp;Fuel'!G72))-AI72</f>
        <v>155269.92287917738</v>
      </c>
      <c r="AG72" s="1">
        <v>0</v>
      </c>
      <c r="AH72" s="1">
        <f>(75000/(1-'Prices&amp;Fuel'!G72))-AK72</f>
        <v>77120.822622107968</v>
      </c>
      <c r="AI72" s="1"/>
      <c r="AJ72" s="1"/>
      <c r="AK72" s="1"/>
      <c r="AL72" s="21">
        <f>ROUND((226000/(1-'Prices&amp;Fuel'!F72))-AF72-AG72-AH72,0)</f>
        <v>0</v>
      </c>
      <c r="AM72" s="1">
        <f t="shared" si="51"/>
        <v>37635</v>
      </c>
      <c r="AO72" s="1">
        <f>ROUND((75000/(1-'Prices&amp;Fuel'!G72)-AV72-AK72)/2,0)</f>
        <v>38560</v>
      </c>
      <c r="AP72" s="1">
        <f t="shared" si="100"/>
        <v>80000</v>
      </c>
      <c r="AR72" s="1">
        <f t="shared" si="90"/>
        <v>37634.922879177378</v>
      </c>
      <c r="AT72" s="13">
        <f t="shared" ref="AT72:AT135" si="107">AH72-AO72-AV72</f>
        <v>38560.822622107968</v>
      </c>
      <c r="AU72" s="13">
        <f>AL72*AX72*'Prices&amp;Fuel'!H72</f>
        <v>0</v>
      </c>
      <c r="AW72" s="20">
        <f t="shared" si="98"/>
        <v>0.08</v>
      </c>
      <c r="AX72" s="20">
        <f t="shared" si="93"/>
        <v>2.5000000000000001E-2</v>
      </c>
      <c r="AY72" s="6">
        <f>('Prices&amp;Fuel'!H72*('Prices&amp;Fuel'!B72+AW72)*'Long Term Deals'!AF72)+('Prices&amp;Fuel'!H72*('Prices&amp;Fuel'!C72+'Long Term Deals'!AW72)*'Long Term Deals'!AG72)+(AH72*('Prices&amp;Fuel'!C72+AW72)*'Prices&amp;Fuel'!H72)+(AW72*AL72*'Prices&amp;Fuel'!H72)</f>
        <v>30626856.555269923</v>
      </c>
      <c r="AZ72" s="6">
        <f>(AP72*'Prices&amp;Fuel'!H72*'Prices&amp;Fuel'!B72)+(AQ72*'Prices&amp;Fuel'!C72*'Prices&amp;Fuel'!H72)+((AM72+AR72)*('Prices&amp;Fuel'!B72+'Long Term Deals'!AX72)*'Prices&amp;Fuel'!H72)+((AN72+AS72)*('Prices&amp;Fuel'!C72+'Long Term Deals'!AX72)*'Prices&amp;Fuel'!H72)+((AO72+AT72)*('Prices&amp;Fuel'!D72+'Long Term Deals'!AX72)*'Prices&amp;Fuel'!H72)+(AV72*'Prices&amp;Fuel'!H72*'Prices&amp;Fuel'!Q72)+AU72</f>
        <v>30067730.59125964</v>
      </c>
      <c r="BA72" s="6">
        <f t="shared" si="101"/>
        <v>559125.96401028335</v>
      </c>
      <c r="BB72" s="6">
        <f>IF('FP Corp'!T72-((BE72+BF72+BG72)*(1-'Prices&amp;Fuel'!F72))&lt;'Prices&amp;Fuel'!R72,('FP Corp'!T72-(BE72+BF72+BG72)*(1-'Prices&amp;Fuel'!F72)),'Prices&amp;Fuel'!R72)/(1-'Prices&amp;Fuel'!F72)</f>
        <v>8976.8637532133671</v>
      </c>
      <c r="BC72" s="14"/>
      <c r="BD72" s="14">
        <f>ROUND(IF('FP Corp'!T72/(1-'Prices&amp;Fuel'!F72)-BE72-BF72-BG72-BB72&gt;'Prices&amp;Fuel'!T72,'Prices&amp;Fuel'!T72,'FP Corp'!T72/(1-'Prices&amp;Fuel'!F72)-BE72-BF72-BG72-BB72),9)</f>
        <v>6556.2982005140002</v>
      </c>
      <c r="BE72" s="14">
        <f>'Prices&amp;Fuel'!U72/(1-'Prices&amp;Fuel'!F72)</f>
        <v>1933.1619537275064</v>
      </c>
      <c r="BF72" s="14">
        <f>('Prices&amp;Fuel'!V72+'Prices&amp;Fuel'!X72)/(1-'Prices&amp;Fuel'!F72)</f>
        <v>3062.2107969151671</v>
      </c>
      <c r="BG72" s="14">
        <f>'Prices&amp;Fuel'!W72/(1-'Prices&amp;Fuel'!F72)</f>
        <v>1065.2956298200513</v>
      </c>
      <c r="BH72" s="25">
        <f>('Prices&amp;Fuel'!C72+'Prices&amp;Fuel'!D72)/2-0.05+('Prices&amp;Fuel'!M72+'Prices&amp;Fuel'!P72)*(1-'Prices&amp;Fuel'!F72)</f>
        <v>5.027022249999999</v>
      </c>
      <c r="BI72" s="14">
        <f t="shared" si="95"/>
        <v>0</v>
      </c>
      <c r="BJ72" s="14"/>
      <c r="BK72" s="25">
        <f>(((BB72+BE72)*('Prices&amp;Fuel'!B72+0.025))+(('Prices&amp;Fuel'!D72+0.025)*(BD72+BG72))+(('Prices&amp;Fuel'!C72+0.025)*(BC72+BF72))-(BI72+BJ72)*0.025)/(BB72+BC72+BD72+BE72+BF72+BG72)</f>
        <v>4.3301380952380955</v>
      </c>
      <c r="BL72" s="14">
        <f>(BB72+BC72+BD72+BE72+BF72+BG72)*BH72*'Prices&amp;Fuel'!H72</f>
        <v>3256579.9665809548</v>
      </c>
      <c r="BM72" s="14">
        <f>'Prices&amp;Fuel'!X72*('Prices&amp;Fuel'!N72+'Prices&amp;Fuel'!O72)*'Prices&amp;Fuel'!H72</f>
        <v>8621.0457434283617</v>
      </c>
      <c r="BN72" s="14">
        <f>('Prices&amp;Fuel'!U72+'Prices&amp;Fuel'!V72+'Prices&amp;Fuel'!W72)*('Prices&amp;Fuel'!L72+'Prices&amp;Fuel'!O72)*'Prices&amp;Fuel'!H72</f>
        <v>65774.918549055918</v>
      </c>
      <c r="BO72" s="14">
        <f>((BB72+BC72+BD72)*(1-'Prices&amp;Fuel'!G72))*('Prices&amp;Fuel'!M72+'Prices&amp;Fuel'!P72)*'Prices&amp;Fuel'!H72</f>
        <v>348993.91799999692</v>
      </c>
      <c r="BP72" s="14">
        <f>((BD72+BC72+BB72+BE72+BF72+BG72)*BK72*'Prices&amp;Fuel'!H72)+BM72+BN72+BO72</f>
        <v>3228517.9028580151</v>
      </c>
      <c r="BQ72" s="6">
        <f t="shared" si="97"/>
        <v>28062.063722939696</v>
      </c>
      <c r="CA72" s="6">
        <f>(AF72+AG72+AH72+AL72)*0.005*'Prices&amp;Fuel'!H72</f>
        <v>34858.611825192798</v>
      </c>
      <c r="CB72" s="6">
        <f>(B72+C72+D72+O72+P72+Q72+X72+Y72+BB72+BC72+BD72+BE72+BF72+BG72+BR72+BS72)*0.005*'Prices&amp;Fuel'!H72</f>
        <v>7004.0745501285137</v>
      </c>
      <c r="CC72" s="1">
        <f t="shared" si="103"/>
        <v>35677986.121850878</v>
      </c>
      <c r="CD72" s="1">
        <f t="shared" si="104"/>
        <v>35123850.680492975</v>
      </c>
      <c r="CE72" s="1">
        <f t="shared" si="105"/>
        <v>554135.44135790318</v>
      </c>
      <c r="CF72" s="1">
        <f>'Index Price Deals'!AR72</f>
        <v>0</v>
      </c>
      <c r="CG72" s="1">
        <f>'Index Price Deals'!AS72</f>
        <v>0</v>
      </c>
      <c r="CH72" s="1">
        <f>'Index Price Deals'!AT72</f>
        <v>0</v>
      </c>
      <c r="CI72" s="1">
        <f>'Index Price Deals'!AU72</f>
        <v>0</v>
      </c>
      <c r="CJ72" s="1">
        <f t="shared" si="102"/>
        <v>35677986.121850878</v>
      </c>
      <c r="CK72" s="1">
        <f t="shared" si="96"/>
        <v>35123850.680492975</v>
      </c>
      <c r="CL72" s="1">
        <f t="shared" si="96"/>
        <v>554135.44135790318</v>
      </c>
      <c r="CM72" s="30"/>
      <c r="CN72" s="1">
        <f>Transport!U72</f>
        <v>3.0665105441585185E-9</v>
      </c>
      <c r="CO72" s="57"/>
      <c r="CQ72" s="1">
        <f>(((($B72+$C72+$D72+$O72+$P72+$Q72)*0.5)+BR72+BS72)*(0.005*'Prices&amp;Fuel'!$H72)+'Index Price Deals'!AV72)+(((BB72+BC72+BD72+BE72+BF72+BG72)*(1-'Prices&amp;Fuel'!F72))*0.005*0.5*'Prices&amp;Fuel'!H72)</f>
        <v>3457.49999999999</v>
      </c>
      <c r="CR72" s="1">
        <f>(((($B72+$C72+$D72+$O72+$P72+$Q72)*0.5)+X72+Y72)*(0.005*'Prices&amp;Fuel'!$H72)+CA72+'Index Price Deals'!AW72)+(((BB72+BC72+BD72+BE72+BF72+BG72)*(1-'Prices&amp;Fuel'!F72))*0.005*0.5*'Prices&amp;Fuel'!H72)</f>
        <v>38316.111825192791</v>
      </c>
      <c r="CS72" s="21"/>
      <c r="CT72" s="1">
        <f>[3]Sheet1!$O86</f>
        <v>-93806.692697795632</v>
      </c>
      <c r="CU72" s="1">
        <f>'[4]Long Term Deals'!$Z71</f>
        <v>-42554.421177670738</v>
      </c>
      <c r="CV72" s="60">
        <f t="shared" si="106"/>
        <v>605387.71287802502</v>
      </c>
      <c r="CW72" s="13">
        <f>((B72+C72+D72+O72+P72+Q72+X72+Y72+AF72+AG72+AH72+BB72+BC72+BD72+BE72+BF72+BG72+BR72+BS72)+('Index Price Deals'!B72+'Index Price Deals'!C72+'Index Price Deals'!D72+'Index Price Deals'!L72+'Index Price Deals'!M72+'Index Price Deals'!N72+'Index Price Deals'!AD72+'Index Price Deals'!AE72+'Index Price Deals'!AF72+'Index Price Deals'!AK72+'Index Price Deals'!AL72+'Index Price Deals'!AM72))*'Prices&amp;Fuel'!H72</f>
        <v>8372537.2750642626</v>
      </c>
      <c r="CX72" s="65">
        <f>BQ72/(BB72+BC72+BD72+BE72+BF72+BG72)/'Prices&amp;Fuel'!H72</f>
        <v>4.3318026937395289E-2</v>
      </c>
      <c r="CY72" s="66"/>
      <c r="CZ72" s="28">
        <f>(BA72-CT72+CU72)/(AF72+AG72+AH72)/'Prices&amp;Fuel'!H72</f>
        <v>8.7550565494590255E-2</v>
      </c>
      <c r="DB72" s="3">
        <f>(O72+P72+Q72)*'Prices&amp;Fuel'!$H72</f>
        <v>753000</v>
      </c>
      <c r="DE72" s="3">
        <v>226000</v>
      </c>
    </row>
    <row r="73" spans="1:109" x14ac:dyDescent="0.25">
      <c r="A73" s="10">
        <f t="shared" si="94"/>
        <v>37817.333333333168</v>
      </c>
      <c r="O73" s="1">
        <v>9036</v>
      </c>
      <c r="P73" s="1">
        <v>10794</v>
      </c>
      <c r="Q73" s="1">
        <v>5270</v>
      </c>
      <c r="R73" s="11">
        <f>ROUND(2.034*1.02*1.02*1.02*1.02*1.02*1.02*1.02*1.02*1.02,4)</f>
        <v>2.4308000000000001</v>
      </c>
      <c r="S73" s="11">
        <f>R73-ROUND(0.01*1.02*1.02*1.02*1.02*1.02*1.02*1.02*1.02*1.02,4)</f>
        <v>2.4188000000000001</v>
      </c>
      <c r="T73" s="1">
        <f>(($O73*R73)+($P73*R73)+($Q73*R73))*'Prices&amp;Fuel'!$H73</f>
        <v>1891405.48</v>
      </c>
      <c r="U73" s="1">
        <f>(($O73*S73)+($P73*S73)+($Q73*S73))*'Prices&amp;Fuel'!$H73</f>
        <v>1882068.2800000003</v>
      </c>
      <c r="V73" s="13">
        <f t="shared" si="99"/>
        <v>9337.1999999997206</v>
      </c>
      <c r="X73" s="1"/>
      <c r="AF73" s="1">
        <f>((126000)/(1-'Prices&amp;Fuel'!F73))+(25000/(1-'Prices&amp;Fuel'!G73))-AI73</f>
        <v>155269.92287917738</v>
      </c>
      <c r="AG73" s="1">
        <v>0</v>
      </c>
      <c r="AH73" s="1">
        <f>(75000/(1-'Prices&amp;Fuel'!G73))-AK73</f>
        <v>77120.822622107968</v>
      </c>
      <c r="AI73" s="1"/>
      <c r="AJ73" s="1"/>
      <c r="AK73" s="1"/>
      <c r="AL73" s="21">
        <f>ROUND((226000/(1-'Prices&amp;Fuel'!F73))-AF73-AG73-AH73,0)</f>
        <v>0</v>
      </c>
      <c r="AM73" s="1">
        <f t="shared" si="51"/>
        <v>37635</v>
      </c>
      <c r="AO73" s="1">
        <f>ROUND((75000/(1-'Prices&amp;Fuel'!G73)-AV73-AK73)/2,0)</f>
        <v>38560</v>
      </c>
      <c r="AP73" s="1">
        <f t="shared" si="100"/>
        <v>80000</v>
      </c>
      <c r="AR73" s="1">
        <f t="shared" si="90"/>
        <v>37634.922879177378</v>
      </c>
      <c r="AT73" s="13">
        <f t="shared" si="107"/>
        <v>38560.822622107968</v>
      </c>
      <c r="AU73" s="13">
        <f>AL73*AX73*'Prices&amp;Fuel'!H73</f>
        <v>0</v>
      </c>
      <c r="AW73" s="20">
        <f t="shared" si="98"/>
        <v>0.08</v>
      </c>
      <c r="AX73" s="20">
        <f t="shared" si="93"/>
        <v>2.5000000000000001E-2</v>
      </c>
      <c r="AY73" s="6">
        <f>('Prices&amp;Fuel'!H73*('Prices&amp;Fuel'!B73+AW73)*'Long Term Deals'!AF73)+('Prices&amp;Fuel'!H73*('Prices&amp;Fuel'!C73+'Long Term Deals'!AW73)*'Long Term Deals'!AG73)+(AH73*('Prices&amp;Fuel'!C73+AW73)*'Prices&amp;Fuel'!H73)+(AW73*AL73*'Prices&amp;Fuel'!H73)</f>
        <v>31574990.231362469</v>
      </c>
      <c r="AZ73" s="6">
        <f>(AP73*'Prices&amp;Fuel'!H73*'Prices&amp;Fuel'!B73)+(AQ73*'Prices&amp;Fuel'!C73*'Prices&amp;Fuel'!H73)+((AM73+AR73)*('Prices&amp;Fuel'!B73+'Long Term Deals'!AX73)*'Prices&amp;Fuel'!H73)+((AN73+AS73)*('Prices&amp;Fuel'!C73+'Long Term Deals'!AX73)*'Prices&amp;Fuel'!H73)+((AO73+AT73)*('Prices&amp;Fuel'!D73+'Long Term Deals'!AX73)*'Prices&amp;Fuel'!H73)+(AV73*'Prices&amp;Fuel'!H73*'Prices&amp;Fuel'!Q73)+AU73</f>
        <v>30997226.73521851</v>
      </c>
      <c r="BA73" s="6">
        <f t="shared" si="101"/>
        <v>577763.49614395946</v>
      </c>
      <c r="BB73" s="6">
        <f>IF('FP Corp'!T73-((BE73+BF73+BG73)*(1-'Prices&amp;Fuel'!F73))&lt;'Prices&amp;Fuel'!R73,('FP Corp'!T73-(BE73+BF73+BG73)*(1-'Prices&amp;Fuel'!F73)),'Prices&amp;Fuel'!R73)/(1-'Prices&amp;Fuel'!F73)</f>
        <v>8976.8637532133671</v>
      </c>
      <c r="BC73" s="14"/>
      <c r="BD73" s="14">
        <f>ROUND(IF('FP Corp'!T73/(1-'Prices&amp;Fuel'!F73)-BE73-BF73-BG73-BB73&gt;'Prices&amp;Fuel'!T73,'Prices&amp;Fuel'!T73,'FP Corp'!T73/(1-'Prices&amp;Fuel'!F73)-BE73-BF73-BG73-BB73),9)</f>
        <v>6556.2982005140002</v>
      </c>
      <c r="BE73" s="14">
        <f>'Prices&amp;Fuel'!U73/(1-'Prices&amp;Fuel'!F73)</f>
        <v>1933.1619537275064</v>
      </c>
      <c r="BF73" s="14">
        <f>('Prices&amp;Fuel'!V73+'Prices&amp;Fuel'!X73)/(1-'Prices&amp;Fuel'!F73)</f>
        <v>3062.2107969151671</v>
      </c>
      <c r="BG73" s="14">
        <f>'Prices&amp;Fuel'!W73/(1-'Prices&amp;Fuel'!F73)</f>
        <v>1065.2956298200513</v>
      </c>
      <c r="BH73" s="25">
        <f>('Prices&amp;Fuel'!C73+'Prices&amp;Fuel'!D73)/2-0.05+('Prices&amp;Fuel'!M73+'Prices&amp;Fuel'!P73)*(1-'Prices&amp;Fuel'!F73)</f>
        <v>5.0169222499999995</v>
      </c>
      <c r="BI73" s="14">
        <f t="shared" si="95"/>
        <v>0</v>
      </c>
      <c r="BJ73" s="14"/>
      <c r="BK73" s="25">
        <f>(((BB73+BE73)*('Prices&amp;Fuel'!B73+0.025))+(('Prices&amp;Fuel'!D73+0.025)*(BD73+BG73))+(('Prices&amp;Fuel'!C73+0.025)*(BC73+BF73))-(BI73+BJ73)*0.025)/(BB73+BC73+BD73+BE73+BF73+BG73)</f>
        <v>4.3200380952380959</v>
      </c>
      <c r="BL73" s="14">
        <f>(BB73+BC73+BD73+BE73+BF73+BG73)*BH73*'Prices&amp;Fuel'!H73</f>
        <v>3358371.6038560187</v>
      </c>
      <c r="BM73" s="14">
        <f>'Prices&amp;Fuel'!X73*('Prices&amp;Fuel'!N73+'Prices&amp;Fuel'!O73)*'Prices&amp;Fuel'!H73</f>
        <v>8908.4139348759727</v>
      </c>
      <c r="BN73" s="14">
        <f>('Prices&amp;Fuel'!U73+'Prices&amp;Fuel'!V73+'Prices&amp;Fuel'!W73)*('Prices&amp;Fuel'!L73+'Prices&amp;Fuel'!O73)*'Prices&amp;Fuel'!H73</f>
        <v>67967.415834024447</v>
      </c>
      <c r="BO73" s="14">
        <f>((BB73+BC73+BD73)*(1-'Prices&amp;Fuel'!G73))*('Prices&amp;Fuel'!M73+'Prices&amp;Fuel'!P73)*'Prices&amp;Fuel'!H73</f>
        <v>360627.04859999678</v>
      </c>
      <c r="BP73" s="14">
        <f>((BD73+BC73+BB73+BE73+BF73+BG73)*BK73*'Prices&amp;Fuel'!H73)+BM73+BN73+BO73</f>
        <v>3329374.138008981</v>
      </c>
      <c r="BQ73" s="6">
        <f t="shared" si="97"/>
        <v>28997.465847037733</v>
      </c>
      <c r="CA73" s="6">
        <f>(AF73+AG73+AH73+AL73)*0.005*'Prices&amp;Fuel'!H73</f>
        <v>36020.565552699227</v>
      </c>
      <c r="CB73" s="6">
        <f>(B73+C73+D73+O73+P73+Q73+X73+Y73+BB73+BC73+BD73+BE73+BF73+BG73+BR73+BS73)*0.005*'Prices&amp;Fuel'!H73</f>
        <v>7237.5437017994636</v>
      </c>
      <c r="CC73" s="1">
        <f t="shared" si="103"/>
        <v>36824767.315218486</v>
      </c>
      <c r="CD73" s="1">
        <f t="shared" si="104"/>
        <v>36251927.262481987</v>
      </c>
      <c r="CE73" s="1">
        <f t="shared" si="105"/>
        <v>572840.05273649842</v>
      </c>
      <c r="CF73" s="1">
        <f>'Index Price Deals'!AR73</f>
        <v>0</v>
      </c>
      <c r="CG73" s="1">
        <f>'Index Price Deals'!AS73</f>
        <v>0</v>
      </c>
      <c r="CH73" s="1">
        <f>'Index Price Deals'!AT73</f>
        <v>0</v>
      </c>
      <c r="CI73" s="1">
        <f>'Index Price Deals'!AU73</f>
        <v>0</v>
      </c>
      <c r="CJ73" s="1">
        <f t="shared" si="102"/>
        <v>36824767.315218486</v>
      </c>
      <c r="CK73" s="1">
        <f t="shared" si="96"/>
        <v>36251927.262481987</v>
      </c>
      <c r="CL73" s="1">
        <f t="shared" si="96"/>
        <v>572840.05273649842</v>
      </c>
      <c r="CM73" s="30"/>
      <c r="CN73" s="1">
        <f>Transport!U73</f>
        <v>3.1687275622971359E-9</v>
      </c>
      <c r="CO73" s="57"/>
      <c r="CQ73" s="1">
        <f>(((($B73+$C73+$D73+$O73+$P73+$Q73)*0.5)+BR73+BS73)*(0.005*'Prices&amp;Fuel'!$H73)+'Index Price Deals'!AV73)+(((BB73+BC73+BD73+BE73+BF73+BG73)*(1-'Prices&amp;Fuel'!F73))*0.005*0.5*'Prices&amp;Fuel'!H73)</f>
        <v>3572.7499999999895</v>
      </c>
      <c r="CR73" s="1">
        <f>(((($B73+$C73+$D73+$O73+$P73+$Q73)*0.5)+X73+Y73)*(0.005*'Prices&amp;Fuel'!$H73)+CA73+'Index Price Deals'!AW73)+(((BB73+BC73+BD73+BE73+BF73+BG73)*(1-'Prices&amp;Fuel'!F73))*0.005*0.5*'Prices&amp;Fuel'!H73)</f>
        <v>39593.31555269922</v>
      </c>
      <c r="CS73" s="21"/>
      <c r="CT73" s="1">
        <f>[3]Sheet1!$O87</f>
        <v>-96933.582454388787</v>
      </c>
      <c r="CU73" s="1">
        <f>'[4]Long Term Deals'!$Z72</f>
        <v>-43972.901883593106</v>
      </c>
      <c r="CV73" s="60">
        <f t="shared" si="106"/>
        <v>625800.73330729106</v>
      </c>
      <c r="CW73" s="13">
        <f>((B73+C73+D73+O73+P73+Q73+X73+Y73+AF73+AG73+AH73+BB73+BC73+BD73+BE73+BF73+BG73+BR73+BS73)+('Index Price Deals'!B73+'Index Price Deals'!C73+'Index Price Deals'!D73+'Index Price Deals'!L73+'Index Price Deals'!M73+'Index Price Deals'!N73+'Index Price Deals'!AD73+'Index Price Deals'!AE73+'Index Price Deals'!AF73+'Index Price Deals'!AK73+'Index Price Deals'!AL73+'Index Price Deals'!AM73))*'Prices&amp;Fuel'!H73</f>
        <v>8651621.8508997373</v>
      </c>
      <c r="CX73" s="65">
        <f>BQ73/(BB73+BC73+BD73+BE73+BF73+BG73)/'Prices&amp;Fuel'!H73</f>
        <v>4.3318026937395358E-2</v>
      </c>
      <c r="CY73" s="66"/>
      <c r="CZ73" s="28">
        <f>(BA73-CT73+CU73)/(AF73+AG73+AH73)/'Prices&amp;Fuel'!H73</f>
        <v>8.7550565494590255E-2</v>
      </c>
      <c r="DB73" s="3">
        <f>(O73+P73+Q73)*'Prices&amp;Fuel'!$H73</f>
        <v>778100</v>
      </c>
      <c r="DE73" s="3">
        <v>226000</v>
      </c>
    </row>
    <row r="74" spans="1:109" x14ac:dyDescent="0.25">
      <c r="A74" s="10">
        <f t="shared" si="94"/>
        <v>37847.749999999833</v>
      </c>
      <c r="O74" s="1">
        <v>9036</v>
      </c>
      <c r="P74" s="1">
        <v>10794</v>
      </c>
      <c r="Q74" s="1">
        <v>5270</v>
      </c>
      <c r="R74" s="11">
        <f t="shared" ref="R74:R84" si="108">R73</f>
        <v>2.4308000000000001</v>
      </c>
      <c r="S74" s="11">
        <f t="shared" ref="S74:S84" si="109">S73</f>
        <v>2.4188000000000001</v>
      </c>
      <c r="T74" s="1">
        <f>(($O74*R74)+($P74*R74)+($Q74*R74))*'Prices&amp;Fuel'!$H74</f>
        <v>1891405.48</v>
      </c>
      <c r="U74" s="1">
        <f>(($O74*S74)+($P74*S74)+($Q74*S74))*'Prices&amp;Fuel'!$H74</f>
        <v>1882068.2800000003</v>
      </c>
      <c r="V74" s="13">
        <f t="shared" si="99"/>
        <v>9337.1999999997206</v>
      </c>
      <c r="X74" s="1"/>
      <c r="AF74" s="1">
        <f>((126000)/(1-'Prices&amp;Fuel'!F74))+(25000/(1-'Prices&amp;Fuel'!G74))-AI74</f>
        <v>155269.92287917738</v>
      </c>
      <c r="AG74" s="1">
        <v>0</v>
      </c>
      <c r="AH74" s="1">
        <f>(75000/(1-'Prices&amp;Fuel'!G74))-AK74</f>
        <v>77120.822622107968</v>
      </c>
      <c r="AI74" s="1"/>
      <c r="AJ74" s="1"/>
      <c r="AK74" s="1"/>
      <c r="AL74" s="21">
        <f>ROUND((226000/(1-'Prices&amp;Fuel'!F74))-AF74-AG74-AH74,0)</f>
        <v>0</v>
      </c>
      <c r="AM74" s="1">
        <f t="shared" si="51"/>
        <v>37635</v>
      </c>
      <c r="AO74" s="1">
        <f>ROUND((75000/(1-'Prices&amp;Fuel'!G74)-AV74-AK74)/2,0)</f>
        <v>38560</v>
      </c>
      <c r="AP74" s="1">
        <f t="shared" si="100"/>
        <v>80000</v>
      </c>
      <c r="AR74" s="1">
        <f t="shared" si="90"/>
        <v>37634.922879177378</v>
      </c>
      <c r="AT74" s="13">
        <f t="shared" si="107"/>
        <v>38560.822622107968</v>
      </c>
      <c r="AU74" s="13">
        <f>AL74*AX74*'Prices&amp;Fuel'!H74</f>
        <v>0</v>
      </c>
      <c r="AW74" s="20">
        <f t="shared" si="98"/>
        <v>0.08</v>
      </c>
      <c r="AX74" s="20">
        <f t="shared" si="93"/>
        <v>2.5000000000000001E-2</v>
      </c>
      <c r="AY74" s="6">
        <f>('Prices&amp;Fuel'!H74*('Prices&amp;Fuel'!B74+AW74)*'Long Term Deals'!AF74)+('Prices&amp;Fuel'!H74*('Prices&amp;Fuel'!C74+'Long Term Deals'!AW74)*'Long Term Deals'!AG74)+(AH74*('Prices&amp;Fuel'!C74+AW74)*'Prices&amp;Fuel'!H74)+(AW74*AL74*'Prices&amp;Fuel'!H74)</f>
        <v>27645866.94087404</v>
      </c>
      <c r="AZ74" s="6">
        <f>(AP74*'Prices&amp;Fuel'!H74*'Prices&amp;Fuel'!B74)+(AQ74*'Prices&amp;Fuel'!C74*'Prices&amp;Fuel'!H74)+((AM74+AR74)*('Prices&amp;Fuel'!B74+'Long Term Deals'!AX74)*'Prices&amp;Fuel'!H74)+((AN74+AS74)*('Prices&amp;Fuel'!C74+'Long Term Deals'!AX74)*'Prices&amp;Fuel'!H74)+((AO74+AT74)*('Prices&amp;Fuel'!D74+'Long Term Deals'!AX74)*'Prices&amp;Fuel'!H74)+(AV74*'Prices&amp;Fuel'!H74*'Prices&amp;Fuel'!Q74)+AU74</f>
        <v>27068103.444730081</v>
      </c>
      <c r="BA74" s="6">
        <f t="shared" si="101"/>
        <v>577763.49614395946</v>
      </c>
      <c r="BB74" s="6">
        <f>IF('FP Corp'!T74-((BE74+BF74+BG74)*(1-'Prices&amp;Fuel'!F74))&lt;'Prices&amp;Fuel'!R74,('FP Corp'!T74-(BE74+BF74+BG74)*(1-'Prices&amp;Fuel'!F74)),'Prices&amp;Fuel'!R74)/(1-'Prices&amp;Fuel'!F74)</f>
        <v>8976.8637532133671</v>
      </c>
      <c r="BC74" s="14"/>
      <c r="BD74" s="14">
        <f>ROUND(IF('FP Corp'!T74/(1-'Prices&amp;Fuel'!F74)-BE74-BF74-BG74-BB74&gt;'Prices&amp;Fuel'!T74,'Prices&amp;Fuel'!T74,'FP Corp'!T74/(1-'Prices&amp;Fuel'!F74)-BE74-BF74-BG74-BB74),9)</f>
        <v>6556.2982005140002</v>
      </c>
      <c r="BE74" s="14">
        <f>'Prices&amp;Fuel'!U74/(1-'Prices&amp;Fuel'!F74)</f>
        <v>1933.1619537275064</v>
      </c>
      <c r="BF74" s="14">
        <f>('Prices&amp;Fuel'!V74+'Prices&amp;Fuel'!X74)/(1-'Prices&amp;Fuel'!F74)</f>
        <v>3062.2107969151671</v>
      </c>
      <c r="BG74" s="14">
        <f>'Prices&amp;Fuel'!W74/(1-'Prices&amp;Fuel'!F74)</f>
        <v>1065.2956298200513</v>
      </c>
      <c r="BH74" s="25">
        <f>('Prices&amp;Fuel'!C74+'Prices&amp;Fuel'!D74)/2-0.05+('Prices&amp;Fuel'!M74+'Prices&amp;Fuel'!P74)*(1-'Prices&amp;Fuel'!F74)</f>
        <v>4.4715222500000005</v>
      </c>
      <c r="BI74" s="14">
        <f t="shared" si="95"/>
        <v>0</v>
      </c>
      <c r="BJ74" s="14"/>
      <c r="BK74" s="25">
        <f>(((BB74+BE74)*('Prices&amp;Fuel'!B74+0.025))+(('Prices&amp;Fuel'!D74+0.025)*(BD74+BG74))+(('Prices&amp;Fuel'!C74+0.025)*(BC74+BF74))-(BI74+BJ74)*0.025)/(BB74+BC74+BD74+BE74+BF74+BG74)</f>
        <v>3.7746380952380956</v>
      </c>
      <c r="BL74" s="14">
        <f>(BB74+BC74+BD74+BE74+BF74+BG74)*BH74*'Prices&amp;Fuel'!H74</f>
        <v>2993276.0768637341</v>
      </c>
      <c r="BM74" s="14">
        <f>'Prices&amp;Fuel'!X74*('Prices&amp;Fuel'!N74+'Prices&amp;Fuel'!O74)*'Prices&amp;Fuel'!H74</f>
        <v>8908.4139348759727</v>
      </c>
      <c r="BN74" s="14">
        <f>('Prices&amp;Fuel'!U74+'Prices&amp;Fuel'!V74+'Prices&amp;Fuel'!W74)*('Prices&amp;Fuel'!L74+'Prices&amp;Fuel'!O74)*'Prices&amp;Fuel'!H74</f>
        <v>67967.415834024447</v>
      </c>
      <c r="BO74" s="14">
        <f>((BB74+BC74+BD74)*(1-'Prices&amp;Fuel'!G74))*('Prices&amp;Fuel'!M74+'Prices&amp;Fuel'!P74)*'Prices&amp;Fuel'!H74</f>
        <v>360627.04859999678</v>
      </c>
      <c r="BP74" s="14">
        <f>((BD74+BC74+BB74+BE74+BF74+BG74)*BK74*'Prices&amp;Fuel'!H74)+BM74+BN74+BO74</f>
        <v>2964278.6110166954</v>
      </c>
      <c r="BQ74" s="6">
        <f t="shared" si="97"/>
        <v>28997.465847038664</v>
      </c>
      <c r="CA74" s="6">
        <f>(AF74+AG74+AH74+AL74)*0.005*'Prices&amp;Fuel'!H74</f>
        <v>36020.565552699227</v>
      </c>
      <c r="CB74" s="6">
        <f>(B74+C74+D74+O74+P74+Q74+X74+Y74+BB74+BC74+BD74+BE74+BF74+BG74+BR74+BS74)*0.005*'Prices&amp;Fuel'!H74</f>
        <v>7237.5437017994636</v>
      </c>
      <c r="CC74" s="1">
        <f t="shared" si="103"/>
        <v>32530548.497737773</v>
      </c>
      <c r="CD74" s="1">
        <f t="shared" si="104"/>
        <v>31957708.445001274</v>
      </c>
      <c r="CE74" s="1">
        <f t="shared" si="105"/>
        <v>572840.05273649842</v>
      </c>
      <c r="CF74" s="1">
        <f>'Index Price Deals'!AR74</f>
        <v>0</v>
      </c>
      <c r="CG74" s="1">
        <f>'Index Price Deals'!AS74</f>
        <v>0</v>
      </c>
      <c r="CH74" s="1">
        <f>'Index Price Deals'!AT74</f>
        <v>0</v>
      </c>
      <c r="CI74" s="1">
        <f>'Index Price Deals'!AU74</f>
        <v>0</v>
      </c>
      <c r="CJ74" s="1">
        <f t="shared" si="102"/>
        <v>32530548.497737773</v>
      </c>
      <c r="CK74" s="1">
        <f t="shared" si="96"/>
        <v>31957708.445001274</v>
      </c>
      <c r="CL74" s="1">
        <f t="shared" si="96"/>
        <v>572840.05273649842</v>
      </c>
      <c r="CM74" s="30"/>
      <c r="CN74" s="1">
        <f>Transport!U74</f>
        <v>3.1687275622971359E-9</v>
      </c>
      <c r="CO74" s="57"/>
      <c r="CQ74" s="1">
        <f>(((($B74+$C74+$D74+$O74+$P74+$Q74)*0.5)+BR74+BS74)*(0.005*'Prices&amp;Fuel'!$H74)+'Index Price Deals'!AV74)+(((BB74+BC74+BD74+BE74+BF74+BG74)*(1-'Prices&amp;Fuel'!F74))*0.005*0.5*'Prices&amp;Fuel'!H74)</f>
        <v>3572.7499999999895</v>
      </c>
      <c r="CR74" s="1">
        <f>(((($B74+$C74+$D74+$O74+$P74+$Q74)*0.5)+X74+Y74)*(0.005*'Prices&amp;Fuel'!$H74)+CA74+'Index Price Deals'!AW74)+(((BB74+BC74+BD74+BE74+BF74+BG74)*(1-'Prices&amp;Fuel'!F74))*0.005*0.5*'Prices&amp;Fuel'!H74)</f>
        <v>39593.31555269922</v>
      </c>
      <c r="CS74" s="21"/>
      <c r="CT74" s="1">
        <f>[3]Sheet1!$O88</f>
        <v>-96933.582454388787</v>
      </c>
      <c r="CU74" s="1">
        <f>'[4]Long Term Deals'!$Z73</f>
        <v>-43972.901883593106</v>
      </c>
      <c r="CV74" s="60">
        <f t="shared" si="106"/>
        <v>625800.73330729106</v>
      </c>
      <c r="CW74" s="13">
        <f>((B74+C74+D74+O74+P74+Q74+X74+Y74+AF74+AG74+AH74+BB74+BC74+BD74+BE74+BF74+BG74+BR74+BS74)+('Index Price Deals'!B74+'Index Price Deals'!C74+'Index Price Deals'!D74+'Index Price Deals'!L74+'Index Price Deals'!M74+'Index Price Deals'!N74+'Index Price Deals'!AD74+'Index Price Deals'!AE74+'Index Price Deals'!AF74+'Index Price Deals'!AK74+'Index Price Deals'!AL74+'Index Price Deals'!AM74))*'Prices&amp;Fuel'!H74</f>
        <v>8651621.8508997373</v>
      </c>
      <c r="CX74" s="65">
        <f>BQ74/(BB74+BC74+BD74+BE74+BF74+BG74)/'Prices&amp;Fuel'!H74</f>
        <v>4.3318026937396753E-2</v>
      </c>
      <c r="CY74" s="66"/>
      <c r="CZ74" s="28">
        <f>(BA74-CT74+CU74)/(AF74+AG74+AH74)/'Prices&amp;Fuel'!H74</f>
        <v>8.7550565494590255E-2</v>
      </c>
      <c r="DB74" s="3">
        <f>(O74+P74+Q74)*'Prices&amp;Fuel'!$H74</f>
        <v>778100</v>
      </c>
      <c r="DE74" s="3">
        <v>226000</v>
      </c>
    </row>
    <row r="75" spans="1:109" x14ac:dyDescent="0.25">
      <c r="A75" s="10">
        <f t="shared" si="94"/>
        <v>37878.166666666497</v>
      </c>
      <c r="O75" s="1">
        <v>9036</v>
      </c>
      <c r="P75" s="1">
        <v>10794</v>
      </c>
      <c r="Q75" s="1">
        <v>5270</v>
      </c>
      <c r="R75" s="11">
        <f t="shared" si="108"/>
        <v>2.4308000000000001</v>
      </c>
      <c r="S75" s="11">
        <f t="shared" si="109"/>
        <v>2.4188000000000001</v>
      </c>
      <c r="T75" s="1">
        <f>(($O75*R75)+($P75*R75)+($Q75*R75))*'Prices&amp;Fuel'!$H75</f>
        <v>1830392.4000000001</v>
      </c>
      <c r="U75" s="1">
        <f>(($O75*S75)+($P75*S75)+($Q75*S75))*'Prices&amp;Fuel'!$H75</f>
        <v>1821356.4000000001</v>
      </c>
      <c r="V75" s="13">
        <f t="shared" si="99"/>
        <v>9036</v>
      </c>
      <c r="X75" s="1"/>
      <c r="AF75" s="1">
        <f>((126000)/(1-'Prices&amp;Fuel'!F75))+(25000/(1-'Prices&amp;Fuel'!G75))-AI75</f>
        <v>155269.92287917738</v>
      </c>
      <c r="AG75" s="1">
        <v>0</v>
      </c>
      <c r="AH75" s="1">
        <f>(75000/(1-'Prices&amp;Fuel'!G75))-AK75</f>
        <v>77120.822622107968</v>
      </c>
      <c r="AI75" s="1"/>
      <c r="AJ75" s="1"/>
      <c r="AK75" s="1"/>
      <c r="AL75" s="21">
        <f>ROUND((226000/(1-'Prices&amp;Fuel'!F75))-AF75-AG75-AH75,0)</f>
        <v>0</v>
      </c>
      <c r="AM75" s="1">
        <f t="shared" si="51"/>
        <v>37635</v>
      </c>
      <c r="AO75" s="1">
        <f>ROUND((75000/(1-'Prices&amp;Fuel'!G75)-AV75-AK75)/2,0)</f>
        <v>38560</v>
      </c>
      <c r="AP75" s="1">
        <f t="shared" si="100"/>
        <v>80000</v>
      </c>
      <c r="AR75" s="1">
        <f t="shared" si="90"/>
        <v>37634.922879177378</v>
      </c>
      <c r="AT75" s="13">
        <f t="shared" si="107"/>
        <v>38560.822622107968</v>
      </c>
      <c r="AU75" s="13">
        <f>AL75*AX75*'Prices&amp;Fuel'!H75</f>
        <v>0</v>
      </c>
      <c r="AW75" s="20">
        <f t="shared" si="98"/>
        <v>0.08</v>
      </c>
      <c r="AX75" s="20">
        <f t="shared" si="93"/>
        <v>2.5000000000000001E-2</v>
      </c>
      <c r="AY75" s="6">
        <f>('Prices&amp;Fuel'!H75*('Prices&amp;Fuel'!B75+AW75)*'Long Term Deals'!AF75)+('Prices&amp;Fuel'!H75*('Prices&amp;Fuel'!C75+'Long Term Deals'!AW75)*'Long Term Deals'!AG75)+(AH75*('Prices&amp;Fuel'!C75+AW75)*'Prices&amp;Fuel'!H75)+(AW75*AL75*'Prices&amp;Fuel'!H75)</f>
        <v>32175973.264781497</v>
      </c>
      <c r="AZ75" s="6">
        <f>(AP75*'Prices&amp;Fuel'!H75*'Prices&amp;Fuel'!B75)+(AQ75*'Prices&amp;Fuel'!C75*'Prices&amp;Fuel'!H75)+((AM75+AR75)*('Prices&amp;Fuel'!B75+'Long Term Deals'!AX75)*'Prices&amp;Fuel'!H75)+((AN75+AS75)*('Prices&amp;Fuel'!C75+'Long Term Deals'!AX75)*'Prices&amp;Fuel'!H75)+((AO75+AT75)*('Prices&amp;Fuel'!D75+'Long Term Deals'!AX75)*'Prices&amp;Fuel'!H75)+(AV75*'Prices&amp;Fuel'!H75*'Prices&amp;Fuel'!Q75)+AU75</f>
        <v>31616847.300771218</v>
      </c>
      <c r="BA75" s="6">
        <f t="shared" si="101"/>
        <v>559125.96401027963</v>
      </c>
      <c r="BB75" s="6">
        <f>IF('FP Corp'!T75-((BE75+BF75+BG75)*(1-'Prices&amp;Fuel'!F75))&lt;'Prices&amp;Fuel'!R75,('FP Corp'!T75-(BE75+BF75+BG75)*(1-'Prices&amp;Fuel'!F75)),'Prices&amp;Fuel'!R75)/(1-'Prices&amp;Fuel'!F75)</f>
        <v>8976.8637532133671</v>
      </c>
      <c r="BC75" s="14"/>
      <c r="BD75" s="14">
        <f>ROUND(IF('FP Corp'!T75/(1-'Prices&amp;Fuel'!F75)-BE75-BF75-BG75-BB75&gt;'Prices&amp;Fuel'!T75,'Prices&amp;Fuel'!T75,'FP Corp'!T75/(1-'Prices&amp;Fuel'!F75)-BE75-BF75-BG75-BB75),9)</f>
        <v>6556.2982005140002</v>
      </c>
      <c r="BE75" s="14">
        <f>'Prices&amp;Fuel'!U75/(1-'Prices&amp;Fuel'!F75)</f>
        <v>1933.1619537275064</v>
      </c>
      <c r="BF75" s="14">
        <f>('Prices&amp;Fuel'!V75+'Prices&amp;Fuel'!X75)/(1-'Prices&amp;Fuel'!F75)</f>
        <v>3062.2107969151671</v>
      </c>
      <c r="BG75" s="14">
        <f>'Prices&amp;Fuel'!W75/(1-'Prices&amp;Fuel'!F75)</f>
        <v>1065.2956298200513</v>
      </c>
      <c r="BH75" s="25">
        <f>('Prices&amp;Fuel'!C75+'Prices&amp;Fuel'!D75)/2-0.05+('Prices&amp;Fuel'!M75+'Prices&amp;Fuel'!P75)*(1-'Prices&amp;Fuel'!F75)</f>
        <v>5.2492222499999999</v>
      </c>
      <c r="BI75" s="14">
        <f t="shared" si="95"/>
        <v>0</v>
      </c>
      <c r="BJ75" s="14"/>
      <c r="BK75" s="25">
        <f>(((BB75+BE75)*('Prices&amp;Fuel'!B75+0.025))+(('Prices&amp;Fuel'!D75+0.025)*(BD75+BG75))+(('Prices&amp;Fuel'!C75+0.025)*(BC75+BF75))-(BI75+BJ75)*0.025)/(BB75+BC75+BD75+BE75+BF75+BG75)</f>
        <v>4.5523380952380963</v>
      </c>
      <c r="BL75" s="14">
        <f>(BB75+BC75+BD75+BE75+BF75+BG75)*BH75*'Prices&amp;Fuel'!H75</f>
        <v>3400524.4395886664</v>
      </c>
      <c r="BM75" s="14">
        <f>'Prices&amp;Fuel'!X75*('Prices&amp;Fuel'!N75+'Prices&amp;Fuel'!O75)*'Prices&amp;Fuel'!H75</f>
        <v>8621.0457434283617</v>
      </c>
      <c r="BN75" s="14">
        <f>('Prices&amp;Fuel'!U75+'Prices&amp;Fuel'!V75+'Prices&amp;Fuel'!W75)*('Prices&amp;Fuel'!L75+'Prices&amp;Fuel'!O75)*'Prices&amp;Fuel'!H75</f>
        <v>65774.918549055918</v>
      </c>
      <c r="BO75" s="14">
        <f>((BB75+BC75+BD75)*(1-'Prices&amp;Fuel'!G75))*('Prices&amp;Fuel'!M75+'Prices&amp;Fuel'!P75)*'Prices&amp;Fuel'!H75</f>
        <v>348993.91799999692</v>
      </c>
      <c r="BP75" s="14">
        <f>((BD75+BC75+BB75+BE75+BF75+BG75)*BK75*'Prices&amp;Fuel'!H75)+BM75+BN75+BO75</f>
        <v>3372462.3758657267</v>
      </c>
      <c r="BQ75" s="6">
        <f t="shared" si="97"/>
        <v>28062.063722939696</v>
      </c>
      <c r="CA75" s="6">
        <f>(AF75+AG75+AH75+AL75)*0.005*'Prices&amp;Fuel'!H75</f>
        <v>34858.611825192798</v>
      </c>
      <c r="CB75" s="6">
        <f>(B75+C75+D75+O75+P75+Q75+X75+Y75+BB75+BC75+BD75+BE75+BF75+BG75+BR75+BS75)*0.005*'Prices&amp;Fuel'!H75</f>
        <v>7004.0745501285137</v>
      </c>
      <c r="CC75" s="1">
        <f t="shared" si="103"/>
        <v>37406890.104370162</v>
      </c>
      <c r="CD75" s="1">
        <f t="shared" si="104"/>
        <v>36852528.76301226</v>
      </c>
      <c r="CE75" s="1">
        <f t="shared" si="105"/>
        <v>554361.34135790169</v>
      </c>
      <c r="CF75" s="1">
        <f>'Index Price Deals'!AR75</f>
        <v>0</v>
      </c>
      <c r="CG75" s="1">
        <f>'Index Price Deals'!AS75</f>
        <v>0</v>
      </c>
      <c r="CH75" s="1">
        <f>'Index Price Deals'!AT75</f>
        <v>0</v>
      </c>
      <c r="CI75" s="1">
        <f>'Index Price Deals'!AU75</f>
        <v>0</v>
      </c>
      <c r="CJ75" s="1">
        <f t="shared" si="102"/>
        <v>37406890.104370162</v>
      </c>
      <c r="CK75" s="1">
        <f t="shared" si="96"/>
        <v>36852528.76301226</v>
      </c>
      <c r="CL75" s="1">
        <f t="shared" si="96"/>
        <v>554361.34135790169</v>
      </c>
      <c r="CM75" s="30"/>
      <c r="CN75" s="1">
        <f>Transport!U75</f>
        <v>3.0665105441585185E-9</v>
      </c>
      <c r="CO75" s="57"/>
      <c r="CQ75" s="1">
        <f>(((($B75+$C75+$D75+$O75+$P75+$Q75)*0.5)+BR75+BS75)*(0.005*'Prices&amp;Fuel'!$H75)+'Index Price Deals'!AV75)+(((BB75+BC75+BD75+BE75+BF75+BG75)*(1-'Prices&amp;Fuel'!F75))*0.005*0.5*'Prices&amp;Fuel'!H75)</f>
        <v>3457.49999999999</v>
      </c>
      <c r="CR75" s="1">
        <f>(((($B75+$C75+$D75+$O75+$P75+$Q75)*0.5)+X75+Y75)*(0.005*'Prices&amp;Fuel'!$H75)+CA75+'Index Price Deals'!AW75)+(((BB75+BC75+BD75+BE75+BF75+BG75)*(1-'Prices&amp;Fuel'!F75))*0.005*0.5*'Prices&amp;Fuel'!H75)</f>
        <v>38316.111825192791</v>
      </c>
      <c r="CS75" s="21"/>
      <c r="CT75" s="1">
        <f>[3]Sheet1!$O89</f>
        <v>-93806.692697795632</v>
      </c>
      <c r="CU75" s="1">
        <f>'[4]Long Term Deals'!$Z74</f>
        <v>-42554.421177670738</v>
      </c>
      <c r="CV75" s="60">
        <f t="shared" si="106"/>
        <v>605613.61287802353</v>
      </c>
      <c r="CW75" s="13">
        <f>((B75+C75+D75+O75+P75+Q75+X75+Y75+AF75+AG75+AH75+BB75+BC75+BD75+BE75+BF75+BG75+BR75+BS75)+('Index Price Deals'!B75+'Index Price Deals'!C75+'Index Price Deals'!D75+'Index Price Deals'!L75+'Index Price Deals'!M75+'Index Price Deals'!N75+'Index Price Deals'!AD75+'Index Price Deals'!AE75+'Index Price Deals'!AF75+'Index Price Deals'!AK75+'Index Price Deals'!AL75+'Index Price Deals'!AM75))*'Prices&amp;Fuel'!H75</f>
        <v>8372537.2750642626</v>
      </c>
      <c r="CX75" s="65">
        <f>BQ75/(BB75+BC75+BD75+BE75+BF75+BG75)/'Prices&amp;Fuel'!H75</f>
        <v>4.3318026937395289E-2</v>
      </c>
      <c r="CY75" s="66"/>
      <c r="CZ75" s="28">
        <f>(BA75-CT75+CU75)/(AF75+AG75+AH75)/'Prices&amp;Fuel'!H75</f>
        <v>8.7550565494589713E-2</v>
      </c>
      <c r="DB75" s="3">
        <f>(O75+P75+Q75)*'Prices&amp;Fuel'!$H75</f>
        <v>753000</v>
      </c>
      <c r="DE75" s="3">
        <v>226000</v>
      </c>
    </row>
    <row r="76" spans="1:109" x14ac:dyDescent="0.25">
      <c r="A76" s="10">
        <f t="shared" si="94"/>
        <v>37908.583333333161</v>
      </c>
      <c r="O76" s="1">
        <v>9036</v>
      </c>
      <c r="P76" s="1">
        <v>10794</v>
      </c>
      <c r="Q76" s="1">
        <v>5270</v>
      </c>
      <c r="R76" s="11">
        <f t="shared" si="108"/>
        <v>2.4308000000000001</v>
      </c>
      <c r="S76" s="11">
        <f t="shared" si="109"/>
        <v>2.4188000000000001</v>
      </c>
      <c r="T76" s="1">
        <f>(($O76*R76)+($P76*R76)+($Q76*R76))*'Prices&amp;Fuel'!$H76</f>
        <v>1891405.48</v>
      </c>
      <c r="U76" s="1">
        <f>(($O76*S76)+($P76*S76)+($Q76*S76))*'Prices&amp;Fuel'!$H76</f>
        <v>1882068.2800000003</v>
      </c>
      <c r="V76" s="13">
        <f t="shared" si="99"/>
        <v>9337.1999999997206</v>
      </c>
      <c r="X76" s="1"/>
      <c r="AF76" s="1">
        <f>(32000/(1-'Prices&amp;Fuel'!F76))+(25000/(1-'Prices&amp;Fuel'!G76))-AI76</f>
        <v>58611.825192802062</v>
      </c>
      <c r="AG76" s="1">
        <v>0</v>
      </c>
      <c r="AH76" s="1">
        <f>(75000/(1-'Prices&amp;Fuel'!G76))-AK76</f>
        <v>77120.822622107968</v>
      </c>
      <c r="AI76" s="1"/>
      <c r="AJ76" s="1"/>
      <c r="AK76" s="1"/>
      <c r="AL76" s="21">
        <f>ROUND((132000/(1-'Prices&amp;Fuel'!F76))-AF76-AG76-AH76,0)</f>
        <v>0</v>
      </c>
      <c r="AM76" s="1">
        <f t="shared" si="51"/>
        <v>0</v>
      </c>
      <c r="AO76" s="1">
        <f>ROUND((75000/(1-'Prices&amp;Fuel'!G76)-AV76-AK76)/2,0)</f>
        <v>38560</v>
      </c>
      <c r="AP76" s="1">
        <f t="shared" ref="AP76:AP82" si="110">IF(80000&gt;AF76,AF76,80000)</f>
        <v>58611.825192802062</v>
      </c>
      <c r="AR76" s="1">
        <f t="shared" si="90"/>
        <v>0</v>
      </c>
      <c r="AT76" s="13">
        <f t="shared" si="107"/>
        <v>38560.822622107968</v>
      </c>
      <c r="AU76" s="13">
        <f>AL76*AX76*'Prices&amp;Fuel'!H76</f>
        <v>0</v>
      </c>
      <c r="AW76" s="20">
        <f t="shared" si="98"/>
        <v>0.08</v>
      </c>
      <c r="AX76" s="20">
        <f t="shared" si="93"/>
        <v>2.5000000000000001E-2</v>
      </c>
      <c r="AY76" s="6">
        <f>('Prices&amp;Fuel'!H76*('Prices&amp;Fuel'!B76+AW76)*'Long Term Deals'!AF76)+('Prices&amp;Fuel'!H76*('Prices&amp;Fuel'!C76+'Long Term Deals'!AW76)*'Long Term Deals'!AG76)+(AH76*('Prices&amp;Fuel'!C76+AW76)*'Prices&amp;Fuel'!H76)+(AW76*AL76*'Prices&amp;Fuel'!H76)</f>
        <v>22369000.719794348</v>
      </c>
      <c r="AZ76" s="6">
        <f>(AP76*'Prices&amp;Fuel'!H76*'Prices&amp;Fuel'!B76)+(AQ76*'Prices&amp;Fuel'!C76*'Prices&amp;Fuel'!H76)+((AM76+AR76)*('Prices&amp;Fuel'!B76+'Long Term Deals'!AX76)*'Prices&amp;Fuel'!H76)+((AN76+AS76)*('Prices&amp;Fuel'!C76+'Long Term Deals'!AX76)*'Prices&amp;Fuel'!H76)+((AO76+AT76)*('Prices&amp;Fuel'!D76+'Long Term Deals'!AX76)*'Prices&amp;Fuel'!H76)+(AV76*'Prices&amp;Fuel'!H76*'Prices&amp;Fuel'!Q76)+AU76</f>
        <v>21972615.115681238</v>
      </c>
      <c r="BA76" s="6">
        <f t="shared" si="101"/>
        <v>396385.60411310941</v>
      </c>
      <c r="BB76" s="6">
        <f>IF('FP Corp'!T76-((BE76+BF76+BG76)*(1-'Prices&amp;Fuel'!F76))&lt;'Prices&amp;Fuel'!R76,('FP Corp'!T76-(BE76+BF76+BG76)*(1-'Prices&amp;Fuel'!F76)),'Prices&amp;Fuel'!R76)/(1-'Prices&amp;Fuel'!F76)</f>
        <v>8976.8637532133671</v>
      </c>
      <c r="BC76" s="14"/>
      <c r="BD76" s="14">
        <f>ROUND(IF('FP Corp'!T76/(1-'Prices&amp;Fuel'!F76)-BE76-BF76-BG76-BB76&gt;'Prices&amp;Fuel'!T76,'Prices&amp;Fuel'!T76,'FP Corp'!T76/(1-'Prices&amp;Fuel'!F76)-BE76-BF76-BG76-BB76),9)</f>
        <v>3514.6529562979999</v>
      </c>
      <c r="BE76" s="14">
        <f>'Prices&amp;Fuel'!U76/(1-'Prices&amp;Fuel'!F76)</f>
        <v>2910.025706940874</v>
      </c>
      <c r="BF76" s="14">
        <f>('Prices&amp;Fuel'!V76+'Prices&amp;Fuel'!X76)/(1-'Prices&amp;Fuel'!F76)</f>
        <v>4628.2776349614396</v>
      </c>
      <c r="BG76" s="14">
        <f>'Prices&amp;Fuel'!W76/(1-'Prices&amp;Fuel'!F76)</f>
        <v>1564.0102827763496</v>
      </c>
      <c r="BH76" s="25">
        <f>('Prices&amp;Fuel'!C76+'Prices&amp;Fuel'!D76)/2-0.05+('Prices&amp;Fuel'!M76+'Prices&amp;Fuel'!P76)*(1-'Prices&amp;Fuel'!F76)</f>
        <v>5.9360222499999997</v>
      </c>
      <c r="BI76" s="14">
        <f t="shared" si="95"/>
        <v>8976.8637532133671</v>
      </c>
      <c r="BJ76" s="14"/>
      <c r="BK76" s="25">
        <f>(((BB76+BE76)*('Prices&amp;Fuel'!B76+0.025))+(('Prices&amp;Fuel'!D76+0.025)*(BD76+BG76))+(('Prices&amp;Fuel'!C76+0.025)*(BC76+BF76))-(BI76+BJ76)*0.025)/(BB76+BC76+BD76+BE76+BF76+BG76)</f>
        <v>5.2319190476190478</v>
      </c>
      <c r="BL76" s="14">
        <f>(BB76+BC76+BD76+BE76+BF76+BG76)*BH76*'Prices&amp;Fuel'!H76</f>
        <v>3973625.1771207857</v>
      </c>
      <c r="BM76" s="14">
        <f>'Prices&amp;Fuel'!X76*('Prices&amp;Fuel'!N76+'Prices&amp;Fuel'!O76)*'Prices&amp;Fuel'!H76</f>
        <v>13056.108856238432</v>
      </c>
      <c r="BN76" s="14">
        <f>('Prices&amp;Fuel'!U76+'Prices&amp;Fuel'!V76+'Prices&amp;Fuel'!W76)*('Prices&amp;Fuel'!L76+'Prices&amp;Fuel'!O76)*'Prices&amp;Fuel'!H76</f>
        <v>102401.10952080712</v>
      </c>
      <c r="BO76" s="14">
        <f>((BB76+BC76+BD76)*(1-'Prices&amp;Fuel'!G76))*('Prices&amp;Fuel'!M76+'Prices&amp;Fuel'!P76)*'Prices&amp;Fuel'!H76</f>
        <v>290010.41879999527</v>
      </c>
      <c r="BP76" s="14">
        <f>((BD76+BC76+BB76+BE76+BF76+BG76)*BK76*'Prices&amp;Fuel'!H76)+BM76+BN76+BO76</f>
        <v>3907759.9765086281</v>
      </c>
      <c r="BQ76" s="6">
        <f t="shared" si="97"/>
        <v>65865.200612157583</v>
      </c>
      <c r="CA76" s="6">
        <f>(AF76+AG76+AH76+AL76)*0.005*'Prices&amp;Fuel'!H76</f>
        <v>21038.560411311057</v>
      </c>
      <c r="CB76" s="6">
        <f>(B76+C76+D76+O76+P76+Q76+X76+Y76+BB76+BC76+BD76+BE76+BF76+BG76+BR76+BS76)*0.005*'Prices&amp;Fuel'!H76</f>
        <v>7237.5437017994554</v>
      </c>
      <c r="CC76" s="1">
        <f t="shared" si="103"/>
        <v>28234031.376915134</v>
      </c>
      <c r="CD76" s="1">
        <f t="shared" si="104"/>
        <v>27790719.476302978</v>
      </c>
      <c r="CE76" s="1">
        <f t="shared" si="105"/>
        <v>443311.90061215684</v>
      </c>
      <c r="CF76" s="1">
        <f>'Index Price Deals'!AR76</f>
        <v>0</v>
      </c>
      <c r="CG76" s="1">
        <f>'Index Price Deals'!AS76</f>
        <v>0</v>
      </c>
      <c r="CH76" s="1">
        <f>'Index Price Deals'!AT76</f>
        <v>0</v>
      </c>
      <c r="CI76" s="1">
        <f>'Index Price Deals'!AU76</f>
        <v>0</v>
      </c>
      <c r="CJ76" s="1">
        <f t="shared" si="102"/>
        <v>28234031.376915134</v>
      </c>
      <c r="CK76" s="1">
        <f t="shared" si="96"/>
        <v>27790719.476302978</v>
      </c>
      <c r="CL76" s="1">
        <f t="shared" si="96"/>
        <v>443311.90061215684</v>
      </c>
      <c r="CM76" s="30"/>
      <c r="CN76" s="1">
        <f>Transport!U76</f>
        <v>4.4195410737302155E-9</v>
      </c>
      <c r="CO76" s="57"/>
      <c r="CQ76" s="1">
        <f>(((($B76+$C76+$D76+$O76+$P76+$Q76)*0.5)+BR76+BS76)*(0.005*'Prices&amp;Fuel'!$H76)+'Index Price Deals'!AV76)+(((BB76+BC76+BD76+BE76+BF76+BG76)*(1-'Prices&amp;Fuel'!F76))*0.005*0.5*'Prices&amp;Fuel'!H76)</f>
        <v>3572.749999999985</v>
      </c>
      <c r="CR76" s="1">
        <f>(((($B76+$C76+$D76+$O76+$P76+$Q76)*0.5)+X76+Y76)*(0.005*'Prices&amp;Fuel'!$H76)+CA76+'Index Price Deals'!AW76)+(((BB76+BC76+BD76+BE76+BF76+BG76)*(1-'Prices&amp;Fuel'!F76))*0.005*0.5*'Prices&amp;Fuel'!H76)</f>
        <v>24611.310411311042</v>
      </c>
      <c r="CS76" s="21"/>
      <c r="CT76" s="1">
        <f>[3]Sheet1!$O90</f>
        <v>-56616.074707873078</v>
      </c>
      <c r="CU76" s="1">
        <f>'[4]Long Term Deals'!$Z75</f>
        <v>-34895.062969705476</v>
      </c>
      <c r="CV76" s="60">
        <f t="shared" si="106"/>
        <v>465032.91235031997</v>
      </c>
      <c r="CW76" s="13">
        <f>((B76+C76+D76+O76+P76+Q76+X76+Y76+AF76+AG76+AH76+BB76+BC76+BD76+BE76+BF76+BG76+BR76+BS76)+('Index Price Deals'!B76+'Index Price Deals'!C76+'Index Price Deals'!D76+'Index Price Deals'!L76+'Index Price Deals'!M76+'Index Price Deals'!N76+'Index Price Deals'!AD76+'Index Price Deals'!AE76+'Index Price Deals'!AF76+'Index Price Deals'!AK76+'Index Price Deals'!AL76+'Index Price Deals'!AM76))*'Prices&amp;Fuel'!H76</f>
        <v>5655220.8226221027</v>
      </c>
      <c r="CX76" s="65">
        <f>BQ76/(BB76+BC76+BD76+BE76+BF76+BG76)/'Prices&amp;Fuel'!H76</f>
        <v>9.8393099224767799E-2</v>
      </c>
      <c r="CY76" s="66"/>
      <c r="CZ76" s="28">
        <f>(BA76-CT76+CU76)/(AF76+AG76+AH76)/'Prices&amp;Fuel'!H76</f>
        <v>9.9366736049698631E-2</v>
      </c>
      <c r="DB76" s="3">
        <f>(O76+P76+Q76)*'Prices&amp;Fuel'!$H76</f>
        <v>778100</v>
      </c>
      <c r="DE76" s="3">
        <v>132000</v>
      </c>
    </row>
    <row r="77" spans="1:109" x14ac:dyDescent="0.25">
      <c r="A77" s="10">
        <f t="shared" si="94"/>
        <v>37938.999999999825</v>
      </c>
      <c r="O77" s="1">
        <v>9036</v>
      </c>
      <c r="P77" s="1">
        <v>10794</v>
      </c>
      <c r="Q77" s="1">
        <v>5270</v>
      </c>
      <c r="R77" s="11">
        <f t="shared" si="108"/>
        <v>2.4308000000000001</v>
      </c>
      <c r="S77" s="11">
        <f t="shared" si="109"/>
        <v>2.4188000000000001</v>
      </c>
      <c r="T77" s="1">
        <f>(($O77*R77)+($P77*R77)+($Q77*R77))*'Prices&amp;Fuel'!$H77</f>
        <v>1830392.4000000001</v>
      </c>
      <c r="U77" s="1">
        <f>(($O77*S77)+($P77*S77)+($Q77*S77))*'Prices&amp;Fuel'!$H77</f>
        <v>1821356.4000000001</v>
      </c>
      <c r="V77" s="13">
        <f t="shared" si="99"/>
        <v>9036</v>
      </c>
      <c r="X77" s="1"/>
      <c r="AF77" s="1">
        <f>(32000/(1-'Prices&amp;Fuel'!F77))+(25000/(1-'Prices&amp;Fuel'!G77))-AI77</f>
        <v>58611.825192802062</v>
      </c>
      <c r="AG77" s="1">
        <v>0</v>
      </c>
      <c r="AH77" s="1">
        <f>(75000/(1-'Prices&amp;Fuel'!G77))-AK77</f>
        <v>77120.822622107968</v>
      </c>
      <c r="AI77" s="1"/>
      <c r="AJ77" s="1"/>
      <c r="AK77" s="1"/>
      <c r="AL77" s="21">
        <f>ROUND((132000/(1-'Prices&amp;Fuel'!F77))-AF77-AG77-AH77,0)</f>
        <v>0</v>
      </c>
      <c r="AM77" s="1">
        <f t="shared" si="51"/>
        <v>0</v>
      </c>
      <c r="AO77" s="1">
        <f>ROUND((75000/(1-'Prices&amp;Fuel'!G77)-AV77-AK77)/2,0)</f>
        <v>38560</v>
      </c>
      <c r="AP77" s="1">
        <f t="shared" si="110"/>
        <v>58611.825192802062</v>
      </c>
      <c r="AR77" s="1">
        <f t="shared" ref="AR77:AR92" si="111">IF(AP77&gt;AF77,0,AF77-AM77-AP77)</f>
        <v>0</v>
      </c>
      <c r="AT77" s="13">
        <f t="shared" si="107"/>
        <v>38560.822622107968</v>
      </c>
      <c r="AU77" s="13">
        <f>AL77*AX77*'Prices&amp;Fuel'!H77</f>
        <v>0</v>
      </c>
      <c r="AW77" s="20">
        <f t="shared" si="98"/>
        <v>0.08</v>
      </c>
      <c r="AX77" s="20">
        <f t="shared" si="93"/>
        <v>2.5000000000000001E-2</v>
      </c>
      <c r="AY77" s="6">
        <f>('Prices&amp;Fuel'!H77*('Prices&amp;Fuel'!B77+AW77)*'Long Term Deals'!AF77)+('Prices&amp;Fuel'!H77*('Prices&amp;Fuel'!C77+'Long Term Deals'!AW77)*'Long Term Deals'!AG77)+(AH77*('Prices&amp;Fuel'!C77+AW77)*'Prices&amp;Fuel'!H77)+(AW77*AL77*'Prices&amp;Fuel'!H77)</f>
        <v>14532450.385604115</v>
      </c>
      <c r="AZ77" s="6">
        <f>(AP77*'Prices&amp;Fuel'!H77*'Prices&amp;Fuel'!B77)+(AQ77*'Prices&amp;Fuel'!C77*'Prices&amp;Fuel'!H77)+((AM77+AR77)*('Prices&amp;Fuel'!B77+'Long Term Deals'!AX77)*'Prices&amp;Fuel'!H77)+((AN77+AS77)*('Prices&amp;Fuel'!C77+'Long Term Deals'!AX77)*'Prices&amp;Fuel'!H77)+((AO77+AT77)*('Prices&amp;Fuel'!D77+'Long Term Deals'!AX77)*'Prices&amp;Fuel'!H77)+(AV77*'Prices&amp;Fuel'!H77*'Prices&amp;Fuel'!Q77)+AU77</f>
        <v>14148851.413881751</v>
      </c>
      <c r="BA77" s="6">
        <f t="shared" si="101"/>
        <v>383598.97172236443</v>
      </c>
      <c r="BB77" s="6">
        <f>IF('FP Corp'!T77-((BE77+BF77+BG77)*(1-'Prices&amp;Fuel'!F77))&lt;'Prices&amp;Fuel'!R77,('FP Corp'!T77-(BE77+BF77+BG77)*(1-'Prices&amp;Fuel'!F77)),'Prices&amp;Fuel'!R77)/(1-'Prices&amp;Fuel'!F77)</f>
        <v>4325.9640102827761</v>
      </c>
      <c r="BC77" s="14"/>
      <c r="BD77" s="14">
        <f>ROUND(IF('FP Corp'!T77/(1-'Prices&amp;Fuel'!F77)-BE77-BF77-BG77-BB77&gt;'Prices&amp;Fuel'!T77,'Prices&amp;Fuel'!T77,'FP Corp'!T77/(1-'Prices&amp;Fuel'!F77)-BE77-BF77-BG77-BB77),9)</f>
        <v>0</v>
      </c>
      <c r="BE77" s="14">
        <f>'Prices&amp;Fuel'!U77/(1-'Prices&amp;Fuel'!F77)</f>
        <v>2635.4755784061695</v>
      </c>
      <c r="BF77" s="14">
        <f>('Prices&amp;Fuel'!V77+'Prices&amp;Fuel'!X77)/(1-'Prices&amp;Fuel'!F77)</f>
        <v>3645.2442159383031</v>
      </c>
      <c r="BG77" s="14">
        <f>'Prices&amp;Fuel'!W77/(1-'Prices&amp;Fuel'!F77)</f>
        <v>1732.6478149100255</v>
      </c>
      <c r="BH77" s="25">
        <f>('Prices&amp;Fuel'!C77+'Prices&amp;Fuel'!D77)/2-0.05+('Prices&amp;Fuel'!M77+'Prices&amp;Fuel'!P77)*(1-'Prices&amp;Fuel'!F77)</f>
        <v>4.1887222500000005</v>
      </c>
      <c r="BI77" s="14">
        <f t="shared" si="95"/>
        <v>4325.9640102827761</v>
      </c>
      <c r="BJ77" s="14"/>
      <c r="BK77" s="25">
        <f>(((BB77+BE77)*('Prices&amp;Fuel'!B77+0.025))+(('Prices&amp;Fuel'!D77+0.025)*(BD77+BG77))+(('Prices&amp;Fuel'!C77+0.025)*(BC77+BF77))-(BI77+BJ77)*0.025)/(BB77+BC77+BD77+BE77+BF77+BG77)</f>
        <v>3.4901645833333337</v>
      </c>
      <c r="BL77" s="14">
        <f>(BB77+BC77+BD77+BE77+BF77+BG77)*BH77*'Prices&amp;Fuel'!H77</f>
        <v>1550580.9871465296</v>
      </c>
      <c r="BM77" s="14">
        <f>'Prices&amp;Fuel'!X77*('Prices&amp;Fuel'!N77+'Prices&amp;Fuel'!O77)*'Prices&amp;Fuel'!H77</f>
        <v>8621.0457434283617</v>
      </c>
      <c r="BN77" s="14">
        <f>('Prices&amp;Fuel'!U77+'Prices&amp;Fuel'!V77+'Prices&amp;Fuel'!W77)*('Prices&amp;Fuel'!L77+'Prices&amp;Fuel'!O77)*'Prices&amp;Fuel'!H77</f>
        <v>89744.707519437245</v>
      </c>
      <c r="BO77" s="14">
        <f>((BB77+BC77+BD77)*(1-'Prices&amp;Fuel'!G77))*('Prices&amp;Fuel'!M77+'Prices&amp;Fuel'!P77)*'Prices&amp;Fuel'!H77</f>
        <v>97194.320999999996</v>
      </c>
      <c r="BP77" s="14">
        <f>((BD77+BC77+BB77+BE77+BF77+BG77)*BK77*'Prices&amp;Fuel'!H77)+BM77+BN77+BO77</f>
        <v>1487549.0202782897</v>
      </c>
      <c r="BQ77" s="6">
        <f t="shared" si="97"/>
        <v>63031.966868239921</v>
      </c>
      <c r="CA77" s="6">
        <f>(AF77+AG77+AH77+AL77)*0.005*'Prices&amp;Fuel'!H77</f>
        <v>20359.897172236506</v>
      </c>
      <c r="CB77" s="6">
        <f>(B77+C77+D77+O77+P77+Q77+X77+Y77+BB77+BC77+BD77+BE77+BF77+BG77+BR77+BS77)*0.005*'Prices&amp;Fuel'!H77</f>
        <v>5615.8997429305909</v>
      </c>
      <c r="CC77" s="1">
        <f t="shared" si="103"/>
        <v>17913423.772750646</v>
      </c>
      <c r="CD77" s="1">
        <f t="shared" si="104"/>
        <v>17483732.631075207</v>
      </c>
      <c r="CE77" s="1">
        <f t="shared" si="105"/>
        <v>429691.14167543873</v>
      </c>
      <c r="CF77" s="1">
        <f>'Index Price Deals'!AR77</f>
        <v>0</v>
      </c>
      <c r="CG77" s="1">
        <f>'Index Price Deals'!AS77</f>
        <v>0</v>
      </c>
      <c r="CH77" s="1">
        <f>'Index Price Deals'!AT77</f>
        <v>0</v>
      </c>
      <c r="CI77" s="1">
        <f>'Index Price Deals'!AU77</f>
        <v>0</v>
      </c>
      <c r="CJ77" s="1">
        <f t="shared" si="102"/>
        <v>17913423.772750646</v>
      </c>
      <c r="CK77" s="1">
        <f t="shared" si="96"/>
        <v>17483732.631075207</v>
      </c>
      <c r="CL77" s="1">
        <f t="shared" si="96"/>
        <v>429691.14167543873</v>
      </c>
      <c r="CM77" s="30"/>
      <c r="CN77" s="1">
        <f>Transport!U77</f>
        <v>0</v>
      </c>
      <c r="CO77" s="57"/>
      <c r="CQ77" s="1">
        <f>(((($B77+$C77+$D77+$O77+$P77+$Q77)*0.5)+BR77+BS77)*(0.005*'Prices&amp;Fuel'!$H77)+'Index Price Deals'!AV77)+(((BB77+BC77+BD77+BE77+BF77+BG77)*(1-'Prices&amp;Fuel'!F77))*0.005*0.5*'Prices&amp;Fuel'!H77)</f>
        <v>2782.5</v>
      </c>
      <c r="CR77" s="1">
        <f>(((($B77+$C77+$D77+$O77+$P77+$Q77)*0.5)+X77+Y77)*(0.005*'Prices&amp;Fuel'!$H77)+CA77+'Index Price Deals'!AW77)+(((BB77+BC77+BD77+BE77+BF77+BG77)*(1-'Prices&amp;Fuel'!F77))*0.005*0.5*'Prices&amp;Fuel'!H77)</f>
        <v>23142.397172236506</v>
      </c>
      <c r="CS77" s="21"/>
      <c r="CT77" s="1">
        <f>[3]Sheet1!$O91</f>
        <v>-54789.749717296538</v>
      </c>
      <c r="CU77" s="1">
        <f>'[4]Long Term Deals'!$Z76</f>
        <v>-33769.415777134331</v>
      </c>
      <c r="CV77" s="60">
        <f t="shared" si="106"/>
        <v>450711.47561560094</v>
      </c>
      <c r="CW77" s="13">
        <f>((B77+C77+D77+O77+P77+Q77+X77+Y77+AF77+AG77+AH77+BB77+BC77+BD77+BE77+BF77+BG77+BR77+BS77)+('Index Price Deals'!B77+'Index Price Deals'!C77+'Index Price Deals'!D77+'Index Price Deals'!L77+'Index Price Deals'!M77+'Index Price Deals'!N77+'Index Price Deals'!AD77+'Index Price Deals'!AE77+'Index Price Deals'!AF77+'Index Price Deals'!AK77+'Index Price Deals'!AL77+'Index Price Deals'!AM77))*'Prices&amp;Fuel'!H77</f>
        <v>5195159.3830334181</v>
      </c>
      <c r="CX77" s="65">
        <f>BQ77/(BB77+BC77+BD77+BE77+BF77+BG77)/'Prices&amp;Fuel'!H77</f>
        <v>0.17027385494267594</v>
      </c>
      <c r="CY77" s="66"/>
      <c r="CZ77" s="28">
        <f>(BA77-CT77+CU77)/(AF77+AG77+AH77)/'Prices&amp;Fuel'!H77</f>
        <v>9.936673604969877E-2</v>
      </c>
      <c r="DB77" s="3">
        <f>(O77+P77+Q77)*'Prices&amp;Fuel'!$H77</f>
        <v>753000</v>
      </c>
      <c r="DE77" s="3">
        <v>132000</v>
      </c>
    </row>
    <row r="78" spans="1:109" x14ac:dyDescent="0.25">
      <c r="A78" s="10">
        <f t="shared" si="94"/>
        <v>37969.41666666649</v>
      </c>
      <c r="O78" s="1">
        <v>9036</v>
      </c>
      <c r="P78" s="1">
        <v>10794</v>
      </c>
      <c r="Q78" s="1">
        <v>5270</v>
      </c>
      <c r="R78" s="11">
        <f t="shared" si="108"/>
        <v>2.4308000000000001</v>
      </c>
      <c r="S78" s="11">
        <f t="shared" si="109"/>
        <v>2.4188000000000001</v>
      </c>
      <c r="T78" s="1">
        <f>(($O78*R78)+($P78*R78)+($Q78*R78))*'Prices&amp;Fuel'!$H78</f>
        <v>1891405.48</v>
      </c>
      <c r="U78" s="1">
        <f>(($O78*S78)+($P78*S78)+($Q78*S78))*'Prices&amp;Fuel'!$H78</f>
        <v>1882068.2800000003</v>
      </c>
      <c r="V78" s="13">
        <f t="shared" si="99"/>
        <v>9337.1999999997206</v>
      </c>
      <c r="X78" s="1"/>
      <c r="AF78" s="1">
        <f>(32000/(1-'Prices&amp;Fuel'!F78))+(25000/(1-'Prices&amp;Fuel'!G78))-AI78</f>
        <v>58611.825192802062</v>
      </c>
      <c r="AG78" s="1">
        <v>0</v>
      </c>
      <c r="AH78" s="1">
        <f>(75000/(1-'Prices&amp;Fuel'!G78))-AK78</f>
        <v>77120.822622107968</v>
      </c>
      <c r="AI78" s="1"/>
      <c r="AJ78" s="1"/>
      <c r="AK78" s="1"/>
      <c r="AL78" s="21">
        <f>ROUND((132000/(1-'Prices&amp;Fuel'!F78))-AF78-AG78-AH78,0)</f>
        <v>0</v>
      </c>
      <c r="AM78" s="1">
        <f t="shared" si="51"/>
        <v>0</v>
      </c>
      <c r="AO78" s="1">
        <f>ROUND((75000/(1-'Prices&amp;Fuel'!G78)-AV78-AK78)/2,0)</f>
        <v>38560</v>
      </c>
      <c r="AP78" s="1">
        <f t="shared" si="110"/>
        <v>58611.825192802062</v>
      </c>
      <c r="AR78" s="1">
        <f t="shared" si="111"/>
        <v>0</v>
      </c>
      <c r="AT78" s="13">
        <f t="shared" si="107"/>
        <v>38560.822622107968</v>
      </c>
      <c r="AU78" s="13">
        <f>AL78*AX78*'Prices&amp;Fuel'!H78</f>
        <v>0</v>
      </c>
      <c r="AW78" s="20">
        <f t="shared" si="98"/>
        <v>0.08</v>
      </c>
      <c r="AX78" s="20">
        <f t="shared" si="93"/>
        <v>2.5000000000000001E-2</v>
      </c>
      <c r="AY78" s="6">
        <f>('Prices&amp;Fuel'!H78*('Prices&amp;Fuel'!B78+AW78)*'Long Term Deals'!AF78)+('Prices&amp;Fuel'!H78*('Prices&amp;Fuel'!C78+'Long Term Deals'!AW78)*'Long Term Deals'!AG78)+(AH78*('Prices&amp;Fuel'!C78+AW78)*'Prices&amp;Fuel'!H78)+(AW78*AL78*'Prices&amp;Fuel'!H78)</f>
        <v>11277050.899742935</v>
      </c>
      <c r="AZ78" s="6">
        <f>(AP78*'Prices&amp;Fuel'!H78*'Prices&amp;Fuel'!B78)+(AQ78*'Prices&amp;Fuel'!C78*'Prices&amp;Fuel'!H78)+((AM78+AR78)*('Prices&amp;Fuel'!B78+'Long Term Deals'!AX78)*'Prices&amp;Fuel'!H78)+((AN78+AS78)*('Prices&amp;Fuel'!C78+'Long Term Deals'!AX78)*'Prices&amp;Fuel'!H78)+((AO78+AT78)*('Prices&amp;Fuel'!D78+'Long Term Deals'!AX78)*'Prices&amp;Fuel'!H78)+(AV78*'Prices&amp;Fuel'!H78*'Prices&amp;Fuel'!Q78)+AU78</f>
        <v>10880665.295629824</v>
      </c>
      <c r="BA78" s="6">
        <f t="shared" si="101"/>
        <v>396385.60411311127</v>
      </c>
      <c r="BB78" s="6">
        <f>IF('FP Corp'!T78-((BE78+BF78+BG78)*(1-'Prices&amp;Fuel'!F78))&lt;'Prices&amp;Fuel'!R78,('FP Corp'!T78-(BE78+BF78+BG78)*(1-'Prices&amp;Fuel'!F78)),'Prices&amp;Fuel'!R78)/(1-'Prices&amp;Fuel'!F78)</f>
        <v>4325.9640102827761</v>
      </c>
      <c r="BC78" s="14"/>
      <c r="BD78" s="14">
        <f>ROUND(IF('FP Corp'!T78/(1-'Prices&amp;Fuel'!F78)-BE78-BF78-BG78-BB78&gt;'Prices&amp;Fuel'!T78,'Prices&amp;Fuel'!T78,'FP Corp'!T78/(1-'Prices&amp;Fuel'!F78)-BE78-BF78-BG78-BB78),9)</f>
        <v>0</v>
      </c>
      <c r="BE78" s="14">
        <f>'Prices&amp;Fuel'!U78/(1-'Prices&amp;Fuel'!F78)</f>
        <v>2635.4755784061695</v>
      </c>
      <c r="BF78" s="14">
        <f>('Prices&amp;Fuel'!V78+'Prices&amp;Fuel'!X78)/(1-'Prices&amp;Fuel'!F78)</f>
        <v>3645.2442159383031</v>
      </c>
      <c r="BG78" s="14">
        <f>'Prices&amp;Fuel'!W78/(1-'Prices&amp;Fuel'!F78)</f>
        <v>1732.6478149100255</v>
      </c>
      <c r="BH78" s="25">
        <f>('Prices&amp;Fuel'!C78+'Prices&amp;Fuel'!D78)/2-0.05+('Prices&amp;Fuel'!M78+'Prices&amp;Fuel'!P78)*(1-'Prices&amp;Fuel'!F78)</f>
        <v>3.2999222500000012</v>
      </c>
      <c r="BI78" s="14">
        <f t="shared" si="95"/>
        <v>4325.9640102827761</v>
      </c>
      <c r="BJ78" s="14"/>
      <c r="BK78" s="25">
        <f>(((BB78+BE78)*('Prices&amp;Fuel'!B78+0.025))+(('Prices&amp;Fuel'!D78+0.025)*(BD78+BG78))+(('Prices&amp;Fuel'!C78+0.025)*(BC78+BF78))-(BI78+BJ78)*0.025)/(BB78+BC78+BD78+BE78+BF78+BG78)</f>
        <v>2.6013645833333339</v>
      </c>
      <c r="BL78" s="14">
        <f>(BB78+BC78+BD78+BE78+BF78+BG78)*BH78*'Prices&amp;Fuel'!H78</f>
        <v>1262283.8838046277</v>
      </c>
      <c r="BM78" s="14">
        <f>'Prices&amp;Fuel'!X78*('Prices&amp;Fuel'!N78+'Prices&amp;Fuel'!O78)*'Prices&amp;Fuel'!H78</f>
        <v>8908.4139348759727</v>
      </c>
      <c r="BN78" s="14">
        <f>('Prices&amp;Fuel'!U78+'Prices&amp;Fuel'!V78+'Prices&amp;Fuel'!W78)*('Prices&amp;Fuel'!L78+'Prices&amp;Fuel'!O78)*'Prices&amp;Fuel'!H78</f>
        <v>92736.197770085157</v>
      </c>
      <c r="BO78" s="14">
        <f>((BB78+BC78+BD78)*(1-'Prices&amp;Fuel'!G78))*('Prices&amp;Fuel'!M78+'Prices&amp;Fuel'!P78)*'Prices&amp;Fuel'!H78</f>
        <v>100434.1317</v>
      </c>
      <c r="BP78" s="14">
        <f>((BD78+BC78+BB78+BE78+BF78+BG78)*BK78*'Prices&amp;Fuel'!H78)+BM78+BN78+BO78</f>
        <v>1197150.8513741128</v>
      </c>
      <c r="BQ78" s="6">
        <f t="shared" si="97"/>
        <v>65133.032430514926</v>
      </c>
      <c r="CA78" s="6">
        <f>(AF78+AG78+AH78+AL78)*0.005*'Prices&amp;Fuel'!H78</f>
        <v>21038.560411311057</v>
      </c>
      <c r="CB78" s="6">
        <f>(B78+C78+D78+O78+P78+Q78+X78+Y78+BB78+BC78+BD78+BE78+BF78+BG78+BR78+BS78)*0.005*'Prices&amp;Fuel'!H78</f>
        <v>5803.0964010282778</v>
      </c>
      <c r="CC78" s="1">
        <f t="shared" si="103"/>
        <v>14430740.263547562</v>
      </c>
      <c r="CD78" s="1">
        <f t="shared" si="104"/>
        <v>13986726.083816275</v>
      </c>
      <c r="CE78" s="1">
        <f t="shared" si="105"/>
        <v>444014.17973128706</v>
      </c>
      <c r="CF78" s="1">
        <f>'Index Price Deals'!AR78</f>
        <v>0</v>
      </c>
      <c r="CG78" s="1">
        <f>'Index Price Deals'!AS78</f>
        <v>0</v>
      </c>
      <c r="CH78" s="1">
        <f>'Index Price Deals'!AT78</f>
        <v>0</v>
      </c>
      <c r="CI78" s="1">
        <f>'Index Price Deals'!AU78</f>
        <v>0</v>
      </c>
      <c r="CJ78" s="1">
        <f t="shared" si="102"/>
        <v>14430740.263547562</v>
      </c>
      <c r="CK78" s="1">
        <f t="shared" si="96"/>
        <v>13986726.083816275</v>
      </c>
      <c r="CL78" s="1">
        <f t="shared" si="96"/>
        <v>444014.17973128706</v>
      </c>
      <c r="CM78" s="1">
        <f>SUM(CL67:CL78)</f>
        <v>5844815.4983001165</v>
      </c>
      <c r="CN78" s="1">
        <f>Transport!U78</f>
        <v>0</v>
      </c>
      <c r="CO78" s="57"/>
      <c r="CQ78" s="1">
        <f>(((($B78+$C78+$D78+$O78+$P78+$Q78)*0.5)+BR78+BS78)*(0.005*'Prices&amp;Fuel'!$H78)+'Index Price Deals'!AV78)+(((BB78+BC78+BD78+BE78+BF78+BG78)*(1-'Prices&amp;Fuel'!F78))*0.005*0.5*'Prices&amp;Fuel'!H78)</f>
        <v>2875.25</v>
      </c>
      <c r="CR78" s="1">
        <f>(((($B78+$C78+$D78+$O78+$P78+$Q78)*0.5)+X78+Y78)*(0.005*'Prices&amp;Fuel'!$H78)+CA78+'Index Price Deals'!AW78)+(((BB78+BC78+BD78+BE78+BF78+BG78)*(1-'Prices&amp;Fuel'!F78))*0.005*0.5*'Prices&amp;Fuel'!H78)</f>
        <v>23913.810411311057</v>
      </c>
      <c r="CS78" s="21"/>
      <c r="CT78" s="1">
        <f>[3]Sheet1!$O92</f>
        <v>-56616.074707873078</v>
      </c>
      <c r="CU78" s="1">
        <f>'[4]Long Term Deals'!$Z77</f>
        <v>-34895.062969705476</v>
      </c>
      <c r="CV78" s="60">
        <f t="shared" si="106"/>
        <v>465735.19146945461</v>
      </c>
      <c r="CW78" s="13">
        <f>((B78+C78+D78+O78+P78+Q78+X78+Y78+AF78+AG78+AH78+BB78+BC78+BD78+BE78+BF78+BG78+BR78+BS78)+('Index Price Deals'!B78+'Index Price Deals'!C78+'Index Price Deals'!D78+'Index Price Deals'!L78+'Index Price Deals'!M78+'Index Price Deals'!N78+'Index Price Deals'!AD78+'Index Price Deals'!AE78+'Index Price Deals'!AF78+'Index Price Deals'!AK78+'Index Price Deals'!AL78+'Index Price Deals'!AM78))*'Prices&amp;Fuel'!H78</f>
        <v>5368331.3624678655</v>
      </c>
      <c r="CX78" s="65">
        <f>BQ78/(BB78+BC78+BD78+BE78+BF78+BG78)/'Prices&amp;Fuel'!H78</f>
        <v>0.1702738549426768</v>
      </c>
      <c r="CY78" s="66"/>
      <c r="CZ78" s="28">
        <f>(BA78-CT78+CU78)/(AF78+AG78+AH78)/'Prices&amp;Fuel'!H78</f>
        <v>9.9366736049699075E-2</v>
      </c>
      <c r="DB78" s="3">
        <f>(O78+P78+Q78)*'Prices&amp;Fuel'!$H78</f>
        <v>778100</v>
      </c>
      <c r="DE78" s="3">
        <v>132000</v>
      </c>
    </row>
    <row r="79" spans="1:109" x14ac:dyDescent="0.25">
      <c r="A79" s="10">
        <f t="shared" si="94"/>
        <v>37999.833333333154</v>
      </c>
      <c r="O79" s="1">
        <v>9036</v>
      </c>
      <c r="P79" s="1">
        <v>10794</v>
      </c>
      <c r="Q79" s="1">
        <v>5270</v>
      </c>
      <c r="R79" s="11">
        <f t="shared" si="108"/>
        <v>2.4308000000000001</v>
      </c>
      <c r="S79" s="11">
        <f t="shared" si="109"/>
        <v>2.4188000000000001</v>
      </c>
      <c r="T79" s="1">
        <f>(($O79*R79)+($P79*R79)+($Q79*R79))*'Prices&amp;Fuel'!$H79</f>
        <v>1891405.48</v>
      </c>
      <c r="U79" s="1">
        <f>(($O79*S79)+($P79*S79)+($Q79*S79))*'Prices&amp;Fuel'!$H79</f>
        <v>1882068.2800000003</v>
      </c>
      <c r="V79" s="13">
        <f t="shared" si="99"/>
        <v>9337.1999999997206</v>
      </c>
      <c r="AF79" s="1">
        <f>(32000/(1-'Prices&amp;Fuel'!F79))+(25000/(1-'Prices&amp;Fuel'!G79))-AI79</f>
        <v>58611.825192802062</v>
      </c>
      <c r="AG79" s="1">
        <v>0</v>
      </c>
      <c r="AH79" s="1">
        <f>(75000/(1-'Prices&amp;Fuel'!G79))-AK79</f>
        <v>77120.822622107968</v>
      </c>
      <c r="AI79" s="1"/>
      <c r="AJ79" s="1"/>
      <c r="AK79" s="1"/>
      <c r="AL79" s="21">
        <f>ROUND((132000/(1-'Prices&amp;Fuel'!F79))-AF79-AG79-AH79,0)</f>
        <v>0</v>
      </c>
      <c r="AM79" s="1">
        <f t="shared" si="51"/>
        <v>0</v>
      </c>
      <c r="AO79" s="1">
        <f>ROUND((75000/(1-'Prices&amp;Fuel'!G79)-AV79-AK79)/2,0)</f>
        <v>38560</v>
      </c>
      <c r="AP79" s="1">
        <f t="shared" si="110"/>
        <v>58611.825192802062</v>
      </c>
      <c r="AR79" s="1">
        <f t="shared" si="111"/>
        <v>0</v>
      </c>
      <c r="AT79" s="13">
        <f t="shared" si="107"/>
        <v>38560.822622107968</v>
      </c>
      <c r="AU79" s="13">
        <f>AL79*AX79*'Prices&amp;Fuel'!H79</f>
        <v>0</v>
      </c>
      <c r="AW79" s="20">
        <v>7.0000000000000007E-2</v>
      </c>
      <c r="AX79" s="20">
        <f t="shared" si="93"/>
        <v>2.5000000000000001E-2</v>
      </c>
      <c r="AY79" s="6">
        <f>('Prices&amp;Fuel'!H79*('Prices&amp;Fuel'!B79+AW79)*'Long Term Deals'!AF79)+('Prices&amp;Fuel'!H79*('Prices&amp;Fuel'!C79+'Long Term Deals'!AW79)*'Long Term Deals'!AG79)+(AH79*('Prices&amp;Fuel'!C79+AW79)*'Prices&amp;Fuel'!H79)+(AW79*AL79*'Prices&amp;Fuel'!H79)</f>
        <v>9929013.5568123423</v>
      </c>
      <c r="AZ79" s="6">
        <f>(AP79*'Prices&amp;Fuel'!H79*'Prices&amp;Fuel'!B79)+(AQ79*'Prices&amp;Fuel'!C79*'Prices&amp;Fuel'!H79)+((AM79+AR79)*('Prices&amp;Fuel'!B79+'Long Term Deals'!AX79)*'Prices&amp;Fuel'!H79)+((AN79+AS79)*('Prices&amp;Fuel'!C79+'Long Term Deals'!AX79)*'Prices&amp;Fuel'!H79)+((AO79+AT79)*('Prices&amp;Fuel'!D79+'Long Term Deals'!AX79)*'Prices&amp;Fuel'!H79)+(AV79*'Prices&amp;Fuel'!H79*'Prices&amp;Fuel'!Q79)+AU79</f>
        <v>9574705.0735218544</v>
      </c>
      <c r="BA79" s="6">
        <f t="shared" si="101"/>
        <v>354308.4832904879</v>
      </c>
      <c r="BB79" s="6">
        <f>IF('FP Corp'!T79-((BE79+BF79+BG79)*(1-'Prices&amp;Fuel'!F79))&lt;'Prices&amp;Fuel'!R79,('FP Corp'!T79-(BE79+BF79+BG79)*(1-'Prices&amp;Fuel'!F79)),'Prices&amp;Fuel'!R79)/(1-'Prices&amp;Fuel'!F79)</f>
        <v>4325.9640102827761</v>
      </c>
      <c r="BC79" s="14"/>
      <c r="BD79" s="14">
        <f>ROUND(IF('FP Corp'!T79/(1-'Prices&amp;Fuel'!F79)-BE79-BF79-BG79-BB79&gt;'Prices&amp;Fuel'!T79,'Prices&amp;Fuel'!T79,'FP Corp'!T79/(1-'Prices&amp;Fuel'!F79)-BE79-BF79-BG79-BB79),9)</f>
        <v>0</v>
      </c>
      <c r="BE79" s="14">
        <f>'Prices&amp;Fuel'!U79/(1-'Prices&amp;Fuel'!F79)</f>
        <v>2635.4755784061695</v>
      </c>
      <c r="BF79" s="14">
        <f>('Prices&amp;Fuel'!V79+'Prices&amp;Fuel'!X79)/(1-'Prices&amp;Fuel'!F79)</f>
        <v>3645.2442159383031</v>
      </c>
      <c r="BG79" s="14">
        <f>'Prices&amp;Fuel'!W79/(1-'Prices&amp;Fuel'!F79)</f>
        <v>1732.6478149100255</v>
      </c>
      <c r="BH79" s="25">
        <f>('Prices&amp;Fuel'!C79+'Prices&amp;Fuel'!D79)/2-0.05+('Prices&amp;Fuel'!M79+'Prices&amp;Fuel'!P79)*(1-'Prices&amp;Fuel'!F79)</f>
        <v>2.9850757500000009</v>
      </c>
      <c r="BI79" s="14">
        <f t="shared" si="95"/>
        <v>4325.9640102827761</v>
      </c>
      <c r="BJ79" s="14"/>
      <c r="BK79" s="25">
        <f>(((BB79+BE79)*('Prices&amp;Fuel'!B79+0.025))+(('Prices&amp;Fuel'!D79+0.025)*(BD79+BG79))+(('Prices&amp;Fuel'!C79+0.025)*(BC79+BF79))-(BI79+BJ79)*0.025)/(BB79+BC79+BD79+BE79+BF79+BG79)</f>
        <v>2.2909915833333341</v>
      </c>
      <c r="BL79" s="14">
        <f>(BB79+BC79+BD79+BE79+BF79+BG79)*BH79*'Prices&amp;Fuel'!H79</f>
        <v>1141849.0272493577</v>
      </c>
      <c r="BM79" s="14">
        <f>'Prices&amp;Fuel'!X79*('Prices&amp;Fuel'!N79+'Prices&amp;Fuel'!O79)*'Prices&amp;Fuel'!H79</f>
        <v>8908.4139348759727</v>
      </c>
      <c r="BN79" s="14">
        <f>('Prices&amp;Fuel'!U79+'Prices&amp;Fuel'!V79+'Prices&amp;Fuel'!W79)*('Prices&amp;Fuel'!L79+'Prices&amp;Fuel'!O79)*'Prices&amp;Fuel'!H79</f>
        <v>92736.197770085157</v>
      </c>
      <c r="BO79" s="14">
        <f>((BB79+BC79+BD79)*(1-'Prices&amp;Fuel'!G79))*('Prices&amp;Fuel'!M79+'Prices&amp;Fuel'!P79)*'Prices&amp;Fuel'!H79</f>
        <v>99834.213499999998</v>
      </c>
      <c r="BP79" s="14">
        <f>((BD79+BC79+BB79+BE79+BF79+BG79)*BK79*'Prices&amp;Fuel'!H79)+BM79+BN79+BO79</f>
        <v>1077827.2766188432</v>
      </c>
      <c r="BQ79" s="6">
        <f t="shared" si="97"/>
        <v>64021.750630514463</v>
      </c>
      <c r="CA79" s="6">
        <f>(AF79+AG79+AH79+AL79)*0.005*'Prices&amp;Fuel'!H79</f>
        <v>21038.560411311057</v>
      </c>
      <c r="CB79" s="6">
        <f>(B79+C79+D79+O79+P79+Q79+X79+Y79+BB79+BC79+BD79+BE79+BF79+BG79+BR79+BS79)*0.005*'Prices&amp;Fuel'!H79</f>
        <v>5803.0964010282778</v>
      </c>
      <c r="CC79" s="1">
        <f t="shared" si="103"/>
        <v>12962268.064061701</v>
      </c>
      <c r="CD79" s="1">
        <f t="shared" si="104"/>
        <v>12561442.286953038</v>
      </c>
      <c r="CE79" s="1">
        <f t="shared" si="105"/>
        <v>400825.77710866369</v>
      </c>
      <c r="CF79" s="1">
        <f>'Index Price Deals'!AR79</f>
        <v>0</v>
      </c>
      <c r="CG79" s="1">
        <f>'Index Price Deals'!AS79</f>
        <v>0</v>
      </c>
      <c r="CH79" s="1">
        <f>'Index Price Deals'!AT79</f>
        <v>0</v>
      </c>
      <c r="CI79" s="1">
        <f>'Index Price Deals'!AU79</f>
        <v>0</v>
      </c>
      <c r="CJ79" s="1">
        <f t="shared" si="102"/>
        <v>12962268.064061701</v>
      </c>
      <c r="CK79" s="1">
        <f t="shared" si="96"/>
        <v>12561442.286953038</v>
      </c>
      <c r="CL79" s="1">
        <f t="shared" si="96"/>
        <v>400825.77710866369</v>
      </c>
      <c r="CM79" s="30"/>
      <c r="CN79" s="1">
        <f>Transport!U79</f>
        <v>0</v>
      </c>
      <c r="CO79" s="57"/>
      <c r="CQ79" s="1">
        <f>(((($B79+$C79+$D79+$O79+$P79+$Q79)*0.5)+BR79+BS79)*(0.005*'Prices&amp;Fuel'!$H79)+'Index Price Deals'!AV79)+(((BB79+BC79+BD79+BE79+BF79+BG79)*(1-'Prices&amp;Fuel'!F79))*0.005*0.5*'Prices&amp;Fuel'!H79)</f>
        <v>2875.25</v>
      </c>
      <c r="CR79" s="1">
        <f>(((($B79+$C79+$D79+$O79+$P79+$Q79)*0.5)+X79+Y79)*(0.005*'Prices&amp;Fuel'!$H79)+CA79+'Index Price Deals'!AW79)+(((BB79+BC79+BD79+BE79+BF79+BG79)*(1-'Prices&amp;Fuel'!F79))*0.005*0.5*'Prices&amp;Fuel'!H79)</f>
        <v>23913.810411311057</v>
      </c>
      <c r="CS79" s="21"/>
      <c r="CT79" s="1">
        <f>[3]Sheet1!$O94</f>
        <v>-98823.398070431052</v>
      </c>
      <c r="CU79" s="1">
        <f>'[4]Long Term Deals'!$Z78</f>
        <v>-34895.062969705476</v>
      </c>
      <c r="CV79" s="60">
        <f t="shared" si="106"/>
        <v>464754.11220938928</v>
      </c>
      <c r="CW79" s="13">
        <f>((B79+C79+D79+O79+P79+Q79+X79+Y79+AF79+AG79+AH79+BB79+BC79+BD79+BE79+BF79+BG79+BR79+BS79)+('Index Price Deals'!B79+'Index Price Deals'!C79+'Index Price Deals'!D79+'Index Price Deals'!L79+'Index Price Deals'!M79+'Index Price Deals'!N79+'Index Price Deals'!AD79+'Index Price Deals'!AE79+'Index Price Deals'!AF79+'Index Price Deals'!AK79+'Index Price Deals'!AL79+'Index Price Deals'!AM79))*'Prices&amp;Fuel'!H79</f>
        <v>5368331.3624678655</v>
      </c>
      <c r="DB79" s="3">
        <f>(O79+P79+Q79)*'Prices&amp;Fuel'!$H79</f>
        <v>778100</v>
      </c>
      <c r="DE79" s="3">
        <v>132000</v>
      </c>
    </row>
    <row r="80" spans="1:109" x14ac:dyDescent="0.25">
      <c r="A80" s="10">
        <f t="shared" si="94"/>
        <v>38030.249999999818</v>
      </c>
      <c r="O80" s="1">
        <v>9036</v>
      </c>
      <c r="P80" s="1">
        <v>10794</v>
      </c>
      <c r="Q80" s="1">
        <v>5270</v>
      </c>
      <c r="R80" s="11">
        <f t="shared" si="108"/>
        <v>2.4308000000000001</v>
      </c>
      <c r="S80" s="11">
        <f t="shared" si="109"/>
        <v>2.4188000000000001</v>
      </c>
      <c r="T80" s="1">
        <f>(($O80*R80)+($P80*R80)+($Q80*R80))*'Prices&amp;Fuel'!$H80</f>
        <v>1769379.32</v>
      </c>
      <c r="U80" s="1">
        <f>(($O80*S80)+($P80*S80)+($Q80*S80))*'Prices&amp;Fuel'!$H80</f>
        <v>1760644.52</v>
      </c>
      <c r="V80" s="13">
        <f t="shared" si="99"/>
        <v>8734.8000000000466</v>
      </c>
      <c r="AF80" s="1">
        <f>(32000/(1-'Prices&amp;Fuel'!F80))+(25000/(1-'Prices&amp;Fuel'!G80))-AI80</f>
        <v>58611.825192802062</v>
      </c>
      <c r="AG80" s="1">
        <v>0</v>
      </c>
      <c r="AH80" s="1">
        <f>(75000/(1-'Prices&amp;Fuel'!G80))-AK80</f>
        <v>77120.822622107968</v>
      </c>
      <c r="AI80" s="1"/>
      <c r="AJ80" s="1"/>
      <c r="AK80" s="1"/>
      <c r="AL80" s="21">
        <f>ROUND((132000/(1-'Prices&amp;Fuel'!F80))-AF80-AG80-AH80,0)</f>
        <v>0</v>
      </c>
      <c r="AM80" s="1">
        <f t="shared" si="51"/>
        <v>0</v>
      </c>
      <c r="AO80" s="1">
        <f>ROUND((75000/(1-'Prices&amp;Fuel'!G80)-AV80-AK80)/2,0)</f>
        <v>38560</v>
      </c>
      <c r="AP80" s="1">
        <f t="shared" si="110"/>
        <v>58611.825192802062</v>
      </c>
      <c r="AR80" s="1">
        <f t="shared" si="111"/>
        <v>0</v>
      </c>
      <c r="AT80" s="13">
        <f t="shared" si="107"/>
        <v>38560.822622107968</v>
      </c>
      <c r="AU80" s="13">
        <f>AL80*AX80*'Prices&amp;Fuel'!H80</f>
        <v>0</v>
      </c>
      <c r="AW80" s="20">
        <f t="shared" ref="AW80:AW90" si="112">AW79</f>
        <v>7.0000000000000007E-2</v>
      </c>
      <c r="AX80" s="20">
        <f t="shared" si="93"/>
        <v>2.5000000000000001E-2</v>
      </c>
      <c r="AY80" s="6">
        <f>('Prices&amp;Fuel'!H80*('Prices&amp;Fuel'!B80+AW80)*'Long Term Deals'!AF80)+('Prices&amp;Fuel'!H80*('Prices&amp;Fuel'!C80+'Long Term Deals'!AW80)*'Long Term Deals'!AG80)+(AH80*('Prices&amp;Fuel'!C80+AW80)*'Prices&amp;Fuel'!H80)+(AW80*AL80*'Prices&amp;Fuel'!H80)</f>
        <v>10372580.680719795</v>
      </c>
      <c r="AZ80" s="6">
        <f>(AP80*'Prices&amp;Fuel'!H80*'Prices&amp;Fuel'!B80)+(AQ80*'Prices&amp;Fuel'!C80*'Prices&amp;Fuel'!H80)+((AM80+AR80)*('Prices&amp;Fuel'!B80+'Long Term Deals'!AX80)*'Prices&amp;Fuel'!H80)+((AN80+AS80)*('Prices&amp;Fuel'!C80+'Long Term Deals'!AX80)*'Prices&amp;Fuel'!H80)+((AO80+AT80)*('Prices&amp;Fuel'!D80+'Long Term Deals'!AX80)*'Prices&amp;Fuel'!H80)+(AV80*'Prices&amp;Fuel'!H80*'Prices&amp;Fuel'!Q80)+AU80</f>
        <v>10041130.809254501</v>
      </c>
      <c r="BA80" s="6">
        <f t="shared" si="101"/>
        <v>331449.87146529369</v>
      </c>
      <c r="BB80" s="6">
        <f>IF('FP Corp'!T80-((BE80+BF80+BG80)*(1-'Prices&amp;Fuel'!F80))&lt;'Prices&amp;Fuel'!R80,('FP Corp'!T80-(BE80+BF80+BG80)*(1-'Prices&amp;Fuel'!F80)),'Prices&amp;Fuel'!R80)/(1-'Prices&amp;Fuel'!F80)</f>
        <v>4325.9640102827761</v>
      </c>
      <c r="BC80" s="14"/>
      <c r="BD80" s="14">
        <f>ROUND(IF('FP Corp'!T80/(1-'Prices&amp;Fuel'!F80)-BE80-BF80-BG80-BB80&gt;'Prices&amp;Fuel'!T80,'Prices&amp;Fuel'!T80,'FP Corp'!T80/(1-'Prices&amp;Fuel'!F80)-BE80-BF80-BG80-BB80),9)</f>
        <v>0</v>
      </c>
      <c r="BE80" s="14">
        <f>'Prices&amp;Fuel'!U80/(1-'Prices&amp;Fuel'!F80)</f>
        <v>2635.4755784061695</v>
      </c>
      <c r="BF80" s="14">
        <f>('Prices&amp;Fuel'!V80+'Prices&amp;Fuel'!X80)/(1-'Prices&amp;Fuel'!F80)</f>
        <v>3645.2442159383031</v>
      </c>
      <c r="BG80" s="14">
        <f>'Prices&amp;Fuel'!W80/(1-'Prices&amp;Fuel'!F80)</f>
        <v>1732.6478149100255</v>
      </c>
      <c r="BH80" s="25">
        <f>('Prices&amp;Fuel'!C80+'Prices&amp;Fuel'!D80)/2-0.05+('Prices&amp;Fuel'!M80+'Prices&amp;Fuel'!P80)*(1-'Prices&amp;Fuel'!F80)</f>
        <v>3.2605027500000006</v>
      </c>
      <c r="BI80" s="14">
        <f t="shared" si="95"/>
        <v>4325.9640102827761</v>
      </c>
      <c r="BJ80" s="14"/>
      <c r="BK80" s="25">
        <f>(((BB80+BE80)*('Prices&amp;Fuel'!B80+0.025))+(('Prices&amp;Fuel'!D80+0.025)*(BD80+BG80))+(('Prices&amp;Fuel'!C80+0.025)*(BC80+BF80))-(BI80+BJ80)*0.025)/(BB80+BC80+BD80+BE80+BF80+BG80)</f>
        <v>2.5664185833333337</v>
      </c>
      <c r="BL80" s="14">
        <f>(BB80+BC80+BD80+BE80+BF80+BG80)*BH80*'Prices&amp;Fuel'!H80</f>
        <v>1166740.315681234</v>
      </c>
      <c r="BM80" s="14">
        <f>'Prices&amp;Fuel'!X80*('Prices&amp;Fuel'!N80+'Prices&amp;Fuel'!O80)*'Prices&amp;Fuel'!H80</f>
        <v>8333.6775519807488</v>
      </c>
      <c r="BN80" s="14">
        <f>('Prices&amp;Fuel'!U80+'Prices&amp;Fuel'!V80+'Prices&amp;Fuel'!W80)*('Prices&amp;Fuel'!L80+'Prices&amp;Fuel'!O80)*'Prices&amp;Fuel'!H80</f>
        <v>86753.217268789347</v>
      </c>
      <c r="BO80" s="14">
        <f>((BB80+BC80+BD80)*(1-'Prices&amp;Fuel'!G80))*('Prices&amp;Fuel'!M80+'Prices&amp;Fuel'!P80)*'Prices&amp;Fuel'!H80</f>
        <v>93393.296499999997</v>
      </c>
      <c r="BP80" s="14">
        <f>((BD80+BC80+BB80+BE80+BF80+BG80)*BK80*'Prices&amp;Fuel'!H80)+BM80+BN80+BO80</f>
        <v>1106849.0005752686</v>
      </c>
      <c r="BQ80" s="6">
        <f t="shared" si="97"/>
        <v>59891.315105965361</v>
      </c>
      <c r="CA80" s="6">
        <f>(AF80+AG80+AH80+AL80)*0.005*'Prices&amp;Fuel'!H80</f>
        <v>19681.233933161955</v>
      </c>
      <c r="CB80" s="6">
        <f>(B80+C80+D80+O80+P80+Q80+X80+Y80+BB80+BC80+BD80+BE80+BF80+BG80+BR80+BS80)*0.005*'Prices&amp;Fuel'!H80</f>
        <v>5428.703084832905</v>
      </c>
      <c r="CC80" s="1">
        <f t="shared" si="103"/>
        <v>13308700.316401029</v>
      </c>
      <c r="CD80" s="1">
        <f t="shared" si="104"/>
        <v>12933734.266847763</v>
      </c>
      <c r="CE80" s="1">
        <f t="shared" si="105"/>
        <v>374966.0495532658</v>
      </c>
      <c r="CF80" s="1">
        <f>'Index Price Deals'!AR80</f>
        <v>0</v>
      </c>
      <c r="CG80" s="1">
        <f>'Index Price Deals'!AS80</f>
        <v>0</v>
      </c>
      <c r="CH80" s="1">
        <f>'Index Price Deals'!AT80</f>
        <v>0</v>
      </c>
      <c r="CI80" s="1">
        <f>'Index Price Deals'!AU80</f>
        <v>0</v>
      </c>
      <c r="CJ80" s="1">
        <f t="shared" si="102"/>
        <v>13308700.316401029</v>
      </c>
      <c r="CK80" s="1">
        <f t="shared" si="96"/>
        <v>12933734.266847763</v>
      </c>
      <c r="CL80" s="1">
        <f t="shared" si="96"/>
        <v>374966.0495532658</v>
      </c>
      <c r="CM80" s="30"/>
      <c r="CN80" s="1">
        <f>Transport!U80</f>
        <v>0</v>
      </c>
      <c r="CO80" s="57"/>
      <c r="CQ80" s="1">
        <f>(((($B80+$C80+$D80+$O80+$P80+$Q80)*0.5)+BR80+BS80)*(0.005*'Prices&amp;Fuel'!$H80)+'Index Price Deals'!AV80)+(((BB80+BC80+BD80+BE80+BF80+BG80)*(1-'Prices&amp;Fuel'!F80))*0.005*0.5*'Prices&amp;Fuel'!H80)</f>
        <v>2689.7499999999995</v>
      </c>
      <c r="CR80" s="1">
        <f>(((($B80+$C80+$D80+$O80+$P80+$Q80)*0.5)+X80+Y80)*(0.005*'Prices&amp;Fuel'!$H80)+CA80+'Index Price Deals'!AW80)+(((BB80+BC80+BD80+BE80+BF80+BG80)*(1-'Prices&amp;Fuel'!F80))*0.005*0.5*'Prices&amp;Fuel'!H80)</f>
        <v>22370.983933161955</v>
      </c>
      <c r="CS80" s="21"/>
      <c r="CT80" s="1">
        <f>[3]Sheet1!$O95</f>
        <v>-92447.694969112941</v>
      </c>
      <c r="CU80" s="1">
        <f>'[4]Long Term Deals'!$Z79</f>
        <v>-32643.768584563186</v>
      </c>
      <c r="CV80" s="60">
        <f t="shared" si="106"/>
        <v>434769.97593781556</v>
      </c>
      <c r="CW80" s="13">
        <f>((B80+C80+D80+O80+P80+Q80+X80+Y80+AF80+AG80+AH80+BB80+BC80+BD80+BE80+BF80+BG80+BR80+BS80)+('Index Price Deals'!B80+'Index Price Deals'!C80+'Index Price Deals'!D80+'Index Price Deals'!L80+'Index Price Deals'!M80+'Index Price Deals'!N80+'Index Price Deals'!AD80+'Index Price Deals'!AE80+'Index Price Deals'!AF80+'Index Price Deals'!AK80+'Index Price Deals'!AL80+'Index Price Deals'!AM80))*'Prices&amp;Fuel'!H80</f>
        <v>5021987.4035989707</v>
      </c>
      <c r="DB80" s="3">
        <f>(O80+P80+Q80)*'Prices&amp;Fuel'!$H80</f>
        <v>727900</v>
      </c>
      <c r="DE80" s="3">
        <v>132000</v>
      </c>
    </row>
    <row r="81" spans="1:109" x14ac:dyDescent="0.25">
      <c r="A81" s="10">
        <f t="shared" ref="A81:A96" si="113">+A80+365/12</f>
        <v>38060.666666666482</v>
      </c>
      <c r="O81" s="1">
        <v>9036</v>
      </c>
      <c r="P81" s="1">
        <v>10794</v>
      </c>
      <c r="Q81" s="1">
        <v>5270</v>
      </c>
      <c r="R81" s="11">
        <f t="shared" si="108"/>
        <v>2.4308000000000001</v>
      </c>
      <c r="S81" s="11">
        <f t="shared" si="109"/>
        <v>2.4188000000000001</v>
      </c>
      <c r="T81" s="1">
        <f>(($O81*R81)+($P81*R81)+($Q81*R81))*'Prices&amp;Fuel'!$H81</f>
        <v>1891405.48</v>
      </c>
      <c r="U81" s="1">
        <f>(($O81*S81)+($P81*S81)+($Q81*S81))*'Prices&amp;Fuel'!$H81</f>
        <v>1882068.2800000003</v>
      </c>
      <c r="V81" s="13">
        <f t="shared" si="99"/>
        <v>9337.1999999997206</v>
      </c>
      <c r="AF81" s="1">
        <f>(32000/(1-'Prices&amp;Fuel'!F81))+(25000/(1-'Prices&amp;Fuel'!G81))-AI81</f>
        <v>58611.825192802062</v>
      </c>
      <c r="AG81" s="1">
        <v>0</v>
      </c>
      <c r="AH81" s="1">
        <f>(75000/(1-'Prices&amp;Fuel'!G81))-AK81</f>
        <v>77120.822622107968</v>
      </c>
      <c r="AI81" s="1"/>
      <c r="AJ81" s="1"/>
      <c r="AK81" s="1"/>
      <c r="AL81" s="21">
        <f>ROUND((132000/(1-'Prices&amp;Fuel'!F81))-AF81-AG81-AH81,0)</f>
        <v>0</v>
      </c>
      <c r="AM81" s="1">
        <f t="shared" si="51"/>
        <v>0</v>
      </c>
      <c r="AO81" s="1">
        <f>ROUND((75000/(1-'Prices&amp;Fuel'!G81)-AV81-AK81)/2,0)</f>
        <v>38560</v>
      </c>
      <c r="AP81" s="1">
        <f t="shared" si="110"/>
        <v>58611.825192802062</v>
      </c>
      <c r="AR81" s="1">
        <f t="shared" si="111"/>
        <v>0</v>
      </c>
      <c r="AT81" s="13">
        <f t="shared" si="107"/>
        <v>38560.822622107968</v>
      </c>
      <c r="AU81" s="13">
        <f>AL81*AX81*'Prices&amp;Fuel'!H81</f>
        <v>0</v>
      </c>
      <c r="AW81" s="20">
        <f t="shared" si="112"/>
        <v>7.0000000000000007E-2</v>
      </c>
      <c r="AX81" s="20">
        <f t="shared" si="93"/>
        <v>2.5000000000000001E-2</v>
      </c>
      <c r="AY81" s="6">
        <f>('Prices&amp;Fuel'!H81*('Prices&amp;Fuel'!B81+AW81)*'Long Term Deals'!AF81)+('Prices&amp;Fuel'!H81*('Prices&amp;Fuel'!C81+'Long Term Deals'!AW81)*'Long Term Deals'!AG81)+(AH81*('Prices&amp;Fuel'!C81+AW81)*'Prices&amp;Fuel'!H81)+(AW81*AL81*'Prices&amp;Fuel'!H81)</f>
        <v>11087931.072493572</v>
      </c>
      <c r="AZ81" s="6">
        <f>(AP81*'Prices&amp;Fuel'!H81*'Prices&amp;Fuel'!B81)+(AQ81*'Prices&amp;Fuel'!C81*'Prices&amp;Fuel'!H81)+((AM81+AR81)*('Prices&amp;Fuel'!B81+'Long Term Deals'!AX81)*'Prices&amp;Fuel'!H81)+((AN81+AS81)*('Prices&amp;Fuel'!C81+'Long Term Deals'!AX81)*'Prices&amp;Fuel'!H81)+((AO81+AT81)*('Prices&amp;Fuel'!D81+'Long Term Deals'!AX81)*'Prices&amp;Fuel'!H81)+(AV81*'Prices&amp;Fuel'!H81*'Prices&amp;Fuel'!Q81)+AU81</f>
        <v>10733622.589203086</v>
      </c>
      <c r="BA81" s="6">
        <f t="shared" si="101"/>
        <v>354308.48329048604</v>
      </c>
      <c r="BB81" s="6">
        <f>IF('FP Corp'!T81-((BE81+BF81+BG81)*(1-'Prices&amp;Fuel'!F81))&lt;'Prices&amp;Fuel'!R81,('FP Corp'!T81-(BE81+BF81+BG81)*(1-'Prices&amp;Fuel'!F81)),'Prices&amp;Fuel'!R81)/(1-'Prices&amp;Fuel'!F81)</f>
        <v>4325.9640102827761</v>
      </c>
      <c r="BC81" s="14"/>
      <c r="BD81" s="14">
        <f>ROUND(IF('FP Corp'!T81/(1-'Prices&amp;Fuel'!F81)-BE81-BF81-BG81-BB81&gt;'Prices&amp;Fuel'!T81,'Prices&amp;Fuel'!T81,'FP Corp'!T81/(1-'Prices&amp;Fuel'!F81)-BE81-BF81-BG81-BB81),9)</f>
        <v>0</v>
      </c>
      <c r="BE81" s="14">
        <f>'Prices&amp;Fuel'!U81/(1-'Prices&amp;Fuel'!F81)</f>
        <v>2635.4755784061695</v>
      </c>
      <c r="BF81" s="14">
        <f>('Prices&amp;Fuel'!V81+'Prices&amp;Fuel'!X81)/(1-'Prices&amp;Fuel'!F81)</f>
        <v>3645.2442159383031</v>
      </c>
      <c r="BG81" s="14">
        <f>'Prices&amp;Fuel'!W81/(1-'Prices&amp;Fuel'!F81)</f>
        <v>1732.6478149100255</v>
      </c>
      <c r="BH81" s="25">
        <f>('Prices&amp;Fuel'!C81+'Prices&amp;Fuel'!D81)/2-0.05+('Prices&amp;Fuel'!M81+'Prices&amp;Fuel'!P81)*(1-'Prices&amp;Fuel'!F81)</f>
        <v>3.2605027500000006</v>
      </c>
      <c r="BI81" s="14">
        <f t="shared" ref="BI81:BI96" si="114">IF(AP81=80000,0,BB81)</f>
        <v>4325.9640102827761</v>
      </c>
      <c r="BJ81" s="14"/>
      <c r="BK81" s="25">
        <f>(((BB81+BE81)*('Prices&amp;Fuel'!B81+0.025))+(('Prices&amp;Fuel'!D81+0.025)*(BD81+BG81))+(('Prices&amp;Fuel'!C81+0.025)*(BC81+BF81))-(BI81+BJ81)*0.025)/(BB81+BC81+BD81+BE81+BF81+BG81)</f>
        <v>2.5664185833333337</v>
      </c>
      <c r="BL81" s="14">
        <f>(BB81+BC81+BD81+BE81+BF81+BG81)*BH81*'Prices&amp;Fuel'!H81</f>
        <v>1247205.1650385605</v>
      </c>
      <c r="BM81" s="14">
        <f>'Prices&amp;Fuel'!X81*('Prices&amp;Fuel'!N81+'Prices&amp;Fuel'!O81)*'Prices&amp;Fuel'!H81</f>
        <v>8908.4139348759727</v>
      </c>
      <c r="BN81" s="14">
        <f>('Prices&amp;Fuel'!U81+'Prices&amp;Fuel'!V81+'Prices&amp;Fuel'!W81)*('Prices&amp;Fuel'!L81+'Prices&amp;Fuel'!O81)*'Prices&amp;Fuel'!H81</f>
        <v>92736.197770085157</v>
      </c>
      <c r="BO81" s="14">
        <f>((BB81+BC81+BD81)*(1-'Prices&amp;Fuel'!G81))*('Prices&amp;Fuel'!M81+'Prices&amp;Fuel'!P81)*'Prices&amp;Fuel'!H81</f>
        <v>99834.213499999998</v>
      </c>
      <c r="BP81" s="14">
        <f>((BD81+BC81+BB81+BE81+BF81+BG81)*BK81*'Prices&amp;Fuel'!H81)+BM81+BN81+BO81</f>
        <v>1183183.4144080461</v>
      </c>
      <c r="BQ81" s="6">
        <f t="shared" si="97"/>
        <v>64021.750630514463</v>
      </c>
      <c r="CA81" s="6">
        <f>(AF81+AG81+AH81+AL81)*0.005*'Prices&amp;Fuel'!H81</f>
        <v>21038.560411311057</v>
      </c>
      <c r="CB81" s="6">
        <f>(B81+C81+D81+O81+P81+Q81+X81+Y81+BB81+BC81+BD81+BE81+BF81+BG81+BR81+BS81)*0.005*'Prices&amp;Fuel'!H81</f>
        <v>5803.0964010282778</v>
      </c>
      <c r="CC81" s="1">
        <f t="shared" si="103"/>
        <v>14226541.717532132</v>
      </c>
      <c r="CD81" s="1">
        <f t="shared" si="104"/>
        <v>13825715.940423474</v>
      </c>
      <c r="CE81" s="1">
        <f t="shared" si="105"/>
        <v>400825.77710865811</v>
      </c>
      <c r="CF81" s="1">
        <f>'Index Price Deals'!AR81</f>
        <v>0</v>
      </c>
      <c r="CG81" s="1">
        <f>'Index Price Deals'!AS81</f>
        <v>0</v>
      </c>
      <c r="CH81" s="1">
        <f>'Index Price Deals'!AT81</f>
        <v>0</v>
      </c>
      <c r="CI81" s="1">
        <f>'Index Price Deals'!AU81</f>
        <v>0</v>
      </c>
      <c r="CJ81" s="1">
        <f t="shared" si="102"/>
        <v>14226541.717532132</v>
      </c>
      <c r="CK81" s="1">
        <f t="shared" si="96"/>
        <v>13825715.940423474</v>
      </c>
      <c r="CL81" s="1">
        <f t="shared" si="96"/>
        <v>400825.77710865811</v>
      </c>
      <c r="CM81" s="30"/>
      <c r="CN81" s="1">
        <f>Transport!U81</f>
        <v>0</v>
      </c>
      <c r="CO81" s="57"/>
      <c r="CQ81" s="1">
        <f>(((($B81+$C81+$D81+$O81+$P81+$Q81)*0.5)+BR81+BS81)*(0.005*'Prices&amp;Fuel'!$H81)+'Index Price Deals'!AV81)+(((BB81+BC81+BD81+BE81+BF81+BG81)*(1-'Prices&amp;Fuel'!F81))*0.005*0.5*'Prices&amp;Fuel'!H81)</f>
        <v>2875.25</v>
      </c>
      <c r="CR81" s="1">
        <f>(((($B81+$C81+$D81+$O81+$P81+$Q81)*0.5)+X81+Y81)*(0.005*'Prices&amp;Fuel'!$H81)+CA81+'Index Price Deals'!AW81)+(((BB81+BC81+BD81+BE81+BF81+BG81)*(1-'Prices&amp;Fuel'!F81))*0.005*0.5*'Prices&amp;Fuel'!H81)</f>
        <v>23913.810411311057</v>
      </c>
      <c r="CS81" s="21"/>
      <c r="CT81" s="1">
        <f>[3]Sheet1!$O96</f>
        <v>-98823.398070431052</v>
      </c>
      <c r="CU81" s="1">
        <f>'[4]Long Term Deals'!$Z80</f>
        <v>-34895.062969705476</v>
      </c>
      <c r="CV81" s="60">
        <f t="shared" si="106"/>
        <v>464754.11220938369</v>
      </c>
      <c r="CW81" s="13">
        <f>((B81+C81+D81+O81+P81+Q81+X81+Y81+AF81+AG81+AH81+BB81+BC81+BD81+BE81+BF81+BG81+BR81+BS81)+('Index Price Deals'!B81+'Index Price Deals'!C81+'Index Price Deals'!D81+'Index Price Deals'!L81+'Index Price Deals'!M81+'Index Price Deals'!N81+'Index Price Deals'!AD81+'Index Price Deals'!AE81+'Index Price Deals'!AF81+'Index Price Deals'!AK81+'Index Price Deals'!AL81+'Index Price Deals'!AM81))*'Prices&amp;Fuel'!H81</f>
        <v>5368331.3624678655</v>
      </c>
      <c r="DB81" s="3">
        <f>(O81+P81+Q81)*'Prices&amp;Fuel'!$H81</f>
        <v>778100</v>
      </c>
      <c r="DE81" s="3">
        <v>132000</v>
      </c>
    </row>
    <row r="82" spans="1:109" x14ac:dyDescent="0.25">
      <c r="A82" s="10">
        <f t="shared" si="113"/>
        <v>38091.083333333147</v>
      </c>
      <c r="O82" s="1">
        <v>9036</v>
      </c>
      <c r="P82" s="1">
        <v>10794</v>
      </c>
      <c r="Q82" s="1">
        <v>5270</v>
      </c>
      <c r="R82" s="11">
        <f t="shared" si="108"/>
        <v>2.4308000000000001</v>
      </c>
      <c r="S82" s="11">
        <f t="shared" si="109"/>
        <v>2.4188000000000001</v>
      </c>
      <c r="T82" s="1">
        <f>(($O82*R82)+($P82*R82)+($Q82*R82))*'Prices&amp;Fuel'!$H82</f>
        <v>1830392.4000000001</v>
      </c>
      <c r="U82" s="1">
        <f>(($O82*S82)+($P82*S82)+($Q82*S82))*'Prices&amp;Fuel'!$H82</f>
        <v>1821356.4000000001</v>
      </c>
      <c r="V82" s="13">
        <f t="shared" si="99"/>
        <v>9036</v>
      </c>
      <c r="AF82" s="1">
        <f>(32000/(1-'Prices&amp;Fuel'!F82))+(25000/(1-'Prices&amp;Fuel'!G82))-AI82</f>
        <v>58611.825192802062</v>
      </c>
      <c r="AG82" s="1">
        <v>0</v>
      </c>
      <c r="AH82" s="1">
        <f>(75000/(1-'Prices&amp;Fuel'!G82))-AK82</f>
        <v>77120.822622107968</v>
      </c>
      <c r="AI82" s="1"/>
      <c r="AJ82" s="1"/>
      <c r="AK82" s="1"/>
      <c r="AL82" s="21">
        <f>ROUND((132000/(1-'Prices&amp;Fuel'!F82))-AF82-AG82-AH82,0)</f>
        <v>0</v>
      </c>
      <c r="AM82" s="1">
        <f t="shared" si="51"/>
        <v>0</v>
      </c>
      <c r="AO82" s="1">
        <f>ROUND((75000/(1-'Prices&amp;Fuel'!G82)-AV82-AK82)/2,0)</f>
        <v>38560</v>
      </c>
      <c r="AP82" s="1">
        <f t="shared" si="110"/>
        <v>58611.825192802062</v>
      </c>
      <c r="AR82" s="1">
        <f t="shared" si="111"/>
        <v>0</v>
      </c>
      <c r="AT82" s="13">
        <f t="shared" si="107"/>
        <v>38560.822622107968</v>
      </c>
      <c r="AU82" s="13">
        <f>AL82*AX82*'Prices&amp;Fuel'!H82</f>
        <v>0</v>
      </c>
      <c r="AW82" s="20">
        <f t="shared" si="112"/>
        <v>7.0000000000000007E-2</v>
      </c>
      <c r="AX82" s="20">
        <f t="shared" si="93"/>
        <v>2.5000000000000001E-2</v>
      </c>
      <c r="AY82" s="6">
        <f>('Prices&amp;Fuel'!H82*('Prices&amp;Fuel'!B82+AW82)*'Long Term Deals'!AF82)+('Prices&amp;Fuel'!H82*('Prices&amp;Fuel'!C82+'Long Term Deals'!AW82)*'Long Term Deals'!AG82)+(AH82*('Prices&amp;Fuel'!C82+AW82)*'Prices&amp;Fuel'!H82)+(AW82*AL82*'Prices&amp;Fuel'!H82)</f>
        <v>11851788.956298202</v>
      </c>
      <c r="AZ82" s="6">
        <f>(AP82*'Prices&amp;Fuel'!H82*'Prices&amp;Fuel'!B82)+(AQ82*'Prices&amp;Fuel'!C82*'Prices&amp;Fuel'!H82)+((AM82+AR82)*('Prices&amp;Fuel'!B82+'Long Term Deals'!AX82)*'Prices&amp;Fuel'!H82)+((AN82+AS82)*('Prices&amp;Fuel'!C82+'Long Term Deals'!AX82)*'Prices&amp;Fuel'!H82)+((AO82+AT82)*('Prices&amp;Fuel'!D82+'Long Term Deals'!AX82)*'Prices&amp;Fuel'!H82)+(AV82*'Prices&amp;Fuel'!H82*'Prices&amp;Fuel'!Q82)+AU82</f>
        <v>11508909.778920311</v>
      </c>
      <c r="BA82" s="6">
        <f t="shared" si="101"/>
        <v>342879.1773778908</v>
      </c>
      <c r="BB82" s="6">
        <f>IF('FP Corp'!T82-((BE82+BF82+BG82)*(1-'Prices&amp;Fuel'!F82))&lt;'Prices&amp;Fuel'!R82,('FP Corp'!T82-(BE82+BF82+BG82)*(1-'Prices&amp;Fuel'!F82)),'Prices&amp;Fuel'!R82)/(1-'Prices&amp;Fuel'!F82)</f>
        <v>6278.6632390745499</v>
      </c>
      <c r="BC82" s="14"/>
      <c r="BD82" s="14">
        <f>ROUND(IF('FP Corp'!T82/(1-'Prices&amp;Fuel'!F82)-BE82-BF82-BG82-BB82&gt;'Prices&amp;Fuel'!T82,'Prices&amp;Fuel'!T82,'FP Corp'!T82/(1-'Prices&amp;Fuel'!F82)-BE82-BF82-BG82-BB82),9)</f>
        <v>0</v>
      </c>
      <c r="BE82" s="14">
        <f>'Prices&amp;Fuel'!U82/(1-'Prices&amp;Fuel'!F82)</f>
        <v>1933.1619537275064</v>
      </c>
      <c r="BF82" s="14">
        <f>('Prices&amp;Fuel'!V82+'Prices&amp;Fuel'!X82)/(1-'Prices&amp;Fuel'!F82)</f>
        <v>2833.9331619537274</v>
      </c>
      <c r="BG82" s="14">
        <f>'Prices&amp;Fuel'!W82/(1-'Prices&amp;Fuel'!F82)</f>
        <v>1293.5732647814909</v>
      </c>
      <c r="BH82" s="25">
        <f>('Prices&amp;Fuel'!C82+'Prices&amp;Fuel'!D82)/2-0.05+('Prices&amp;Fuel'!M82+'Prices&amp;Fuel'!P82)*(1-'Prices&amp;Fuel'!F82)</f>
        <v>3.5359297500000011</v>
      </c>
      <c r="BI82" s="14">
        <f t="shared" si="114"/>
        <v>6278.6632390745499</v>
      </c>
      <c r="BJ82" s="14"/>
      <c r="BK82" s="25">
        <f>(((BB82+BE82)*('Prices&amp;Fuel'!B82+0.025))+(('Prices&amp;Fuel'!D82+0.025)*(BD82+BG82))+(('Prices&amp;Fuel'!C82+0.025)*(BC82+BF82))-(BI82+BJ82)*0.025)/(BB82+BC82+BD82+BE82+BF82+BG82)</f>
        <v>2.8335885000000007</v>
      </c>
      <c r="BL82" s="14">
        <f>(BB82+BC82+BD82+BE82+BF82+BG82)*BH82*'Prices&amp;Fuel'!H82</f>
        <v>1308930.2930591262</v>
      </c>
      <c r="BM82" s="14">
        <f>'Prices&amp;Fuel'!X82*('Prices&amp;Fuel'!N82+'Prices&amp;Fuel'!O82)*'Prices&amp;Fuel'!H82</f>
        <v>8621.0457434283617</v>
      </c>
      <c r="BN82" s="14">
        <f>('Prices&amp;Fuel'!U82+'Prices&amp;Fuel'!V82+'Prices&amp;Fuel'!W82)*('Prices&amp;Fuel'!L82+'Prices&amp;Fuel'!O82)*'Prices&amp;Fuel'!H82</f>
        <v>65774.918549055918</v>
      </c>
      <c r="BO82" s="14">
        <f>((BB82+BC82+BD82)*(1-'Prices&amp;Fuel'!G82))*('Prices&amp;Fuel'!M82+'Prices&amp;Fuel'!P82)*'Prices&amp;Fuel'!H82</f>
        <v>140224.29</v>
      </c>
      <c r="BP82" s="14">
        <f>((BD82+BC82+BB82+BE82+BF82+BG82)*BK82*'Prices&amp;Fuel'!H82)+BM82+BN82+BO82</f>
        <v>1263557.8995367005</v>
      </c>
      <c r="BQ82" s="6">
        <f t="shared" ref="BQ82:BQ97" si="115">BL82-BP82</f>
        <v>45372.393522425788</v>
      </c>
      <c r="CA82" s="6">
        <f>(AF82+AG82+AH82+AL82)*0.005*'Prices&amp;Fuel'!H82</f>
        <v>20359.897172236506</v>
      </c>
      <c r="CB82" s="6">
        <f>(B82+C82+D82+O82+P82+Q82+X82+Y82+BB82+BC82+BD82+BE82+BF82+BG82+BR82+BS82)*0.005*'Prices&amp;Fuel'!H82</f>
        <v>5615.89974293059</v>
      </c>
      <c r="CC82" s="1">
        <f t="shared" si="103"/>
        <v>14991111.649357328</v>
      </c>
      <c r="CD82" s="1">
        <f t="shared" si="104"/>
        <v>14619799.875372181</v>
      </c>
      <c r="CE82" s="1">
        <f t="shared" si="105"/>
        <v>371311.77398514748</v>
      </c>
      <c r="CF82" s="1">
        <f>'Index Price Deals'!AR82</f>
        <v>0</v>
      </c>
      <c r="CG82" s="1">
        <f>'Index Price Deals'!AS82</f>
        <v>0</v>
      </c>
      <c r="CH82" s="1">
        <f>'Index Price Deals'!AT82</f>
        <v>0</v>
      </c>
      <c r="CI82" s="1">
        <f>'Index Price Deals'!AU82</f>
        <v>0</v>
      </c>
      <c r="CJ82" s="1">
        <f t="shared" si="102"/>
        <v>14991111.649357328</v>
      </c>
      <c r="CK82" s="1">
        <f t="shared" si="96"/>
        <v>14619799.875372181</v>
      </c>
      <c r="CL82" s="1">
        <f t="shared" si="96"/>
        <v>371311.77398514748</v>
      </c>
      <c r="CM82" s="30"/>
      <c r="CN82" s="1">
        <f>Transport!U82</f>
        <v>0</v>
      </c>
      <c r="CO82" s="57"/>
      <c r="CQ82" s="1">
        <f>(((($B82+$C82+$D82+$O82+$P82+$Q82)*0.5)+BR82+BS82)*(0.005*'Prices&amp;Fuel'!$H82)+'Index Price Deals'!AV82)+(((BB82+BC82+BD82+BE82+BF82+BG82)*(1-'Prices&amp;Fuel'!F82))*0.005*0.5*'Prices&amp;Fuel'!H82)</f>
        <v>2782.5</v>
      </c>
      <c r="CR82" s="1">
        <f>(((($B82+$C82+$D82+$O82+$P82+$Q82)*0.5)+X82+Y82)*(0.005*'Prices&amp;Fuel'!$H82)+CA82+'Index Price Deals'!AW82)+(((BB82+BC82+BD82+BE82+BF82+BG82)*(1-'Prices&amp;Fuel'!F82))*0.005*0.5*'Prices&amp;Fuel'!H82)</f>
        <v>23142.397172236506</v>
      </c>
      <c r="CS82" s="21"/>
      <c r="CT82" s="1">
        <f>[3]Sheet1!$O97</f>
        <v>-95635.546519772019</v>
      </c>
      <c r="CU82" s="1">
        <f>'[4]Long Term Deals'!$Z81</f>
        <v>-33769.415777134331</v>
      </c>
      <c r="CV82" s="60">
        <f t="shared" si="106"/>
        <v>433177.90472778515</v>
      </c>
      <c r="CW82" s="13">
        <f>((B82+C82+D82+O82+P82+Q82+X82+Y82+AF82+AG82+AH82+BB82+BC82+BD82+BE82+BF82+BG82+BR82+BS82)+('Index Price Deals'!B82+'Index Price Deals'!C82+'Index Price Deals'!D82+'Index Price Deals'!L82+'Index Price Deals'!M82+'Index Price Deals'!N82+'Index Price Deals'!AD82+'Index Price Deals'!AE82+'Index Price Deals'!AF82+'Index Price Deals'!AK82+'Index Price Deals'!AL82+'Index Price Deals'!AM82))*'Prices&amp;Fuel'!H82</f>
        <v>5195159.38303342</v>
      </c>
      <c r="DB82" s="3">
        <f>(O82+P82+Q82)*'Prices&amp;Fuel'!$H82</f>
        <v>753000</v>
      </c>
      <c r="DE82" s="3">
        <v>132000</v>
      </c>
    </row>
    <row r="83" spans="1:109" x14ac:dyDescent="0.25">
      <c r="A83" s="10">
        <f t="shared" si="113"/>
        <v>38121.499999999811</v>
      </c>
      <c r="O83" s="1">
        <v>9036</v>
      </c>
      <c r="P83" s="1">
        <v>10794</v>
      </c>
      <c r="Q83" s="1">
        <v>5270</v>
      </c>
      <c r="R83" s="11">
        <f t="shared" si="108"/>
        <v>2.4308000000000001</v>
      </c>
      <c r="S83" s="11">
        <f t="shared" si="109"/>
        <v>2.4188000000000001</v>
      </c>
      <c r="T83" s="1">
        <f>(($O83*R83)+($P83*R83)+($Q83*R83))*'Prices&amp;Fuel'!$H83</f>
        <v>1891405.48</v>
      </c>
      <c r="U83" s="1">
        <f>(($O83*S83)+($P83*S83)+($Q83*S83))*'Prices&amp;Fuel'!$H83</f>
        <v>1882068.2800000003</v>
      </c>
      <c r="V83" s="13">
        <f t="shared" si="99"/>
        <v>9337.1999999997206</v>
      </c>
      <c r="AF83" s="1">
        <f>((126000)/(1-'Prices&amp;Fuel'!F83))+(25000/(1-'Prices&amp;Fuel'!G83))-AI83</f>
        <v>155269.92287917738</v>
      </c>
      <c r="AG83" s="1">
        <v>0</v>
      </c>
      <c r="AH83" s="1">
        <f>(75000/(1-'Prices&amp;Fuel'!G83))-AK83</f>
        <v>77120.822622107968</v>
      </c>
      <c r="AI83" s="1"/>
      <c r="AJ83" s="1"/>
      <c r="AK83" s="1"/>
      <c r="AL83" s="21">
        <f>ROUND((226000/(1-'Prices&amp;Fuel'!F83))-AF83-AG83-AH83,0)</f>
        <v>0</v>
      </c>
      <c r="AM83" s="1">
        <f t="shared" si="51"/>
        <v>37635</v>
      </c>
      <c r="AO83" s="1">
        <f>ROUND((75000/(1-'Prices&amp;Fuel'!G83)-AV83-AK83)/2,0)</f>
        <v>38560</v>
      </c>
      <c r="AP83" s="1">
        <f t="shared" ref="AP83:AP98" si="116">IF(80000&gt;AF83,AF83,80000)</f>
        <v>80000</v>
      </c>
      <c r="AR83" s="1">
        <f t="shared" si="111"/>
        <v>37634.922879177378</v>
      </c>
      <c r="AT83" s="13">
        <f t="shared" si="107"/>
        <v>38560.822622107968</v>
      </c>
      <c r="AU83" s="13">
        <f>AL83*AX83*'Prices&amp;Fuel'!H83</f>
        <v>0</v>
      </c>
      <c r="AW83" s="20">
        <f t="shared" si="112"/>
        <v>7.0000000000000007E-2</v>
      </c>
      <c r="AX83" s="20">
        <f t="shared" si="93"/>
        <v>2.5000000000000001E-2</v>
      </c>
      <c r="AY83" s="6">
        <f>('Prices&amp;Fuel'!H83*('Prices&amp;Fuel'!B83+AW83)*'Long Term Deals'!AF83)+('Prices&amp;Fuel'!H83*('Prices&amp;Fuel'!C83+'Long Term Deals'!AW83)*'Long Term Deals'!AG83)+(AH83*('Prices&amp;Fuel'!C83+AW83)*'Prices&amp;Fuel'!H83)+(AW83*AL83*'Prices&amp;Fuel'!H83)</f>
        <v>22262233.213367611</v>
      </c>
      <c r="AZ83" s="6">
        <f>(AP83*'Prices&amp;Fuel'!H83*'Prices&amp;Fuel'!B83)+(AQ83*'Prices&amp;Fuel'!C83*'Prices&amp;Fuel'!H83)+((AM83+AR83)*('Prices&amp;Fuel'!B83+'Long Term Deals'!AX83)*'Prices&amp;Fuel'!H83)+((AN83+AS83)*('Prices&amp;Fuel'!C83+'Long Term Deals'!AX83)*'Prices&amp;Fuel'!H83)+((AO83+AT83)*('Prices&amp;Fuel'!D83+'Long Term Deals'!AX83)*'Prices&amp;Fuel'!H83)+(AV83*'Prices&amp;Fuel'!H83*'Prices&amp;Fuel'!Q83)+AU83</f>
        <v>21756510.848329056</v>
      </c>
      <c r="BA83" s="6">
        <f t="shared" si="101"/>
        <v>505722.36503855512</v>
      </c>
      <c r="BB83" s="6">
        <f>IF('FP Corp'!T83-((BE83+BF83+BG83)*(1-'Prices&amp;Fuel'!F83))&lt;'Prices&amp;Fuel'!R83,('FP Corp'!T83-(BE83+BF83+BG83)*(1-'Prices&amp;Fuel'!F83)),'Prices&amp;Fuel'!R83)/(1-'Prices&amp;Fuel'!F83)</f>
        <v>8976.8637532133671</v>
      </c>
      <c r="BC83" s="14"/>
      <c r="BD83" s="14">
        <f>ROUND(IF('FP Corp'!T83/(1-'Prices&amp;Fuel'!F83)-BE83-BF83-BG83-BB83&gt;'Prices&amp;Fuel'!T83,'Prices&amp;Fuel'!T83,'FP Corp'!T83/(1-'Prices&amp;Fuel'!F83)-BE83-BF83-BG83-BB83),9)</f>
        <v>6556.2982005140002</v>
      </c>
      <c r="BE83" s="14">
        <f>'Prices&amp;Fuel'!U83/(1-'Prices&amp;Fuel'!F83)</f>
        <v>1933.1619537275064</v>
      </c>
      <c r="BF83" s="14">
        <f>('Prices&amp;Fuel'!V83+'Prices&amp;Fuel'!X83)/(1-'Prices&amp;Fuel'!F83)</f>
        <v>3062.2107969151671</v>
      </c>
      <c r="BG83" s="14">
        <f>'Prices&amp;Fuel'!W83/(1-'Prices&amp;Fuel'!F83)</f>
        <v>1065.2956298200513</v>
      </c>
      <c r="BH83" s="25">
        <f>('Prices&amp;Fuel'!C83+'Prices&amp;Fuel'!D83)/2-0.05+('Prices&amp;Fuel'!M83+'Prices&amp;Fuel'!P83)*(1-'Prices&amp;Fuel'!F83)</f>
        <v>3.7297487500000011</v>
      </c>
      <c r="BI83" s="14">
        <f t="shared" si="114"/>
        <v>0</v>
      </c>
      <c r="BJ83" s="14"/>
      <c r="BK83" s="25">
        <f>(((BB83+BE83)*('Prices&amp;Fuel'!B83+0.025))+(('Prices&amp;Fuel'!D83+0.025)*(BD83+BG83))+(('Prices&amp;Fuel'!C83+0.025)*(BC83+BF83))-(BI83+BJ83)*0.025)/(BB83+BC83+BD83+BE83+BF83+BG83)</f>
        <v>3.0373380952380957</v>
      </c>
      <c r="BL83" s="14">
        <f>(BB83+BC83+BD83+BE83+BF83+BG83)*BH83*'Prices&amp;Fuel'!H83</f>
        <v>2496726.4125963855</v>
      </c>
      <c r="BM83" s="14">
        <f>'Prices&amp;Fuel'!X83*('Prices&amp;Fuel'!N83+'Prices&amp;Fuel'!O83)*'Prices&amp;Fuel'!H83</f>
        <v>8908.4139348759727</v>
      </c>
      <c r="BN83" s="14">
        <f>('Prices&amp;Fuel'!U83+'Prices&amp;Fuel'!V83+'Prices&amp;Fuel'!W83)*('Prices&amp;Fuel'!L83+'Prices&amp;Fuel'!O83)*'Prices&amp;Fuel'!H83</f>
        <v>67967.415834024447</v>
      </c>
      <c r="BO83" s="14">
        <f>((BB83+BC83+BD83)*(1-'Prices&amp;Fuel'!G83))*('Prices&amp;Fuel'!M83+'Prices&amp;Fuel'!P83)*'Prices&amp;Fuel'!H83</f>
        <v>358472.93299999676</v>
      </c>
      <c r="BP83" s="14">
        <f>((BD83+BC83+BB83+BE83+BF83+BG83)*BK83*'Prices&amp;Fuel'!H83)+BM83+BN83+BO83</f>
        <v>2468569.4311493472</v>
      </c>
      <c r="BQ83" s="6">
        <f t="shared" si="115"/>
        <v>28156.981447038241</v>
      </c>
      <c r="CA83" s="6">
        <f>(AF83+AG83+AH83+AL83)*0.005*'Prices&amp;Fuel'!H83</f>
        <v>36020.565552699227</v>
      </c>
      <c r="CB83" s="6">
        <f>(B83+C83+D83+O83+P83+Q83+X83+Y83+BB83+BC83+BD83+BE83+BF83+BG83+BR83+BS83)*0.005*'Prices&amp;Fuel'!H83</f>
        <v>7237.5437017994636</v>
      </c>
      <c r="CC83" s="1">
        <f t="shared" si="103"/>
        <v>26650365.105963998</v>
      </c>
      <c r="CD83" s="1">
        <f t="shared" si="104"/>
        <v>26150406.668732904</v>
      </c>
      <c r="CE83" s="1">
        <f t="shared" si="105"/>
        <v>499958.43723109365</v>
      </c>
      <c r="CF83" s="1">
        <f>'Index Price Deals'!AR83</f>
        <v>0</v>
      </c>
      <c r="CG83" s="1">
        <f>'Index Price Deals'!AS83</f>
        <v>0</v>
      </c>
      <c r="CH83" s="1">
        <f>'Index Price Deals'!AT83</f>
        <v>0</v>
      </c>
      <c r="CI83" s="1">
        <f>'Index Price Deals'!AU83</f>
        <v>0</v>
      </c>
      <c r="CJ83" s="1">
        <f t="shared" si="102"/>
        <v>26650365.105963998</v>
      </c>
      <c r="CK83" s="1">
        <f t="shared" si="96"/>
        <v>26150406.668732904</v>
      </c>
      <c r="CL83" s="1">
        <f t="shared" si="96"/>
        <v>499958.43723109365</v>
      </c>
      <c r="CM83" s="30"/>
      <c r="CN83" s="1">
        <f>Transport!U83</f>
        <v>3.1490140827372673E-9</v>
      </c>
      <c r="CO83" s="57"/>
      <c r="CQ83" s="1">
        <f>(((($B83+$C83+$D83+$O83+$P83+$Q83)*0.5)+BR83+BS83)*(0.005*'Prices&amp;Fuel'!$H83)+'Index Price Deals'!AV83)+(((BB83+BC83+BD83+BE83+BF83+BG83)*(1-'Prices&amp;Fuel'!F83))*0.005*0.5*'Prices&amp;Fuel'!H83)</f>
        <v>3572.7499999999895</v>
      </c>
      <c r="CR83" s="1">
        <f>(((($B83+$C83+$D83+$O83+$P83+$Q83)*0.5)+X83+Y83)*(0.005*'Prices&amp;Fuel'!$H83)+CA83+'Index Price Deals'!AW83)+(((BB83+BC83+BD83+BE83+BF83+BG83)*(1-'Prices&amp;Fuel'!F83))*0.005*0.5*'Prices&amp;Fuel'!H83)</f>
        <v>39593.31555269922</v>
      </c>
      <c r="CS83" s="21"/>
      <c r="CT83" s="1">
        <f>[3]Sheet1!$O98</f>
        <v>-169197.63609028351</v>
      </c>
      <c r="CU83" s="1">
        <f>'[4]Long Term Deals'!$Z82</f>
        <v>-43972.901883593106</v>
      </c>
      <c r="CV83" s="60">
        <f t="shared" si="106"/>
        <v>625183.17143778095</v>
      </c>
      <c r="CW83" s="13">
        <f>((B83+C83+D83+O83+P83+Q83+X83+Y83+AF83+AG83+AH83+BB83+BC83+BD83+BE83+BF83+BG83+BR83+BS83)+('Index Price Deals'!B83+'Index Price Deals'!C83+'Index Price Deals'!D83+'Index Price Deals'!L83+'Index Price Deals'!M83+'Index Price Deals'!N83+'Index Price Deals'!AD83+'Index Price Deals'!AE83+'Index Price Deals'!AF83+'Index Price Deals'!AK83+'Index Price Deals'!AL83+'Index Price Deals'!AM83))*'Prices&amp;Fuel'!H83</f>
        <v>8651621.8508997373</v>
      </c>
      <c r="DB83" s="3">
        <f>(O83+P83+Q83)*'Prices&amp;Fuel'!$H83</f>
        <v>778100</v>
      </c>
      <c r="DE83" s="3">
        <v>226000</v>
      </c>
    </row>
    <row r="84" spans="1:109" x14ac:dyDescent="0.25">
      <c r="A84" s="10">
        <f t="shared" si="113"/>
        <v>38151.916666666475</v>
      </c>
      <c r="O84" s="1">
        <v>9036</v>
      </c>
      <c r="P84" s="1">
        <v>10794</v>
      </c>
      <c r="Q84" s="1">
        <v>5270</v>
      </c>
      <c r="R84" s="11">
        <f t="shared" si="108"/>
        <v>2.4308000000000001</v>
      </c>
      <c r="S84" s="11">
        <f t="shared" si="109"/>
        <v>2.4188000000000001</v>
      </c>
      <c r="T84" s="1">
        <f>(($O84*R84)+($P84*R84)+($Q84*R84))*'Prices&amp;Fuel'!$H84</f>
        <v>1830392.4000000001</v>
      </c>
      <c r="U84" s="1">
        <f>(($O84*S84)+($P84*S84)+($Q84*S84))*'Prices&amp;Fuel'!$H84</f>
        <v>1821356.4000000001</v>
      </c>
      <c r="V84" s="13">
        <f t="shared" si="99"/>
        <v>9036</v>
      </c>
      <c r="AF84" s="1">
        <f>((126000)/(1-'Prices&amp;Fuel'!F84))+(25000/(1-'Prices&amp;Fuel'!G84))-AI84</f>
        <v>155269.92287917738</v>
      </c>
      <c r="AG84" s="1">
        <v>0</v>
      </c>
      <c r="AH84" s="1">
        <f>(75000/(1-'Prices&amp;Fuel'!G84))-AK84</f>
        <v>77120.822622107968</v>
      </c>
      <c r="AI84" s="1"/>
      <c r="AJ84" s="1"/>
      <c r="AK84" s="1"/>
      <c r="AL84" s="21">
        <f>ROUND((226000/(1-'Prices&amp;Fuel'!F84))-AF84-AG84-AH84,0)</f>
        <v>0</v>
      </c>
      <c r="AM84" s="1">
        <f t="shared" si="51"/>
        <v>37635</v>
      </c>
      <c r="AO84" s="1">
        <f>ROUND((75000/(1-'Prices&amp;Fuel'!G84)-AV84-AK84)/2,0)</f>
        <v>38560</v>
      </c>
      <c r="AP84" s="1">
        <f t="shared" si="116"/>
        <v>80000</v>
      </c>
      <c r="AR84" s="1">
        <f t="shared" si="111"/>
        <v>37634.922879177378</v>
      </c>
      <c r="AT84" s="13">
        <f t="shared" si="107"/>
        <v>38560.822622107968</v>
      </c>
      <c r="AU84" s="13">
        <f>AL84*AX84*'Prices&amp;Fuel'!H84</f>
        <v>0</v>
      </c>
      <c r="AW84" s="20">
        <f t="shared" si="112"/>
        <v>7.0000000000000007E-2</v>
      </c>
      <c r="AX84" s="20">
        <f t="shared" si="93"/>
        <v>2.5000000000000001E-2</v>
      </c>
      <c r="AY84" s="6">
        <f>('Prices&amp;Fuel'!H84*('Prices&amp;Fuel'!B84+AW84)*'Long Term Deals'!AF84)+('Prices&amp;Fuel'!H84*('Prices&amp;Fuel'!C84+'Long Term Deals'!AW84)*'Long Term Deals'!AG84)+(AH84*('Prices&amp;Fuel'!C84+AW84)*'Prices&amp;Fuel'!H84)+(AW84*AL84*'Prices&amp;Fuel'!H84)</f>
        <v>30860625.377892025</v>
      </c>
      <c r="AZ84" s="6">
        <f>(AP84*'Prices&amp;Fuel'!H84*'Prices&amp;Fuel'!B84)+(AQ84*'Prices&amp;Fuel'!C84*'Prices&amp;Fuel'!H84)+((AM84+AR84)*('Prices&amp;Fuel'!B84+'Long Term Deals'!AX84)*'Prices&amp;Fuel'!H84)+((AN84+AS84)*('Prices&amp;Fuel'!C84+'Long Term Deals'!AX84)*'Prices&amp;Fuel'!H84)+((AO84+AT84)*('Prices&amp;Fuel'!D84+'Long Term Deals'!AX84)*'Prices&amp;Fuel'!H84)+(AV84*'Prices&amp;Fuel'!H84*'Prices&amp;Fuel'!Q84)+AU84</f>
        <v>30371216.63753213</v>
      </c>
      <c r="BA84" s="6">
        <f t="shared" si="101"/>
        <v>489408.74035989493</v>
      </c>
      <c r="BB84" s="6">
        <f>IF('FP Corp'!T84-((BE84+BF84+BG84)*(1-'Prices&amp;Fuel'!F84))&lt;'Prices&amp;Fuel'!R84,('FP Corp'!T84-(BE84+BF84+BG84)*(1-'Prices&amp;Fuel'!F84)),'Prices&amp;Fuel'!R84)/(1-'Prices&amp;Fuel'!F84)</f>
        <v>8976.8637532133671</v>
      </c>
      <c r="BC84" s="14"/>
      <c r="BD84" s="14">
        <f>ROUND(IF('FP Corp'!T84/(1-'Prices&amp;Fuel'!F84)-BE84-BF84-BG84-BB84&gt;'Prices&amp;Fuel'!T84,'Prices&amp;Fuel'!T84,'FP Corp'!T84/(1-'Prices&amp;Fuel'!F84)-BE84-BF84-BG84-BB84),9)</f>
        <v>6556.2982005140002</v>
      </c>
      <c r="BE84" s="14">
        <f>'Prices&amp;Fuel'!U84/(1-'Prices&amp;Fuel'!F84)</f>
        <v>1933.1619537275064</v>
      </c>
      <c r="BF84" s="14">
        <f>('Prices&amp;Fuel'!V84+'Prices&amp;Fuel'!X84)/(1-'Prices&amp;Fuel'!F84)</f>
        <v>3062.2107969151671</v>
      </c>
      <c r="BG84" s="14">
        <f>'Prices&amp;Fuel'!W84/(1-'Prices&amp;Fuel'!F84)</f>
        <v>1065.2956298200513</v>
      </c>
      <c r="BH84" s="25">
        <f>('Prices&amp;Fuel'!C84+'Prices&amp;Fuel'!D84)/2-0.05+('Prices&amp;Fuel'!M84+'Prices&amp;Fuel'!P84)*(1-'Prices&amp;Fuel'!F84)</f>
        <v>5.0660797499999992</v>
      </c>
      <c r="BI84" s="14">
        <f t="shared" si="114"/>
        <v>0</v>
      </c>
      <c r="BJ84" s="14"/>
      <c r="BK84" s="25">
        <f>(((BB84+BE84)*('Prices&amp;Fuel'!B84+0.025))+(('Prices&amp;Fuel'!D84+0.025)*(BD84+BG84))+(('Prices&amp;Fuel'!C84+0.025)*(BC84+BF84))-(BI84+BJ84)*0.025)/(BB84+BC84+BD84+BE84+BF84+BG84)</f>
        <v>4.3736690952380961</v>
      </c>
      <c r="BL84" s="14">
        <f>(BB84+BC84+BD84+BE84+BF84+BG84)*BH84*'Prices&amp;Fuel'!H84</f>
        <v>3281881.9974292838</v>
      </c>
      <c r="BM84" s="14">
        <f>'Prices&amp;Fuel'!X84*('Prices&amp;Fuel'!N84+'Prices&amp;Fuel'!O84)*'Prices&amp;Fuel'!H84</f>
        <v>8621.0457434283617</v>
      </c>
      <c r="BN84" s="14">
        <f>('Prices&amp;Fuel'!U84+'Prices&amp;Fuel'!V84+'Prices&amp;Fuel'!W84)*('Prices&amp;Fuel'!L84+'Prices&amp;Fuel'!O84)*'Prices&amp;Fuel'!H84</f>
        <v>65774.918549055918</v>
      </c>
      <c r="BO84" s="14">
        <f>((BB84+BC84+BD84)*(1-'Prices&amp;Fuel'!G84))*('Prices&amp;Fuel'!M84+'Prices&amp;Fuel'!P84)*'Prices&amp;Fuel'!H84</f>
        <v>346909.28999999689</v>
      </c>
      <c r="BP84" s="14">
        <f>((BD84+BC84+BB84+BE84+BF84+BG84)*BK84*'Prices&amp;Fuel'!H84)+BM84+BN84+BO84</f>
        <v>3254633.3057063441</v>
      </c>
      <c r="BQ84" s="6">
        <f t="shared" si="115"/>
        <v>27248.691722939722</v>
      </c>
      <c r="CA84" s="6">
        <f>(AF84+AG84+AH84+AL84)*0.005*'Prices&amp;Fuel'!H84</f>
        <v>34858.611825192798</v>
      </c>
      <c r="CB84" s="6">
        <f>(B84+C84+D84+O84+P84+Q84+X84+Y84+BB84+BC84+BD84+BE84+BF84+BG84+BR84+BS84)*0.005*'Prices&amp;Fuel'!H84</f>
        <v>7004.0745501285137</v>
      </c>
      <c r="CC84" s="1">
        <f t="shared" si="103"/>
        <v>35972899.775321305</v>
      </c>
      <c r="CD84" s="1">
        <f t="shared" si="104"/>
        <v>35489069.029613793</v>
      </c>
      <c r="CE84" s="1">
        <f t="shared" si="105"/>
        <v>483830.7457075119</v>
      </c>
      <c r="CF84" s="1">
        <f>'Index Price Deals'!AR84</f>
        <v>0</v>
      </c>
      <c r="CG84" s="1">
        <f>'Index Price Deals'!AS84</f>
        <v>0</v>
      </c>
      <c r="CH84" s="1">
        <f>'Index Price Deals'!AT84</f>
        <v>0</v>
      </c>
      <c r="CI84" s="1">
        <f>'Index Price Deals'!AU84</f>
        <v>0</v>
      </c>
      <c r="CJ84" s="1">
        <f t="shared" si="102"/>
        <v>35972899.775321305</v>
      </c>
      <c r="CK84" s="1">
        <f t="shared" si="96"/>
        <v>35489069.029613793</v>
      </c>
      <c r="CL84" s="1">
        <f t="shared" si="96"/>
        <v>483830.7457075119</v>
      </c>
      <c r="CM84" s="30"/>
      <c r="CN84" s="1">
        <f>Transport!U84</f>
        <v>3.0474329832941295E-9</v>
      </c>
      <c r="CO84" s="57"/>
      <c r="CQ84" s="1">
        <f>(((($B84+$C84+$D84+$O84+$P84+$Q84)*0.5)+BR84+BS84)*(0.005*'Prices&amp;Fuel'!$H84)+'Index Price Deals'!AV84)+(((BB84+BC84+BD84+BE84+BF84+BG84)*(1-'Prices&amp;Fuel'!F84))*0.005*0.5*'Prices&amp;Fuel'!H84)</f>
        <v>3457.49999999999</v>
      </c>
      <c r="CR84" s="1">
        <f>(((($B84+$C84+$D84+$O84+$P84+$Q84)*0.5)+X84+Y84)*(0.005*'Prices&amp;Fuel'!$H84)+CA84+'Index Price Deals'!AW84)+(((BB84+BC84+BD84+BE84+BF84+BG84)*(1-'Prices&amp;Fuel'!F84))*0.005*0.5*'Prices&amp;Fuel'!H84)</f>
        <v>38316.111825192791</v>
      </c>
      <c r="CS84" s="21"/>
      <c r="CT84" s="1">
        <f>[3]Sheet1!$O99</f>
        <v>-163739.64782930666</v>
      </c>
      <c r="CU84" s="1">
        <f>'[4]Long Term Deals'!$Z83</f>
        <v>-42554.421177670738</v>
      </c>
      <c r="CV84" s="60">
        <f t="shared" si="106"/>
        <v>605015.97235914483</v>
      </c>
      <c r="CW84" s="13">
        <f>((B84+C84+D84+O84+P84+Q84+X84+Y84+AF84+AG84+AH84+BB84+BC84+BD84+BE84+BF84+BG84+BR84+BS84)+('Index Price Deals'!B84+'Index Price Deals'!C84+'Index Price Deals'!D84+'Index Price Deals'!L84+'Index Price Deals'!M84+'Index Price Deals'!N84+'Index Price Deals'!AD84+'Index Price Deals'!AE84+'Index Price Deals'!AF84+'Index Price Deals'!AK84+'Index Price Deals'!AL84+'Index Price Deals'!AM84))*'Prices&amp;Fuel'!H84</f>
        <v>8372537.2750642626</v>
      </c>
      <c r="DB84" s="3">
        <f>(O84+P84+Q84)*'Prices&amp;Fuel'!$H84</f>
        <v>753000</v>
      </c>
      <c r="DE84" s="3">
        <v>226000</v>
      </c>
    </row>
    <row r="85" spans="1:109" x14ac:dyDescent="0.25">
      <c r="A85" s="10">
        <f t="shared" si="113"/>
        <v>38182.333333333139</v>
      </c>
      <c r="O85" s="1">
        <v>9036</v>
      </c>
      <c r="P85" s="1">
        <v>10794</v>
      </c>
      <c r="Q85" s="1">
        <v>5270</v>
      </c>
      <c r="R85" s="11">
        <v>3.0750000000000002</v>
      </c>
      <c r="S85" s="11">
        <f>R85-ROUND(0.01*1.02*1.02*1.02*1.02*1.02*1.02*1.02*1.02*1.02*1.02,4)</f>
        <v>3.0628000000000002</v>
      </c>
      <c r="T85" s="1">
        <f>(($O85*R85)+($P85*R85)+($Q85*R85))*'Prices&amp;Fuel'!$H85</f>
        <v>2392657.5</v>
      </c>
      <c r="U85" s="1">
        <f>(($O85*S85)+($P85*S85)+($Q85*S85))*'Prices&amp;Fuel'!$H85</f>
        <v>2383164.6800000002</v>
      </c>
      <c r="V85" s="13">
        <f t="shared" ref="V85:V100" si="117">T85-U85</f>
        <v>9492.8199999998324</v>
      </c>
      <c r="AF85" s="1">
        <f>((126000)/(1-'Prices&amp;Fuel'!F85))+(25000/(1-'Prices&amp;Fuel'!G85))-AI85</f>
        <v>155269.92287917738</v>
      </c>
      <c r="AG85" s="1">
        <v>0</v>
      </c>
      <c r="AH85" s="1">
        <f>(75000/(1-'Prices&amp;Fuel'!G85))-AK85</f>
        <v>77120.822622107968</v>
      </c>
      <c r="AI85" s="1"/>
      <c r="AJ85" s="1"/>
      <c r="AK85" s="1"/>
      <c r="AL85" s="21">
        <f>ROUND((226000/(1-'Prices&amp;Fuel'!F85))-AF85-AG85-AH85,0)</f>
        <v>0</v>
      </c>
      <c r="AM85" s="1">
        <f t="shared" si="51"/>
        <v>37635</v>
      </c>
      <c r="AO85" s="1">
        <f>ROUND((75000/(1-'Prices&amp;Fuel'!G85)-AV85-AK85)/2,0)</f>
        <v>38560</v>
      </c>
      <c r="AP85" s="1">
        <f t="shared" si="116"/>
        <v>80000</v>
      </c>
      <c r="AR85" s="1">
        <f t="shared" si="111"/>
        <v>37634.922879177378</v>
      </c>
      <c r="AT85" s="13">
        <f t="shared" si="107"/>
        <v>38560.822622107968</v>
      </c>
      <c r="AU85" s="13">
        <f>AL85*AX85*'Prices&amp;Fuel'!H85</f>
        <v>0</v>
      </c>
      <c r="AW85" s="20">
        <f t="shared" si="112"/>
        <v>7.0000000000000007E-2</v>
      </c>
      <c r="AX85" s="20">
        <f t="shared" si="93"/>
        <v>2.5000000000000001E-2</v>
      </c>
      <c r="AY85" s="6">
        <f>('Prices&amp;Fuel'!H85*('Prices&amp;Fuel'!B85+AW85)*'Long Term Deals'!AF85)+('Prices&amp;Fuel'!H85*('Prices&amp;Fuel'!C85+'Long Term Deals'!AW85)*'Long Term Deals'!AG85)+(AH85*('Prices&amp;Fuel'!C85+AW85)*'Prices&amp;Fuel'!H85)+(AW85*AL85*'Prices&amp;Fuel'!H85)</f>
        <v>31815823.732647818</v>
      </c>
      <c r="AZ85" s="6">
        <f>(AP85*'Prices&amp;Fuel'!H85*'Prices&amp;Fuel'!B85)+(AQ85*'Prices&amp;Fuel'!C85*'Prices&amp;Fuel'!H85)+((AM85+AR85)*('Prices&amp;Fuel'!B85+'Long Term Deals'!AX85)*'Prices&amp;Fuel'!H85)+((AN85+AS85)*('Prices&amp;Fuel'!C85+'Long Term Deals'!AX85)*'Prices&amp;Fuel'!H85)+((AO85+AT85)*('Prices&amp;Fuel'!D85+'Long Term Deals'!AX85)*'Prices&amp;Fuel'!H85)+(AV85*'Prices&amp;Fuel'!H85*'Prices&amp;Fuel'!Q85)+AU85</f>
        <v>31310101.367609259</v>
      </c>
      <c r="BA85" s="6">
        <f t="shared" ref="BA85:BA100" si="118">AY85-AZ85</f>
        <v>505722.36503855884</v>
      </c>
      <c r="BB85" s="6">
        <f>IF('FP Corp'!T85-((BE85+BF85+BG85)*(1-'Prices&amp;Fuel'!F85))&lt;'Prices&amp;Fuel'!R85,('FP Corp'!T85-(BE85+BF85+BG85)*(1-'Prices&amp;Fuel'!F85)),'Prices&amp;Fuel'!R85)/(1-'Prices&amp;Fuel'!F85)</f>
        <v>8976.8637532133671</v>
      </c>
      <c r="BC85" s="14"/>
      <c r="BD85" s="14">
        <f>ROUND(IF('FP Corp'!T85/(1-'Prices&amp;Fuel'!F85)-BE85-BF85-BG85-BB85&gt;'Prices&amp;Fuel'!T85,'Prices&amp;Fuel'!T85,'FP Corp'!T85/(1-'Prices&amp;Fuel'!F85)-BE85-BF85-BG85-BB85),9)</f>
        <v>6556.2982005140002</v>
      </c>
      <c r="BE85" s="14">
        <f>'Prices&amp;Fuel'!U85/(1-'Prices&amp;Fuel'!F85)</f>
        <v>1933.1619537275064</v>
      </c>
      <c r="BF85" s="14">
        <f>('Prices&amp;Fuel'!V85+'Prices&amp;Fuel'!X85)/(1-'Prices&amp;Fuel'!F85)</f>
        <v>3062.2107969151671</v>
      </c>
      <c r="BG85" s="14">
        <f>'Prices&amp;Fuel'!W85/(1-'Prices&amp;Fuel'!F85)</f>
        <v>1065.2956298200513</v>
      </c>
      <c r="BH85" s="25">
        <f>('Prices&amp;Fuel'!C85+'Prices&amp;Fuel'!D85)/2-0.05+('Prices&amp;Fuel'!M85+'Prices&amp;Fuel'!P85)*(1-'Prices&amp;Fuel'!F85)</f>
        <v>5.0558787500000006</v>
      </c>
      <c r="BI85" s="14">
        <f t="shared" si="114"/>
        <v>0</v>
      </c>
      <c r="BJ85" s="14"/>
      <c r="BK85" s="25">
        <f>(((BB85+BE85)*('Prices&amp;Fuel'!B85+0.025))+(('Prices&amp;Fuel'!D85+0.025)*(BD85+BG85))+(('Prices&amp;Fuel'!C85+0.025)*(BC85+BF85))-(BI85+BJ85)*0.025)/(BB85+BC85+BD85+BE85+BF85+BG85)</f>
        <v>4.3634680952380958</v>
      </c>
      <c r="BL85" s="14">
        <f>(BB85+BC85+BD85+BE85+BF85+BG85)*BH85*'Prices&amp;Fuel'!H85</f>
        <v>3384449.42544985</v>
      </c>
      <c r="BM85" s="14">
        <f>'Prices&amp;Fuel'!X85*('Prices&amp;Fuel'!N85+'Prices&amp;Fuel'!O85)*'Prices&amp;Fuel'!H85</f>
        <v>8908.4139348759727</v>
      </c>
      <c r="BN85" s="14">
        <f>('Prices&amp;Fuel'!U85+'Prices&amp;Fuel'!V85+'Prices&amp;Fuel'!W85)*('Prices&amp;Fuel'!L85+'Prices&amp;Fuel'!O85)*'Prices&amp;Fuel'!H85</f>
        <v>67967.415834024447</v>
      </c>
      <c r="BO85" s="14">
        <f>((BB85+BC85+BD85)*(1-'Prices&amp;Fuel'!G85))*('Prices&amp;Fuel'!M85+'Prices&amp;Fuel'!P85)*'Prices&amp;Fuel'!H85</f>
        <v>358472.93299999676</v>
      </c>
      <c r="BP85" s="14">
        <f>((BD85+BC85+BB85+BE85+BF85+BG85)*BK85*'Prices&amp;Fuel'!H85)+BM85+BN85+BO85</f>
        <v>3356292.4440028113</v>
      </c>
      <c r="BQ85" s="6">
        <f t="shared" si="115"/>
        <v>28156.981447038706</v>
      </c>
      <c r="CA85" s="6">
        <f>(AF85+AG85+AH85+AL85)*0.005*'Prices&amp;Fuel'!H85</f>
        <v>36020.565552699227</v>
      </c>
      <c r="CB85" s="6">
        <f>(B85+C85+D85+O85+P85+Q85+X85+Y85+BB85+BC85+BD85+BE85+BF85+BG85+BR85+BS85)*0.005*'Prices&amp;Fuel'!H85</f>
        <v>7237.5437017994636</v>
      </c>
      <c r="CC85" s="1">
        <f t="shared" si="103"/>
        <v>37592930.658097669</v>
      </c>
      <c r="CD85" s="1">
        <f t="shared" si="104"/>
        <v>37092816.600866571</v>
      </c>
      <c r="CE85" s="1">
        <f t="shared" si="105"/>
        <v>500114.05723109841</v>
      </c>
      <c r="CF85" s="1">
        <f>'Index Price Deals'!AR85</f>
        <v>0</v>
      </c>
      <c r="CG85" s="1">
        <f>'Index Price Deals'!AS85</f>
        <v>0</v>
      </c>
      <c r="CH85" s="1">
        <f>'Index Price Deals'!AT85</f>
        <v>0</v>
      </c>
      <c r="CI85" s="1">
        <f>'Index Price Deals'!AU85</f>
        <v>0</v>
      </c>
      <c r="CJ85" s="1">
        <f t="shared" ref="CJ85:CJ100" si="119">CC85+CF85</f>
        <v>37592930.658097669</v>
      </c>
      <c r="CK85" s="1">
        <f t="shared" ref="CK85:CL104" si="120">CD85+CH85</f>
        <v>37092816.600866571</v>
      </c>
      <c r="CL85" s="1">
        <f t="shared" si="120"/>
        <v>500114.05723109841</v>
      </c>
      <c r="CM85" s="30"/>
      <c r="CN85" s="1">
        <f>Transport!U85</f>
        <v>3.1490140827372673E-9</v>
      </c>
      <c r="CO85" s="57"/>
      <c r="CQ85" s="1">
        <f>(((($B85+$C85+$D85+$O85+$P85+$Q85)*0.5)+BR85+BS85)*(0.005*'Prices&amp;Fuel'!$H85)+'Index Price Deals'!AV85)+(((BB85+BC85+BD85+BE85+BF85+BG85)*(1-'Prices&amp;Fuel'!F85))*0.005*0.5*'Prices&amp;Fuel'!H85)</f>
        <v>3572.7499999999895</v>
      </c>
      <c r="CR85" s="1">
        <f>(((($B85+$C85+$D85+$O85+$P85+$Q85)*0.5)+X85+Y85)*(0.005*'Prices&amp;Fuel'!$H85)+CA85+'Index Price Deals'!AW85)+(((BB85+BC85+BD85+BE85+BF85+BG85)*(1-'Prices&amp;Fuel'!F85))*0.005*0.5*'Prices&amp;Fuel'!H85)</f>
        <v>39593.31555269922</v>
      </c>
      <c r="CS85" s="21"/>
      <c r="CT85" s="1">
        <f>[3]Sheet1!$O100</f>
        <v>-169197.63609028351</v>
      </c>
      <c r="CU85" s="1">
        <f>'[4]Long Term Deals'!$Z84</f>
        <v>-43972.901883593106</v>
      </c>
      <c r="CV85" s="60">
        <f t="shared" si="106"/>
        <v>625338.79143778572</v>
      </c>
      <c r="CW85" s="13">
        <f>((B85+C85+D85+O85+P85+Q85+X85+Y85+AF85+AG85+AH85+BB85+BC85+BD85+BE85+BF85+BG85+BR85+BS85)+('Index Price Deals'!B85+'Index Price Deals'!C85+'Index Price Deals'!D85+'Index Price Deals'!L85+'Index Price Deals'!M85+'Index Price Deals'!N85+'Index Price Deals'!AD85+'Index Price Deals'!AE85+'Index Price Deals'!AF85+'Index Price Deals'!AK85+'Index Price Deals'!AL85+'Index Price Deals'!AM85))*'Prices&amp;Fuel'!H85</f>
        <v>8651621.8508997373</v>
      </c>
      <c r="DB85" s="3">
        <f>(O85+P85+Q85)*'Prices&amp;Fuel'!$H85</f>
        <v>778100</v>
      </c>
      <c r="DE85" s="3">
        <v>226000</v>
      </c>
    </row>
    <row r="86" spans="1:109" x14ac:dyDescent="0.25">
      <c r="A86" s="10">
        <f t="shared" si="113"/>
        <v>38212.749999999804</v>
      </c>
      <c r="O86" s="1">
        <v>9036</v>
      </c>
      <c r="P86" s="1">
        <v>10794</v>
      </c>
      <c r="Q86" s="1">
        <v>5270</v>
      </c>
      <c r="R86" s="11">
        <f t="shared" ref="R86:R96" si="121">R85</f>
        <v>3.0750000000000002</v>
      </c>
      <c r="S86" s="11">
        <f t="shared" ref="S86:S96" si="122">S85</f>
        <v>3.0628000000000002</v>
      </c>
      <c r="T86" s="1">
        <f>(($O86*R86)+($P86*R86)+($Q86*R86))*'Prices&amp;Fuel'!$H86</f>
        <v>2392657.5</v>
      </c>
      <c r="U86" s="1">
        <f>(($O86*S86)+($P86*S86)+($Q86*S86))*'Prices&amp;Fuel'!$H86</f>
        <v>2383164.6800000002</v>
      </c>
      <c r="V86" s="13">
        <f t="shared" si="117"/>
        <v>9492.8199999998324</v>
      </c>
      <c r="AF86" s="1">
        <f>((126000)/(1-'Prices&amp;Fuel'!F86))+(25000/(1-'Prices&amp;Fuel'!G86))-AI86</f>
        <v>155269.92287917738</v>
      </c>
      <c r="AG86" s="1">
        <v>0</v>
      </c>
      <c r="AH86" s="1">
        <f>(75000/(1-'Prices&amp;Fuel'!G86))-AK86</f>
        <v>77120.822622107968</v>
      </c>
      <c r="AI86" s="1"/>
      <c r="AJ86" s="1"/>
      <c r="AK86" s="1"/>
      <c r="AL86" s="21">
        <f>ROUND((226000/(1-'Prices&amp;Fuel'!F86))-AF86-AG86-AH86,0)</f>
        <v>0</v>
      </c>
      <c r="AM86" s="1">
        <f t="shared" si="51"/>
        <v>37635</v>
      </c>
      <c r="AO86" s="1">
        <f>ROUND((75000/(1-'Prices&amp;Fuel'!G86)-AV86-AK86)/2,0)</f>
        <v>38560</v>
      </c>
      <c r="AP86" s="1">
        <f t="shared" si="116"/>
        <v>80000</v>
      </c>
      <c r="AR86" s="1">
        <f t="shared" si="111"/>
        <v>37634.922879177378</v>
      </c>
      <c r="AT86" s="13">
        <f t="shared" si="107"/>
        <v>38560.822622107968</v>
      </c>
      <c r="AU86" s="13">
        <f>AL86*AX86*'Prices&amp;Fuel'!H86</f>
        <v>0</v>
      </c>
      <c r="AW86" s="20">
        <f t="shared" si="112"/>
        <v>7.0000000000000007E-2</v>
      </c>
      <c r="AX86" s="20">
        <f t="shared" si="93"/>
        <v>2.5000000000000001E-2</v>
      </c>
      <c r="AY86" s="6">
        <f>('Prices&amp;Fuel'!H86*('Prices&amp;Fuel'!B86+AW86)*'Long Term Deals'!AF86)+('Prices&amp;Fuel'!H86*('Prices&amp;Fuel'!C86+'Long Term Deals'!AW86)*'Long Term Deals'!AG86)+(AH86*('Prices&amp;Fuel'!C86+AW86)*'Prices&amp;Fuel'!H86)+(AW86*AL86*'Prices&amp;Fuel'!H86)</f>
        <v>27847409.2092545</v>
      </c>
      <c r="AZ86" s="6">
        <f>(AP86*'Prices&amp;Fuel'!H86*'Prices&amp;Fuel'!B86)+(AQ86*'Prices&amp;Fuel'!C86*'Prices&amp;Fuel'!H86)+((AM86+AR86)*('Prices&amp;Fuel'!B86+'Long Term Deals'!AX86)*'Prices&amp;Fuel'!H86)+((AN86+AS86)*('Prices&amp;Fuel'!C86+'Long Term Deals'!AX86)*'Prices&amp;Fuel'!H86)+((AO86+AT86)*('Prices&amp;Fuel'!D86+'Long Term Deals'!AX86)*'Prices&amp;Fuel'!H86)+(AV86*'Prices&amp;Fuel'!H86*'Prices&amp;Fuel'!Q86)+AU86</f>
        <v>27341686.844215937</v>
      </c>
      <c r="BA86" s="6">
        <f t="shared" si="118"/>
        <v>505722.36503856257</v>
      </c>
      <c r="BB86" s="6">
        <f>IF('FP Corp'!T86-((BE86+BF86+BG86)*(1-'Prices&amp;Fuel'!F86))&lt;'Prices&amp;Fuel'!R86,('FP Corp'!T86-(BE86+BF86+BG86)*(1-'Prices&amp;Fuel'!F86)),'Prices&amp;Fuel'!R86)/(1-'Prices&amp;Fuel'!F86)</f>
        <v>8976.8637532133671</v>
      </c>
      <c r="BC86" s="14"/>
      <c r="BD86" s="14">
        <f>ROUND(IF('FP Corp'!T86/(1-'Prices&amp;Fuel'!F86)-BE86-BF86-BG86-BB86&gt;'Prices&amp;Fuel'!T86,'Prices&amp;Fuel'!T86,'FP Corp'!T86/(1-'Prices&amp;Fuel'!F86)-BE86-BF86-BG86-BB86),9)</f>
        <v>6556.2982005140002</v>
      </c>
      <c r="BE86" s="14">
        <f>'Prices&amp;Fuel'!U86/(1-'Prices&amp;Fuel'!F86)</f>
        <v>1933.1619537275064</v>
      </c>
      <c r="BF86" s="14">
        <f>('Prices&amp;Fuel'!V86+'Prices&amp;Fuel'!X86)/(1-'Prices&amp;Fuel'!F86)</f>
        <v>3062.2107969151671</v>
      </c>
      <c r="BG86" s="14">
        <f>'Prices&amp;Fuel'!W86/(1-'Prices&amp;Fuel'!F86)</f>
        <v>1065.2956298200513</v>
      </c>
      <c r="BH86" s="25">
        <f>('Prices&amp;Fuel'!C86+'Prices&amp;Fuel'!D86)/2-0.05+('Prices&amp;Fuel'!M86+'Prices&amp;Fuel'!P86)*(1-'Prices&amp;Fuel'!F86)</f>
        <v>4.5050247500000005</v>
      </c>
      <c r="BI86" s="14">
        <f t="shared" si="114"/>
        <v>0</v>
      </c>
      <c r="BJ86" s="14"/>
      <c r="BK86" s="25">
        <f>(((BB86+BE86)*('Prices&amp;Fuel'!B86+0.025))+(('Prices&amp;Fuel'!D86+0.025)*(BD86+BG86))+(('Prices&amp;Fuel'!C86+0.025)*(BC86+BF86))-(BI86+BJ86)*0.025)/(BB86+BC86+BD86+BE86+BF86+BG86)</f>
        <v>3.8126140952380956</v>
      </c>
      <c r="BL86" s="14">
        <f>(BB86+BC86+BD86+BE86+BF86+BG86)*BH86*'Prices&amp;Fuel'!H86</f>
        <v>3015702.9431876414</v>
      </c>
      <c r="BM86" s="14">
        <f>'Prices&amp;Fuel'!X86*('Prices&amp;Fuel'!N86+'Prices&amp;Fuel'!O86)*'Prices&amp;Fuel'!H86</f>
        <v>8908.4139348759727</v>
      </c>
      <c r="BN86" s="14">
        <f>('Prices&amp;Fuel'!U86+'Prices&amp;Fuel'!V86+'Prices&amp;Fuel'!W86)*('Prices&amp;Fuel'!L86+'Prices&amp;Fuel'!O86)*'Prices&amp;Fuel'!H86</f>
        <v>67967.415834024447</v>
      </c>
      <c r="BO86" s="14">
        <f>((BB86+BC86+BD86)*(1-'Prices&amp;Fuel'!G86))*('Prices&amp;Fuel'!M86+'Prices&amp;Fuel'!P86)*'Prices&amp;Fuel'!H86</f>
        <v>358472.93299999676</v>
      </c>
      <c r="BP86" s="14">
        <f>((BD86+BC86+BB86+BE86+BF86+BG86)*BK86*'Prices&amp;Fuel'!H86)+BM86+BN86+BO86</f>
        <v>2987545.9617406032</v>
      </c>
      <c r="BQ86" s="6">
        <f t="shared" si="115"/>
        <v>28156.981447038241</v>
      </c>
      <c r="CA86" s="6">
        <f>(AF86+AG86+AH86+AL86)*0.005*'Prices&amp;Fuel'!H86</f>
        <v>36020.565552699227</v>
      </c>
      <c r="CB86" s="6">
        <f>(B86+C86+D86+O86+P86+Q86+X86+Y86+BB86+BC86+BD86+BE86+BF86+BG86+BR86+BS86)*0.005*'Prices&amp;Fuel'!H86</f>
        <v>7237.5437017994636</v>
      </c>
      <c r="CC86" s="1">
        <f t="shared" ref="CC86:CC101" si="123">K86+T86+AB86+AY86+BL86+BX86</f>
        <v>33255769.652442142</v>
      </c>
      <c r="CD86" s="1">
        <f t="shared" ref="CD86:CD101" si="124">L86+U86+AC86+AZ86+BP86+BY86+CA86+CB86</f>
        <v>32755655.595211037</v>
      </c>
      <c r="CE86" s="1">
        <f t="shared" ref="CE86:CE101" si="125">CC86-CD86</f>
        <v>500114.05723110586</v>
      </c>
      <c r="CF86" s="1">
        <f>'Index Price Deals'!AR86</f>
        <v>0</v>
      </c>
      <c r="CG86" s="1">
        <f>'Index Price Deals'!AS86</f>
        <v>0</v>
      </c>
      <c r="CH86" s="1">
        <f>'Index Price Deals'!AT86</f>
        <v>0</v>
      </c>
      <c r="CI86" s="1">
        <f>'Index Price Deals'!AU86</f>
        <v>0</v>
      </c>
      <c r="CJ86" s="1">
        <f t="shared" si="119"/>
        <v>33255769.652442142</v>
      </c>
      <c r="CK86" s="1">
        <f t="shared" si="120"/>
        <v>32755655.595211037</v>
      </c>
      <c r="CL86" s="1">
        <f t="shared" si="120"/>
        <v>500114.05723110586</v>
      </c>
      <c r="CM86" s="30"/>
      <c r="CN86" s="1">
        <f>Transport!U86</f>
        <v>3.1490140827372673E-9</v>
      </c>
      <c r="CO86" s="57"/>
      <c r="CQ86" s="1">
        <f>(((($B86+$C86+$D86+$O86+$P86+$Q86)*0.5)+BR86+BS86)*(0.005*'Prices&amp;Fuel'!$H86)+'Index Price Deals'!AV86)+(((BB86+BC86+BD86+BE86+BF86+BG86)*(1-'Prices&amp;Fuel'!F86))*0.005*0.5*'Prices&amp;Fuel'!H86)</f>
        <v>3572.7499999999895</v>
      </c>
      <c r="CR86" s="1">
        <f>(((($B86+$C86+$D86+$O86+$P86+$Q86)*0.5)+X86+Y86)*(0.005*'Prices&amp;Fuel'!$H86)+CA86+'Index Price Deals'!AW86)+(((BB86+BC86+BD86+BE86+BF86+BG86)*(1-'Prices&amp;Fuel'!F86))*0.005*0.5*'Prices&amp;Fuel'!H86)</f>
        <v>39593.31555269922</v>
      </c>
      <c r="CS86" s="21"/>
      <c r="CT86" s="1">
        <f>[3]Sheet1!$O101</f>
        <v>-169197.63609028351</v>
      </c>
      <c r="CU86" s="1">
        <f>'[4]Long Term Deals'!$Z85</f>
        <v>-43972.901883593106</v>
      </c>
      <c r="CV86" s="60">
        <f t="shared" si="106"/>
        <v>625338.79143779317</v>
      </c>
      <c r="CW86" s="13">
        <f>((B86+C86+D86+O86+P86+Q86+X86+Y86+AF86+AG86+AH86+BB86+BC86+BD86+BE86+BF86+BG86+BR86+BS86)+('Index Price Deals'!B86+'Index Price Deals'!C86+'Index Price Deals'!D86+'Index Price Deals'!L86+'Index Price Deals'!M86+'Index Price Deals'!N86+'Index Price Deals'!AD86+'Index Price Deals'!AE86+'Index Price Deals'!AF86+'Index Price Deals'!AK86+'Index Price Deals'!AL86+'Index Price Deals'!AM86))*'Prices&amp;Fuel'!H86</f>
        <v>8651621.8508997373</v>
      </c>
      <c r="DB86" s="3">
        <f>(O86+P86+Q86)*'Prices&amp;Fuel'!$H86</f>
        <v>778100</v>
      </c>
      <c r="DE86" s="3">
        <v>226000</v>
      </c>
    </row>
    <row r="87" spans="1:109" x14ac:dyDescent="0.25">
      <c r="A87" s="10">
        <f t="shared" si="113"/>
        <v>38243.166666666468</v>
      </c>
      <c r="O87" s="1">
        <v>9036</v>
      </c>
      <c r="P87" s="1">
        <v>10794</v>
      </c>
      <c r="Q87" s="1">
        <v>5270</v>
      </c>
      <c r="R87" s="11">
        <f t="shared" si="121"/>
        <v>3.0750000000000002</v>
      </c>
      <c r="S87" s="11">
        <f t="shared" si="122"/>
        <v>3.0628000000000002</v>
      </c>
      <c r="T87" s="1">
        <f>(($O87*R87)+($P87*R87)+($Q87*R87))*'Prices&amp;Fuel'!$H87</f>
        <v>2315475</v>
      </c>
      <c r="U87" s="1">
        <f>(($O87*S87)+($P87*S87)+($Q87*S87))*'Prices&amp;Fuel'!$H87</f>
        <v>2306288.4</v>
      </c>
      <c r="V87" s="13">
        <f t="shared" si="117"/>
        <v>9186.6000000000931</v>
      </c>
      <c r="AF87" s="1">
        <f>((126000)/(1-'Prices&amp;Fuel'!F87))+(25000/(1-'Prices&amp;Fuel'!G87))-AI87</f>
        <v>155269.92287917738</v>
      </c>
      <c r="AG87" s="1">
        <v>0</v>
      </c>
      <c r="AH87" s="1">
        <f>(75000/(1-'Prices&amp;Fuel'!G87))-AK87</f>
        <v>77120.822622107968</v>
      </c>
      <c r="AI87" s="1"/>
      <c r="AJ87" s="1"/>
      <c r="AK87" s="1"/>
      <c r="AL87" s="21">
        <f>ROUND((226000/(1-'Prices&amp;Fuel'!F87))-AF87-AG87-AH87,0)</f>
        <v>0</v>
      </c>
      <c r="AM87" s="1">
        <f t="shared" si="51"/>
        <v>37635</v>
      </c>
      <c r="AO87" s="1">
        <f>ROUND((75000/(1-'Prices&amp;Fuel'!G87)-AV87-AK87)/2,0)</f>
        <v>38560</v>
      </c>
      <c r="AP87" s="1">
        <f t="shared" si="116"/>
        <v>80000</v>
      </c>
      <c r="AR87" s="1">
        <f t="shared" si="111"/>
        <v>37634.922879177378</v>
      </c>
      <c r="AT87" s="13">
        <f t="shared" si="107"/>
        <v>38560.822622107968</v>
      </c>
      <c r="AU87" s="13">
        <f>AL87*AX87*'Prices&amp;Fuel'!H87</f>
        <v>0</v>
      </c>
      <c r="AW87" s="20">
        <f t="shared" si="112"/>
        <v>7.0000000000000007E-2</v>
      </c>
      <c r="AX87" s="20">
        <f t="shared" si="93"/>
        <v>2.5000000000000001E-2</v>
      </c>
      <c r="AY87" s="6">
        <f>('Prices&amp;Fuel'!H87*('Prices&amp;Fuel'!B87+AW87)*'Long Term Deals'!AF87)+('Prices&amp;Fuel'!H87*('Prices&amp;Fuel'!C87+'Long Term Deals'!AW87)*'Long Term Deals'!AG87)+(AH87*('Prices&amp;Fuel'!C87+AW87)*'Prices&amp;Fuel'!H87)+(AW87*AL87*'Prices&amp;Fuel'!H87)</f>
        <v>32425233.25449872</v>
      </c>
      <c r="AZ87" s="6">
        <f>(AP87*'Prices&amp;Fuel'!H87*'Prices&amp;Fuel'!B87)+(AQ87*'Prices&amp;Fuel'!C87*'Prices&amp;Fuel'!H87)+((AM87+AR87)*('Prices&amp;Fuel'!B87+'Long Term Deals'!AX87)*'Prices&amp;Fuel'!H87)+((AN87+AS87)*('Prices&amp;Fuel'!C87+'Long Term Deals'!AX87)*'Prices&amp;Fuel'!H87)+((AO87+AT87)*('Prices&amp;Fuel'!D87+'Long Term Deals'!AX87)*'Prices&amp;Fuel'!H87)+(AV87*'Prices&amp;Fuel'!H87*'Prices&amp;Fuel'!Q87)+AU87</f>
        <v>31935824.514138825</v>
      </c>
      <c r="BA87" s="6">
        <f t="shared" si="118"/>
        <v>489408.74035989493</v>
      </c>
      <c r="BB87" s="6">
        <f>IF('FP Corp'!T87-((BE87+BF87+BG87)*(1-'Prices&amp;Fuel'!F87))&lt;'Prices&amp;Fuel'!R87,('FP Corp'!T87-(BE87+BF87+BG87)*(1-'Prices&amp;Fuel'!F87)),'Prices&amp;Fuel'!R87)/(1-'Prices&amp;Fuel'!F87)</f>
        <v>8976.8637532133671</v>
      </c>
      <c r="BC87" s="14"/>
      <c r="BD87" s="14">
        <f>ROUND(IF('FP Corp'!T87/(1-'Prices&amp;Fuel'!F87)-BE87-BF87-BG87-BB87&gt;'Prices&amp;Fuel'!T87,'Prices&amp;Fuel'!T87,'FP Corp'!T87/(1-'Prices&amp;Fuel'!F87)-BE87-BF87-BG87-BB87),9)</f>
        <v>6556.2982005140002</v>
      </c>
      <c r="BE87" s="14">
        <f>'Prices&amp;Fuel'!U87/(1-'Prices&amp;Fuel'!F87)</f>
        <v>1933.1619537275064</v>
      </c>
      <c r="BF87" s="14">
        <f>('Prices&amp;Fuel'!V87+'Prices&amp;Fuel'!X87)/(1-'Prices&amp;Fuel'!F87)</f>
        <v>3062.2107969151671</v>
      </c>
      <c r="BG87" s="14">
        <f>'Prices&amp;Fuel'!W87/(1-'Prices&amp;Fuel'!F87)</f>
        <v>1065.2956298200513</v>
      </c>
      <c r="BH87" s="25">
        <f>('Prices&amp;Fuel'!C87+'Prices&amp;Fuel'!D87)/2-0.05+('Prices&amp;Fuel'!M87+'Prices&amp;Fuel'!P87)*(1-'Prices&amp;Fuel'!F87)</f>
        <v>5.2905017500000016</v>
      </c>
      <c r="BI87" s="14">
        <f t="shared" si="114"/>
        <v>0</v>
      </c>
      <c r="BJ87" s="14"/>
      <c r="BK87" s="25">
        <f>(((BB87+BE87)*('Prices&amp;Fuel'!B87+0.025))+(('Prices&amp;Fuel'!D87+0.025)*(BD87+BG87))+(('Prices&amp;Fuel'!C87+0.025)*(BC87+BF87))-(BI87+BJ87)*0.025)/(BB87+BC87+BD87+BE87+BF87+BG87)</f>
        <v>4.5980910952380967</v>
      </c>
      <c r="BL87" s="14">
        <f>(BB87+BC87+BD87+BE87+BF87+BG87)*BH87*'Prices&amp;Fuel'!H87</f>
        <v>3427265.9151670737</v>
      </c>
      <c r="BM87" s="14">
        <f>'Prices&amp;Fuel'!X87*('Prices&amp;Fuel'!N87+'Prices&amp;Fuel'!O87)*'Prices&amp;Fuel'!H87</f>
        <v>8621.0457434283617</v>
      </c>
      <c r="BN87" s="14">
        <f>('Prices&amp;Fuel'!U87+'Prices&amp;Fuel'!V87+'Prices&amp;Fuel'!W87)*('Prices&amp;Fuel'!L87+'Prices&amp;Fuel'!O87)*'Prices&amp;Fuel'!H87</f>
        <v>65774.918549055918</v>
      </c>
      <c r="BO87" s="14">
        <f>((BB87+BC87+BD87)*(1-'Prices&amp;Fuel'!G87))*('Prices&amp;Fuel'!M87+'Prices&amp;Fuel'!P87)*'Prices&amp;Fuel'!H87</f>
        <v>346909.28999999689</v>
      </c>
      <c r="BP87" s="14">
        <f>((BD87+BC87+BB87+BE87+BF87+BG87)*BK87*'Prices&amp;Fuel'!H87)+BM87+BN87+BO87</f>
        <v>3400017.2234441331</v>
      </c>
      <c r="BQ87" s="6">
        <f t="shared" si="115"/>
        <v>27248.691722940654</v>
      </c>
      <c r="CA87" s="6">
        <f>(AF87+AG87+AH87+AL87)*0.005*'Prices&amp;Fuel'!H87</f>
        <v>34858.611825192798</v>
      </c>
      <c r="CB87" s="6">
        <f>(B87+C87+D87+O87+P87+Q87+X87+Y87+BB87+BC87+BD87+BE87+BF87+BG87+BR87+BS87)*0.005*'Prices&amp;Fuel'!H87</f>
        <v>7004.0745501285137</v>
      </c>
      <c r="CC87" s="1">
        <f t="shared" si="123"/>
        <v>38167974.169665791</v>
      </c>
      <c r="CD87" s="1">
        <f t="shared" si="124"/>
        <v>37683992.823958278</v>
      </c>
      <c r="CE87" s="1">
        <f t="shared" si="125"/>
        <v>483981.34570751339</v>
      </c>
      <c r="CF87" s="1">
        <f>'Index Price Deals'!AR87</f>
        <v>0</v>
      </c>
      <c r="CG87" s="1">
        <f>'Index Price Deals'!AS87</f>
        <v>0</v>
      </c>
      <c r="CH87" s="1">
        <f>'Index Price Deals'!AT87</f>
        <v>0</v>
      </c>
      <c r="CI87" s="1">
        <f>'Index Price Deals'!AU87</f>
        <v>0</v>
      </c>
      <c r="CJ87" s="1">
        <f t="shared" si="119"/>
        <v>38167974.169665791</v>
      </c>
      <c r="CK87" s="1">
        <f t="shared" si="120"/>
        <v>37683992.823958278</v>
      </c>
      <c r="CL87" s="1">
        <f t="shared" si="120"/>
        <v>483981.34570751339</v>
      </c>
      <c r="CM87" s="30"/>
      <c r="CN87" s="1">
        <f>Transport!U87</f>
        <v>3.0474329832941295E-9</v>
      </c>
      <c r="CO87" s="57"/>
      <c r="CQ87" s="1">
        <f>(((($B87+$C87+$D87+$O87+$P87+$Q87)*0.5)+BR87+BS87)*(0.005*'Prices&amp;Fuel'!$H87)+'Index Price Deals'!AV87)+(((BB87+BC87+BD87+BE87+BF87+BG87)*(1-'Prices&amp;Fuel'!F87))*0.005*0.5*'Prices&amp;Fuel'!H87)</f>
        <v>3457.49999999999</v>
      </c>
      <c r="CR87" s="1">
        <f>(((($B87+$C87+$D87+$O87+$P87+$Q87)*0.5)+X87+Y87)*(0.005*'Prices&amp;Fuel'!$H87)+CA87+'Index Price Deals'!AW87)+(((BB87+BC87+BD87+BE87+BF87+BG87)*(1-'Prices&amp;Fuel'!F87))*0.005*0.5*'Prices&amp;Fuel'!H87)</f>
        <v>38316.111825192791</v>
      </c>
      <c r="CS87" s="21"/>
      <c r="CT87" s="1">
        <f>[3]Sheet1!$O102</f>
        <v>-163739.64782930666</v>
      </c>
      <c r="CU87" s="1">
        <f>'[4]Long Term Deals'!$Z86</f>
        <v>-42554.421177670738</v>
      </c>
      <c r="CV87" s="60">
        <f t="shared" si="106"/>
        <v>605166.57235914632</v>
      </c>
      <c r="CW87" s="13">
        <f>((B87+C87+D87+O87+P87+Q87+X87+Y87+AF87+AG87+AH87+BB87+BC87+BD87+BE87+BF87+BG87+BR87+BS87)+('Index Price Deals'!B87+'Index Price Deals'!C87+'Index Price Deals'!D87+'Index Price Deals'!L87+'Index Price Deals'!M87+'Index Price Deals'!N87+'Index Price Deals'!AD87+'Index Price Deals'!AE87+'Index Price Deals'!AF87+'Index Price Deals'!AK87+'Index Price Deals'!AL87+'Index Price Deals'!AM87))*'Prices&amp;Fuel'!H87</f>
        <v>8372537.2750642626</v>
      </c>
      <c r="DB87" s="3">
        <f>(O87+P87+Q87)*'Prices&amp;Fuel'!$H87</f>
        <v>753000</v>
      </c>
      <c r="DE87" s="3">
        <v>226000</v>
      </c>
    </row>
    <row r="88" spans="1:109" x14ac:dyDescent="0.25">
      <c r="A88" s="10">
        <f t="shared" si="113"/>
        <v>38273.583333333132</v>
      </c>
      <c r="O88" s="1">
        <v>9036</v>
      </c>
      <c r="P88" s="1">
        <v>10794</v>
      </c>
      <c r="Q88" s="1">
        <v>5270</v>
      </c>
      <c r="R88" s="11">
        <f t="shared" si="121"/>
        <v>3.0750000000000002</v>
      </c>
      <c r="S88" s="11">
        <f t="shared" si="122"/>
        <v>3.0628000000000002</v>
      </c>
      <c r="T88" s="1">
        <f>(($O88*R88)+($P88*R88)+($Q88*R88))*'Prices&amp;Fuel'!$H88</f>
        <v>2392657.5</v>
      </c>
      <c r="U88" s="1">
        <f>(($O88*S88)+($P88*S88)+($Q88*S88))*'Prices&amp;Fuel'!$H88</f>
        <v>2383164.6800000002</v>
      </c>
      <c r="V88" s="13">
        <f t="shared" si="117"/>
        <v>9492.8199999998324</v>
      </c>
      <c r="AF88" s="1">
        <f>(32000/(1-'Prices&amp;Fuel'!F88))+(25000/(1-'Prices&amp;Fuel'!G88))-AI88</f>
        <v>58611.825192802062</v>
      </c>
      <c r="AG88" s="1">
        <v>0</v>
      </c>
      <c r="AH88" s="1">
        <f>(75000/(1-'Prices&amp;Fuel'!G88))-AK88</f>
        <v>77120.822622107968</v>
      </c>
      <c r="AI88" s="1"/>
      <c r="AJ88" s="1"/>
      <c r="AK88" s="1"/>
      <c r="AL88" s="21">
        <f>ROUND((132000/(1-'Prices&amp;Fuel'!F88))-AF88-AG88-AH88,0)</f>
        <v>0</v>
      </c>
      <c r="AM88" s="1">
        <f t="shared" si="51"/>
        <v>0</v>
      </c>
      <c r="AO88" s="1">
        <f>ROUND((75000/(1-'Prices&amp;Fuel'!G88)-AV88-AK88)/2,0)</f>
        <v>38560</v>
      </c>
      <c r="AP88" s="1">
        <f t="shared" si="116"/>
        <v>58611.825192802062</v>
      </c>
      <c r="AR88" s="1">
        <f t="shared" si="111"/>
        <v>0</v>
      </c>
      <c r="AT88" s="13">
        <f t="shared" si="107"/>
        <v>38560.822622107968</v>
      </c>
      <c r="AU88" s="13">
        <f>AL88*AX88*'Prices&amp;Fuel'!H88</f>
        <v>0</v>
      </c>
      <c r="AW88" s="20">
        <f t="shared" si="112"/>
        <v>7.0000000000000007E-2</v>
      </c>
      <c r="AX88" s="20">
        <f t="shared" si="93"/>
        <v>2.5000000000000001E-2</v>
      </c>
      <c r="AY88" s="6">
        <f>('Prices&amp;Fuel'!H88*('Prices&amp;Fuel'!B88+AW88)*'Long Term Deals'!AF88)+('Prices&amp;Fuel'!H88*('Prices&amp;Fuel'!C88+'Long Term Deals'!AW88)*'Long Term Deals'!AG88)+(AH88*('Prices&amp;Fuel'!C88+AW88)*'Prices&amp;Fuel'!H88)+(AW88*AL88*'Prices&amp;Fuel'!H88)</f>
        <v>22548337.616452448</v>
      </c>
      <c r="AZ88" s="6">
        <f>(AP88*'Prices&amp;Fuel'!H88*'Prices&amp;Fuel'!B88)+(AQ88*'Prices&amp;Fuel'!C88*'Prices&amp;Fuel'!H88)+((AM88+AR88)*('Prices&amp;Fuel'!B88+'Long Term Deals'!AX88)*'Prices&amp;Fuel'!H88)+((AN88+AS88)*('Prices&amp;Fuel'!C88+'Long Term Deals'!AX88)*'Prices&amp;Fuel'!H88)+((AO88+AT88)*('Prices&amp;Fuel'!D88+'Long Term Deals'!AX88)*'Prices&amp;Fuel'!H88)+(AV88*'Prices&amp;Fuel'!H88*'Prices&amp;Fuel'!Q88)+AU88</f>
        <v>22194029.133161958</v>
      </c>
      <c r="BA88" s="6">
        <f t="shared" si="118"/>
        <v>354308.48329048976</v>
      </c>
      <c r="BB88" s="6">
        <f>IF('FP Corp'!T88-((BE88+BF88+BG88)*(1-'Prices&amp;Fuel'!F88))&lt;'Prices&amp;Fuel'!R88,('FP Corp'!T88-(BE88+BF88+BG88)*(1-'Prices&amp;Fuel'!F88)),'Prices&amp;Fuel'!R88)/(1-'Prices&amp;Fuel'!F88)</f>
        <v>8976.8637532133671</v>
      </c>
      <c r="BC88" s="14"/>
      <c r="BD88" s="14">
        <f>ROUND(IF('FP Corp'!T88/(1-'Prices&amp;Fuel'!F88)-BE88-BF88-BG88-BB88&gt;'Prices&amp;Fuel'!T88,'Prices&amp;Fuel'!T88,'FP Corp'!T88/(1-'Prices&amp;Fuel'!F88)-BE88-BF88-BG88-BB88),9)</f>
        <v>3514.6529562979999</v>
      </c>
      <c r="BE88" s="14">
        <f>'Prices&amp;Fuel'!U88/(1-'Prices&amp;Fuel'!F88)</f>
        <v>2910.025706940874</v>
      </c>
      <c r="BF88" s="14">
        <f>('Prices&amp;Fuel'!V88+'Prices&amp;Fuel'!X88)/(1-'Prices&amp;Fuel'!F88)</f>
        <v>4628.2776349614396</v>
      </c>
      <c r="BG88" s="14">
        <f>'Prices&amp;Fuel'!W88/(1-'Prices&amp;Fuel'!F88)</f>
        <v>1564.0102827763496</v>
      </c>
      <c r="BH88" s="25">
        <f>('Prices&amp;Fuel'!C88+'Prices&amp;Fuel'!D88)/2-0.05+('Prices&amp;Fuel'!M88+'Prices&amp;Fuel'!P88)*(1-'Prices&amp;Fuel'!F88)</f>
        <v>5.9841697500000004</v>
      </c>
      <c r="BI88" s="14">
        <f t="shared" si="114"/>
        <v>8976.8637532133671</v>
      </c>
      <c r="BJ88" s="14"/>
      <c r="BK88" s="25">
        <f>(((BB88+BE88)*('Prices&amp;Fuel'!B88+0.025))+(('Prices&amp;Fuel'!D88+0.025)*(BD88+BG88))+(('Prices&amp;Fuel'!C88+0.025)*(BC88+BF88))-(BI88+BJ88)*0.025)/(BB88+BC88+BD88+BE88+BF88+BG88)</f>
        <v>5.2845400476190481</v>
      </c>
      <c r="BL88" s="14">
        <f>(BB88+BC88+BD88+BE88+BF88+BG88)*BH88*'Prices&amp;Fuel'!H88</f>
        <v>4005855.5344472639</v>
      </c>
      <c r="BM88" s="14">
        <f>'Prices&amp;Fuel'!X88*('Prices&amp;Fuel'!N88+'Prices&amp;Fuel'!O88)*'Prices&amp;Fuel'!H88</f>
        <v>13056.108856238432</v>
      </c>
      <c r="BN88" s="14">
        <f>('Prices&amp;Fuel'!U88+'Prices&amp;Fuel'!V88+'Prices&amp;Fuel'!W88)*('Prices&amp;Fuel'!L88+'Prices&amp;Fuel'!O88)*'Prices&amp;Fuel'!H88</f>
        <v>102401.10952080712</v>
      </c>
      <c r="BO88" s="14">
        <f>((BB88+BC88+BD88)*(1-'Prices&amp;Fuel'!G88))*('Prices&amp;Fuel'!M88+'Prices&amp;Fuel'!P88)*'Prices&amp;Fuel'!H88</f>
        <v>288278.11399999529</v>
      </c>
      <c r="BP88" s="14">
        <f>((BD88+BC88+BB88+BE88+BF88+BG88)*BK88*'Prices&amp;Fuel'!H88)+BM88+BN88+BO88</f>
        <v>3941252.6290351059</v>
      </c>
      <c r="BQ88" s="6">
        <f t="shared" si="115"/>
        <v>64602.905412157997</v>
      </c>
      <c r="CA88" s="6">
        <f>(AF88+AG88+AH88+AL88)*0.005*'Prices&amp;Fuel'!H88</f>
        <v>21038.560411311057</v>
      </c>
      <c r="CB88" s="6">
        <f>(B88+C88+D88+O88+P88+Q88+X88+Y88+BB88+BC88+BD88+BE88+BF88+BG88+BR88+BS88)*0.005*'Prices&amp;Fuel'!H88</f>
        <v>7237.5437017994554</v>
      </c>
      <c r="CC88" s="1">
        <f t="shared" si="123"/>
        <v>28946850.650899712</v>
      </c>
      <c r="CD88" s="1">
        <f t="shared" si="124"/>
        <v>28546722.546310171</v>
      </c>
      <c r="CE88" s="1">
        <f t="shared" si="125"/>
        <v>400128.10458954051</v>
      </c>
      <c r="CF88" s="1">
        <f>'Index Price Deals'!AR88</f>
        <v>0</v>
      </c>
      <c r="CG88" s="1">
        <f>'Index Price Deals'!AS88</f>
        <v>0</v>
      </c>
      <c r="CH88" s="1">
        <f>'Index Price Deals'!AT88</f>
        <v>0</v>
      </c>
      <c r="CI88" s="1">
        <f>'Index Price Deals'!AU88</f>
        <v>0</v>
      </c>
      <c r="CJ88" s="1">
        <f t="shared" si="119"/>
        <v>28946850.650899712</v>
      </c>
      <c r="CK88" s="1">
        <f t="shared" si="120"/>
        <v>28546722.546310171</v>
      </c>
      <c r="CL88" s="1">
        <f t="shared" si="120"/>
        <v>400128.10458954051</v>
      </c>
      <c r="CM88" s="30"/>
      <c r="CN88" s="1">
        <f>Transport!U88</f>
        <v>4.3920459575019776E-9</v>
      </c>
      <c r="CO88" s="57"/>
      <c r="CQ88" s="1">
        <f>(((($B88+$C88+$D88+$O88+$P88+$Q88)*0.5)+BR88+BS88)*(0.005*'Prices&amp;Fuel'!$H88)+'Index Price Deals'!AV88)+(((BB88+BC88+BD88+BE88+BF88+BG88)*(1-'Prices&amp;Fuel'!F88))*0.005*0.5*'Prices&amp;Fuel'!H88)</f>
        <v>3572.749999999985</v>
      </c>
      <c r="CR88" s="1">
        <f>(((($B88+$C88+$D88+$O88+$P88+$Q88)*0.5)+X88+Y88)*(0.005*'Prices&amp;Fuel'!$H88)+CA88+'Index Price Deals'!AW88)+(((BB88+BC88+BD88+BE88+BF88+BG88)*(1-'Prices&amp;Fuel'!F88))*0.005*0.5*'Prices&amp;Fuel'!H88)</f>
        <v>24611.310411311042</v>
      </c>
      <c r="CS88" s="21"/>
      <c r="CT88" s="1">
        <f>[3]Sheet1!$O103</f>
        <v>-98823.398070431052</v>
      </c>
      <c r="CU88" s="1">
        <f>'[4]Long Term Deals'!$Z87</f>
        <v>-34895.062969705476</v>
      </c>
      <c r="CV88" s="60">
        <f t="shared" si="106"/>
        <v>464056.43969026167</v>
      </c>
      <c r="CW88" s="13">
        <f>((B88+C88+D88+O88+P88+Q88+X88+Y88+AF88+AG88+AH88+BB88+BC88+BD88+BE88+BF88+BG88+BR88+BS88)+('Index Price Deals'!B88+'Index Price Deals'!C88+'Index Price Deals'!D88+'Index Price Deals'!L88+'Index Price Deals'!M88+'Index Price Deals'!N88+'Index Price Deals'!AD88+'Index Price Deals'!AE88+'Index Price Deals'!AF88+'Index Price Deals'!AK88+'Index Price Deals'!AL88+'Index Price Deals'!AM88))*'Prices&amp;Fuel'!H88</f>
        <v>5655220.8226221027</v>
      </c>
      <c r="DB88" s="3">
        <f>(O88+P88+Q88)*'Prices&amp;Fuel'!$H88</f>
        <v>778100</v>
      </c>
      <c r="DE88" s="3">
        <v>132000</v>
      </c>
    </row>
    <row r="89" spans="1:109" x14ac:dyDescent="0.25">
      <c r="A89" s="10">
        <f t="shared" si="113"/>
        <v>38303.999999999796</v>
      </c>
      <c r="O89" s="1">
        <v>9036</v>
      </c>
      <c r="P89" s="1">
        <v>10794</v>
      </c>
      <c r="Q89" s="1">
        <v>5270</v>
      </c>
      <c r="R89" s="11">
        <f t="shared" si="121"/>
        <v>3.0750000000000002</v>
      </c>
      <c r="S89" s="11">
        <f t="shared" si="122"/>
        <v>3.0628000000000002</v>
      </c>
      <c r="T89" s="1">
        <f>(($O89*R89)+($P89*R89)+($Q89*R89))*'Prices&amp;Fuel'!$H89</f>
        <v>2315475</v>
      </c>
      <c r="U89" s="1">
        <f>(($O89*S89)+($P89*S89)+($Q89*S89))*'Prices&amp;Fuel'!$H89</f>
        <v>2306288.4</v>
      </c>
      <c r="V89" s="13">
        <f t="shared" si="117"/>
        <v>9186.6000000000931</v>
      </c>
      <c r="AF89" s="1">
        <f>(32000/(1-'Prices&amp;Fuel'!F89))+(25000/(1-'Prices&amp;Fuel'!G89))-AI89</f>
        <v>58611.825192802062</v>
      </c>
      <c r="AG89" s="1">
        <v>0</v>
      </c>
      <c r="AH89" s="1">
        <f>(75000/(1-'Prices&amp;Fuel'!G89))-AK89</f>
        <v>77120.822622107968</v>
      </c>
      <c r="AI89" s="1"/>
      <c r="AJ89" s="1"/>
      <c r="AK89" s="1"/>
      <c r="AL89" s="21">
        <f>ROUND((132000/(1-'Prices&amp;Fuel'!F89))-AF89-AG89-AH89,0)</f>
        <v>0</v>
      </c>
      <c r="AM89" s="1">
        <f t="shared" si="51"/>
        <v>0</v>
      </c>
      <c r="AO89" s="1">
        <f>ROUND((75000/(1-'Prices&amp;Fuel'!G89)-AV89-AK89)/2,0)</f>
        <v>38560</v>
      </c>
      <c r="AP89" s="1">
        <f t="shared" si="116"/>
        <v>58611.825192802062</v>
      </c>
      <c r="AR89" s="1">
        <f t="shared" si="111"/>
        <v>0</v>
      </c>
      <c r="AT89" s="13">
        <f t="shared" si="107"/>
        <v>38560.822622107968</v>
      </c>
      <c r="AU89" s="13">
        <f>AL89*AX89*'Prices&amp;Fuel'!H89</f>
        <v>0</v>
      </c>
      <c r="AW89" s="20">
        <f t="shared" si="112"/>
        <v>7.0000000000000007E-2</v>
      </c>
      <c r="AX89" s="20">
        <f t="shared" si="93"/>
        <v>2.5000000000000001E-2</v>
      </c>
      <c r="AY89" s="6">
        <f>('Prices&amp;Fuel'!H89*('Prices&amp;Fuel'!B89+AW89)*'Long Term Deals'!AF89)+('Prices&amp;Fuel'!H89*('Prices&amp;Fuel'!C89+'Long Term Deals'!AW89)*'Long Term Deals'!AG89)+(AH89*('Prices&amp;Fuel'!C89+AW89)*'Prices&amp;Fuel'!H89)+(AW89*AL89*'Prices&amp;Fuel'!H89)</f>
        <v>14634852.524421597</v>
      </c>
      <c r="AZ89" s="6">
        <f>(AP89*'Prices&amp;Fuel'!H89*'Prices&amp;Fuel'!B89)+(AQ89*'Prices&amp;Fuel'!C89*'Prices&amp;Fuel'!H89)+((AM89+AR89)*('Prices&amp;Fuel'!B89+'Long Term Deals'!AX89)*'Prices&amp;Fuel'!H89)+((AN89+AS89)*('Prices&amp;Fuel'!C89+'Long Term Deals'!AX89)*'Prices&amp;Fuel'!H89)+((AO89+AT89)*('Prices&amp;Fuel'!D89+'Long Term Deals'!AX89)*'Prices&amp;Fuel'!H89)+(AV89*'Prices&amp;Fuel'!H89*'Prices&amp;Fuel'!Q89)+AU89</f>
        <v>14291973.347043704</v>
      </c>
      <c r="BA89" s="6">
        <f t="shared" si="118"/>
        <v>342879.17737789266</v>
      </c>
      <c r="BB89" s="6">
        <f>IF('FP Corp'!T89-((BE89+BF89+BG89)*(1-'Prices&amp;Fuel'!F89))&lt;'Prices&amp;Fuel'!R89,('FP Corp'!T89-(BE89+BF89+BG89)*(1-'Prices&amp;Fuel'!F89)),'Prices&amp;Fuel'!R89)/(1-'Prices&amp;Fuel'!F89)</f>
        <v>4325.9640102827761</v>
      </c>
      <c r="BC89" s="14"/>
      <c r="BD89" s="14">
        <f>ROUND(IF('FP Corp'!T89/(1-'Prices&amp;Fuel'!F89)-BE89-BF89-BG89-BB89&gt;'Prices&amp;Fuel'!T89,'Prices&amp;Fuel'!T89,'FP Corp'!T89/(1-'Prices&amp;Fuel'!F89)-BE89-BF89-BG89-BB89),9)</f>
        <v>0</v>
      </c>
      <c r="BE89" s="14">
        <f>'Prices&amp;Fuel'!U89/(1-'Prices&amp;Fuel'!F89)</f>
        <v>2635.4755784061695</v>
      </c>
      <c r="BF89" s="14">
        <f>('Prices&amp;Fuel'!V89+'Prices&amp;Fuel'!X89)/(1-'Prices&amp;Fuel'!F89)</f>
        <v>3645.2442159383031</v>
      </c>
      <c r="BG89" s="14">
        <f>'Prices&amp;Fuel'!W89/(1-'Prices&amp;Fuel'!F89)</f>
        <v>1732.6478149100255</v>
      </c>
      <c r="BH89" s="25">
        <f>('Prices&amp;Fuel'!C89+'Prices&amp;Fuel'!D89)/2-0.05+('Prices&amp;Fuel'!M89+'Prices&amp;Fuel'!P89)*(1-'Prices&amp;Fuel'!F89)</f>
        <v>4.2193967500000005</v>
      </c>
      <c r="BI89" s="14">
        <f t="shared" si="114"/>
        <v>4325.9640102827761</v>
      </c>
      <c r="BJ89" s="14"/>
      <c r="BK89" s="25">
        <f>(((BB89+BE89)*('Prices&amp;Fuel'!B89+0.025))+(('Prices&amp;Fuel'!D89+0.025)*(BD89+BG89))+(('Prices&amp;Fuel'!C89+0.025)*(BC89+BF89))-(BI89+BJ89)*0.025)/(BB89+BC89+BD89+BE89+BF89+BG89)</f>
        <v>3.5253125833333336</v>
      </c>
      <c r="BL89" s="14">
        <f>(BB89+BC89+BD89+BE89+BF89+BG89)*BH89*'Prices&amp;Fuel'!H89</f>
        <v>1561936.0719794342</v>
      </c>
      <c r="BM89" s="14">
        <f>'Prices&amp;Fuel'!X89*('Prices&amp;Fuel'!N89+'Prices&amp;Fuel'!O89)*'Prices&amp;Fuel'!H89</f>
        <v>8621.0457434283617</v>
      </c>
      <c r="BN89" s="14">
        <f>('Prices&amp;Fuel'!U89+'Prices&amp;Fuel'!V89+'Prices&amp;Fuel'!W89)*('Prices&amp;Fuel'!L89+'Prices&amp;Fuel'!O89)*'Prices&amp;Fuel'!H89</f>
        <v>89744.707519437245</v>
      </c>
      <c r="BO89" s="14">
        <f>((BB89+BC89+BD89)*(1-'Prices&amp;Fuel'!G89))*('Prices&amp;Fuel'!M89+'Prices&amp;Fuel'!P89)*'Prices&amp;Fuel'!H89</f>
        <v>96613.75499999999</v>
      </c>
      <c r="BP89" s="14">
        <f>((BD89+BC89+BB89+BE89+BF89+BG89)*BK89*'Prices&amp;Fuel'!H89)+BM89+BN89+BO89</f>
        <v>1499979.5391111944</v>
      </c>
      <c r="BQ89" s="6">
        <f t="shared" si="115"/>
        <v>61956.532868239796</v>
      </c>
      <c r="CA89" s="6">
        <f>(AF89+AG89+AH89+AL89)*0.005*'Prices&amp;Fuel'!H89</f>
        <v>20359.897172236506</v>
      </c>
      <c r="CB89" s="6">
        <f>(B89+C89+D89+O89+P89+Q89+X89+Y89+BB89+BC89+BD89+BE89+BF89+BG89+BR89+BS89)*0.005*'Prices&amp;Fuel'!H89</f>
        <v>5615.8997429305909</v>
      </c>
      <c r="CC89" s="1">
        <f t="shared" si="123"/>
        <v>18512263.596401028</v>
      </c>
      <c r="CD89" s="1">
        <f t="shared" si="124"/>
        <v>18124217.083070066</v>
      </c>
      <c r="CE89" s="1">
        <f t="shared" si="125"/>
        <v>388046.51333096251</v>
      </c>
      <c r="CF89" s="1">
        <f>'Index Price Deals'!AR89</f>
        <v>0</v>
      </c>
      <c r="CG89" s="1">
        <f>'Index Price Deals'!AS89</f>
        <v>0</v>
      </c>
      <c r="CH89" s="1">
        <f>'Index Price Deals'!AT89</f>
        <v>0</v>
      </c>
      <c r="CI89" s="1">
        <f>'Index Price Deals'!AU89</f>
        <v>0</v>
      </c>
      <c r="CJ89" s="1">
        <f t="shared" si="119"/>
        <v>18512263.596401028</v>
      </c>
      <c r="CK89" s="1">
        <f t="shared" si="120"/>
        <v>18124217.083070066</v>
      </c>
      <c r="CL89" s="1">
        <f t="shared" si="120"/>
        <v>388046.51333096251</v>
      </c>
      <c r="CM89" s="30"/>
      <c r="CN89" s="1">
        <f>Transport!U89</f>
        <v>0</v>
      </c>
      <c r="CO89" s="57"/>
      <c r="CQ89" s="1">
        <f>(((($B89+$C89+$D89+$O89+$P89+$Q89)*0.5)+BR89+BS89)*(0.005*'Prices&amp;Fuel'!$H89)+'Index Price Deals'!AV89)+(((BB89+BC89+BD89+BE89+BF89+BG89)*(1-'Prices&amp;Fuel'!F89))*0.005*0.5*'Prices&amp;Fuel'!H89)</f>
        <v>2782.5</v>
      </c>
      <c r="CR89" s="1">
        <f>(((($B89+$C89+$D89+$O89+$P89+$Q89)*0.5)+X89+Y89)*(0.005*'Prices&amp;Fuel'!$H89)+CA89+'Index Price Deals'!AW89)+(((BB89+BC89+BD89+BE89+BF89+BG89)*(1-'Prices&amp;Fuel'!F89))*0.005*0.5*'Prices&amp;Fuel'!H89)</f>
        <v>23142.397172236506</v>
      </c>
      <c r="CS89" s="21"/>
      <c r="CT89" s="1">
        <f>[3]Sheet1!$O104</f>
        <v>-95635.546519772019</v>
      </c>
      <c r="CU89" s="1">
        <f>'[4]Long Term Deals'!$Z88</f>
        <v>-33769.415777134331</v>
      </c>
      <c r="CV89" s="60">
        <f t="shared" si="106"/>
        <v>449912.64407360018</v>
      </c>
      <c r="CW89" s="13">
        <f>((B89+C89+D89+O89+P89+Q89+X89+Y89+AF89+AG89+AH89+BB89+BC89+BD89+BE89+BF89+BG89+BR89+BS89)+('Index Price Deals'!B89+'Index Price Deals'!C89+'Index Price Deals'!D89+'Index Price Deals'!L89+'Index Price Deals'!M89+'Index Price Deals'!N89+'Index Price Deals'!AD89+'Index Price Deals'!AE89+'Index Price Deals'!AF89+'Index Price Deals'!AK89+'Index Price Deals'!AL89+'Index Price Deals'!AM89))*'Prices&amp;Fuel'!H89</f>
        <v>5195159.3830334181</v>
      </c>
      <c r="DB89" s="3">
        <f>(O89+P89+Q89)*'Prices&amp;Fuel'!$H89</f>
        <v>753000</v>
      </c>
      <c r="DE89" s="3">
        <v>132000</v>
      </c>
    </row>
    <row r="90" spans="1:109" x14ac:dyDescent="0.25">
      <c r="A90" s="10">
        <f t="shared" si="113"/>
        <v>38334.416666666461</v>
      </c>
      <c r="O90" s="1">
        <v>9036</v>
      </c>
      <c r="P90" s="1">
        <v>10794</v>
      </c>
      <c r="Q90" s="1">
        <v>5270</v>
      </c>
      <c r="R90" s="11">
        <f t="shared" si="121"/>
        <v>3.0750000000000002</v>
      </c>
      <c r="S90" s="11">
        <f t="shared" si="122"/>
        <v>3.0628000000000002</v>
      </c>
      <c r="T90" s="1">
        <f>(($O90*R90)+($P90*R90)+($Q90*R90))*'Prices&amp;Fuel'!$H90</f>
        <v>2392657.5</v>
      </c>
      <c r="U90" s="1">
        <f>(($O90*S90)+($P90*S90)+($Q90*S90))*'Prices&amp;Fuel'!$H90</f>
        <v>2383164.6800000002</v>
      </c>
      <c r="V90" s="13">
        <f t="shared" si="117"/>
        <v>9492.8199999998324</v>
      </c>
      <c r="AF90" s="1">
        <f>(32000/(1-'Prices&amp;Fuel'!F90))+(25000/(1-'Prices&amp;Fuel'!G90))-AI90</f>
        <v>58611.825192802062</v>
      </c>
      <c r="AG90" s="1">
        <v>0</v>
      </c>
      <c r="AH90" s="1">
        <f>(75000/(1-'Prices&amp;Fuel'!G90))-AK90</f>
        <v>77120.822622107968</v>
      </c>
      <c r="AI90" s="1"/>
      <c r="AJ90" s="1"/>
      <c r="AK90" s="1"/>
      <c r="AL90" s="21">
        <f>ROUND((132000/(1-'Prices&amp;Fuel'!F90))-AF90-AG90-AH90,0)</f>
        <v>0</v>
      </c>
      <c r="AM90" s="1">
        <f t="shared" ref="AM90:AM152" si="126">ROUND(IF(AF90&lt;AP90,0,(AF90-AP90-AI90)/2),0)</f>
        <v>0</v>
      </c>
      <c r="AO90" s="1">
        <f>ROUND((75000/(1-'Prices&amp;Fuel'!G90)-AV90-AK90)/2,0)</f>
        <v>38560</v>
      </c>
      <c r="AP90" s="1">
        <f t="shared" si="116"/>
        <v>58611.825192802062</v>
      </c>
      <c r="AR90" s="1">
        <f t="shared" si="111"/>
        <v>0</v>
      </c>
      <c r="AT90" s="13">
        <f t="shared" si="107"/>
        <v>38560.822622107968</v>
      </c>
      <c r="AU90" s="13">
        <f>AL90*AX90*'Prices&amp;Fuel'!H90</f>
        <v>0</v>
      </c>
      <c r="AW90" s="20">
        <f t="shared" si="112"/>
        <v>7.0000000000000007E-2</v>
      </c>
      <c r="AX90" s="20">
        <f t="shared" si="93"/>
        <v>2.5000000000000001E-2</v>
      </c>
      <c r="AY90" s="6">
        <f>('Prices&amp;Fuel'!H90*('Prices&amp;Fuel'!B90+AW90)*'Long Term Deals'!AF90)+('Prices&amp;Fuel'!H90*('Prices&amp;Fuel'!C90+'Long Term Deals'!AW90)*'Long Term Deals'!AG90)+(AH90*('Prices&amp;Fuel'!C90+AW90)*'Prices&amp;Fuel'!H90)+(AW90*AL90*'Prices&amp;Fuel'!H90)</f>
        <v>11345468.298200518</v>
      </c>
      <c r="AZ90" s="6">
        <f>(AP90*'Prices&amp;Fuel'!H90*'Prices&amp;Fuel'!B90)+(AQ90*'Prices&amp;Fuel'!C90*'Prices&amp;Fuel'!H90)+((AM90+AR90)*('Prices&amp;Fuel'!B90+'Long Term Deals'!AX90)*'Prices&amp;Fuel'!H90)+((AN90+AS90)*('Prices&amp;Fuel'!C90+'Long Term Deals'!AX90)*'Prices&amp;Fuel'!H90)+((AO90+AT90)*('Prices&amp;Fuel'!D90+'Long Term Deals'!AX90)*'Prices&amp;Fuel'!H90)+(AV90*'Prices&amp;Fuel'!H90*'Prices&amp;Fuel'!Q90)+AU90</f>
        <v>10991159.81491003</v>
      </c>
      <c r="BA90" s="6">
        <f t="shared" si="118"/>
        <v>354308.4832904879</v>
      </c>
      <c r="BB90" s="6">
        <f>IF('FP Corp'!T90-((BE90+BF90+BG90)*(1-'Prices&amp;Fuel'!F90))&lt;'Prices&amp;Fuel'!R90,('FP Corp'!T90-(BE90+BF90+BG90)*(1-'Prices&amp;Fuel'!F90)),'Prices&amp;Fuel'!R90)/(1-'Prices&amp;Fuel'!F90)</f>
        <v>4325.9640102827761</v>
      </c>
      <c r="BC90" s="14"/>
      <c r="BD90" s="14">
        <f>ROUND(IF('FP Corp'!T90/(1-'Prices&amp;Fuel'!F90)-BE90-BF90-BG90-BB90&gt;'Prices&amp;Fuel'!T90,'Prices&amp;Fuel'!T90,'FP Corp'!T90/(1-'Prices&amp;Fuel'!F90)-BE90-BF90-BG90-BB90),9)</f>
        <v>0</v>
      </c>
      <c r="BE90" s="14">
        <f>'Prices&amp;Fuel'!U90/(1-'Prices&amp;Fuel'!F90)</f>
        <v>2635.4755784061695</v>
      </c>
      <c r="BF90" s="14">
        <f>('Prices&amp;Fuel'!V90+'Prices&amp;Fuel'!X90)/(1-'Prices&amp;Fuel'!F90)</f>
        <v>3645.2442159383031</v>
      </c>
      <c r="BG90" s="14">
        <f>'Prices&amp;Fuel'!W90/(1-'Prices&amp;Fuel'!F90)</f>
        <v>1732.6478149100255</v>
      </c>
      <c r="BH90" s="25">
        <f>('Prices&amp;Fuel'!C90+'Prices&amp;Fuel'!D90)/2-0.05+('Prices&amp;Fuel'!M90+'Prices&amp;Fuel'!P90)*(1-'Prices&amp;Fuel'!F90)</f>
        <v>3.3217087500000013</v>
      </c>
      <c r="BI90" s="14">
        <f t="shared" si="114"/>
        <v>4325.9640102827761</v>
      </c>
      <c r="BJ90" s="14"/>
      <c r="BK90" s="25">
        <f>(((BB90+BE90)*('Prices&amp;Fuel'!B90+0.025))+(('Prices&amp;Fuel'!D90+0.025)*(BD90+BG90))+(('Prices&amp;Fuel'!C90+0.025)*(BC90+BF90))-(BI90+BJ90)*0.025)/(BB90+BC90+BD90+BE90+BF90+BG90)</f>
        <v>2.627624583333334</v>
      </c>
      <c r="BL90" s="14">
        <f>(BB90+BC90+BD90+BE90+BF90+BG90)*BH90*'Prices&amp;Fuel'!H90</f>
        <v>1270617.6401028282</v>
      </c>
      <c r="BM90" s="14">
        <f>'Prices&amp;Fuel'!X90*('Prices&amp;Fuel'!N90+'Prices&amp;Fuel'!O90)*'Prices&amp;Fuel'!H90</f>
        <v>8908.4139348759727</v>
      </c>
      <c r="BN90" s="14">
        <f>('Prices&amp;Fuel'!U90+'Prices&amp;Fuel'!V90+'Prices&amp;Fuel'!W90)*('Prices&amp;Fuel'!L90+'Prices&amp;Fuel'!O90)*'Prices&amp;Fuel'!H90</f>
        <v>92736.197770085157</v>
      </c>
      <c r="BO90" s="14">
        <f>((BB90+BC90+BD90)*(1-'Prices&amp;Fuel'!G90))*('Prices&amp;Fuel'!M90+'Prices&amp;Fuel'!P90)*'Prices&amp;Fuel'!H90</f>
        <v>99834.213499999998</v>
      </c>
      <c r="BP90" s="14">
        <f>((BD90+BC90+BB90+BE90+BF90+BG90)*BK90*'Prices&amp;Fuel'!H90)+BM90+BN90+BO90</f>
        <v>1206595.8894723135</v>
      </c>
      <c r="BQ90" s="6">
        <f t="shared" si="115"/>
        <v>64021.750630514696</v>
      </c>
      <c r="CA90" s="6">
        <f>(AF90+AG90+AH90+AL90)*0.005*'Prices&amp;Fuel'!H90</f>
        <v>21038.560411311057</v>
      </c>
      <c r="CB90" s="6">
        <f>(B90+C90+D90+O90+P90+Q90+X90+Y90+BB90+BC90+BD90+BE90+BF90+BG90+BR90+BS90)*0.005*'Prices&amp;Fuel'!H90</f>
        <v>5803.0964010282778</v>
      </c>
      <c r="CC90" s="1">
        <f t="shared" si="123"/>
        <v>15008743.438303346</v>
      </c>
      <c r="CD90" s="1">
        <f t="shared" si="124"/>
        <v>14607762.041194683</v>
      </c>
      <c r="CE90" s="1">
        <f t="shared" si="125"/>
        <v>400981.39710866287</v>
      </c>
      <c r="CF90" s="1">
        <f>'Index Price Deals'!AR90</f>
        <v>0</v>
      </c>
      <c r="CG90" s="1">
        <f>'Index Price Deals'!AS90</f>
        <v>0</v>
      </c>
      <c r="CH90" s="1">
        <f>'Index Price Deals'!AT90</f>
        <v>0</v>
      </c>
      <c r="CI90" s="1">
        <f>'Index Price Deals'!AU90</f>
        <v>0</v>
      </c>
      <c r="CJ90" s="1">
        <f t="shared" si="119"/>
        <v>15008743.438303346</v>
      </c>
      <c r="CK90" s="1">
        <f t="shared" si="120"/>
        <v>14607762.041194683</v>
      </c>
      <c r="CL90" s="1">
        <f t="shared" si="120"/>
        <v>400981.39710866287</v>
      </c>
      <c r="CM90" s="1">
        <f>SUM(CL79:CL90)</f>
        <v>5205084.0358932242</v>
      </c>
      <c r="CN90" s="1">
        <f>Transport!U90</f>
        <v>0</v>
      </c>
      <c r="CO90" s="57"/>
      <c r="CQ90" s="1">
        <f>(((($B90+$C90+$D90+$O90+$P90+$Q90)*0.5)+BR90+BS90)*(0.005*'Prices&amp;Fuel'!$H90)+'Index Price Deals'!AV90)+(((BB90+BC90+BD90+BE90+BF90+BG90)*(1-'Prices&amp;Fuel'!F90))*0.005*0.5*'Prices&amp;Fuel'!H90)</f>
        <v>2875.25</v>
      </c>
      <c r="CR90" s="1">
        <f>(((($B90+$C90+$D90+$O90+$P90+$Q90)*0.5)+X90+Y90)*(0.005*'Prices&amp;Fuel'!$H90)+CA90+'Index Price Deals'!AW90)+(((BB90+BC90+BD90+BE90+BF90+BG90)*(1-'Prices&amp;Fuel'!F90))*0.005*0.5*'Prices&amp;Fuel'!H90)</f>
        <v>23913.810411311057</v>
      </c>
      <c r="CS90" s="21"/>
      <c r="CT90" s="1">
        <f>[3]Sheet1!$O105</f>
        <v>-98823.398070431052</v>
      </c>
      <c r="CU90" s="1">
        <f>'[4]Long Term Deals'!$Z89</f>
        <v>-34895.062969705476</v>
      </c>
      <c r="CV90" s="60">
        <f t="shared" si="106"/>
        <v>464909.73220938846</v>
      </c>
      <c r="CW90" s="13">
        <f>((B90+C90+D90+O90+P90+Q90+X90+Y90+AF90+AG90+AH90+BB90+BC90+BD90+BE90+BF90+BG90+BR90+BS90)+('Index Price Deals'!B90+'Index Price Deals'!C90+'Index Price Deals'!D90+'Index Price Deals'!L90+'Index Price Deals'!M90+'Index Price Deals'!N90+'Index Price Deals'!AD90+'Index Price Deals'!AE90+'Index Price Deals'!AF90+'Index Price Deals'!AK90+'Index Price Deals'!AL90+'Index Price Deals'!AM90))*'Prices&amp;Fuel'!H90</f>
        <v>5368331.3624678655</v>
      </c>
      <c r="DB90" s="3">
        <f>(O90+P90+Q90)*'Prices&amp;Fuel'!$H90</f>
        <v>778100</v>
      </c>
      <c r="DE90" s="3">
        <v>132000</v>
      </c>
    </row>
    <row r="91" spans="1:109" x14ac:dyDescent="0.25">
      <c r="A91" s="10">
        <f t="shared" si="113"/>
        <v>38364.833333333125</v>
      </c>
      <c r="O91" s="1">
        <v>9036</v>
      </c>
      <c r="P91" s="1">
        <v>10794</v>
      </c>
      <c r="Q91" s="1">
        <v>5270</v>
      </c>
      <c r="R91" s="11">
        <f t="shared" si="121"/>
        <v>3.0750000000000002</v>
      </c>
      <c r="S91" s="11">
        <f t="shared" si="122"/>
        <v>3.0628000000000002</v>
      </c>
      <c r="T91" s="1">
        <f>(($O91*R91)+($P91*R91)+($Q91*R91))*'Prices&amp;Fuel'!$H91</f>
        <v>2392657.5</v>
      </c>
      <c r="U91" s="1">
        <f>(($O91*S91)+($P91*S91)+($Q91*S91))*'Prices&amp;Fuel'!$H91</f>
        <v>2383164.6800000002</v>
      </c>
      <c r="V91" s="13">
        <f t="shared" si="117"/>
        <v>9492.8199999998324</v>
      </c>
      <c r="AF91" s="1">
        <f>(32000/(1-'Prices&amp;Fuel'!F91))+(25000/(1-'Prices&amp;Fuel'!G91))-AI91</f>
        <v>58611.825192802062</v>
      </c>
      <c r="AG91" s="1">
        <v>0</v>
      </c>
      <c r="AH91" s="1">
        <f>(75000/(1-'Prices&amp;Fuel'!G91))-AK91</f>
        <v>77120.822622107968</v>
      </c>
      <c r="AI91" s="1"/>
      <c r="AJ91" s="1"/>
      <c r="AK91" s="1"/>
      <c r="AL91" s="21">
        <f>ROUND((132000/(1-'Prices&amp;Fuel'!F91))-AF91-AG91-AH91,0)</f>
        <v>0</v>
      </c>
      <c r="AM91" s="1">
        <f t="shared" si="126"/>
        <v>0</v>
      </c>
      <c r="AO91" s="1">
        <f>ROUND((75000/(1-'Prices&amp;Fuel'!G91)-AV91-AK91)/2,0)</f>
        <v>38560</v>
      </c>
      <c r="AP91" s="1">
        <f t="shared" si="116"/>
        <v>58611.825192802062</v>
      </c>
      <c r="AR91" s="1">
        <f t="shared" si="111"/>
        <v>0</v>
      </c>
      <c r="AT91" s="13">
        <f t="shared" si="107"/>
        <v>38560.822622107968</v>
      </c>
      <c r="AU91" s="13">
        <f>AL91*AX91*'Prices&amp;Fuel'!H91</f>
        <v>0</v>
      </c>
      <c r="AW91" s="20">
        <v>0.06</v>
      </c>
      <c r="AX91" s="20">
        <f t="shared" si="93"/>
        <v>2.5000000000000001E-2</v>
      </c>
      <c r="AY91" s="6">
        <f>('Prices&amp;Fuel'!H91*('Prices&amp;Fuel'!B91+AW91)*'Long Term Deals'!AF91)+('Prices&amp;Fuel'!H91*('Prices&amp;Fuel'!C91+'Long Term Deals'!AW91)*'Long Term Deals'!AG91)+(AH91*('Prices&amp;Fuel'!C91+AW91)*'Prices&amp;Fuel'!H91)+(AW91*AL91*'Prices&amp;Fuel'!H91)</f>
        <v>9984371.3530488461</v>
      </c>
      <c r="AZ91" s="6">
        <f>(AP91*'Prices&amp;Fuel'!H91*'Prices&amp;Fuel'!B91)+(AQ91*'Prices&amp;Fuel'!C91*'Prices&amp;Fuel'!H91)+((AM91+AR91)*('Prices&amp;Fuel'!B91+'Long Term Deals'!AX91)*'Prices&amp;Fuel'!H91)+((AN91+AS91)*('Prices&amp;Fuel'!C91+'Long Term Deals'!AX91)*'Prices&amp;Fuel'!H91)+((AO91+AT91)*('Prices&amp;Fuel'!D91+'Long Term Deals'!AX91)*'Prices&amp;Fuel'!H91)+(AV91*'Prices&amp;Fuel'!H91*'Prices&amp;Fuel'!Q91)+AU91</f>
        <v>9672139.9905809779</v>
      </c>
      <c r="BA91" s="6">
        <f t="shared" si="118"/>
        <v>312231.36246786825</v>
      </c>
      <c r="BB91" s="6">
        <f>IF('FP Corp'!T91-((BE91+BF91+BG91)*(1-'Prices&amp;Fuel'!F91))&lt;'Prices&amp;Fuel'!R91,('FP Corp'!T91-(BE91+BF91+BG91)*(1-'Prices&amp;Fuel'!F91)),'Prices&amp;Fuel'!R91)/(1-'Prices&amp;Fuel'!F91)</f>
        <v>4325.9640102827761</v>
      </c>
      <c r="BC91" s="14"/>
      <c r="BD91" s="14">
        <f>ROUND(IF('FP Corp'!T91/(1-'Prices&amp;Fuel'!F91)-BE91-BF91-BG91-BB91&gt;'Prices&amp;Fuel'!T91,'Prices&amp;Fuel'!T91,'FP Corp'!T91/(1-'Prices&amp;Fuel'!F91)-BE91-BF91-BG91-BB91),9)</f>
        <v>0</v>
      </c>
      <c r="BE91" s="14">
        <f>'Prices&amp;Fuel'!U91/(1-'Prices&amp;Fuel'!F91)</f>
        <v>2635.4755784061695</v>
      </c>
      <c r="BF91" s="14">
        <f>('Prices&amp;Fuel'!V91+'Prices&amp;Fuel'!X91)/(1-'Prices&amp;Fuel'!F91)</f>
        <v>3645.2442159383031</v>
      </c>
      <c r="BG91" s="14">
        <f>'Prices&amp;Fuel'!W91/(1-'Prices&amp;Fuel'!F91)</f>
        <v>1732.6478149100255</v>
      </c>
      <c r="BH91" s="25">
        <f>('Prices&amp;Fuel'!C91+'Prices&amp;Fuel'!D91)/2-0.05+('Prices&amp;Fuel'!M91+'Prices&amp;Fuel'!P91)*(1-'Prices&amp;Fuel'!F91)</f>
        <v>3.0082320200000008</v>
      </c>
      <c r="BI91" s="14">
        <f t="shared" si="114"/>
        <v>4325.9640102827761</v>
      </c>
      <c r="BJ91" s="14"/>
      <c r="BK91" s="25">
        <f>(((BB91+BE91)*('Prices&amp;Fuel'!B91+0.025))+(('Prices&amp;Fuel'!D91+0.025)*(BD91+BG91))+(('Prices&amp;Fuel'!C91+0.025)*(BC91+BF91))-(BI91+BJ91)*0.025)/(BB91+BC91+BD91+BE91+BF91+BG91)</f>
        <v>2.3141478533333335</v>
      </c>
      <c r="BL91" s="14">
        <f>(BB91+BC91+BD91+BE91+BF91+BG91)*BH91*'Prices&amp;Fuel'!H91</f>
        <v>1150706.7469820054</v>
      </c>
      <c r="BM91" s="14">
        <f>'Prices&amp;Fuel'!X91*('Prices&amp;Fuel'!N91+'Prices&amp;Fuel'!O91)*'Prices&amp;Fuel'!H91</f>
        <v>9438.6404139577935</v>
      </c>
      <c r="BN91" s="14">
        <f>('Prices&amp;Fuel'!U91+'Prices&amp;Fuel'!V91+'Prices&amp;Fuel'!W91)*('Prices&amp;Fuel'!L91+'Prices&amp;Fuel'!O91)*'Prices&amp;Fuel'!H91</f>
        <v>98255.832127730479</v>
      </c>
      <c r="BO91" s="14">
        <f>((BB91+BC91+BD91)*(1-'Prices&amp;Fuel'!G91))*('Prices&amp;Fuel'!M91+'Prices&amp;Fuel'!P91)*'Prices&amp;Fuel'!H91</f>
        <v>99834.213499999998</v>
      </c>
      <c r="BP91" s="14">
        <f>((BD91+BC91+BB91+BE91+BF91+BG91)*BK91*'Prices&amp;Fuel'!H91)+BM91+BN91+BO91</f>
        <v>1092734.8571882178</v>
      </c>
      <c r="BQ91" s="6">
        <f t="shared" si="115"/>
        <v>57971.889793787617</v>
      </c>
      <c r="CA91" s="6">
        <f>(AF91+AG91+AH91+AL91)*0.005*'Prices&amp;Fuel'!H91</f>
        <v>21038.560411311057</v>
      </c>
      <c r="CB91" s="6">
        <f>(B91+C91+D91+O91+P91+Q91+X91+Y91+BB91+BC91+BD91+BE91+BF91+BG91+BR91+BS91)*0.005*'Prices&amp;Fuel'!H91</f>
        <v>5803.0964010282778</v>
      </c>
      <c r="CC91" s="1">
        <f t="shared" si="123"/>
        <v>13527735.600030851</v>
      </c>
      <c r="CD91" s="1">
        <f t="shared" si="124"/>
        <v>13174881.184581535</v>
      </c>
      <c r="CE91" s="1">
        <f t="shared" si="125"/>
        <v>352854.41544931568</v>
      </c>
      <c r="CF91" s="1">
        <f>'Index Price Deals'!AR91</f>
        <v>0</v>
      </c>
      <c r="CG91" s="1">
        <f>'Index Price Deals'!AS91</f>
        <v>0</v>
      </c>
      <c r="CH91" s="1">
        <f>'Index Price Deals'!AT91</f>
        <v>0</v>
      </c>
      <c r="CI91" s="1">
        <f>'Index Price Deals'!AU91</f>
        <v>0</v>
      </c>
      <c r="CJ91" s="1">
        <f t="shared" si="119"/>
        <v>13527735.600030851</v>
      </c>
      <c r="CK91" s="1">
        <f t="shared" si="120"/>
        <v>13174881.184581535</v>
      </c>
      <c r="CL91" s="1">
        <f t="shared" si="120"/>
        <v>352854.41544931568</v>
      </c>
      <c r="CM91" s="30"/>
      <c r="CN91" s="1">
        <f>Transport!U91</f>
        <v>0</v>
      </c>
      <c r="CO91" s="57"/>
      <c r="CQ91" s="1">
        <f>(((($B91+$C91+$D91+$O91+$P91+$Q91)*0.5)+BR91+BS91)*(0.005*'Prices&amp;Fuel'!$H91)+'Index Price Deals'!AV91)+(((BB91+BC91+BD91+BE91+BF91+BG91)*(1-'Prices&amp;Fuel'!F91))*0.005*0.5*'Prices&amp;Fuel'!H91)</f>
        <v>2875.25</v>
      </c>
      <c r="CR91" s="1">
        <f>(((($B91+$C91+$D91+$O91+$P91+$Q91)*0.5)+X91+Y91)*(0.005*'Prices&amp;Fuel'!$H91)+CA91+'Index Price Deals'!AW91)+(((BB91+BC91+BD91+BE91+BF91+BG91)*(1-'Prices&amp;Fuel'!F91))*0.005*0.5*'Prices&amp;Fuel'!H91)</f>
        <v>23913.810411311057</v>
      </c>
      <c r="CS91" s="21"/>
      <c r="CT91" s="1">
        <f>[3]Sheet1!$O107</f>
        <v>-141030.72143298911</v>
      </c>
      <c r="CU91" s="1">
        <f>'[4]Long Term Deals'!$Z90</f>
        <v>-34895.062969705476</v>
      </c>
      <c r="CV91" s="60">
        <f t="shared" si="106"/>
        <v>458990.0739125993</v>
      </c>
      <c r="CW91" s="13">
        <f>((B91+C91+D91+O91+P91+Q91+X91+Y91+AF91+AG91+AH91+BB91+BC91+BD91+BE91+BF91+BG91+BR91+BS91)+('Index Price Deals'!B91+'Index Price Deals'!C91+'Index Price Deals'!D91+'Index Price Deals'!L91+'Index Price Deals'!M91+'Index Price Deals'!N91+'Index Price Deals'!AD91+'Index Price Deals'!AE91+'Index Price Deals'!AF91+'Index Price Deals'!AK91+'Index Price Deals'!AL91+'Index Price Deals'!AM91))*'Prices&amp;Fuel'!H91</f>
        <v>5368331.3624678655</v>
      </c>
      <c r="DB91" s="3">
        <f>(O91+P91+Q91)*'Prices&amp;Fuel'!$H91</f>
        <v>778100</v>
      </c>
      <c r="DE91" s="3">
        <v>132000</v>
      </c>
    </row>
    <row r="92" spans="1:109" x14ac:dyDescent="0.25">
      <c r="A92" s="10">
        <f t="shared" si="113"/>
        <v>38395.249999999789</v>
      </c>
      <c r="O92" s="1">
        <v>9036</v>
      </c>
      <c r="P92" s="1">
        <v>10794</v>
      </c>
      <c r="Q92" s="1">
        <v>5270</v>
      </c>
      <c r="R92" s="11">
        <f t="shared" si="121"/>
        <v>3.0750000000000002</v>
      </c>
      <c r="S92" s="11">
        <f t="shared" si="122"/>
        <v>3.0628000000000002</v>
      </c>
      <c r="T92" s="1">
        <f>(($O92*R92)+($P92*R92)+($Q92*R92))*'Prices&amp;Fuel'!$H92</f>
        <v>2161110</v>
      </c>
      <c r="U92" s="1">
        <f>(($O92*S92)+($P92*S92)+($Q92*S92))*'Prices&amp;Fuel'!$H92</f>
        <v>2152535.84</v>
      </c>
      <c r="V92" s="13">
        <f t="shared" si="117"/>
        <v>8574.160000000149</v>
      </c>
      <c r="AF92" s="1">
        <f>(32000/(1-'Prices&amp;Fuel'!F92))+(25000/(1-'Prices&amp;Fuel'!G92))-AI92</f>
        <v>58611.825192802062</v>
      </c>
      <c r="AG92" s="1">
        <v>0</v>
      </c>
      <c r="AH92" s="1">
        <f>(75000/(1-'Prices&amp;Fuel'!G92))-AK92</f>
        <v>77120.822622107968</v>
      </c>
      <c r="AI92" s="1"/>
      <c r="AJ92" s="1"/>
      <c r="AK92" s="1"/>
      <c r="AL92" s="21">
        <f>ROUND((132000/(1-'Prices&amp;Fuel'!F92))-AF92-AG92-AH92,0)</f>
        <v>0</v>
      </c>
      <c r="AM92" s="1">
        <f t="shared" si="126"/>
        <v>0</v>
      </c>
      <c r="AO92" s="1">
        <f>ROUND((75000/(1-'Prices&amp;Fuel'!G92)-AV92-AK92)/2,0)</f>
        <v>38560</v>
      </c>
      <c r="AP92" s="1">
        <f t="shared" si="116"/>
        <v>58611.825192802062</v>
      </c>
      <c r="AR92" s="1">
        <f t="shared" si="111"/>
        <v>0</v>
      </c>
      <c r="AT92" s="13">
        <f t="shared" si="107"/>
        <v>38560.822622107968</v>
      </c>
      <c r="AU92" s="13">
        <f>AL92*AX92*'Prices&amp;Fuel'!H92</f>
        <v>0</v>
      </c>
      <c r="AW92" s="20">
        <f t="shared" ref="AW92:AW102" si="127">AW91</f>
        <v>0.06</v>
      </c>
      <c r="AX92" s="20">
        <f t="shared" si="93"/>
        <v>2.5000000000000001E-2</v>
      </c>
      <c r="AY92" s="6">
        <f>('Prices&amp;Fuel'!H92*('Prices&amp;Fuel'!B92+AW92)*'Long Term Deals'!AF92)+('Prices&amp;Fuel'!H92*('Prices&amp;Fuel'!C92+'Long Term Deals'!AW92)*'Long Term Deals'!AG92)+(AH92*('Prices&amp;Fuel'!C92+AW92)*'Prices&amp;Fuel'!H92)+(AW92*AL92*'Prices&amp;Fuel'!H92)</f>
        <v>10075373.717059126</v>
      </c>
      <c r="AZ92" s="6">
        <f>(AP92*'Prices&amp;Fuel'!H92*'Prices&amp;Fuel'!B92)+(AQ92*'Prices&amp;Fuel'!C92*'Prices&amp;Fuel'!H92)+((AM92+AR92)*('Prices&amp;Fuel'!B92+'Long Term Deals'!AX92)*'Prices&amp;Fuel'!H92)+((AN92+AS92)*('Prices&amp;Fuel'!C92+'Long Term Deals'!AX92)*'Prices&amp;Fuel'!H92)+((AO92+AT92)*('Prices&amp;Fuel'!D92+'Long Term Deals'!AX92)*'Prices&amp;Fuel'!H92)+(AV92*'Prices&amp;Fuel'!H92*'Prices&amp;Fuel'!Q92)+AU92</f>
        <v>9793358.2928946018</v>
      </c>
      <c r="BA92" s="6">
        <f t="shared" si="118"/>
        <v>282015.4241645243</v>
      </c>
      <c r="BB92" s="6">
        <f>IF('FP Corp'!T92-((BE92+BF92+BG92)*(1-'Prices&amp;Fuel'!F92))&lt;'Prices&amp;Fuel'!R92,('FP Corp'!T92-(BE92+BF92+BG92)*(1-'Prices&amp;Fuel'!F92)),'Prices&amp;Fuel'!R92)/(1-'Prices&amp;Fuel'!F92)</f>
        <v>4325.9640102827761</v>
      </c>
      <c r="BC92" s="14"/>
      <c r="BD92" s="14">
        <f>ROUND(IF('FP Corp'!T92/(1-'Prices&amp;Fuel'!F92)-BE92-BF92-BG92-BB92&gt;'Prices&amp;Fuel'!T92,'Prices&amp;Fuel'!T92,'FP Corp'!T92/(1-'Prices&amp;Fuel'!F92)-BE92-BF92-BG92-BB92),9)</f>
        <v>0</v>
      </c>
      <c r="BE92" s="14">
        <f>'Prices&amp;Fuel'!U92/(1-'Prices&amp;Fuel'!F92)</f>
        <v>2635.4755784061695</v>
      </c>
      <c r="BF92" s="14">
        <f>('Prices&amp;Fuel'!V92+'Prices&amp;Fuel'!X92)/(1-'Prices&amp;Fuel'!F92)</f>
        <v>3645.2442159383031</v>
      </c>
      <c r="BG92" s="14">
        <f>'Prices&amp;Fuel'!W92/(1-'Prices&amp;Fuel'!F92)</f>
        <v>1732.6478149100255</v>
      </c>
      <c r="BH92" s="25">
        <f>('Prices&amp;Fuel'!C92+'Prices&amp;Fuel'!D92)/2-0.05+('Prices&amp;Fuel'!M92+'Prices&amp;Fuel'!P92)*(1-'Prices&amp;Fuel'!F92)</f>
        <v>3.2864132900000005</v>
      </c>
      <c r="BI92" s="14">
        <f t="shared" si="114"/>
        <v>4325.9640102827761</v>
      </c>
      <c r="BJ92" s="14"/>
      <c r="BK92" s="25">
        <f>(((BB92+BE92)*('Prices&amp;Fuel'!B92+0.025))+(('Prices&amp;Fuel'!D92+0.025)*(BD92+BG92))+(('Prices&amp;Fuel'!C92+0.025)*(BC92+BF92))-(BI92+BJ92)*0.025)/(BB92+BC92+BD92+BE92+BF92+BG92)</f>
        <v>2.5923291233333332</v>
      </c>
      <c r="BL92" s="14">
        <f>(BB92+BC92+BD92+BE92+BF92+BG92)*BH92*'Prices&amp;Fuel'!H92</f>
        <v>1135460.0158766068</v>
      </c>
      <c r="BM92" s="14">
        <f>'Prices&amp;Fuel'!X92*('Prices&amp;Fuel'!N92+'Prices&amp;Fuel'!O92)*'Prices&amp;Fuel'!H92</f>
        <v>8525.2235997038133</v>
      </c>
      <c r="BN92" s="14">
        <f>('Prices&amp;Fuel'!U92+'Prices&amp;Fuel'!V92+'Prices&amp;Fuel'!W92)*('Prices&amp;Fuel'!L92+'Prices&amp;Fuel'!O92)*'Prices&amp;Fuel'!H92</f>
        <v>88747.203212143664</v>
      </c>
      <c r="BO92" s="14">
        <f>((BB92+BC92+BD92)*(1-'Prices&amp;Fuel'!G92))*('Prices&amp;Fuel'!M92+'Prices&amp;Fuel'!P92)*'Prices&amp;Fuel'!H92</f>
        <v>90172.837999999989</v>
      </c>
      <c r="BP92" s="14">
        <f>((BD92+BC92+BB92+BE92+BF92+BG92)*BK92*'Prices&amp;Fuel'!H92)+BM92+BN92+BO92</f>
        <v>1083098.308966089</v>
      </c>
      <c r="BQ92" s="6">
        <f t="shared" si="115"/>
        <v>52361.706910517765</v>
      </c>
      <c r="CA92" s="6">
        <f>(AF92+AG92+AH92+AL92)*0.005*'Prices&amp;Fuel'!H92</f>
        <v>19002.570694087408</v>
      </c>
      <c r="CB92" s="6">
        <f>(B92+C92+D92+O92+P92+Q92+X92+Y92+BB92+BC92+BD92+BE92+BF92+BG92+BR92+BS92)*0.005*'Prices&amp;Fuel'!H92</f>
        <v>5241.5064267352182</v>
      </c>
      <c r="CC92" s="1">
        <f t="shared" si="123"/>
        <v>13371943.732935732</v>
      </c>
      <c r="CD92" s="1">
        <f t="shared" si="124"/>
        <v>13053236.518981513</v>
      </c>
      <c r="CE92" s="1">
        <f t="shared" si="125"/>
        <v>318707.21395421959</v>
      </c>
      <c r="CF92" s="1">
        <f>'Index Price Deals'!AR92</f>
        <v>0</v>
      </c>
      <c r="CG92" s="1">
        <f>'Index Price Deals'!AS92</f>
        <v>0</v>
      </c>
      <c r="CH92" s="1">
        <f>'Index Price Deals'!AT92</f>
        <v>0</v>
      </c>
      <c r="CI92" s="1">
        <f>'Index Price Deals'!AU92</f>
        <v>0</v>
      </c>
      <c r="CJ92" s="1">
        <f t="shared" si="119"/>
        <v>13371943.732935732</v>
      </c>
      <c r="CK92" s="1">
        <f t="shared" si="120"/>
        <v>13053236.518981513</v>
      </c>
      <c r="CL92" s="1">
        <f t="shared" si="120"/>
        <v>318707.21395421959</v>
      </c>
      <c r="CM92" s="30"/>
      <c r="CN92" s="1">
        <f>Transport!U92</f>
        <v>0</v>
      </c>
      <c r="CO92" s="57"/>
      <c r="CQ92" s="1">
        <f>(((($B92+$C92+$D92+$O92+$P92+$Q92)*0.5)+BR92+BS92)*(0.005*'Prices&amp;Fuel'!$H92)+'Index Price Deals'!AV92)+(((BB92+BC92+BD92+BE92+BF92+BG92)*(1-'Prices&amp;Fuel'!F92))*0.005*0.5*'Prices&amp;Fuel'!H92)</f>
        <v>2597</v>
      </c>
      <c r="CR92" s="1">
        <f>(((($B92+$C92+$D92+$O92+$P92+$Q92)*0.5)+X92+Y92)*(0.005*'Prices&amp;Fuel'!$H92)+CA92+'Index Price Deals'!AW92)+(((BB92+BC92+BD92+BE92+BF92+BG92)*(1-'Prices&amp;Fuel'!F92))*0.005*0.5*'Prices&amp;Fuel'!H92)</f>
        <v>21599.570694087408</v>
      </c>
      <c r="CS92" s="21"/>
      <c r="CT92" s="1">
        <f>[3]Sheet1!$O108</f>
        <v>-127382.58710076439</v>
      </c>
      <c r="CU92" s="1">
        <f>'[4]Long Term Deals'!$Z91</f>
        <v>-31518.121391992048</v>
      </c>
      <c r="CV92" s="60">
        <f t="shared" si="106"/>
        <v>414571.67966299196</v>
      </c>
      <c r="CW92" s="13">
        <f>((B92+C92+D92+O92+P92+Q92+X92+Y92+AF92+AG92+AH92+BB92+BC92+BD92+BE92+BF92+BG92+BR92+BS92)+('Index Price Deals'!B92+'Index Price Deals'!C92+'Index Price Deals'!D92+'Index Price Deals'!L92+'Index Price Deals'!M92+'Index Price Deals'!N92+'Index Price Deals'!AD92+'Index Price Deals'!AE92+'Index Price Deals'!AF92+'Index Price Deals'!AK92+'Index Price Deals'!AL92+'Index Price Deals'!AM92))*'Prices&amp;Fuel'!H92</f>
        <v>4848815.4241645234</v>
      </c>
      <c r="DB92" s="3">
        <f>(O92+P92+Q92)*'Prices&amp;Fuel'!$H92</f>
        <v>702800</v>
      </c>
      <c r="DE92" s="3">
        <v>132000</v>
      </c>
    </row>
    <row r="93" spans="1:109" x14ac:dyDescent="0.25">
      <c r="A93" s="10">
        <f t="shared" si="113"/>
        <v>38425.666666666453</v>
      </c>
      <c r="O93" s="1">
        <v>9036</v>
      </c>
      <c r="P93" s="1">
        <v>10794</v>
      </c>
      <c r="Q93" s="1">
        <v>5270</v>
      </c>
      <c r="R93" s="11">
        <f t="shared" si="121"/>
        <v>3.0750000000000002</v>
      </c>
      <c r="S93" s="11">
        <f t="shared" si="122"/>
        <v>3.0628000000000002</v>
      </c>
      <c r="T93" s="1">
        <f>(($O93*R93)+($P93*R93)+($Q93*R93))*'Prices&amp;Fuel'!$H93</f>
        <v>2392657.5</v>
      </c>
      <c r="U93" s="1">
        <f>(($O93*S93)+($P93*S93)+($Q93*S93))*'Prices&amp;Fuel'!$H93</f>
        <v>2383164.6800000002</v>
      </c>
      <c r="V93" s="13">
        <f t="shared" si="117"/>
        <v>9492.8199999998324</v>
      </c>
      <c r="AF93" s="1">
        <f>(32000/(1-'Prices&amp;Fuel'!F93))+(25000/(1-'Prices&amp;Fuel'!G93))-AI93</f>
        <v>58611.825192802062</v>
      </c>
      <c r="AG93" s="1">
        <v>0</v>
      </c>
      <c r="AH93" s="1">
        <f>(75000/(1-'Prices&amp;Fuel'!G93))-AK93</f>
        <v>77120.822622107968</v>
      </c>
      <c r="AI93" s="1"/>
      <c r="AJ93" s="1"/>
      <c r="AK93" s="1"/>
      <c r="AL93" s="21">
        <f>ROUND((132000/(1-'Prices&amp;Fuel'!F93))-AF93-AG93-AH93,0)</f>
        <v>0</v>
      </c>
      <c r="AM93" s="1">
        <f t="shared" si="126"/>
        <v>0</v>
      </c>
      <c r="AO93" s="1">
        <f>ROUND((75000/(1-'Prices&amp;Fuel'!G93)-AV93-AK93)/2,0)</f>
        <v>38560</v>
      </c>
      <c r="AP93" s="1">
        <f t="shared" si="116"/>
        <v>58611.825192802062</v>
      </c>
      <c r="AR93" s="1">
        <f t="shared" ref="AR93:AR108" si="128">IF(AP93&gt;AF93,0,AF93-AM93-AP93)</f>
        <v>0</v>
      </c>
      <c r="AT93" s="13">
        <f t="shared" si="107"/>
        <v>38560.822622107968</v>
      </c>
      <c r="AU93" s="13">
        <f>AL93*AX93*'Prices&amp;Fuel'!H93</f>
        <v>0</v>
      </c>
      <c r="AW93" s="20">
        <f t="shared" si="127"/>
        <v>0.06</v>
      </c>
      <c r="AX93" s="20">
        <f t="shared" si="93"/>
        <v>2.5000000000000001E-2</v>
      </c>
      <c r="AY93" s="6">
        <f>('Prices&amp;Fuel'!H93*('Prices&amp;Fuel'!B93+AW93)*'Long Term Deals'!AF93)+('Prices&amp;Fuel'!H93*('Prices&amp;Fuel'!C93+'Long Term Deals'!AW93)*'Long Term Deals'!AG93)+(AH93*('Prices&amp;Fuel'!C93+AW93)*'Prices&amp;Fuel'!H93)+(AW93*AL93*'Prices&amp;Fuel'!H93)</f>
        <v>11154878.043886891</v>
      </c>
      <c r="AZ93" s="6">
        <f>(AP93*'Prices&amp;Fuel'!H93*'Prices&amp;Fuel'!B93)+(AQ93*'Prices&amp;Fuel'!C93*'Prices&amp;Fuel'!H93)+((AM93+AR93)*('Prices&amp;Fuel'!B93+'Long Term Deals'!AX93)*'Prices&amp;Fuel'!H93)+((AN93+AS93)*('Prices&amp;Fuel'!C93+'Long Term Deals'!AX93)*'Prices&amp;Fuel'!H93)+((AO93+AT93)*('Prices&amp;Fuel'!D93+'Long Term Deals'!AX93)*'Prices&amp;Fuel'!H93)+(AV93*'Prices&amp;Fuel'!H93*'Prices&amp;Fuel'!Q93)+AU93</f>
        <v>10842646.681419024</v>
      </c>
      <c r="BA93" s="6">
        <f t="shared" si="118"/>
        <v>312231.36246786639</v>
      </c>
      <c r="BB93" s="6">
        <f>IF('FP Corp'!T93-((BE93+BF93+BG93)*(1-'Prices&amp;Fuel'!F93))&lt;'Prices&amp;Fuel'!R93,('FP Corp'!T93-(BE93+BF93+BG93)*(1-'Prices&amp;Fuel'!F93)),'Prices&amp;Fuel'!R93)/(1-'Prices&amp;Fuel'!F93)</f>
        <v>4325.9640102827761</v>
      </c>
      <c r="BC93" s="14"/>
      <c r="BD93" s="14">
        <f>ROUND(IF('FP Corp'!T93/(1-'Prices&amp;Fuel'!F93)-BE93-BF93-BG93-BB93&gt;'Prices&amp;Fuel'!T93,'Prices&amp;Fuel'!T93,'FP Corp'!T93/(1-'Prices&amp;Fuel'!F93)-BE93-BF93-BG93-BB93),9)</f>
        <v>0</v>
      </c>
      <c r="BE93" s="14">
        <f>'Prices&amp;Fuel'!U93/(1-'Prices&amp;Fuel'!F93)</f>
        <v>2635.4755784061695</v>
      </c>
      <c r="BF93" s="14">
        <f>('Prices&amp;Fuel'!V93+'Prices&amp;Fuel'!X93)/(1-'Prices&amp;Fuel'!F93)</f>
        <v>3645.2442159383031</v>
      </c>
      <c r="BG93" s="14">
        <f>'Prices&amp;Fuel'!W93/(1-'Prices&amp;Fuel'!F93)</f>
        <v>1732.6478149100255</v>
      </c>
      <c r="BH93" s="25">
        <f>('Prices&amp;Fuel'!C93+'Prices&amp;Fuel'!D93)/2-0.05+('Prices&amp;Fuel'!M93+'Prices&amp;Fuel'!P93)*(1-'Prices&amp;Fuel'!F93)</f>
        <v>3.2864132900000005</v>
      </c>
      <c r="BI93" s="14">
        <f t="shared" si="114"/>
        <v>4325.9640102827761</v>
      </c>
      <c r="BJ93" s="14"/>
      <c r="BK93" s="25">
        <f>(((BB93+BE93)*('Prices&amp;Fuel'!B93+0.025))+(('Prices&amp;Fuel'!D93+0.025)*(BD93+BG93))+(('Prices&amp;Fuel'!C93+0.025)*(BC93+BF93))-(BI93+BJ93)*0.025)/(BB93+BC93+BD93+BE93+BF93+BG93)</f>
        <v>2.5923291233333332</v>
      </c>
      <c r="BL93" s="14">
        <f>(BB93+BC93+BD93+BE93+BF93+BG93)*BH93*'Prices&amp;Fuel'!H93</f>
        <v>1257116.4461491003</v>
      </c>
      <c r="BM93" s="14">
        <f>'Prices&amp;Fuel'!X93*('Prices&amp;Fuel'!N93+'Prices&amp;Fuel'!O93)*'Prices&amp;Fuel'!H93</f>
        <v>9438.6404139577935</v>
      </c>
      <c r="BN93" s="14">
        <f>('Prices&amp;Fuel'!U93+'Prices&amp;Fuel'!V93+'Prices&amp;Fuel'!W93)*('Prices&amp;Fuel'!L93+'Prices&amp;Fuel'!O93)*'Prices&amp;Fuel'!H93</f>
        <v>98255.832127730479</v>
      </c>
      <c r="BO93" s="14">
        <f>((BB93+BC93+BD93)*(1-'Prices&amp;Fuel'!G93))*('Prices&amp;Fuel'!M93+'Prices&amp;Fuel'!P93)*'Prices&amp;Fuel'!H93</f>
        <v>99834.213499999998</v>
      </c>
      <c r="BP93" s="14">
        <f>((BD93+BC93+BB93+BE93+BF93+BG93)*BK93*'Prices&amp;Fuel'!H93)+BM93+BN93+BO93</f>
        <v>1199144.5563553129</v>
      </c>
      <c r="BQ93" s="6">
        <f t="shared" si="115"/>
        <v>57971.889793787384</v>
      </c>
      <c r="CA93" s="6">
        <f>(AF93+AG93+AH93+AL93)*0.005*'Prices&amp;Fuel'!H93</f>
        <v>21038.560411311057</v>
      </c>
      <c r="CB93" s="6">
        <f>(B93+C93+D93+O93+P93+Q93+X93+Y93+BB93+BC93+BD93+BE93+BF93+BG93+BR93+BS93)*0.005*'Prices&amp;Fuel'!H93</f>
        <v>5803.0964010282778</v>
      </c>
      <c r="CC93" s="1">
        <f t="shared" si="123"/>
        <v>14804651.99003599</v>
      </c>
      <c r="CD93" s="1">
        <f t="shared" si="124"/>
        <v>14451797.574586676</v>
      </c>
      <c r="CE93" s="1">
        <f t="shared" si="125"/>
        <v>352854.41544931382</v>
      </c>
      <c r="CF93" s="1">
        <f>'Index Price Deals'!AR93</f>
        <v>0</v>
      </c>
      <c r="CG93" s="1">
        <f>'Index Price Deals'!AS93</f>
        <v>0</v>
      </c>
      <c r="CH93" s="1">
        <f>'Index Price Deals'!AT93</f>
        <v>0</v>
      </c>
      <c r="CI93" s="1">
        <f>'Index Price Deals'!AU93</f>
        <v>0</v>
      </c>
      <c r="CJ93" s="1">
        <f t="shared" si="119"/>
        <v>14804651.99003599</v>
      </c>
      <c r="CK93" s="1">
        <f t="shared" si="120"/>
        <v>14451797.574586676</v>
      </c>
      <c r="CL93" s="1">
        <f t="shared" si="120"/>
        <v>352854.41544931382</v>
      </c>
      <c r="CM93" s="30"/>
      <c r="CN93" s="1">
        <f>Transport!U93</f>
        <v>0</v>
      </c>
      <c r="CO93" s="57"/>
      <c r="CQ93" s="1">
        <f>(((($B93+$C93+$D93+$O93+$P93+$Q93)*0.5)+BR93+BS93)*(0.005*'Prices&amp;Fuel'!$H93)+'Index Price Deals'!AV93)+(((BB93+BC93+BD93+BE93+BF93+BG93)*(1-'Prices&amp;Fuel'!F93))*0.005*0.5*'Prices&amp;Fuel'!H93)</f>
        <v>2875.25</v>
      </c>
      <c r="CR93" s="1">
        <f>(((($B93+$C93+$D93+$O93+$P93+$Q93)*0.5)+X93+Y93)*(0.005*'Prices&amp;Fuel'!$H93)+CA93+'Index Price Deals'!AW93)+(((BB93+BC93+BD93+BE93+BF93+BG93)*(1-'Prices&amp;Fuel'!F93))*0.005*0.5*'Prices&amp;Fuel'!H93)</f>
        <v>23913.810411311057</v>
      </c>
      <c r="CS93" s="21"/>
      <c r="CT93" s="1">
        <f>[3]Sheet1!$O109</f>
        <v>-141030.72143298911</v>
      </c>
      <c r="CU93" s="1">
        <f>'[4]Long Term Deals'!$Z92</f>
        <v>-34895.062969705476</v>
      </c>
      <c r="CV93" s="60">
        <f t="shared" si="106"/>
        <v>458990.07391259744</v>
      </c>
      <c r="CW93" s="13">
        <f>((B93+C93+D93+O93+P93+Q93+X93+Y93+AF93+AG93+AH93+BB93+BC93+BD93+BE93+BF93+BG93+BR93+BS93)+('Index Price Deals'!B93+'Index Price Deals'!C93+'Index Price Deals'!D93+'Index Price Deals'!L93+'Index Price Deals'!M93+'Index Price Deals'!N93+'Index Price Deals'!AD93+'Index Price Deals'!AE93+'Index Price Deals'!AF93+'Index Price Deals'!AK93+'Index Price Deals'!AL93+'Index Price Deals'!AM93))*'Prices&amp;Fuel'!H93</f>
        <v>5368331.3624678655</v>
      </c>
      <c r="DB93" s="3">
        <f>(O93+P93+Q93)*'Prices&amp;Fuel'!$H93</f>
        <v>778100</v>
      </c>
      <c r="DE93" s="3">
        <v>132000</v>
      </c>
    </row>
    <row r="94" spans="1:109" x14ac:dyDescent="0.25">
      <c r="A94" s="10">
        <f t="shared" si="113"/>
        <v>38456.083333333117</v>
      </c>
      <c r="O94" s="1">
        <v>9036</v>
      </c>
      <c r="P94" s="1">
        <v>10794</v>
      </c>
      <c r="Q94" s="1">
        <v>5270</v>
      </c>
      <c r="R94" s="11">
        <f t="shared" si="121"/>
        <v>3.0750000000000002</v>
      </c>
      <c r="S94" s="11">
        <f t="shared" si="122"/>
        <v>3.0628000000000002</v>
      </c>
      <c r="T94" s="1">
        <f>(($O94*R94)+($P94*R94)+($Q94*R94))*'Prices&amp;Fuel'!$H94</f>
        <v>2315475</v>
      </c>
      <c r="U94" s="1">
        <f>(($O94*S94)+($P94*S94)+($Q94*S94))*'Prices&amp;Fuel'!$H94</f>
        <v>2306288.4</v>
      </c>
      <c r="V94" s="13">
        <f t="shared" si="117"/>
        <v>9186.6000000000931</v>
      </c>
      <c r="AF94" s="1">
        <f>(32000/(1-'Prices&amp;Fuel'!F94))+(25000/(1-'Prices&amp;Fuel'!G94))-AI94</f>
        <v>58611.825192802062</v>
      </c>
      <c r="AG94" s="1">
        <v>0</v>
      </c>
      <c r="AH94" s="1">
        <f>(75000/(1-'Prices&amp;Fuel'!G94))-AK94</f>
        <v>77120.822622107968</v>
      </c>
      <c r="AI94" s="1"/>
      <c r="AJ94" s="1"/>
      <c r="AK94" s="1"/>
      <c r="AL94" s="21">
        <f>ROUND((132000/(1-'Prices&amp;Fuel'!F94))-AF94-AG94-AH94,0)</f>
        <v>0</v>
      </c>
      <c r="AM94" s="1">
        <f t="shared" si="126"/>
        <v>0</v>
      </c>
      <c r="AO94" s="1">
        <f>ROUND((75000/(1-'Prices&amp;Fuel'!G94)-AV94-AK94)/2,0)</f>
        <v>38560</v>
      </c>
      <c r="AP94" s="1">
        <f t="shared" si="116"/>
        <v>58611.825192802062</v>
      </c>
      <c r="AR94" s="1">
        <f t="shared" si="128"/>
        <v>0</v>
      </c>
      <c r="AT94" s="13">
        <f t="shared" si="107"/>
        <v>38560.822622107968</v>
      </c>
      <c r="AU94" s="13">
        <f>AL94*AX94*'Prices&amp;Fuel'!H94</f>
        <v>0</v>
      </c>
      <c r="AW94" s="20">
        <f t="shared" si="127"/>
        <v>0.06</v>
      </c>
      <c r="AX94" s="20">
        <f t="shared" si="93"/>
        <v>2.5000000000000001E-2</v>
      </c>
      <c r="AY94" s="6">
        <f>('Prices&amp;Fuel'!H94*('Prices&amp;Fuel'!B94+AW94)*'Long Term Deals'!AF94)+('Prices&amp;Fuel'!H94*('Prices&amp;Fuel'!C94+'Long Term Deals'!AW94)*'Long Term Deals'!AG94)+(AH94*('Prices&amp;Fuel'!C94+AW94)*'Prices&amp;Fuel'!H94)+(AW94*AL94*'Prices&amp;Fuel'!H94)</f>
        <v>11927791.67876607</v>
      </c>
      <c r="AZ94" s="6">
        <f>(AP94*'Prices&amp;Fuel'!H94*'Prices&amp;Fuel'!B94)+(AQ94*'Prices&amp;Fuel'!C94*'Prices&amp;Fuel'!H94)+((AM94+AR94)*('Prices&amp;Fuel'!B94+'Long Term Deals'!AX94)*'Prices&amp;Fuel'!H94)+((AN94+AS94)*('Prices&amp;Fuel'!C94+'Long Term Deals'!AX94)*'Prices&amp;Fuel'!H94)+((AO94+AT94)*('Prices&amp;Fuel'!D94+'Long Term Deals'!AX94)*'Prices&amp;Fuel'!H94)+(AV94*'Prices&amp;Fuel'!H94*'Prices&amp;Fuel'!Q94)+AU94</f>
        <v>11625632.295732651</v>
      </c>
      <c r="BA94" s="6">
        <f t="shared" si="118"/>
        <v>302159.38303341903</v>
      </c>
      <c r="BB94" s="6">
        <f>IF('FP Corp'!T94-((BE94+BF94+BG94)*(1-'Prices&amp;Fuel'!F94))&lt;'Prices&amp;Fuel'!R94,('FP Corp'!T94-(BE94+BF94+BG94)*(1-'Prices&amp;Fuel'!F94)),'Prices&amp;Fuel'!R94)/(1-'Prices&amp;Fuel'!F94)</f>
        <v>6278.6632390745499</v>
      </c>
      <c r="BC94" s="14"/>
      <c r="BD94" s="14">
        <f>ROUND(IF('FP Corp'!T94/(1-'Prices&amp;Fuel'!F94)-BE94-BF94-BG94-BB94&gt;'Prices&amp;Fuel'!T94,'Prices&amp;Fuel'!T94,'FP Corp'!T94/(1-'Prices&amp;Fuel'!F94)-BE94-BF94-BG94-BB94),9)</f>
        <v>0</v>
      </c>
      <c r="BE94" s="14">
        <f>'Prices&amp;Fuel'!U94/(1-'Prices&amp;Fuel'!F94)</f>
        <v>1933.1619537275064</v>
      </c>
      <c r="BF94" s="14">
        <f>('Prices&amp;Fuel'!V94+'Prices&amp;Fuel'!X94)/(1-'Prices&amp;Fuel'!F94)</f>
        <v>2833.9331619537274</v>
      </c>
      <c r="BG94" s="14">
        <f>'Prices&amp;Fuel'!W94/(1-'Prices&amp;Fuel'!F94)</f>
        <v>1293.5732647814909</v>
      </c>
      <c r="BH94" s="25">
        <f>('Prices&amp;Fuel'!C94+'Prices&amp;Fuel'!D94)/2-0.05+('Prices&amp;Fuel'!M94+'Prices&amp;Fuel'!P94)*(1-'Prices&amp;Fuel'!F94)</f>
        <v>3.5645945600000011</v>
      </c>
      <c r="BI94" s="14">
        <f t="shared" si="114"/>
        <v>6278.6632390745499</v>
      </c>
      <c r="BJ94" s="14"/>
      <c r="BK94" s="25">
        <f>(((BB94+BE94)*('Prices&amp;Fuel'!B94+0.025))+(('Prices&amp;Fuel'!D94+0.025)*(BD94+BG94))+(('Prices&amp;Fuel'!C94+0.025)*(BC94+BF94))-(BI94+BJ94)*0.025)/(BB94+BC94+BD94+BE94+BF94+BG94)</f>
        <v>2.8622533100000003</v>
      </c>
      <c r="BL94" s="14">
        <f>(BB94+BC94+BD94+BE94+BF94+BG94)*BH94*'Prices&amp;Fuel'!H94</f>
        <v>1319541.4309511574</v>
      </c>
      <c r="BM94" s="14">
        <f>'Prices&amp;Fuel'!X94*('Prices&amp;Fuel'!N94+'Prices&amp;Fuel'!O94)*'Prices&amp;Fuel'!H94</f>
        <v>9134.1681425398001</v>
      </c>
      <c r="BN94" s="14">
        <f>('Prices&amp;Fuel'!U94+'Prices&amp;Fuel'!V94+'Prices&amp;Fuel'!W94)*('Prices&amp;Fuel'!L94+'Prices&amp;Fuel'!O94)*'Prices&amp;Fuel'!H94</f>
        <v>69689.82458385783</v>
      </c>
      <c r="BO94" s="14">
        <f>((BB94+BC94+BD94)*(1-'Prices&amp;Fuel'!G94))*('Prices&amp;Fuel'!M94+'Prices&amp;Fuel'!P94)*'Prices&amp;Fuel'!H94</f>
        <v>140224.29</v>
      </c>
      <c r="BP94" s="14">
        <f>((BD94+BC94+BB94+BE94+BF94+BG94)*BK94*'Prices&amp;Fuel'!H94)+BM94+BN94+BO94</f>
        <v>1278597.0658626447</v>
      </c>
      <c r="BQ94" s="6">
        <f t="shared" si="115"/>
        <v>40944.365088512655</v>
      </c>
      <c r="CA94" s="6">
        <f>(AF94+AG94+AH94+AL94)*0.005*'Prices&amp;Fuel'!H94</f>
        <v>20359.897172236506</v>
      </c>
      <c r="CB94" s="6">
        <f>(B94+C94+D94+O94+P94+Q94+X94+Y94+BB94+BC94+BD94+BE94+BF94+BG94+BR94+BS94)*0.005*'Prices&amp;Fuel'!H94</f>
        <v>5615.89974293059</v>
      </c>
      <c r="CC94" s="1">
        <f t="shared" si="123"/>
        <v>15562808.109717228</v>
      </c>
      <c r="CD94" s="1">
        <f t="shared" si="124"/>
        <v>15236493.558510464</v>
      </c>
      <c r="CE94" s="1">
        <f t="shared" si="125"/>
        <v>326314.55120676383</v>
      </c>
      <c r="CF94" s="1">
        <f>'Index Price Deals'!AR94</f>
        <v>0</v>
      </c>
      <c r="CG94" s="1">
        <f>'Index Price Deals'!AS94</f>
        <v>0</v>
      </c>
      <c r="CH94" s="1">
        <f>'Index Price Deals'!AT94</f>
        <v>0</v>
      </c>
      <c r="CI94" s="1">
        <f>'Index Price Deals'!AU94</f>
        <v>0</v>
      </c>
      <c r="CJ94" s="1">
        <f t="shared" si="119"/>
        <v>15562808.109717228</v>
      </c>
      <c r="CK94" s="1">
        <f t="shared" si="120"/>
        <v>15236493.558510464</v>
      </c>
      <c r="CL94" s="1">
        <f t="shared" si="120"/>
        <v>326314.55120676383</v>
      </c>
      <c r="CM94" s="30"/>
      <c r="CN94" s="1">
        <f>Transport!U94</f>
        <v>0</v>
      </c>
      <c r="CO94" s="57"/>
      <c r="CQ94" s="1">
        <f>(((($B94+$C94+$D94+$O94+$P94+$Q94)*0.5)+BR94+BS94)*(0.005*'Prices&amp;Fuel'!$H94)+'Index Price Deals'!AV94)+(((BB94+BC94+BD94+BE94+BF94+BG94)*(1-'Prices&amp;Fuel'!F94))*0.005*0.5*'Prices&amp;Fuel'!H94)</f>
        <v>2782.5</v>
      </c>
      <c r="CR94" s="1">
        <f>(((($B94+$C94+$D94+$O94+$P94+$Q94)*0.5)+X94+Y94)*(0.005*'Prices&amp;Fuel'!$H94)+CA94+'Index Price Deals'!AW94)+(((BB94+BC94+BD94+BE94+BF94+BG94)*(1-'Prices&amp;Fuel'!F94))*0.005*0.5*'Prices&amp;Fuel'!H94)</f>
        <v>23142.397172236506</v>
      </c>
      <c r="CS94" s="21"/>
      <c r="CT94" s="1">
        <f>[3]Sheet1!$O110</f>
        <v>-136481.34332224756</v>
      </c>
      <c r="CU94" s="1">
        <f>'[4]Long Term Deals'!$Z93</f>
        <v>-33769.415777134331</v>
      </c>
      <c r="CV94" s="60">
        <f t="shared" si="106"/>
        <v>429026.47875187709</v>
      </c>
      <c r="CW94" s="13">
        <f>((B94+C94+D94+O94+P94+Q94+X94+Y94+AF94+AG94+AH94+BB94+BC94+BD94+BE94+BF94+BG94+BR94+BS94)+('Index Price Deals'!B94+'Index Price Deals'!C94+'Index Price Deals'!D94+'Index Price Deals'!L94+'Index Price Deals'!M94+'Index Price Deals'!N94+'Index Price Deals'!AD94+'Index Price Deals'!AE94+'Index Price Deals'!AF94+'Index Price Deals'!AK94+'Index Price Deals'!AL94+'Index Price Deals'!AM94))*'Prices&amp;Fuel'!H94</f>
        <v>5195159.38303342</v>
      </c>
      <c r="DB94" s="3">
        <f>(O94+P94+Q94)*'Prices&amp;Fuel'!$H94</f>
        <v>753000</v>
      </c>
      <c r="DE94" s="3">
        <v>132000</v>
      </c>
    </row>
    <row r="95" spans="1:109" x14ac:dyDescent="0.25">
      <c r="A95" s="10">
        <f t="shared" si="113"/>
        <v>38486.499999999782</v>
      </c>
      <c r="O95" s="1">
        <v>9036</v>
      </c>
      <c r="P95" s="1">
        <v>10794</v>
      </c>
      <c r="Q95" s="1">
        <v>5270</v>
      </c>
      <c r="R95" s="11">
        <f t="shared" si="121"/>
        <v>3.0750000000000002</v>
      </c>
      <c r="S95" s="11">
        <f t="shared" si="122"/>
        <v>3.0628000000000002</v>
      </c>
      <c r="T95" s="1">
        <f>(($O95*R95)+($P95*R95)+($Q95*R95))*'Prices&amp;Fuel'!$H95</f>
        <v>2392657.5</v>
      </c>
      <c r="U95" s="1">
        <f>(($O95*S95)+($P95*S95)+($Q95*S95))*'Prices&amp;Fuel'!$H95</f>
        <v>2383164.6800000002</v>
      </c>
      <c r="V95" s="13">
        <f t="shared" si="117"/>
        <v>9492.8199999998324</v>
      </c>
      <c r="AF95" s="1">
        <f>((126000)/(1-'Prices&amp;Fuel'!F95))+(25000/(1-'Prices&amp;Fuel'!G95))-AI95</f>
        <v>155269.92287917738</v>
      </c>
      <c r="AG95" s="1">
        <v>0</v>
      </c>
      <c r="AH95" s="1">
        <f>(75000/(1-'Prices&amp;Fuel'!G95))-AK95</f>
        <v>77120.822622107968</v>
      </c>
      <c r="AI95" s="1"/>
      <c r="AJ95" s="1"/>
      <c r="AK95" s="1"/>
      <c r="AL95" s="21">
        <f>ROUND((226000/(1-'Prices&amp;Fuel'!F95))-AF95-AG95-AH95,0)</f>
        <v>0</v>
      </c>
      <c r="AM95" s="1">
        <f t="shared" si="126"/>
        <v>37635</v>
      </c>
      <c r="AO95" s="1">
        <f>ROUND((75000/(1-'Prices&amp;Fuel'!G95)-AV95-AK95)/2,0)</f>
        <v>38560</v>
      </c>
      <c r="AP95" s="1">
        <f t="shared" si="116"/>
        <v>80000</v>
      </c>
      <c r="AR95" s="1">
        <f t="shared" si="128"/>
        <v>37634.922879177378</v>
      </c>
      <c r="AT95" s="13">
        <f t="shared" si="107"/>
        <v>38560.822622107968</v>
      </c>
      <c r="AU95" s="13">
        <f>AL95*AX95*'Prices&amp;Fuel'!H95</f>
        <v>0</v>
      </c>
      <c r="AW95" s="20">
        <f t="shared" si="127"/>
        <v>0.06</v>
      </c>
      <c r="AX95" s="20">
        <f t="shared" ref="AX95:AX126" si="129">AX94</f>
        <v>2.5000000000000001E-2</v>
      </c>
      <c r="AY95" s="6">
        <f>('Prices&amp;Fuel'!H95*('Prices&amp;Fuel'!B95+AW95)*'Long Term Deals'!AF95)+('Prices&amp;Fuel'!H95*('Prices&amp;Fuel'!C95+'Long Term Deals'!AW95)*'Long Term Deals'!AG95)+(AH95*('Prices&amp;Fuel'!C95+AW95)*'Prices&amp;Fuel'!H95)+(AW95*AL95*'Prices&amp;Fuel'!H95)</f>
        <v>22410659.555784069</v>
      </c>
      <c r="AZ95" s="6">
        <f>(AP95*'Prices&amp;Fuel'!H95*'Prices&amp;Fuel'!B95)+(AQ95*'Prices&amp;Fuel'!C95*'Prices&amp;Fuel'!H95)+((AM95+AR95)*('Prices&amp;Fuel'!B95+'Long Term Deals'!AX95)*'Prices&amp;Fuel'!H95)+((AN95+AS95)*('Prices&amp;Fuel'!C95+'Long Term Deals'!AX95)*'Prices&amp;Fuel'!H95)+((AO95+AT95)*('Prices&amp;Fuel'!D95+'Long Term Deals'!AX95)*'Prices&amp;Fuel'!H95)+(AV95*'Prices&amp;Fuel'!H95*'Prices&amp;Fuel'!Q95)+AU95</f>
        <v>21976978.321850903</v>
      </c>
      <c r="BA95" s="6">
        <f t="shared" si="118"/>
        <v>433681.23393316567</v>
      </c>
      <c r="BB95" s="6">
        <f>IF('FP Corp'!T95-((BE95+BF95+BG95)*(1-'Prices&amp;Fuel'!F95))&lt;'Prices&amp;Fuel'!R95,('FP Corp'!T95-(BE95+BF95+BG95)*(1-'Prices&amp;Fuel'!F95)),'Prices&amp;Fuel'!R95)/(1-'Prices&amp;Fuel'!F95)</f>
        <v>8976.8637532133671</v>
      </c>
      <c r="BC95" s="14"/>
      <c r="BD95" s="14">
        <f>ROUND(IF('FP Corp'!T95/(1-'Prices&amp;Fuel'!F95)-BE95-BF95-BG95-BB95&gt;'Prices&amp;Fuel'!T95,'Prices&amp;Fuel'!T95,'FP Corp'!T95/(1-'Prices&amp;Fuel'!F95)-BE95-BF95-BG95-BB95),9)</f>
        <v>6556.2982005140002</v>
      </c>
      <c r="BE95" s="14">
        <f>'Prices&amp;Fuel'!U95/(1-'Prices&amp;Fuel'!F95)</f>
        <v>1933.1619537275064</v>
      </c>
      <c r="BF95" s="14">
        <f>('Prices&amp;Fuel'!V95+'Prices&amp;Fuel'!X95)/(1-'Prices&amp;Fuel'!F95)</f>
        <v>3062.2107969151671</v>
      </c>
      <c r="BG95" s="14">
        <f>'Prices&amp;Fuel'!W95/(1-'Prices&amp;Fuel'!F95)</f>
        <v>1065.2956298200513</v>
      </c>
      <c r="BH95" s="25">
        <f>('Prices&amp;Fuel'!C95+'Prices&amp;Fuel'!D95)/2-0.05+('Prices&amp;Fuel'!M95+'Prices&amp;Fuel'!P95)*(1-'Prices&amp;Fuel'!F95)</f>
        <v>3.7603517500000012</v>
      </c>
      <c r="BI95" s="14">
        <f t="shared" si="114"/>
        <v>0</v>
      </c>
      <c r="BJ95" s="14"/>
      <c r="BK95" s="25">
        <f>(((BB95+BE95)*('Prices&amp;Fuel'!B95+0.025))+(('Prices&amp;Fuel'!D95+0.025)*(BD95+BG95))+(('Prices&amp;Fuel'!C95+0.025)*(BC95+BF95))-(BI95+BJ95)*0.025)/(BB95+BC95+BD95+BE95+BF95+BG95)</f>
        <v>3.0679410952380963</v>
      </c>
      <c r="BL95" s="14">
        <f>(BB95+BC95+BD95+BE95+BF95+BG95)*BH95*'Prices&amp;Fuel'!H95</f>
        <v>2517212.3282776191</v>
      </c>
      <c r="BM95" s="14">
        <f>'Prices&amp;Fuel'!X95*('Prices&amp;Fuel'!N95+'Prices&amp;Fuel'!O95)*'Prices&amp;Fuel'!H95</f>
        <v>9438.6404139577935</v>
      </c>
      <c r="BN95" s="14">
        <f>('Prices&amp;Fuel'!U95+'Prices&amp;Fuel'!V95+'Prices&amp;Fuel'!W95)*('Prices&amp;Fuel'!L95+'Prices&amp;Fuel'!O95)*'Prices&amp;Fuel'!H95</f>
        <v>72012.818736653091</v>
      </c>
      <c r="BO95" s="14">
        <f>((BB95+BC95+BD95)*(1-'Prices&amp;Fuel'!G95))*('Prices&amp;Fuel'!M95+'Prices&amp;Fuel'!P95)*'Prices&amp;Fuel'!H95</f>
        <v>358472.93299999676</v>
      </c>
      <c r="BP95" s="14">
        <f>((BD95+BC95+BB95+BE95+BF95+BG95)*BK95*'Prices&amp;Fuel'!H95)+BM95+BN95+BO95</f>
        <v>2493630.976212292</v>
      </c>
      <c r="BQ95" s="6">
        <f t="shared" si="115"/>
        <v>23581.352065327112</v>
      </c>
      <c r="CA95" s="6">
        <f>(AF95+AG95+AH95+AL95)*0.005*'Prices&amp;Fuel'!H95</f>
        <v>36020.565552699227</v>
      </c>
      <c r="CB95" s="6">
        <f>(B95+C95+D95+O95+P95+Q95+X95+Y95+BB95+BC95+BD95+BE95+BF95+BG95+BR95+BS95)*0.005*'Prices&amp;Fuel'!H95</f>
        <v>7237.5437017994636</v>
      </c>
      <c r="CC95" s="1">
        <f t="shared" si="123"/>
        <v>27320529.384061687</v>
      </c>
      <c r="CD95" s="1">
        <f t="shared" si="124"/>
        <v>26897032.087317694</v>
      </c>
      <c r="CE95" s="1">
        <f t="shared" si="125"/>
        <v>423497.29674399272</v>
      </c>
      <c r="CF95" s="1">
        <f>'Index Price Deals'!AR95</f>
        <v>0</v>
      </c>
      <c r="CG95" s="1">
        <f>'Index Price Deals'!AS95</f>
        <v>0</v>
      </c>
      <c r="CH95" s="1">
        <f>'Index Price Deals'!AT95</f>
        <v>0</v>
      </c>
      <c r="CI95" s="1">
        <f>'Index Price Deals'!AU95</f>
        <v>0</v>
      </c>
      <c r="CJ95" s="1">
        <f t="shared" si="119"/>
        <v>27320529.384061687</v>
      </c>
      <c r="CK95" s="1">
        <f t="shared" si="120"/>
        <v>26897032.087317694</v>
      </c>
      <c r="CL95" s="1">
        <f t="shared" si="120"/>
        <v>423497.29674399272</v>
      </c>
      <c r="CM95" s="30"/>
      <c r="CN95" s="1">
        <f>Transport!U95</f>
        <v>3.1490140827372673E-9</v>
      </c>
      <c r="CO95" s="57"/>
      <c r="CQ95" s="1">
        <f>(((($B95+$C95+$D95+$O95+$P95+$Q95)*0.5)+BR95+BS95)*(0.005*'Prices&amp;Fuel'!$H95)+'Index Price Deals'!AV95)+(((BB95+BC95+BD95+BE95+BF95+BG95)*(1-'Prices&amp;Fuel'!F95))*0.005*0.5*'Prices&amp;Fuel'!H95)</f>
        <v>3572.7499999999895</v>
      </c>
      <c r="CR95" s="1">
        <f>(((($B95+$C95+$D95+$O95+$P95+$Q95)*0.5)+X95+Y95)*(0.005*'Prices&amp;Fuel'!$H95)+CA95+'Index Price Deals'!AW95)+(((BB95+BC95+BD95+BE95+BF95+BG95)*(1-'Prices&amp;Fuel'!F95))*0.005*0.5*'Prices&amp;Fuel'!H95)</f>
        <v>39593.31555269922</v>
      </c>
      <c r="CS95" s="21"/>
      <c r="CT95" s="1">
        <f>[3]Sheet1!$O111</f>
        <v>-241461.68972617836</v>
      </c>
      <c r="CU95" s="1">
        <f>'[4]Long Term Deals'!$Z94</f>
        <v>-43972.901883593106</v>
      </c>
      <c r="CV95" s="60">
        <f t="shared" si="106"/>
        <v>620986.08458657493</v>
      </c>
      <c r="CW95" s="13">
        <f>((B95+C95+D95+O95+P95+Q95+X95+Y95+AF95+AG95+AH95+BB95+BC95+BD95+BE95+BF95+BG95+BR95+BS95)+('Index Price Deals'!B95+'Index Price Deals'!C95+'Index Price Deals'!D95+'Index Price Deals'!L95+'Index Price Deals'!M95+'Index Price Deals'!N95+'Index Price Deals'!AD95+'Index Price Deals'!AE95+'Index Price Deals'!AF95+'Index Price Deals'!AK95+'Index Price Deals'!AL95+'Index Price Deals'!AM95))*'Prices&amp;Fuel'!H95</f>
        <v>8651621.8508997373</v>
      </c>
      <c r="DB95" s="3">
        <f>(O95+P95+Q95)*'Prices&amp;Fuel'!$H95</f>
        <v>778100</v>
      </c>
      <c r="DE95" s="3">
        <v>226000</v>
      </c>
    </row>
    <row r="96" spans="1:109" x14ac:dyDescent="0.25">
      <c r="A96" s="10">
        <f t="shared" si="113"/>
        <v>38516.916666666446</v>
      </c>
      <c r="O96" s="1">
        <v>9036</v>
      </c>
      <c r="P96" s="1">
        <v>10794</v>
      </c>
      <c r="Q96" s="1">
        <v>5270</v>
      </c>
      <c r="R96" s="11">
        <f t="shared" si="121"/>
        <v>3.0750000000000002</v>
      </c>
      <c r="S96" s="11">
        <f t="shared" si="122"/>
        <v>3.0628000000000002</v>
      </c>
      <c r="T96" s="1">
        <f>(($O96*R96)+($P96*R96)+($Q96*R96))*'Prices&amp;Fuel'!$H96</f>
        <v>2315475</v>
      </c>
      <c r="U96" s="1">
        <f>(($O96*S96)+($P96*S96)+($Q96*S96))*'Prices&amp;Fuel'!$H96</f>
        <v>2306288.4</v>
      </c>
      <c r="V96" s="13">
        <f t="shared" si="117"/>
        <v>9186.6000000000931</v>
      </c>
      <c r="AF96" s="1">
        <f>((126000)/(1-'Prices&amp;Fuel'!F96))+(25000/(1-'Prices&amp;Fuel'!G96))-AI96</f>
        <v>155269.92287917738</v>
      </c>
      <c r="AG96" s="1">
        <v>0</v>
      </c>
      <c r="AH96" s="1">
        <f>(75000/(1-'Prices&amp;Fuel'!G96))-AK96</f>
        <v>77120.822622107968</v>
      </c>
      <c r="AI96" s="1"/>
      <c r="AJ96" s="1"/>
      <c r="AK96" s="1"/>
      <c r="AL96" s="21">
        <f>ROUND((226000/(1-'Prices&amp;Fuel'!F96))-AF96-AG96-AH96,0)</f>
        <v>0</v>
      </c>
      <c r="AM96" s="1">
        <f t="shared" si="126"/>
        <v>37635</v>
      </c>
      <c r="AO96" s="1">
        <f>ROUND((75000/(1-'Prices&amp;Fuel'!G96)-AV96-AK96)/2,0)</f>
        <v>38560</v>
      </c>
      <c r="AP96" s="1">
        <f t="shared" si="116"/>
        <v>80000</v>
      </c>
      <c r="AR96" s="1">
        <f t="shared" si="128"/>
        <v>37634.922879177378</v>
      </c>
      <c r="AT96" s="13">
        <f t="shared" si="107"/>
        <v>38560.822622107968</v>
      </c>
      <c r="AU96" s="13">
        <f>AL96*AX96*'Prices&amp;Fuel'!H96</f>
        <v>0</v>
      </c>
      <c r="AW96" s="20">
        <f t="shared" si="127"/>
        <v>0.06</v>
      </c>
      <c r="AX96" s="20">
        <f t="shared" si="129"/>
        <v>2.5000000000000001E-2</v>
      </c>
      <c r="AY96" s="6">
        <f>('Prices&amp;Fuel'!H96*('Prices&amp;Fuel'!B96+AW96)*'Long Term Deals'!AF96)+('Prices&amp;Fuel'!H96*('Prices&amp;Fuel'!C96+'Long Term Deals'!AW96)*'Long Term Deals'!AG96)+(AH96*('Prices&amp;Fuel'!C96+AW96)*'Prices&amp;Fuel'!H96)+(AW96*AL96*'Prices&amp;Fuel'!H96)</f>
        <v>31097429.060976855</v>
      </c>
      <c r="AZ96" s="6">
        <f>(AP96*'Prices&amp;Fuel'!H96*'Prices&amp;Fuel'!B96)+(AQ96*'Prices&amp;Fuel'!C96*'Prices&amp;Fuel'!H96)+((AM96+AR96)*('Prices&amp;Fuel'!B96+'Long Term Deals'!AX96)*'Prices&amp;Fuel'!H96)+((AN96+AS96)*('Prices&amp;Fuel'!C96+'Long Term Deals'!AX96)*'Prices&amp;Fuel'!H96)+((AO96+AT96)*('Prices&amp;Fuel'!D96+'Long Term Deals'!AX96)*'Prices&amp;Fuel'!H96)+(AV96*'Prices&amp;Fuel'!H96*'Prices&amp;Fuel'!Q96)+AU96</f>
        <v>30677737.544267349</v>
      </c>
      <c r="BA96" s="6">
        <f t="shared" si="118"/>
        <v>419691.51670950651</v>
      </c>
      <c r="BB96" s="6">
        <f>IF('FP Corp'!T96-((BE96+BF96+BG96)*(1-'Prices&amp;Fuel'!F96))&lt;'Prices&amp;Fuel'!R96,('FP Corp'!T96-(BE96+BF96+BG96)*(1-'Prices&amp;Fuel'!F96)),'Prices&amp;Fuel'!R96)/(1-'Prices&amp;Fuel'!F96)</f>
        <v>8976.8637532133671</v>
      </c>
      <c r="BC96" s="14"/>
      <c r="BD96" s="14">
        <f>ROUND(IF('FP Corp'!T96/(1-'Prices&amp;Fuel'!F96)-BE96-BF96-BG96-BB96&gt;'Prices&amp;Fuel'!T96,'Prices&amp;Fuel'!T96,'FP Corp'!T96/(1-'Prices&amp;Fuel'!F96)-BE96-BF96-BG96-BB96),9)</f>
        <v>6556.2982005140002</v>
      </c>
      <c r="BE96" s="14">
        <f>'Prices&amp;Fuel'!U96/(1-'Prices&amp;Fuel'!F96)</f>
        <v>1933.1619537275064</v>
      </c>
      <c r="BF96" s="14">
        <f>('Prices&amp;Fuel'!V96+'Prices&amp;Fuel'!X96)/(1-'Prices&amp;Fuel'!F96)</f>
        <v>3062.2107969151671</v>
      </c>
      <c r="BG96" s="14">
        <f>'Prices&amp;Fuel'!W96/(1-'Prices&amp;Fuel'!F96)</f>
        <v>1065.2956298200513</v>
      </c>
      <c r="BH96" s="25">
        <f>('Prices&amp;Fuel'!C96+'Prices&amp;Fuel'!D96)/2-0.05+('Prices&amp;Fuel'!M96+'Prices&amp;Fuel'!P96)*(1-'Prices&amp;Fuel'!F96)</f>
        <v>5.1100460599999993</v>
      </c>
      <c r="BI96" s="14">
        <f t="shared" si="114"/>
        <v>0</v>
      </c>
      <c r="BJ96" s="14"/>
      <c r="BK96" s="25">
        <f>(((BB96+BE96)*('Prices&amp;Fuel'!B96+0.025))+(('Prices&amp;Fuel'!D96+0.025)*(BD96+BG96))+(('Prices&amp;Fuel'!C96+0.025)*(BC96+BF96))-(BI96+BJ96)*0.025)/(BB96+BC96+BD96+BE96+BF96+BG96)</f>
        <v>4.4176354052380953</v>
      </c>
      <c r="BL96" s="14">
        <f>(BB96+BC96+BD96+BE96+BF96+BG96)*BH96*'Prices&amp;Fuel'!H96</f>
        <v>3310364.0285860961</v>
      </c>
      <c r="BM96" s="14">
        <f>'Prices&amp;Fuel'!X96*('Prices&amp;Fuel'!N96+'Prices&amp;Fuel'!O96)*'Prices&amp;Fuel'!H96</f>
        <v>9134.1681425398001</v>
      </c>
      <c r="BN96" s="14">
        <f>('Prices&amp;Fuel'!U96+'Prices&amp;Fuel'!V96+'Prices&amp;Fuel'!W96)*('Prices&amp;Fuel'!L96+'Prices&amp;Fuel'!O96)*'Prices&amp;Fuel'!H96</f>
        <v>69689.82458385783</v>
      </c>
      <c r="BO96" s="14">
        <f>((BB96+BC96+BD96)*(1-'Prices&amp;Fuel'!G96))*('Prices&amp;Fuel'!M96+'Prices&amp;Fuel'!P96)*'Prices&amp;Fuel'!H96</f>
        <v>346909.28999999689</v>
      </c>
      <c r="BP96" s="14">
        <f>((BD96+BC96+BB96+BE96+BF96+BG96)*BK96*'Prices&amp;Fuel'!H96)+BM96+BN96+BO96</f>
        <v>3287543.3652970698</v>
      </c>
      <c r="BQ96" s="6">
        <f t="shared" si="115"/>
        <v>22820.663289026357</v>
      </c>
      <c r="CA96" s="6">
        <f>(AF96+AG96+AH96+AL96)*0.005*'Prices&amp;Fuel'!H96</f>
        <v>34858.611825192798</v>
      </c>
      <c r="CB96" s="6">
        <f>(B96+C96+D96+O96+P96+Q96+X96+Y96+BB96+BC96+BD96+BE96+BF96+BG96+BR96+BS96)*0.005*'Prices&amp;Fuel'!H96</f>
        <v>7004.0745501285137</v>
      </c>
      <c r="CC96" s="1">
        <f t="shared" si="123"/>
        <v>36723268.089562953</v>
      </c>
      <c r="CD96" s="1">
        <f t="shared" si="124"/>
        <v>36313431.995939739</v>
      </c>
      <c r="CE96" s="1">
        <f t="shared" si="125"/>
        <v>409836.09362321347</v>
      </c>
      <c r="CF96" s="1">
        <f>'Index Price Deals'!AR96</f>
        <v>0</v>
      </c>
      <c r="CG96" s="1">
        <f>'Index Price Deals'!AS96</f>
        <v>0</v>
      </c>
      <c r="CH96" s="1">
        <f>'Index Price Deals'!AT96</f>
        <v>0</v>
      </c>
      <c r="CI96" s="1">
        <f>'Index Price Deals'!AU96</f>
        <v>0</v>
      </c>
      <c r="CJ96" s="1">
        <f t="shared" si="119"/>
        <v>36723268.089562953</v>
      </c>
      <c r="CK96" s="1">
        <f t="shared" si="120"/>
        <v>36313431.995939739</v>
      </c>
      <c r="CL96" s="1">
        <f t="shared" si="120"/>
        <v>409836.09362321347</v>
      </c>
      <c r="CM96" s="30"/>
      <c r="CN96" s="1">
        <f>Transport!U96</f>
        <v>3.0474329832941295E-9</v>
      </c>
      <c r="CO96" s="57"/>
      <c r="CQ96" s="1">
        <f>(((($B96+$C96+$D96+$O96+$P96+$Q96)*0.5)+BR96+BS96)*(0.005*'Prices&amp;Fuel'!$H96)+'Index Price Deals'!AV96)+(((BB96+BC96+BD96+BE96+BF96+BG96)*(1-'Prices&amp;Fuel'!F96))*0.005*0.5*'Prices&amp;Fuel'!H96)</f>
        <v>3457.49999999999</v>
      </c>
      <c r="CR96" s="1">
        <f>(((($B96+$C96+$D96+$O96+$P96+$Q96)*0.5)+X96+Y96)*(0.005*'Prices&amp;Fuel'!$H96)+CA96+'Index Price Deals'!AW96)+(((BB96+BC96+BD96+BE96+BF96+BG96)*(1-'Prices&amp;Fuel'!F96))*0.005*0.5*'Prices&amp;Fuel'!H96)</f>
        <v>38316.111825192791</v>
      </c>
      <c r="CS96" s="21"/>
      <c r="CT96" s="1">
        <f>[3]Sheet1!$O112</f>
        <v>-233672.60296081781</v>
      </c>
      <c r="CU96" s="1">
        <f>'[4]Long Term Deals'!$Z95</f>
        <v>-42554.421177670738</v>
      </c>
      <c r="CV96" s="60">
        <f t="shared" si="106"/>
        <v>600954.27540635748</v>
      </c>
      <c r="CW96" s="13">
        <f>((B96+C96+D96+O96+P96+Q96+X96+Y96+AF96+AG96+AH96+BB96+BC96+BD96+BE96+BF96+BG96+BR96+BS96)+('Index Price Deals'!B96+'Index Price Deals'!C96+'Index Price Deals'!D96+'Index Price Deals'!L96+'Index Price Deals'!M96+'Index Price Deals'!N96+'Index Price Deals'!AD96+'Index Price Deals'!AE96+'Index Price Deals'!AF96+'Index Price Deals'!AK96+'Index Price Deals'!AL96+'Index Price Deals'!AM96))*'Prices&amp;Fuel'!H96</f>
        <v>8372537.2750642626</v>
      </c>
      <c r="DB96" s="3">
        <f>(O96+P96+Q96)*'Prices&amp;Fuel'!$H96</f>
        <v>753000</v>
      </c>
      <c r="DE96" s="3">
        <v>226000</v>
      </c>
    </row>
    <row r="97" spans="1:109" x14ac:dyDescent="0.25">
      <c r="A97" s="10">
        <f t="shared" ref="A97:A112" si="130">+A96+365/12</f>
        <v>38547.33333333311</v>
      </c>
      <c r="O97" s="1">
        <v>9036</v>
      </c>
      <c r="P97" s="1">
        <v>10794</v>
      </c>
      <c r="Q97" s="1">
        <v>5270</v>
      </c>
      <c r="R97" s="11">
        <f>ROUND(3.075*1.04,4)</f>
        <v>3.198</v>
      </c>
      <c r="S97" s="11">
        <f>R97-ROUND(0.01*1.02*1.02*1.02*1.02*1.02*1.02*1.02*1.02*1.02*1.02*1.02,4)</f>
        <v>3.1856</v>
      </c>
      <c r="T97" s="1">
        <f>(($O97*R97)+($P97*R97)+($Q97*R97))*'Prices&amp;Fuel'!$H97</f>
        <v>2488363.7999999998</v>
      </c>
      <c r="U97" s="1">
        <f>(($O97*S97)+($P97*S97)+($Q97*S97))*'Prices&amp;Fuel'!$H97</f>
        <v>2478715.36</v>
      </c>
      <c r="V97" s="13">
        <f t="shared" si="117"/>
        <v>9648.4399999999441</v>
      </c>
      <c r="AF97" s="1">
        <f>((126000)/(1-'Prices&amp;Fuel'!F97))+(25000/(1-'Prices&amp;Fuel'!G97))-AI97</f>
        <v>155269.92287917738</v>
      </c>
      <c r="AG97" s="1">
        <v>0</v>
      </c>
      <c r="AH97" s="1">
        <f>(75000/(1-'Prices&amp;Fuel'!G97))-AK97</f>
        <v>77120.822622107968</v>
      </c>
      <c r="AI97" s="1"/>
      <c r="AJ97" s="1"/>
      <c r="AK97" s="1"/>
      <c r="AL97" s="21">
        <f>ROUND((226000/(1-'Prices&amp;Fuel'!F97))-AF97-AG97-AH97,0)</f>
        <v>0</v>
      </c>
      <c r="AM97" s="1">
        <f t="shared" si="126"/>
        <v>37635</v>
      </c>
      <c r="AO97" s="1">
        <f>ROUND((75000/(1-'Prices&amp;Fuel'!G97)-AV97-AK97)/2,0)</f>
        <v>38560</v>
      </c>
      <c r="AP97" s="1">
        <f t="shared" si="116"/>
        <v>80000</v>
      </c>
      <c r="AR97" s="1">
        <f t="shared" si="128"/>
        <v>37634.922879177378</v>
      </c>
      <c r="AT97" s="13">
        <f t="shared" si="107"/>
        <v>38560.822622107968</v>
      </c>
      <c r="AU97" s="13">
        <f>AL97*AX97*'Prices&amp;Fuel'!H97</f>
        <v>0</v>
      </c>
      <c r="AW97" s="20">
        <f t="shared" si="127"/>
        <v>0.06</v>
      </c>
      <c r="AX97" s="20">
        <f t="shared" si="129"/>
        <v>2.5000000000000001E-2</v>
      </c>
      <c r="AY97" s="6">
        <f>('Prices&amp;Fuel'!H97*('Prices&amp;Fuel'!B97+AW97)*'Long Term Deals'!AF97)+('Prices&amp;Fuel'!H97*('Prices&amp;Fuel'!C97+'Long Term Deals'!AW97)*'Long Term Deals'!AG97)+(AH97*('Prices&amp;Fuel'!C97+AW97)*'Prices&amp;Fuel'!H97)+(AW97*AL97*'Prices&amp;Fuel'!H97)</f>
        <v>32059785.980257064</v>
      </c>
      <c r="AZ97" s="6">
        <f>(AP97*'Prices&amp;Fuel'!H97*'Prices&amp;Fuel'!B97)+(AQ97*'Prices&amp;Fuel'!C97*'Prices&amp;Fuel'!H97)+((AM97+AR97)*('Prices&amp;Fuel'!B97+'Long Term Deals'!AX97)*'Prices&amp;Fuel'!H97)+((AN97+AS97)*('Prices&amp;Fuel'!C97+'Long Term Deals'!AX97)*'Prices&amp;Fuel'!H97)+((AO97+AT97)*('Prices&amp;Fuel'!D97+'Long Term Deals'!AX97)*'Prices&amp;Fuel'!H97)+(AV97*'Prices&amp;Fuel'!H97*'Prices&amp;Fuel'!Q97)+AU97</f>
        <v>31626104.746323906</v>
      </c>
      <c r="BA97" s="6">
        <f t="shared" si="118"/>
        <v>433681.23393315822</v>
      </c>
      <c r="BB97" s="6">
        <f>IF('FP Corp'!T97-((BE97+BF97+BG97)*(1-'Prices&amp;Fuel'!F97))&lt;'Prices&amp;Fuel'!R97,('FP Corp'!T97-(BE97+BF97+BG97)*(1-'Prices&amp;Fuel'!F97)),'Prices&amp;Fuel'!R97)/(1-'Prices&amp;Fuel'!F97)</f>
        <v>8976.8637532133671</v>
      </c>
      <c r="BC97" s="14"/>
      <c r="BD97" s="14">
        <f>ROUND(IF('FP Corp'!T97/(1-'Prices&amp;Fuel'!F97)-BE97-BF97-BG97-BB97&gt;'Prices&amp;Fuel'!T97,'Prices&amp;Fuel'!T97,'FP Corp'!T97/(1-'Prices&amp;Fuel'!F97)-BE97-BF97-BG97-BB97),9)</f>
        <v>6556.2982005140002</v>
      </c>
      <c r="BE97" s="14">
        <f>'Prices&amp;Fuel'!U97/(1-'Prices&amp;Fuel'!F97)</f>
        <v>1933.1619537275064</v>
      </c>
      <c r="BF97" s="14">
        <f>('Prices&amp;Fuel'!V97+'Prices&amp;Fuel'!X97)/(1-'Prices&amp;Fuel'!F97)</f>
        <v>3062.2107969151671</v>
      </c>
      <c r="BG97" s="14">
        <f>'Prices&amp;Fuel'!W97/(1-'Prices&amp;Fuel'!F97)</f>
        <v>1065.2956298200513</v>
      </c>
      <c r="BH97" s="25">
        <f>('Prices&amp;Fuel'!C97+'Prices&amp;Fuel'!D97)/2-0.05+('Prices&amp;Fuel'!M97+'Prices&amp;Fuel'!P97)*(1-'Prices&amp;Fuel'!F97)</f>
        <v>5.0997430499999998</v>
      </c>
      <c r="BI97" s="14">
        <f>IF(AP97=80000,0,BB97)</f>
        <v>0</v>
      </c>
      <c r="BJ97" s="14"/>
      <c r="BK97" s="25">
        <f>(((BB97+BE97)*('Prices&amp;Fuel'!B97+0.025))+(('Prices&amp;Fuel'!D97+0.025)*(BD97+BG97))+(('Prices&amp;Fuel'!C97+0.025)*(BC97+BF97))-(BI97+BJ97)*0.025)/(BB97+BC97+BD97+BE97+BF97+BG97)</f>
        <v>4.4073323952380958</v>
      </c>
      <c r="BL97" s="14">
        <f>(BB97+BC97+BD97+BE97+BF97+BG97)*BH97*'Prices&amp;Fuel'!H97</f>
        <v>3413812.5712596178</v>
      </c>
      <c r="BM97" s="14">
        <f>'Prices&amp;Fuel'!X97*('Prices&amp;Fuel'!N97+'Prices&amp;Fuel'!O97)*'Prices&amp;Fuel'!H97</f>
        <v>9438.6404139577935</v>
      </c>
      <c r="BN97" s="14">
        <f>('Prices&amp;Fuel'!U97+'Prices&amp;Fuel'!V97+'Prices&amp;Fuel'!W97)*('Prices&amp;Fuel'!L97+'Prices&amp;Fuel'!O97)*'Prices&amp;Fuel'!H97</f>
        <v>72012.818736653091</v>
      </c>
      <c r="BO97" s="14">
        <f>((BB97+BC97+BD97)*(1-'Prices&amp;Fuel'!G97))*('Prices&amp;Fuel'!M97+'Prices&amp;Fuel'!P97)*'Prices&amp;Fuel'!H97</f>
        <v>358472.93299999676</v>
      </c>
      <c r="BP97" s="14">
        <f>((BD97+BC97+BB97+BE97+BF97+BG97)*BK97*'Prices&amp;Fuel'!H97)+BM97+BN97+BO97</f>
        <v>3390231.2191942907</v>
      </c>
      <c r="BQ97" s="6">
        <f t="shared" si="115"/>
        <v>23581.352065327112</v>
      </c>
      <c r="CA97" s="6">
        <f>(AF97+AG97+AH97+AL97)*0.005*'Prices&amp;Fuel'!H97</f>
        <v>36020.565552699227</v>
      </c>
      <c r="CB97" s="6">
        <f>(B97+C97+D97+O97+P97+Q97+X97+Y97+BB97+BC97+BD97+BE97+BF97+BG97+BR97+BS97)*0.005*'Prices&amp;Fuel'!H97</f>
        <v>7237.5437017994636</v>
      </c>
      <c r="CC97" s="1">
        <f t="shared" si="123"/>
        <v>37961962.351516679</v>
      </c>
      <c r="CD97" s="1">
        <f t="shared" si="124"/>
        <v>37538309.434772693</v>
      </c>
      <c r="CE97" s="1">
        <f t="shared" si="125"/>
        <v>423652.91674398631</v>
      </c>
      <c r="CF97" s="1">
        <f>'Index Price Deals'!AR97</f>
        <v>0</v>
      </c>
      <c r="CG97" s="1">
        <f>'Index Price Deals'!AS97</f>
        <v>0</v>
      </c>
      <c r="CH97" s="1">
        <f>'Index Price Deals'!AT97</f>
        <v>0</v>
      </c>
      <c r="CI97" s="1">
        <f>'Index Price Deals'!AU97</f>
        <v>0</v>
      </c>
      <c r="CJ97" s="1">
        <f t="shared" si="119"/>
        <v>37961962.351516679</v>
      </c>
      <c r="CK97" s="1">
        <f t="shared" si="120"/>
        <v>37538309.434772693</v>
      </c>
      <c r="CL97" s="1">
        <f t="shared" si="120"/>
        <v>423652.91674398631</v>
      </c>
      <c r="CM97" s="30"/>
      <c r="CN97" s="1">
        <f>Transport!U97</f>
        <v>3.1490140827372673E-9</v>
      </c>
      <c r="CO97" s="57"/>
      <c r="CQ97" s="1">
        <f>(((($B97+$C97+$D97+$O97+$P97+$Q97)*0.5)+BR97+BS97)*(0.005*'Prices&amp;Fuel'!$H97)+'Index Price Deals'!AV97)+(((BB97+BC97+BD97+BE97+BF97+BG97)*(1-'Prices&amp;Fuel'!F97))*0.005*0.5*'Prices&amp;Fuel'!H97)</f>
        <v>3572.7499999999895</v>
      </c>
      <c r="CR97" s="1">
        <f>(((($B97+$C97+$D97+$O97+$P97+$Q97)*0.5)+X97+Y97)*(0.005*'Prices&amp;Fuel'!$H97)+CA97+'Index Price Deals'!AW97)+(((BB97+BC97+BD97+BE97+BF97+BG97)*(1-'Prices&amp;Fuel'!F97))*0.005*0.5*'Prices&amp;Fuel'!H97)</f>
        <v>39593.31555269922</v>
      </c>
      <c r="CS97" s="21"/>
      <c r="CT97" s="1">
        <f>[3]Sheet1!$O113</f>
        <v>-241461.68972617836</v>
      </c>
      <c r="CU97" s="1">
        <f>'[4]Long Term Deals'!$Z96</f>
        <v>-43972.901883593106</v>
      </c>
      <c r="CV97" s="60">
        <f t="shared" si="106"/>
        <v>621141.70458656852</v>
      </c>
      <c r="CW97" s="13">
        <f>((B97+C97+D97+O97+P97+Q97+X97+Y97+AF97+AG97+AH97+BB97+BC97+BD97+BE97+BF97+BG97+BR97+BS97)+('Index Price Deals'!B97+'Index Price Deals'!C97+'Index Price Deals'!D97+'Index Price Deals'!L97+'Index Price Deals'!M97+'Index Price Deals'!N97+'Index Price Deals'!AD97+'Index Price Deals'!AE97+'Index Price Deals'!AF97+'Index Price Deals'!AK97+'Index Price Deals'!AL97+'Index Price Deals'!AM97))*'Prices&amp;Fuel'!H97</f>
        <v>8651621.8508997373</v>
      </c>
      <c r="DB97" s="3">
        <f>(O97+P97+Q97)*'Prices&amp;Fuel'!$H97</f>
        <v>778100</v>
      </c>
      <c r="DE97" s="3">
        <v>200000</v>
      </c>
    </row>
    <row r="98" spans="1:109" x14ac:dyDescent="0.25">
      <c r="A98" s="10">
        <f t="shared" si="130"/>
        <v>38577.749999999774</v>
      </c>
      <c r="O98" s="1">
        <v>9036</v>
      </c>
      <c r="P98" s="1">
        <v>10794</v>
      </c>
      <c r="Q98" s="1">
        <v>5270</v>
      </c>
      <c r="R98" s="11">
        <f t="shared" ref="R98:R108" si="131">R97</f>
        <v>3.198</v>
      </c>
      <c r="S98" s="11">
        <f t="shared" ref="S98:S108" si="132">S97</f>
        <v>3.1856</v>
      </c>
      <c r="T98" s="1">
        <f>(($O98*R98)+($P98*R98)+($Q98*R98))*'Prices&amp;Fuel'!$H98</f>
        <v>2488363.7999999998</v>
      </c>
      <c r="U98" s="1">
        <f>(($O98*S98)+($P98*S98)+($Q98*S98))*'Prices&amp;Fuel'!$H98</f>
        <v>2478715.36</v>
      </c>
      <c r="V98" s="13">
        <f t="shared" si="117"/>
        <v>9648.4399999999441</v>
      </c>
      <c r="AF98" s="1">
        <f>((100000)/(1-'Prices&amp;Fuel'!F98))+(25000/(1-'Prices&amp;Fuel'!G98))-AI98</f>
        <v>128534.70437017996</v>
      </c>
      <c r="AG98" s="1">
        <v>0</v>
      </c>
      <c r="AH98" s="1">
        <f>(75000/(1-'Prices&amp;Fuel'!G98))-AK98</f>
        <v>77120.822622107968</v>
      </c>
      <c r="AI98" s="1"/>
      <c r="AJ98" s="1"/>
      <c r="AK98" s="1"/>
      <c r="AL98" s="21">
        <f>ROUND((200000/(1-'Prices&amp;Fuel'!F98))-AF98-AG98-AH98,0)</f>
        <v>0</v>
      </c>
      <c r="AM98" s="1">
        <f t="shared" si="126"/>
        <v>24267</v>
      </c>
      <c r="AO98" s="1">
        <f>ROUND((75000/(1-'Prices&amp;Fuel'!G98)-AV98-AK98)/2,0)</f>
        <v>38560</v>
      </c>
      <c r="AP98" s="1">
        <f t="shared" si="116"/>
        <v>80000</v>
      </c>
      <c r="AR98" s="1">
        <f t="shared" si="128"/>
        <v>24267.704370179956</v>
      </c>
      <c r="AT98" s="13">
        <f t="shared" si="107"/>
        <v>38560.822622107968</v>
      </c>
      <c r="AU98" s="13">
        <f>AL98*AX98*'Prices&amp;Fuel'!H98</f>
        <v>0</v>
      </c>
      <c r="AW98" s="20">
        <f t="shared" si="127"/>
        <v>0.06</v>
      </c>
      <c r="AX98" s="20">
        <f t="shared" si="129"/>
        <v>2.5000000000000001E-2</v>
      </c>
      <c r="AY98" s="6">
        <f>('Prices&amp;Fuel'!H98*('Prices&amp;Fuel'!B98+AW98)*'Long Term Deals'!AF98)+('Prices&amp;Fuel'!H98*('Prices&amp;Fuel'!C98+'Long Term Deals'!AW98)*'Long Term Deals'!AG98)+(AH98*('Prices&amp;Fuel'!C98+AW98)*'Prices&amp;Fuel'!H98)+(AW98*AL98*'Prices&amp;Fuel'!H98)</f>
        <v>24841004.536760926</v>
      </c>
      <c r="AZ98" s="6">
        <f>(AP98*'Prices&amp;Fuel'!H98*'Prices&amp;Fuel'!B98)+(AQ98*'Prices&amp;Fuel'!C98*'Prices&amp;Fuel'!H98)+((AM98+AR98)*('Prices&amp;Fuel'!B98+'Long Term Deals'!AX98)*'Prices&amp;Fuel'!H98)+((AN98+AS98)*('Prices&amp;Fuel'!C98+'Long Term Deals'!AX98)*'Prices&amp;Fuel'!H98)+((AO98+AT98)*('Prices&amp;Fuel'!D98+'Long Term Deals'!AX98)*'Prices&amp;Fuel'!H98)+(AV98*'Prices&amp;Fuel'!H98*'Prices&amp;Fuel'!Q98)+AU98</f>
        <v>24436331.014910027</v>
      </c>
      <c r="BA98" s="6">
        <f t="shared" si="118"/>
        <v>404673.52185089886</v>
      </c>
      <c r="BB98" s="6">
        <f>IF('FP Corp'!T98-((BE98+BF98+BG98)*(1-'Prices&amp;Fuel'!F98))&lt;'Prices&amp;Fuel'!R98,('FP Corp'!T98-(BE98+BF98+BG98)*(1-'Prices&amp;Fuel'!F98)),'Prices&amp;Fuel'!R98)/(1-'Prices&amp;Fuel'!F98)</f>
        <v>8976.8637532133671</v>
      </c>
      <c r="BC98" s="14"/>
      <c r="BD98" s="14">
        <f>ROUND(IF('FP Corp'!T98/(1-'Prices&amp;Fuel'!F98)-BE98-BF98-BG98-BB98&gt;'Prices&amp;Fuel'!T98,'Prices&amp;Fuel'!T98,'FP Corp'!T98/(1-'Prices&amp;Fuel'!F98)-BE98-BF98-BG98-BB98),9)</f>
        <v>6556.2982005140002</v>
      </c>
      <c r="BE98" s="14">
        <f>'Prices&amp;Fuel'!U98/(1-'Prices&amp;Fuel'!F98)</f>
        <v>1933.1619537275064</v>
      </c>
      <c r="BF98" s="14">
        <f>('Prices&amp;Fuel'!V98+'Prices&amp;Fuel'!X98)/(1-'Prices&amp;Fuel'!F98)</f>
        <v>3062.2107969151671</v>
      </c>
      <c r="BG98" s="14">
        <f>'Prices&amp;Fuel'!W98/(1-'Prices&amp;Fuel'!F98)</f>
        <v>1065.2956298200513</v>
      </c>
      <c r="BH98" s="25">
        <f>('Prices&amp;Fuel'!C98+'Prices&amp;Fuel'!D98)/2-0.05+('Prices&amp;Fuel'!M98+'Prices&amp;Fuel'!P98)*(1-'Prices&amp;Fuel'!F98)</f>
        <v>4.5433805100000004</v>
      </c>
      <c r="BI98" s="14">
        <f>IF(AP98=80000,0,BB98)</f>
        <v>0</v>
      </c>
      <c r="BJ98" s="14"/>
      <c r="BK98" s="25">
        <f>(((BB98+BE98)*('Prices&amp;Fuel'!B98+0.025))+(('Prices&amp;Fuel'!D98+0.025)*(BD98+BG98))+(('Prices&amp;Fuel'!C98+0.025)*(BC98+BF98))-(BI98+BJ98)*0.025)/(BB98+BC98+BD98+BE98+BF98+BG98)</f>
        <v>3.8509698552380955</v>
      </c>
      <c r="BL98" s="14">
        <f>(BB98+BC98+BD98+BE98+BF98+BG98)*BH98*'Prices&amp;Fuel'!H98</f>
        <v>3041378.6241747877</v>
      </c>
      <c r="BM98" s="14">
        <f>'Prices&amp;Fuel'!X98*('Prices&amp;Fuel'!N98+'Prices&amp;Fuel'!O98)*'Prices&amp;Fuel'!H98</f>
        <v>9438.6404139577935</v>
      </c>
      <c r="BN98" s="14">
        <f>('Prices&amp;Fuel'!U98+'Prices&amp;Fuel'!V98+'Prices&amp;Fuel'!W98)*('Prices&amp;Fuel'!L98+'Prices&amp;Fuel'!O98)*'Prices&amp;Fuel'!H98</f>
        <v>72012.818736653091</v>
      </c>
      <c r="BO98" s="14">
        <f>((BB98+BC98+BD98)*(1-'Prices&amp;Fuel'!G98))*('Prices&amp;Fuel'!M98+'Prices&amp;Fuel'!P98)*'Prices&amp;Fuel'!H98</f>
        <v>358472.93299999676</v>
      </c>
      <c r="BP98" s="14">
        <f>((BD98+BC98+BB98+BE98+BF98+BG98)*BK98*'Prices&amp;Fuel'!H98)+BM98+BN98+BO98</f>
        <v>3017797.2721094601</v>
      </c>
      <c r="BQ98" s="6">
        <f t="shared" ref="BQ98:BQ113" si="133">BL98-BP98</f>
        <v>23581.352065327577</v>
      </c>
      <c r="CA98" s="6">
        <f>(AF98+AG98+AH98+AL98)*0.005*'Prices&amp;Fuel'!H98</f>
        <v>31876.606683804628</v>
      </c>
      <c r="CB98" s="6">
        <f>(B98+C98+D98+O98+P98+Q98+X98+Y98+BB98+BC98+BD98+BE98+BF98+BG98+BR98+BS98)*0.005*'Prices&amp;Fuel'!H98</f>
        <v>7237.5437017994636</v>
      </c>
      <c r="CC98" s="1">
        <f t="shared" si="123"/>
        <v>30370746.960935716</v>
      </c>
      <c r="CD98" s="1">
        <f t="shared" si="124"/>
        <v>29971957.79740509</v>
      </c>
      <c r="CE98" s="1">
        <f t="shared" si="125"/>
        <v>398789.1635306254</v>
      </c>
      <c r="CF98" s="1">
        <f>'Index Price Deals'!AR98</f>
        <v>0</v>
      </c>
      <c r="CG98" s="1">
        <f>'Index Price Deals'!AS98</f>
        <v>0</v>
      </c>
      <c r="CH98" s="1">
        <f>'Index Price Deals'!AT98</f>
        <v>0</v>
      </c>
      <c r="CI98" s="1">
        <f>'Index Price Deals'!AU98</f>
        <v>0</v>
      </c>
      <c r="CJ98" s="1">
        <f t="shared" si="119"/>
        <v>30370746.960935716</v>
      </c>
      <c r="CK98" s="1">
        <f t="shared" si="120"/>
        <v>29971957.79740509</v>
      </c>
      <c r="CL98" s="1">
        <f t="shared" si="120"/>
        <v>398789.1635306254</v>
      </c>
      <c r="CM98" s="30"/>
      <c r="CN98" s="1">
        <f>Transport!U98</f>
        <v>3.1490140827372673E-9</v>
      </c>
      <c r="CO98" s="57"/>
      <c r="CQ98" s="1">
        <f>(((($B98+$C98+$D98+$O98+$P98+$Q98)*0.5)+BR98+BS98)*(0.005*'Prices&amp;Fuel'!$H98)+'Index Price Deals'!AV98)+(((BB98+BC98+BD98+BE98+BF98+BG98)*(1-'Prices&amp;Fuel'!F98))*0.005*0.5*'Prices&amp;Fuel'!H98)</f>
        <v>3572.7499999999895</v>
      </c>
      <c r="CR98" s="1">
        <f>(((($B98+$C98+$D98+$O98+$P98+$Q98)*0.5)+X98+Y98)*(0.005*'Prices&amp;Fuel'!$H98)+CA98+'Index Price Deals'!AW98)+(((BB98+BC98+BD98+BE98+BF98+BG98)*(1-'Prices&amp;Fuel'!F98))*0.005*0.5*'Prices&amp;Fuel'!H98)</f>
        <v>35449.356683804617</v>
      </c>
      <c r="CS98" s="21"/>
      <c r="CT98" s="1">
        <f>[3]Sheet1!$O114</f>
        <v>-213682.91126210472</v>
      </c>
      <c r="CU98" s="1">
        <f>'[4]Long Term Deals'!$Z97</f>
        <v>-43972.901883593106</v>
      </c>
      <c r="CV98" s="60">
        <f t="shared" si="106"/>
        <v>568499.17290913395</v>
      </c>
      <c r="CW98" s="13">
        <f>((B98+C98+D98+O98+P98+Q98+X98+Y98+AF98+AG98+AH98+BB98+BC98+BD98+BE98+BF98+BG98+BR98+BS98)+('Index Price Deals'!B98+'Index Price Deals'!C98+'Index Price Deals'!D98+'Index Price Deals'!L98+'Index Price Deals'!M98+'Index Price Deals'!N98+'Index Price Deals'!AD98+'Index Price Deals'!AE98+'Index Price Deals'!AF98+'Index Price Deals'!AK98+'Index Price Deals'!AL98+'Index Price Deals'!AM98))*'Prices&amp;Fuel'!H98</f>
        <v>7822830.0771208201</v>
      </c>
      <c r="DB98" s="3">
        <f>(O98+P98+Q98)*'Prices&amp;Fuel'!$H98</f>
        <v>778100</v>
      </c>
      <c r="DE98" s="3">
        <v>200000</v>
      </c>
    </row>
    <row r="99" spans="1:109" x14ac:dyDescent="0.25">
      <c r="A99" s="10">
        <f t="shared" si="130"/>
        <v>38608.166666666439</v>
      </c>
      <c r="O99" s="1">
        <v>9036</v>
      </c>
      <c r="P99" s="1">
        <v>10794</v>
      </c>
      <c r="Q99" s="1">
        <v>5270</v>
      </c>
      <c r="R99" s="11">
        <f t="shared" si="131"/>
        <v>3.198</v>
      </c>
      <c r="S99" s="11">
        <f t="shared" si="132"/>
        <v>3.1856</v>
      </c>
      <c r="T99" s="1">
        <f>(($O99*R99)+($P99*R99)+($Q99*R99))*'Prices&amp;Fuel'!$H99</f>
        <v>2408093.9999999995</v>
      </c>
      <c r="U99" s="1">
        <f>(($O99*S99)+($P99*S99)+($Q99*S99))*'Prices&amp;Fuel'!$H99</f>
        <v>2398756.7999999998</v>
      </c>
      <c r="V99" s="13">
        <f t="shared" si="117"/>
        <v>9337.1999999997206</v>
      </c>
      <c r="AF99" s="1">
        <f>((100000)/(1-'Prices&amp;Fuel'!F99))+(25000/(1-'Prices&amp;Fuel'!G99))-AI99</f>
        <v>128534.70437017996</v>
      </c>
      <c r="AG99" s="1">
        <v>0</v>
      </c>
      <c r="AH99" s="1">
        <f>(75000/(1-'Prices&amp;Fuel'!G99))-AK99</f>
        <v>77120.822622107968</v>
      </c>
      <c r="AI99" s="1"/>
      <c r="AJ99" s="1"/>
      <c r="AK99" s="1"/>
      <c r="AL99" s="21">
        <f>ROUND((200000/(1-'Prices&amp;Fuel'!F99))-AF99-AG99-AH99,0)</f>
        <v>0</v>
      </c>
      <c r="AM99" s="1">
        <f t="shared" si="126"/>
        <v>64267</v>
      </c>
      <c r="AO99" s="1">
        <f>ROUND((75000/(1-'Prices&amp;Fuel'!G99)-AV99-AK99)/2,0)</f>
        <v>38560</v>
      </c>
      <c r="AR99" s="1">
        <f t="shared" si="128"/>
        <v>64267.704370179956</v>
      </c>
      <c r="AT99" s="13">
        <f t="shared" si="107"/>
        <v>38560.822622107968</v>
      </c>
      <c r="AU99" s="13">
        <f>AL99*AX99*'Prices&amp;Fuel'!H99</f>
        <v>0</v>
      </c>
      <c r="AW99" s="20">
        <f t="shared" si="127"/>
        <v>0.06</v>
      </c>
      <c r="AX99" s="20">
        <f t="shared" si="129"/>
        <v>2.5000000000000001E-2</v>
      </c>
      <c r="AY99" s="6">
        <f>('Prices&amp;Fuel'!H99*('Prices&amp;Fuel'!B99+AW99)*'Long Term Deals'!AF99)+('Prices&amp;Fuel'!H99*('Prices&amp;Fuel'!C99+'Long Term Deals'!AW99)*'Long Term Deals'!AG99)+(AH99*('Prices&amp;Fuel'!C99+AW99)*'Prices&amp;Fuel'!H99)+(AW99*AL99*'Prices&amp;Fuel'!H99)</f>
        <v>28934273.706940878</v>
      </c>
      <c r="AZ99" s="6">
        <f>(AP99*'Prices&amp;Fuel'!H99*'Prices&amp;Fuel'!B99)+(AQ99*'Prices&amp;Fuel'!C99*'Prices&amp;Fuel'!H99)+((AM99+AR99)*('Prices&amp;Fuel'!B99+'Long Term Deals'!AX99)*'Prices&amp;Fuel'!H99)+((AN99+AS99)*('Prices&amp;Fuel'!C99+'Long Term Deals'!AX99)*'Prices&amp;Fuel'!H99)+((AO99+AT99)*('Prices&amp;Fuel'!D99+'Long Term Deals'!AX99)*'Prices&amp;Fuel'!H99)+(AV99*'Prices&amp;Fuel'!H99*'Prices&amp;Fuel'!Q99)+AU99</f>
        <v>28602654.169665821</v>
      </c>
      <c r="BA99" s="6">
        <f t="shared" si="118"/>
        <v>331619.53727505729</v>
      </c>
      <c r="BB99" s="6">
        <f>IF('FP Corp'!T99-((BE99+BF99+BG99)*(1-'Prices&amp;Fuel'!F99))&lt;'Prices&amp;Fuel'!R99,('FP Corp'!T99-(BE99+BF99+BG99)*(1-'Prices&amp;Fuel'!F99)),'Prices&amp;Fuel'!R99)/(1-'Prices&amp;Fuel'!F99)</f>
        <v>8976.8637532133671</v>
      </c>
      <c r="BC99" s="14"/>
      <c r="BD99" s="14">
        <f>ROUND(IF('FP Corp'!T99/(1-'Prices&amp;Fuel'!F99)-BE99-BF99-BG99-BB99&gt;'Prices&amp;Fuel'!T99,'Prices&amp;Fuel'!T99,'FP Corp'!T99/(1-'Prices&amp;Fuel'!F99)-BE99-BF99-BG99-BB99),9)</f>
        <v>6556.2982005140002</v>
      </c>
      <c r="BE99" s="14">
        <f>'Prices&amp;Fuel'!U99/(1-'Prices&amp;Fuel'!F99)</f>
        <v>1933.1619537275064</v>
      </c>
      <c r="BF99" s="14">
        <f>('Prices&amp;Fuel'!V99+'Prices&amp;Fuel'!X99)/(1-'Prices&amp;Fuel'!F99)</f>
        <v>3062.2107969151671</v>
      </c>
      <c r="BG99" s="14">
        <f>'Prices&amp;Fuel'!W99/(1-'Prices&amp;Fuel'!F99)</f>
        <v>1065.2956298200513</v>
      </c>
      <c r="BH99" s="25">
        <f>('Prices&amp;Fuel'!C99+'Prices&amp;Fuel'!D99)/2-0.05+('Prices&amp;Fuel'!M99+'Prices&amp;Fuel'!P99)*(1-'Prices&amp;Fuel'!F99)</f>
        <v>5.3367122800000013</v>
      </c>
      <c r="BI99" s="14"/>
      <c r="BJ99" s="14"/>
      <c r="BK99" s="25">
        <f>(((BB99+BE99)*('Prices&amp;Fuel'!B99+0.025))+(('Prices&amp;Fuel'!D99+0.025)*(BD99+BG99))+(('Prices&amp;Fuel'!C99+0.025)*(BC99+BF99))-(BI99+BJ99)*0.025)/(BB99+BC99+BD99+BE99+BF99+BG99)</f>
        <v>4.6443016252380973</v>
      </c>
      <c r="BL99" s="14">
        <f>(BB99+BC99+BD99+BE99+BF99+BG99)*BH99*'Prices&amp;Fuel'!H99</f>
        <v>3457201.7855012636</v>
      </c>
      <c r="BM99" s="14">
        <f>'Prices&amp;Fuel'!X99*('Prices&amp;Fuel'!N99+'Prices&amp;Fuel'!O99)*'Prices&amp;Fuel'!H99</f>
        <v>9134.1681425398001</v>
      </c>
      <c r="BN99" s="14">
        <f>('Prices&amp;Fuel'!U99+'Prices&amp;Fuel'!V99+'Prices&amp;Fuel'!W99)*('Prices&amp;Fuel'!L99+'Prices&amp;Fuel'!O99)*'Prices&amp;Fuel'!H99</f>
        <v>69689.82458385783</v>
      </c>
      <c r="BO99" s="14">
        <f>((BB99+BC99+BD99)*(1-'Prices&amp;Fuel'!G99))*('Prices&amp;Fuel'!M99+'Prices&amp;Fuel'!P99)*'Prices&amp;Fuel'!H99</f>
        <v>346909.28999999689</v>
      </c>
      <c r="BP99" s="14">
        <f>((BD99+BC99+BB99+BE99+BF99+BG99)*BK99*'Prices&amp;Fuel'!H99)+BM99+BN99+BO99</f>
        <v>3434381.1222122377</v>
      </c>
      <c r="BQ99" s="6">
        <f t="shared" si="133"/>
        <v>22820.663289025892</v>
      </c>
      <c r="CA99" s="6">
        <f>(AF99+AG99+AH99+AL99)*0.005*'Prices&amp;Fuel'!H99</f>
        <v>30848.329048843189</v>
      </c>
      <c r="CB99" s="6">
        <f>(B99+C99+D99+O99+P99+Q99+X99+Y99+BB99+BC99+BD99+BE99+BF99+BG99+BR99+BS99)*0.005*'Prices&amp;Fuel'!H99</f>
        <v>7004.0745501285137</v>
      </c>
      <c r="CC99" s="1">
        <f t="shared" si="123"/>
        <v>34799569.492442138</v>
      </c>
      <c r="CD99" s="1">
        <f t="shared" si="124"/>
        <v>34473644.495477028</v>
      </c>
      <c r="CE99" s="1">
        <f t="shared" si="125"/>
        <v>325924.9969651103</v>
      </c>
      <c r="CF99" s="1">
        <f>'Index Price Deals'!AR99</f>
        <v>0</v>
      </c>
      <c r="CG99" s="1">
        <f>'Index Price Deals'!AS99</f>
        <v>0</v>
      </c>
      <c r="CH99" s="1">
        <f>'Index Price Deals'!AT99</f>
        <v>0</v>
      </c>
      <c r="CI99" s="1">
        <f>'Index Price Deals'!AU99</f>
        <v>0</v>
      </c>
      <c r="CJ99" s="1">
        <f t="shared" si="119"/>
        <v>34799569.492442138</v>
      </c>
      <c r="CK99" s="1">
        <f t="shared" si="120"/>
        <v>34473644.495477028</v>
      </c>
      <c r="CL99" s="1">
        <f t="shared" si="120"/>
        <v>325924.9969651103</v>
      </c>
      <c r="CM99" s="30"/>
      <c r="CN99" s="1">
        <f>Transport!U99</f>
        <v>3.0474329832941295E-9</v>
      </c>
      <c r="CO99" s="57"/>
      <c r="CQ99" s="1">
        <f>(((($B99+$C99+$D99+$O99+$P99+$Q99)*0.5)+BR99+BS99)*(0.005*'Prices&amp;Fuel'!$H99)+'Index Price Deals'!AV99)+(((BB99+BC99+BD99+BE99+BF99+BG99)*(1-'Prices&amp;Fuel'!F99))*0.005*0.5*'Prices&amp;Fuel'!H99)</f>
        <v>3457.49999999999</v>
      </c>
      <c r="CR99" s="1">
        <f>(((($B99+$C99+$D99+$O99+$P99+$Q99)*0.5)+X99+Y99)*(0.005*'Prices&amp;Fuel'!$H99)+CA99+'Index Price Deals'!AW99)+(((BB99+BC99+BD99+BE99+BF99+BG99)*(1-'Prices&amp;Fuel'!F99))*0.005*0.5*'Prices&amp;Fuel'!H99)</f>
        <v>34305.829048843181</v>
      </c>
      <c r="CS99" s="21"/>
      <c r="CT99" s="1">
        <f>[3]Sheet1!$O115</f>
        <v>-206789.91412461747</v>
      </c>
      <c r="CU99" s="1">
        <f>'[4]Long Term Deals'!$Z98</f>
        <v>17445.578822329902</v>
      </c>
      <c r="CV99" s="60">
        <f t="shared" si="106"/>
        <v>550160.48991205462</v>
      </c>
      <c r="CW99" s="13">
        <f>((B99+C99+D99+O99+P99+Q99+X99+Y99+AF99+AG99+AH99+BB99+BC99+BD99+BE99+BF99+BG99+BR99+BS99)+('Index Price Deals'!B99+'Index Price Deals'!C99+'Index Price Deals'!D99+'Index Price Deals'!L99+'Index Price Deals'!M99+'Index Price Deals'!N99+'Index Price Deals'!AD99+'Index Price Deals'!AE99+'Index Price Deals'!AF99+'Index Price Deals'!AK99+'Index Price Deals'!AL99+'Index Price Deals'!AM99))*'Prices&amp;Fuel'!H99</f>
        <v>7570480.7197943414</v>
      </c>
      <c r="DB99" s="3">
        <f>(O99+P99+Q99)*'Prices&amp;Fuel'!$H99</f>
        <v>753000</v>
      </c>
      <c r="DE99" s="3">
        <v>200000</v>
      </c>
    </row>
    <row r="100" spans="1:109" x14ac:dyDescent="0.25">
      <c r="A100" s="10">
        <f t="shared" si="130"/>
        <v>38638.583333333103</v>
      </c>
      <c r="O100" s="1">
        <v>9036</v>
      </c>
      <c r="P100" s="1">
        <v>10794</v>
      </c>
      <c r="Q100" s="1">
        <v>5270</v>
      </c>
      <c r="R100" s="11">
        <f t="shared" si="131"/>
        <v>3.198</v>
      </c>
      <c r="S100" s="11">
        <f t="shared" si="132"/>
        <v>3.1856</v>
      </c>
      <c r="T100" s="1">
        <f>(($O100*R100)+($P100*R100)+($Q100*R100))*'Prices&amp;Fuel'!$H100</f>
        <v>2488363.7999999998</v>
      </c>
      <c r="U100" s="1">
        <f>(($O100*S100)+($P100*S100)+($Q100*S100))*'Prices&amp;Fuel'!$H100</f>
        <v>2478715.36</v>
      </c>
      <c r="V100" s="13">
        <f t="shared" si="117"/>
        <v>9648.4399999999441</v>
      </c>
      <c r="AF100" s="1">
        <f>(32000/(1-'Prices&amp;Fuel'!F100))+(25000/(1-'Prices&amp;Fuel'!G100))-AI100</f>
        <v>58611.825192802062</v>
      </c>
      <c r="AG100" s="1">
        <v>0</v>
      </c>
      <c r="AH100" s="1">
        <f>(75000/(1-'Prices&amp;Fuel'!G100))-AK100</f>
        <v>77120.822622107968</v>
      </c>
      <c r="AI100" s="1"/>
      <c r="AJ100" s="1"/>
      <c r="AK100" s="1"/>
      <c r="AL100" s="21">
        <f>ROUND((132000/(1-'Prices&amp;Fuel'!F100))-AF100-AG100-AH100,0)</f>
        <v>0</v>
      </c>
      <c r="AM100" s="1">
        <f t="shared" si="126"/>
        <v>29306</v>
      </c>
      <c r="AO100" s="1">
        <f>ROUND((75000/(1-'Prices&amp;Fuel'!G100)-AV100-AK100)/2,0)</f>
        <v>38560</v>
      </c>
      <c r="AR100" s="1">
        <f t="shared" si="128"/>
        <v>29305.825192802062</v>
      </c>
      <c r="AT100" s="13">
        <f t="shared" si="107"/>
        <v>38560.822622107968</v>
      </c>
      <c r="AU100" s="13">
        <f>AL100*AX100*'Prices&amp;Fuel'!H100</f>
        <v>0</v>
      </c>
      <c r="AW100" s="20">
        <f t="shared" si="127"/>
        <v>0.06</v>
      </c>
      <c r="AX100" s="20">
        <f t="shared" si="129"/>
        <v>2.5000000000000001E-2</v>
      </c>
      <c r="AY100" s="6">
        <f>('Prices&amp;Fuel'!H100*('Prices&amp;Fuel'!B100+AW100)*'Long Term Deals'!AF100)+('Prices&amp;Fuel'!H100*('Prices&amp;Fuel'!C100+'Long Term Deals'!AW100)*'Long Term Deals'!AG100)+(AH100*('Prices&amp;Fuel'!C100+AW100)*'Prices&amp;Fuel'!H100)+(AW100*AL100*'Prices&amp;Fuel'!H100)</f>
        <v>22729888.653285347</v>
      </c>
      <c r="AZ100" s="6">
        <f>(AP100*'Prices&amp;Fuel'!H100*'Prices&amp;Fuel'!B100)+(AQ100*'Prices&amp;Fuel'!C100*'Prices&amp;Fuel'!H100)+((AM100+AR100)*('Prices&amp;Fuel'!B100+'Long Term Deals'!AX100)*'Prices&amp;Fuel'!H100)+((AN100+AS100)*('Prices&amp;Fuel'!C100+'Long Term Deals'!AX100)*'Prices&amp;Fuel'!H100)+((AO100+AT100)*('Prices&amp;Fuel'!D100+'Long Term Deals'!AX100)*'Prices&amp;Fuel'!H100)+(AV100*'Prices&amp;Fuel'!H100*'Prices&amp;Fuel'!Q100)+AU100</f>
        <v>22463081.455341905</v>
      </c>
      <c r="BA100" s="6">
        <f t="shared" si="118"/>
        <v>266807.19794344157</v>
      </c>
      <c r="BB100" s="6">
        <f>IF('FP Corp'!T100-((BE100+BF100+BG100)*(1-'Prices&amp;Fuel'!F100))&lt;'Prices&amp;Fuel'!R100,('FP Corp'!T100-(BE100+BF100+BG100)*(1-'Prices&amp;Fuel'!F100)),'Prices&amp;Fuel'!R100)/(1-'Prices&amp;Fuel'!F100)</f>
        <v>8976.8637532133671</v>
      </c>
      <c r="BC100" s="14"/>
      <c r="BD100" s="14">
        <f>ROUND(IF('FP Corp'!T100/(1-'Prices&amp;Fuel'!F100)-BE100-BF100-BG100-BB100&gt;'Prices&amp;Fuel'!T100,'Prices&amp;Fuel'!T100,'FP Corp'!T100/(1-'Prices&amp;Fuel'!F100)-BE100-BF100-BG100-BB100),9)</f>
        <v>3514.6529562979999</v>
      </c>
      <c r="BE100" s="14">
        <f>'Prices&amp;Fuel'!U100/(1-'Prices&amp;Fuel'!F100)</f>
        <v>2910.025706940874</v>
      </c>
      <c r="BF100" s="14">
        <f>('Prices&amp;Fuel'!V100+'Prices&amp;Fuel'!X100)/(1-'Prices&amp;Fuel'!F100)</f>
        <v>4628.2776349614396</v>
      </c>
      <c r="BG100" s="14">
        <f>'Prices&amp;Fuel'!W100/(1-'Prices&amp;Fuel'!F100)</f>
        <v>1564.0102827763496</v>
      </c>
      <c r="BH100" s="25">
        <f>('Prices&amp;Fuel'!C100+'Prices&amp;Fuel'!D100)/2-0.05+('Prices&amp;Fuel'!M100+'Prices&amp;Fuel'!P100)*(1-'Prices&amp;Fuel'!F100)</f>
        <v>6.037316960000001</v>
      </c>
      <c r="BI100" s="14"/>
      <c r="BJ100" s="14"/>
      <c r="BK100" s="25">
        <f>(((BB100+BE100)*('Prices&amp;Fuel'!B100+0.025))+(('Prices&amp;Fuel'!D100+0.025)*(BD100+BG100))+(('Prices&amp;Fuel'!C100+0.025)*(BC100+BF100))-(BI100+BJ100)*0.025)/(BB100+BC100+BD100+BE100+BF100+BG100)</f>
        <v>5.3480801147619053</v>
      </c>
      <c r="BL100" s="14">
        <f>(BB100+BC100+BD100+BE100+BF100+BG100)*BH100*'Prices&amp;Fuel'!H100</f>
        <v>4041432.741347007</v>
      </c>
      <c r="BM100" s="14">
        <f>'Prices&amp;Fuel'!X100*('Prices&amp;Fuel'!N100+'Prices&amp;Fuel'!O100)*'Prices&amp;Fuel'!H100</f>
        <v>13833.205057645318</v>
      </c>
      <c r="BN100" s="14">
        <f>('Prices&amp;Fuel'!U100+'Prices&amp;Fuel'!V100+'Prices&amp;Fuel'!W100)*('Prices&amp;Fuel'!L100+'Prices&amp;Fuel'!O100)*'Prices&amp;Fuel'!H100</f>
        <v>108495.99691066272</v>
      </c>
      <c r="BO100" s="14">
        <f>((BB100+BC100+BD100)*(1-'Prices&amp;Fuel'!G100))*('Prices&amp;Fuel'!M100+'Prices&amp;Fuel'!P100)*'Prices&amp;Fuel'!H100</f>
        <v>288278.11399999529</v>
      </c>
      <c r="BP100" s="14">
        <f>((BD100+BC100+BB100+BE100+BF100+BG100)*BK100*'Prices&amp;Fuel'!H100)+BM100+BN100+BO100</f>
        <v>3990658.8889348521</v>
      </c>
      <c r="BQ100" s="6">
        <f t="shared" si="133"/>
        <v>50773.852412154898</v>
      </c>
      <c r="CA100" s="6">
        <f>(AF100+AG100+AH100+AL100)*0.005*'Prices&amp;Fuel'!H100</f>
        <v>21038.560411311057</v>
      </c>
      <c r="CB100" s="6">
        <f>(B100+C100+D100+O100+P100+Q100+X100+Y100+BB100+BC100+BD100+BE100+BF100+BG100+BR100+BS100)*0.005*'Prices&amp;Fuel'!H100</f>
        <v>7237.5437017994554</v>
      </c>
      <c r="CC100" s="1">
        <f t="shared" si="123"/>
        <v>29259685.194632355</v>
      </c>
      <c r="CD100" s="1">
        <f t="shared" si="124"/>
        <v>28960731.808389865</v>
      </c>
      <c r="CE100" s="1">
        <f t="shared" si="125"/>
        <v>298953.38624249026</v>
      </c>
      <c r="CF100" s="1">
        <f>'Index Price Deals'!AR100</f>
        <v>0</v>
      </c>
      <c r="CG100" s="1">
        <f>'Index Price Deals'!AS100</f>
        <v>0</v>
      </c>
      <c r="CH100" s="1">
        <f>'Index Price Deals'!AT100</f>
        <v>0</v>
      </c>
      <c r="CI100" s="1">
        <f>'Index Price Deals'!AU100</f>
        <v>0</v>
      </c>
      <c r="CJ100" s="1">
        <f t="shared" si="119"/>
        <v>29259685.194632355</v>
      </c>
      <c r="CK100" s="1">
        <f t="shared" si="120"/>
        <v>28960731.808389865</v>
      </c>
      <c r="CL100" s="1">
        <f t="shared" si="120"/>
        <v>298953.38624249026</v>
      </c>
      <c r="CM100" s="30"/>
      <c r="CN100" s="1">
        <f>Transport!U100</f>
        <v>4.3920459575019776E-9</v>
      </c>
      <c r="CO100" s="57"/>
      <c r="CQ100" s="1">
        <f>(((($B100+$C100+$D100+$O100+$P100+$Q100)*0.5)+BR100+BS100)*(0.005*'Prices&amp;Fuel'!$H100)+'Index Price Deals'!AV100)+(((BB100+BC100+BD100+BE100+BF100+BG100)*(1-'Prices&amp;Fuel'!F100))*0.005*0.5*'Prices&amp;Fuel'!H100)</f>
        <v>3572.749999999985</v>
      </c>
      <c r="CR100" s="1">
        <f>(((($B100+$C100+$D100+$O100+$P100+$Q100)*0.5)+X100+Y100)*(0.005*'Prices&amp;Fuel'!$H100)+CA100+'Index Price Deals'!AW100)+(((BB100+BC100+BD100+BE100+BF100+BG100)*(1-'Prices&amp;Fuel'!F100))*0.005*0.5*'Prices&amp;Fuel'!H100)</f>
        <v>24611.310411311042</v>
      </c>
      <c r="CS100" s="21"/>
      <c r="CT100" s="1">
        <f>[3]Sheet1!$O116</f>
        <v>-141030.72143298911</v>
      </c>
      <c r="CU100" s="1">
        <f>'[4]Long Term Deals'!$Z99</f>
        <v>10529.101554715919</v>
      </c>
      <c r="CV100" s="60">
        <f t="shared" si="106"/>
        <v>450513.20923019096</v>
      </c>
      <c r="CW100" s="13">
        <f>((B100+C100+D100+O100+P100+Q100+X100+Y100+AF100+AG100+AH100+BB100+BC100+BD100+BE100+BF100+BG100+BR100+BS100)+('Index Price Deals'!B100+'Index Price Deals'!C100+'Index Price Deals'!D100+'Index Price Deals'!L100+'Index Price Deals'!M100+'Index Price Deals'!N100+'Index Price Deals'!AD100+'Index Price Deals'!AE100+'Index Price Deals'!AF100+'Index Price Deals'!AK100+'Index Price Deals'!AL100+'Index Price Deals'!AM100))*'Prices&amp;Fuel'!H100</f>
        <v>5655220.8226221027</v>
      </c>
      <c r="DB100" s="3">
        <f>(O100+P100+Q100)*'Prices&amp;Fuel'!$H100</f>
        <v>778100</v>
      </c>
      <c r="DE100" s="3">
        <v>132000</v>
      </c>
    </row>
    <row r="101" spans="1:109" x14ac:dyDescent="0.25">
      <c r="A101" s="10">
        <f t="shared" si="130"/>
        <v>38668.999999999767</v>
      </c>
      <c r="O101" s="1">
        <v>9036</v>
      </c>
      <c r="P101" s="1">
        <v>10794</v>
      </c>
      <c r="Q101" s="1">
        <v>5270</v>
      </c>
      <c r="R101" s="11">
        <f t="shared" si="131"/>
        <v>3.198</v>
      </c>
      <c r="S101" s="11">
        <f t="shared" si="132"/>
        <v>3.1856</v>
      </c>
      <c r="T101" s="1">
        <f>(($O101*R101)+($P101*R101)+($Q101*R101))*'Prices&amp;Fuel'!$H101</f>
        <v>2408093.9999999995</v>
      </c>
      <c r="U101" s="1">
        <f>(($O101*S101)+($P101*S101)+($Q101*S101))*'Prices&amp;Fuel'!$H101</f>
        <v>2398756.7999999998</v>
      </c>
      <c r="V101" s="13">
        <f t="shared" ref="V101:V116" si="134">T101-U101</f>
        <v>9337.1999999997206</v>
      </c>
      <c r="AF101" s="1">
        <f>(32000/(1-'Prices&amp;Fuel'!F101))+(25000/(1-'Prices&amp;Fuel'!G101))-AI101</f>
        <v>58611.825192802062</v>
      </c>
      <c r="AG101" s="1">
        <v>0</v>
      </c>
      <c r="AH101" s="1">
        <f>(75000/(1-'Prices&amp;Fuel'!G101))-AK101</f>
        <v>77120.822622107968</v>
      </c>
      <c r="AI101" s="1"/>
      <c r="AJ101" s="1"/>
      <c r="AK101" s="1"/>
      <c r="AL101" s="21">
        <f>ROUND((132000/(1-'Prices&amp;Fuel'!F101))-AF101-AG101-AH101,0)</f>
        <v>0</v>
      </c>
      <c r="AM101" s="1">
        <f t="shared" si="126"/>
        <v>29306</v>
      </c>
      <c r="AO101" s="1">
        <f>ROUND((75000/(1-'Prices&amp;Fuel'!G101)-AV101-AK101)/2,0)</f>
        <v>38560</v>
      </c>
      <c r="AR101" s="1">
        <f t="shared" si="128"/>
        <v>29305.825192802062</v>
      </c>
      <c r="AT101" s="13">
        <f t="shared" si="107"/>
        <v>38560.822622107968</v>
      </c>
      <c r="AU101" s="13">
        <f>AL101*AX101*'Prices&amp;Fuel'!H101</f>
        <v>0</v>
      </c>
      <c r="AW101" s="20">
        <f t="shared" si="127"/>
        <v>0.06</v>
      </c>
      <c r="AX101" s="20">
        <f t="shared" si="129"/>
        <v>2.5000000000000001E-2</v>
      </c>
      <c r="AY101" s="6">
        <f>('Prices&amp;Fuel'!H101*('Prices&amp;Fuel'!B101+AW101)*'Long Term Deals'!AF101)+('Prices&amp;Fuel'!H101*('Prices&amp;Fuel'!C101+'Long Term Deals'!AW101)*'Long Term Deals'!AG101)+(AH101*('Prices&amp;Fuel'!C101+AW101)*'Prices&amp;Fuel'!H101)+(AW101*AL101*'Prices&amp;Fuel'!H101)</f>
        <v>14738685.882570697</v>
      </c>
      <c r="AZ101" s="6">
        <f>(AP101*'Prices&amp;Fuel'!H101*'Prices&amp;Fuel'!B101)+(AQ101*'Prices&amp;Fuel'!C101*'Prices&amp;Fuel'!H101)+((AM101+AR101)*('Prices&amp;Fuel'!B101+'Long Term Deals'!AX101)*'Prices&amp;Fuel'!H101)+((AN101+AS101)*('Prices&amp;Fuel'!C101+'Long Term Deals'!AX101)*'Prices&amp;Fuel'!H101)+((AO101+AT101)*('Prices&amp;Fuel'!D101+'Long Term Deals'!AX101)*'Prices&amp;Fuel'!H101)+(AV101*'Prices&amp;Fuel'!H101*'Prices&amp;Fuel'!Q101)+AU101</f>
        <v>14480485.368431877</v>
      </c>
      <c r="BA101" s="6">
        <f t="shared" ref="BA101:BA116" si="135">AY101-AZ101</f>
        <v>258200.51413881965</v>
      </c>
      <c r="BB101" s="6">
        <f>IF('FP Corp'!T101-((BE101+BF101+BG101)*(1-'Prices&amp;Fuel'!F101))&lt;'Prices&amp;Fuel'!R101,('FP Corp'!T101-(BE101+BF101+BG101)*(1-'Prices&amp;Fuel'!F101)),'Prices&amp;Fuel'!R101)/(1-'Prices&amp;Fuel'!F101)</f>
        <v>4325.9640102827761</v>
      </c>
      <c r="BC101" s="14"/>
      <c r="BD101" s="14">
        <f>ROUND(IF('FP Corp'!T101/(1-'Prices&amp;Fuel'!F101)-BE101-BF101-BG101-BB101&gt;'Prices&amp;Fuel'!T101,'Prices&amp;Fuel'!T101,'FP Corp'!T101/(1-'Prices&amp;Fuel'!F101)-BE101-BF101-BG101-BB101),9)</f>
        <v>0</v>
      </c>
      <c r="BE101" s="14">
        <f>'Prices&amp;Fuel'!U101/(1-'Prices&amp;Fuel'!F101)</f>
        <v>2635.4755784061695</v>
      </c>
      <c r="BF101" s="14">
        <f>('Prices&amp;Fuel'!V101+'Prices&amp;Fuel'!X101)/(1-'Prices&amp;Fuel'!F101)</f>
        <v>3645.2442159383031</v>
      </c>
      <c r="BG101" s="14">
        <f>'Prices&amp;Fuel'!W101/(1-'Prices&amp;Fuel'!F101)</f>
        <v>1732.6478149100255</v>
      </c>
      <c r="BH101" s="25">
        <f>('Prices&amp;Fuel'!C101+'Prices&amp;Fuel'!D101)/2-0.05+('Prices&amp;Fuel'!M101+'Prices&amp;Fuel'!P101)*(1-'Prices&amp;Fuel'!F101)</f>
        <v>4.2548962300000008</v>
      </c>
      <c r="BI101" s="14"/>
      <c r="BJ101" s="14"/>
      <c r="BK101" s="25">
        <f>(((BB101+BE101)*('Prices&amp;Fuel'!B101+0.025))+(('Prices&amp;Fuel'!D101+0.025)*(BD101+BG101))+(('Prices&amp;Fuel'!C101+0.025)*(BC101+BF101))-(BI101+BJ101)*0.025)/(BB101+BC101+BD101+BE101+BF101+BG101)</f>
        <v>3.5695766466666665</v>
      </c>
      <c r="BL101" s="14">
        <f>(BB101+BC101+BD101+BE101+BF101+BG101)*BH101*'Prices&amp;Fuel'!H101</f>
        <v>1575077.2676606686</v>
      </c>
      <c r="BM101" s="14">
        <f>'Prices&amp;Fuel'!X101*('Prices&amp;Fuel'!N101+'Prices&amp;Fuel'!O101)*'Prices&amp;Fuel'!H101</f>
        <v>9134.1681425398001</v>
      </c>
      <c r="BN101" s="14">
        <f>('Prices&amp;Fuel'!U101+'Prices&amp;Fuel'!V101+'Prices&amp;Fuel'!W101)*('Prices&amp;Fuel'!L101+'Prices&amp;Fuel'!O101)*'Prices&amp;Fuel'!H101</f>
        <v>95086.289155868202</v>
      </c>
      <c r="BO101" s="14">
        <f>((BB101+BC101+BD101)*(1-'Prices&amp;Fuel'!G101))*('Prices&amp;Fuel'!M101+'Prices&amp;Fuel'!P101)*'Prices&amp;Fuel'!H101</f>
        <v>96613.75499999999</v>
      </c>
      <c r="BP101" s="14">
        <f>((BD101+BC101+BB101+BE101+BF101+BG101)*BK101*'Prices&amp;Fuel'!H101)+BM101+BN101+BO101</f>
        <v>1522219.9118356828</v>
      </c>
      <c r="BQ101" s="6">
        <f t="shared" si="133"/>
        <v>52857.355824985774</v>
      </c>
      <c r="CA101" s="6">
        <f>(AF101+AG101+AH101+AL101)*0.005*'Prices&amp;Fuel'!H101</f>
        <v>20359.897172236506</v>
      </c>
      <c r="CB101" s="6">
        <f>(B101+C101+D101+O101+P101+Q101+X101+Y101+BB101+BC101+BD101+BE101+BF101+BG101+BR101+BS101)*0.005*'Prices&amp;Fuel'!H101</f>
        <v>5615.8997429305909</v>
      </c>
      <c r="CC101" s="1">
        <f t="shared" si="123"/>
        <v>18721857.150231365</v>
      </c>
      <c r="CD101" s="1">
        <f t="shared" si="124"/>
        <v>18427437.877182726</v>
      </c>
      <c r="CE101" s="1">
        <f t="shared" si="125"/>
        <v>294419.2730486393</v>
      </c>
      <c r="CF101" s="1">
        <f>'Index Price Deals'!AR101</f>
        <v>0</v>
      </c>
      <c r="CG101" s="1">
        <f>'Index Price Deals'!AS101</f>
        <v>0</v>
      </c>
      <c r="CH101" s="1">
        <f>'Index Price Deals'!AT101</f>
        <v>0</v>
      </c>
      <c r="CI101" s="1">
        <f>'Index Price Deals'!AU101</f>
        <v>0</v>
      </c>
      <c r="CJ101" s="1">
        <f t="shared" ref="CJ101:CJ116" si="136">CC101+CF101</f>
        <v>18721857.150231365</v>
      </c>
      <c r="CK101" s="1">
        <f t="shared" si="120"/>
        <v>18427437.877182726</v>
      </c>
      <c r="CL101" s="1">
        <f t="shared" si="120"/>
        <v>294419.2730486393</v>
      </c>
      <c r="CM101" s="30"/>
      <c r="CN101" s="1">
        <f>Transport!U101</f>
        <v>0</v>
      </c>
      <c r="CO101" s="57"/>
      <c r="CQ101" s="1">
        <f>(((($B101+$C101+$D101+$O101+$P101+$Q101)*0.5)+BR101+BS101)*(0.005*'Prices&amp;Fuel'!$H101)+'Index Price Deals'!AV101)+(((BB101+BC101+BD101+BE101+BF101+BG101)*(1-'Prices&amp;Fuel'!F101))*0.005*0.5*'Prices&amp;Fuel'!H101)</f>
        <v>2782.5</v>
      </c>
      <c r="CR101" s="1">
        <f>(((($B101+$C101+$D101+$O101+$P101+$Q101)*0.5)+X101+Y101)*(0.005*'Prices&amp;Fuel'!$H101)+CA101+'Index Price Deals'!AW101)+(((BB101+BC101+BD101+BE101+BF101+BG101)*(1-'Prices&amp;Fuel'!F101))*0.005*0.5*'Prices&amp;Fuel'!H101)</f>
        <v>23142.397172236506</v>
      </c>
      <c r="CS101" s="21"/>
      <c r="CT101" s="1">
        <f>[3]Sheet1!$O117</f>
        <v>-136481.34332224756</v>
      </c>
      <c r="CU101" s="1">
        <f>'[4]Long Term Deals'!$Z100</f>
        <v>10189.453117467026</v>
      </c>
      <c r="CV101" s="60">
        <f t="shared" si="106"/>
        <v>441090.06948835391</v>
      </c>
      <c r="CW101" s="13">
        <f>((B101+C101+D101+O101+P101+Q101+X101+Y101+AF101+AG101+AH101+BB101+BC101+BD101+BE101+BF101+BG101+BR101+BS101)+('Index Price Deals'!B101+'Index Price Deals'!C101+'Index Price Deals'!D101+'Index Price Deals'!L101+'Index Price Deals'!M101+'Index Price Deals'!N101+'Index Price Deals'!AD101+'Index Price Deals'!AE101+'Index Price Deals'!AF101+'Index Price Deals'!AK101+'Index Price Deals'!AL101+'Index Price Deals'!AM101))*'Prices&amp;Fuel'!H101</f>
        <v>5195159.3830334181</v>
      </c>
      <c r="DB101" s="3">
        <f>(O101+P101+Q101)*'Prices&amp;Fuel'!$H101</f>
        <v>753000</v>
      </c>
      <c r="DE101" s="3">
        <v>132000</v>
      </c>
    </row>
    <row r="102" spans="1:109" x14ac:dyDescent="0.25">
      <c r="A102" s="10">
        <f t="shared" si="130"/>
        <v>38699.416666666431</v>
      </c>
      <c r="O102" s="1">
        <v>9036</v>
      </c>
      <c r="P102" s="1">
        <v>10794</v>
      </c>
      <c r="Q102" s="1">
        <v>5270</v>
      </c>
      <c r="R102" s="11">
        <f t="shared" si="131"/>
        <v>3.198</v>
      </c>
      <c r="S102" s="11">
        <f t="shared" si="132"/>
        <v>3.1856</v>
      </c>
      <c r="T102" s="1">
        <f>(($O102*R102)+($P102*R102)+($Q102*R102))*'Prices&amp;Fuel'!$H102</f>
        <v>2488363.7999999998</v>
      </c>
      <c r="U102" s="1">
        <f>(($O102*S102)+($P102*S102)+($Q102*S102))*'Prices&amp;Fuel'!$H102</f>
        <v>2478715.36</v>
      </c>
      <c r="V102" s="13">
        <f t="shared" si="134"/>
        <v>9648.4399999999441</v>
      </c>
      <c r="AF102" s="1">
        <f>(32000/(1-'Prices&amp;Fuel'!F102))+(25000/(1-'Prices&amp;Fuel'!G102))-AI102</f>
        <v>58611.825192802062</v>
      </c>
      <c r="AG102" s="1">
        <v>0</v>
      </c>
      <c r="AH102" s="1">
        <f>(75000/(1-'Prices&amp;Fuel'!G102))-AK102</f>
        <v>77120.822622107968</v>
      </c>
      <c r="AI102" s="1"/>
      <c r="AJ102" s="1"/>
      <c r="AK102" s="1"/>
      <c r="AL102" s="21">
        <f>ROUND((132000/(1-'Prices&amp;Fuel'!F102))-AF102-AG102-AH102,0)</f>
        <v>0</v>
      </c>
      <c r="AM102" s="1">
        <f t="shared" si="126"/>
        <v>29306</v>
      </c>
      <c r="AO102" s="1">
        <f>ROUND((75000/(1-'Prices&amp;Fuel'!G102)-AV102-AK102)/2,0)</f>
        <v>38560</v>
      </c>
      <c r="AR102" s="1">
        <f t="shared" si="128"/>
        <v>29305.825192802062</v>
      </c>
      <c r="AT102" s="13">
        <f t="shared" si="107"/>
        <v>38560.822622107968</v>
      </c>
      <c r="AU102" s="13">
        <f>AL102*AX102*'Prices&amp;Fuel'!H102</f>
        <v>0</v>
      </c>
      <c r="AW102" s="20">
        <f t="shared" si="127"/>
        <v>0.06</v>
      </c>
      <c r="AX102" s="20">
        <f t="shared" si="129"/>
        <v>2.5000000000000001E-2</v>
      </c>
      <c r="AY102" s="6">
        <f>('Prices&amp;Fuel'!H102*('Prices&amp;Fuel'!B102+AW102)*'Long Term Deals'!AF102)+('Prices&amp;Fuel'!H102*('Prices&amp;Fuel'!C102+'Long Term Deals'!AW102)*'Long Term Deals'!AG102)+(AH102*('Prices&amp;Fuel'!C102+AW102)*'Prices&amp;Fuel'!H102)+(AW102*AL102*'Prices&amp;Fuel'!H102)</f>
        <v>11414990.641850904</v>
      </c>
      <c r="AZ102" s="6">
        <f>(AP102*'Prices&amp;Fuel'!H102*'Prices&amp;Fuel'!B102)+(AQ102*'Prices&amp;Fuel'!C102*'Prices&amp;Fuel'!H102)+((AM102+AR102)*('Prices&amp;Fuel'!B102+'Long Term Deals'!AX102)*'Prices&amp;Fuel'!H102)+((AN102+AS102)*('Prices&amp;Fuel'!C102+'Long Term Deals'!AX102)*'Prices&amp;Fuel'!H102)+((AO102+AT102)*('Prices&amp;Fuel'!D102+'Long Term Deals'!AX102)*'Prices&amp;Fuel'!H102)+(AV102*'Prices&amp;Fuel'!H102*'Prices&amp;Fuel'!Q102)+AU102</f>
        <v>11148183.443907458</v>
      </c>
      <c r="BA102" s="6">
        <f t="shared" si="135"/>
        <v>266807.1979434453</v>
      </c>
      <c r="BB102" s="6">
        <f>IF('FP Corp'!T102-((BE102+BF102+BG102)*(1-'Prices&amp;Fuel'!F102))&lt;'Prices&amp;Fuel'!R102,('FP Corp'!T102-(BE102+BF102+BG102)*(1-'Prices&amp;Fuel'!F102)),'Prices&amp;Fuel'!R102)/(1-'Prices&amp;Fuel'!F102)</f>
        <v>4325.9640102827761</v>
      </c>
      <c r="BC102" s="14"/>
      <c r="BD102" s="14">
        <f>ROUND(IF('FP Corp'!T102/(1-'Prices&amp;Fuel'!F102)-BE102-BF102-BG102-BB102&gt;'Prices&amp;Fuel'!T102,'Prices&amp;Fuel'!T102,'FP Corp'!T102/(1-'Prices&amp;Fuel'!F102)-BE102-BF102-BG102-BB102),9)</f>
        <v>0</v>
      </c>
      <c r="BE102" s="14">
        <f>'Prices&amp;Fuel'!U102/(1-'Prices&amp;Fuel'!F102)</f>
        <v>2635.4755784061695</v>
      </c>
      <c r="BF102" s="14">
        <f>('Prices&amp;Fuel'!V102+'Prices&amp;Fuel'!X102)/(1-'Prices&amp;Fuel'!F102)</f>
        <v>3645.2442159383031</v>
      </c>
      <c r="BG102" s="14">
        <f>'Prices&amp;Fuel'!W102/(1-'Prices&amp;Fuel'!F102)</f>
        <v>1732.6478149100255</v>
      </c>
      <c r="BH102" s="25">
        <f>('Prices&amp;Fuel'!C102+'Prices&amp;Fuel'!D102)/2-0.05+('Prices&amp;Fuel'!M102+'Prices&amp;Fuel'!P102)*(1-'Prices&amp;Fuel'!F102)</f>
        <v>3.3482313500000012</v>
      </c>
      <c r="BI102" s="14"/>
      <c r="BJ102" s="14"/>
      <c r="BK102" s="25">
        <f>(((BB102+BE102)*('Prices&amp;Fuel'!B102+0.025))+(('Prices&amp;Fuel'!D102+0.025)*(BD102+BG102))+(('Prices&amp;Fuel'!C102+0.025)*(BC102+BF102))-(BI102+BJ102)*0.025)/(BB102+BC102+BD102+BE102+BF102+BG102)</f>
        <v>2.6629117666666673</v>
      </c>
      <c r="BL102" s="14">
        <f>(BB102+BC102+BD102+BE102+BF102+BG102)*BH102*'Prices&amp;Fuel'!H102</f>
        <v>1280763.0459640105</v>
      </c>
      <c r="BM102" s="14">
        <f>'Prices&amp;Fuel'!X102*('Prices&amp;Fuel'!N102+'Prices&amp;Fuel'!O102)*'Prices&amp;Fuel'!H102</f>
        <v>9438.6404139577935</v>
      </c>
      <c r="BN102" s="14">
        <f>('Prices&amp;Fuel'!U102+'Prices&amp;Fuel'!V102+'Prices&amp;Fuel'!W102)*('Prices&amp;Fuel'!L102+'Prices&amp;Fuel'!O102)*'Prices&amp;Fuel'!H102</f>
        <v>98255.832127730479</v>
      </c>
      <c r="BO102" s="14">
        <f>((BB102+BC102+BD102)*(1-'Prices&amp;Fuel'!G102))*('Prices&amp;Fuel'!M102+'Prices&amp;Fuel'!P102)*'Prices&amp;Fuel'!H102</f>
        <v>99834.213499999998</v>
      </c>
      <c r="BP102" s="14">
        <f>((BD102+BC102+BB102+BE102+BF102+BG102)*BK102*'Prices&amp;Fuel'!H102)+BM102+BN102+BO102</f>
        <v>1226143.7782781923</v>
      </c>
      <c r="BQ102" s="6">
        <f t="shared" si="133"/>
        <v>54619.267685818253</v>
      </c>
      <c r="CA102" s="6">
        <f>(AF102+AG102+AH102+AL102)*0.005*'Prices&amp;Fuel'!H102</f>
        <v>21038.560411311057</v>
      </c>
      <c r="CB102" s="6">
        <f>(B102+C102+D102+O102+P102+Q102+X102+Y102+BB102+BC102+BD102+BE102+BF102+BG102+BR102+BS102)*0.005*'Prices&amp;Fuel'!H102</f>
        <v>5803.0964010282778</v>
      </c>
      <c r="CC102" s="1">
        <f t="shared" ref="CC102:CC117" si="137">K102+T102+AB102+AY102+BL102+BX102</f>
        <v>15184117.487814914</v>
      </c>
      <c r="CD102" s="1">
        <f t="shared" ref="CD102:CD117" si="138">L102+U102+AC102+AZ102+BP102+BY102+CA102+CB102</f>
        <v>14879884.23899799</v>
      </c>
      <c r="CE102" s="1">
        <f t="shared" ref="CE102:CE117" si="139">CC102-CD102</f>
        <v>304233.24881692417</v>
      </c>
      <c r="CF102" s="1">
        <f>'Index Price Deals'!AR102</f>
        <v>0</v>
      </c>
      <c r="CG102" s="1">
        <f>'Index Price Deals'!AS102</f>
        <v>0</v>
      </c>
      <c r="CH102" s="1">
        <f>'Index Price Deals'!AT102</f>
        <v>0</v>
      </c>
      <c r="CI102" s="1">
        <f>'Index Price Deals'!AU102</f>
        <v>0</v>
      </c>
      <c r="CJ102" s="1">
        <f t="shared" si="136"/>
        <v>15184117.487814914</v>
      </c>
      <c r="CK102" s="1">
        <f t="shared" si="120"/>
        <v>14879884.23899799</v>
      </c>
      <c r="CL102" s="1">
        <f t="shared" si="120"/>
        <v>304233.24881692417</v>
      </c>
      <c r="CM102" s="1">
        <f>SUM(CL91:CL102)</f>
        <v>4230036.9717745949</v>
      </c>
      <c r="CN102" s="1">
        <f>Transport!U102</f>
        <v>0</v>
      </c>
      <c r="CO102" s="57"/>
      <c r="CQ102" s="1">
        <f>(((($B102+$C102+$D102+$O102+$P102+$Q102)*0.5)+BR102+BS102)*(0.005*'Prices&amp;Fuel'!$H102)+'Index Price Deals'!AV102)+(((BB102+BC102+BD102+BE102+BF102+BG102)*(1-'Prices&amp;Fuel'!F102))*0.005*0.5*'Prices&amp;Fuel'!H102)</f>
        <v>2875.25</v>
      </c>
      <c r="CR102" s="1">
        <f>(((($B102+$C102+$D102+$O102+$P102+$Q102)*0.5)+X102+Y102)*(0.005*'Prices&amp;Fuel'!$H102)+CA102+'Index Price Deals'!AW102)+(((BB102+BC102+BD102+BE102+BF102+BG102)*(1-'Prices&amp;Fuel'!F102))*0.005*0.5*'Prices&amp;Fuel'!H102)</f>
        <v>23913.810411311057</v>
      </c>
      <c r="CS102" s="21"/>
      <c r="CT102" s="1">
        <f>[3]Sheet1!$O118</f>
        <v>-141030.72143298911</v>
      </c>
      <c r="CU102" s="1">
        <f>'[4]Long Term Deals'!$Z101</f>
        <v>10529.101554715919</v>
      </c>
      <c r="CV102" s="60">
        <f t="shared" si="106"/>
        <v>455793.07180462917</v>
      </c>
      <c r="CW102" s="13">
        <f>((B102+C102+D102+O102+P102+Q102+X102+Y102+AF102+AG102+AH102+BB102+BC102+BD102+BE102+BF102+BG102+BR102+BS102)+('Index Price Deals'!B102+'Index Price Deals'!C102+'Index Price Deals'!D102+'Index Price Deals'!L102+'Index Price Deals'!M102+'Index Price Deals'!N102+'Index Price Deals'!AD102+'Index Price Deals'!AE102+'Index Price Deals'!AF102+'Index Price Deals'!AK102+'Index Price Deals'!AL102+'Index Price Deals'!AM102))*'Prices&amp;Fuel'!H102</f>
        <v>5368331.3624678655</v>
      </c>
      <c r="DB102" s="3">
        <f>(O102+P102+Q102)*'Prices&amp;Fuel'!$H102</f>
        <v>778100</v>
      </c>
      <c r="DE102" s="3">
        <v>132000</v>
      </c>
    </row>
    <row r="103" spans="1:109" x14ac:dyDescent="0.25">
      <c r="A103" s="10">
        <f t="shared" si="130"/>
        <v>38729.833333333096</v>
      </c>
      <c r="O103" s="1">
        <v>9036</v>
      </c>
      <c r="P103" s="1">
        <v>10794</v>
      </c>
      <c r="Q103" s="1">
        <v>5270</v>
      </c>
      <c r="R103" s="11">
        <f t="shared" si="131"/>
        <v>3.198</v>
      </c>
      <c r="S103" s="11">
        <f t="shared" si="132"/>
        <v>3.1856</v>
      </c>
      <c r="T103" s="1">
        <f>(($O103*R103)+($P103*R103)+($Q103*R103))*'Prices&amp;Fuel'!$H103</f>
        <v>2488363.7999999998</v>
      </c>
      <c r="U103" s="1">
        <f>(($O103*S103)+($P103*S103)+($Q103*S103))*'Prices&amp;Fuel'!$H103</f>
        <v>2478715.36</v>
      </c>
      <c r="V103" s="13">
        <f t="shared" si="134"/>
        <v>9648.4399999999441</v>
      </c>
      <c r="AF103" s="1">
        <f>(32000/(1-'Prices&amp;Fuel'!F103))+(25000/(1-'Prices&amp;Fuel'!G103))-AI103</f>
        <v>58611.825192802062</v>
      </c>
      <c r="AG103" s="1">
        <v>0</v>
      </c>
      <c r="AH103" s="1">
        <f>(75000/(1-'Prices&amp;Fuel'!G103))-AK103</f>
        <v>77120.822622107968</v>
      </c>
      <c r="AI103" s="1"/>
      <c r="AJ103" s="1"/>
      <c r="AK103" s="1"/>
      <c r="AL103" s="21">
        <f>ROUND((132000/(1-'Prices&amp;Fuel'!F103))-AF103-AG103-AH103,0)</f>
        <v>0</v>
      </c>
      <c r="AM103" s="1">
        <f t="shared" si="126"/>
        <v>29306</v>
      </c>
      <c r="AO103" s="1">
        <f>ROUND((75000/(1-'Prices&amp;Fuel'!G103)-AV103-AK103)/2,0)</f>
        <v>38560</v>
      </c>
      <c r="AR103" s="1">
        <f t="shared" si="128"/>
        <v>29305.825192802062</v>
      </c>
      <c r="AT103" s="13">
        <f t="shared" si="107"/>
        <v>38560.822622107968</v>
      </c>
      <c r="AU103" s="13">
        <f>AL103*AX103*'Prices&amp;Fuel'!H103</f>
        <v>0</v>
      </c>
      <c r="AW103" s="20">
        <v>0.05</v>
      </c>
      <c r="AX103" s="20">
        <f t="shared" si="129"/>
        <v>2.5000000000000001E-2</v>
      </c>
      <c r="AY103" s="6">
        <f>('Prices&amp;Fuel'!H103*('Prices&amp;Fuel'!B103+AW103)*'Long Term Deals'!AF103)+('Prices&amp;Fuel'!H103*('Prices&amp;Fuel'!C103+'Long Term Deals'!AW103)*'Long Term Deals'!AG103)+(AH103*('Prices&amp;Fuel'!C103+AW103)*'Prices&amp;Fuel'!H103)+(AW103*AL103*'Prices&amp;Fuel'!H103)</f>
        <v>10040703.498455942</v>
      </c>
      <c r="AZ103" s="6">
        <f>(AP103*'Prices&amp;Fuel'!H103*'Prices&amp;Fuel'!B103)+(AQ103*'Prices&amp;Fuel'!C103*'Prices&amp;Fuel'!H103)+((AM103+AR103)*('Prices&amp;Fuel'!B103+'Long Term Deals'!AX103)*'Prices&amp;Fuel'!H103)+((AN103+AS103)*('Prices&amp;Fuel'!C103+'Long Term Deals'!AX103)*'Prices&amp;Fuel'!H103)+((AO103+AT103)*('Prices&amp;Fuel'!D103+'Long Term Deals'!AX103)*'Prices&amp;Fuel'!H103)+(AV103*'Prices&amp;Fuel'!H103*'Prices&amp;Fuel'!Q103)+AU103</f>
        <v>9815973.4213351179</v>
      </c>
      <c r="BA103" s="6">
        <f t="shared" si="135"/>
        <v>224730.07712082379</v>
      </c>
      <c r="BB103" s="6">
        <f>IF('FP Corp'!T103-((BE103+BF103+BG103)*(1-'Prices&amp;Fuel'!F103))&lt;'Prices&amp;Fuel'!R103,('FP Corp'!T103-(BE103+BF103+BG103)*(1-'Prices&amp;Fuel'!F103)),'Prices&amp;Fuel'!R103)/(1-'Prices&amp;Fuel'!F103)</f>
        <v>4325.9640102827761</v>
      </c>
      <c r="BC103" s="14"/>
      <c r="BD103" s="14">
        <f>ROUND(IF('FP Corp'!T103/(1-'Prices&amp;Fuel'!F103)-BE103-BF103-BG103-BB103&gt;'Prices&amp;Fuel'!T103,'Prices&amp;Fuel'!T103,'FP Corp'!T103/(1-'Prices&amp;Fuel'!F103)-BE103-BF103-BG103-BB103),9)</f>
        <v>0</v>
      </c>
      <c r="BE103" s="14">
        <f>'Prices&amp;Fuel'!U103/(1-'Prices&amp;Fuel'!F103)</f>
        <v>2635.4755784061695</v>
      </c>
      <c r="BF103" s="14">
        <f>('Prices&amp;Fuel'!V103+'Prices&amp;Fuel'!X103)/(1-'Prices&amp;Fuel'!F103)</f>
        <v>3645.2442159383031</v>
      </c>
      <c r="BG103" s="14">
        <f>'Prices&amp;Fuel'!W103/(1-'Prices&amp;Fuel'!F103)</f>
        <v>1732.6478149100255</v>
      </c>
      <c r="BH103" s="25">
        <f>('Prices&amp;Fuel'!C103+'Prices&amp;Fuel'!D103)/2-0.05+('Prices&amp;Fuel'!M103+'Prices&amp;Fuel'!P103)*(1-'Prices&amp;Fuel'!F103)</f>
        <v>3.0316198527000009</v>
      </c>
      <c r="BI103" s="25"/>
      <c r="BJ103" s="25"/>
      <c r="BK103" s="25">
        <f>(((BB103+BE103)*('Prices&amp;Fuel'!B103+0.025))+(('Prices&amp;Fuel'!D103+0.025)*(BD103+BG103))+(('Prices&amp;Fuel'!C103+0.025)*(BC103+BF103))-(BI103+BJ103)*0.025)/(BB103+BC103+BD103+BE103+BF103+BG103)</f>
        <v>2.3463002693666675</v>
      </c>
      <c r="BL103" s="14">
        <f>(BB103+BC103+BD103+BE103+BF103+BG103)*BH103*'Prices&amp;Fuel'!H103</f>
        <v>1159653.0439119798</v>
      </c>
      <c r="BM103" s="14">
        <f>'Prices&amp;Fuel'!X103*('Prices&amp;Fuel'!N103+'Prices&amp;Fuel'!O103)*'Prices&amp;Fuel'!H103</f>
        <v>9438.6404139577935</v>
      </c>
      <c r="BN103" s="14">
        <f>('Prices&amp;Fuel'!U103+'Prices&amp;Fuel'!V103+'Prices&amp;Fuel'!W103)*('Prices&amp;Fuel'!L103+'Prices&amp;Fuel'!O103)*'Prices&amp;Fuel'!H103</f>
        <v>98255.832127730479</v>
      </c>
      <c r="BO103" s="14">
        <f>((BB103+BC103+BD103)*(1-'Prices&amp;Fuel'!G103))*('Prices&amp;Fuel'!M103+'Prices&amp;Fuel'!P103)*'Prices&amp;Fuel'!H103</f>
        <v>99834.213499999998</v>
      </c>
      <c r="BP103" s="14">
        <f>((BD103+BC103+BB103+BE103+BF103+BG103)*BK103*'Prices&amp;Fuel'!H103)+BM103+BN103+BO103</f>
        <v>1105033.7762261615</v>
      </c>
      <c r="BQ103" s="6">
        <f t="shared" si="133"/>
        <v>54619.267685818253</v>
      </c>
      <c r="CA103" s="6">
        <f>(AF103+AG103+AH103+AL103)*0.005*'Prices&amp;Fuel'!H103</f>
        <v>21038.560411311057</v>
      </c>
      <c r="CB103" s="6">
        <f>(B103+C103+D103+O103+P103+Q103+X103+Y103+BB103+BC103+BD103+BE103+BF103+BG103+BR103+BS103)*0.005*'Prices&amp;Fuel'!H103</f>
        <v>5803.0964010282778</v>
      </c>
      <c r="CC103" s="1">
        <f t="shared" si="137"/>
        <v>13688720.342367923</v>
      </c>
      <c r="CD103" s="1">
        <f t="shared" si="138"/>
        <v>13426564.214373618</v>
      </c>
      <c r="CE103" s="1">
        <f t="shared" si="139"/>
        <v>262156.12799430452</v>
      </c>
      <c r="CF103" s="1">
        <f>'Index Price Deals'!AR103</f>
        <v>0</v>
      </c>
      <c r="CG103" s="1">
        <f>'Index Price Deals'!AS103</f>
        <v>0</v>
      </c>
      <c r="CH103" s="1">
        <f>'Index Price Deals'!AT103</f>
        <v>0</v>
      </c>
      <c r="CI103" s="1">
        <f>'Index Price Deals'!AU103</f>
        <v>0</v>
      </c>
      <c r="CJ103" s="1">
        <f t="shared" si="136"/>
        <v>13688720.342367923</v>
      </c>
      <c r="CK103" s="1">
        <f t="shared" si="120"/>
        <v>13426564.214373618</v>
      </c>
      <c r="CL103" s="1">
        <f t="shared" si="120"/>
        <v>262156.12799430452</v>
      </c>
      <c r="CM103" s="30"/>
      <c r="CN103" s="1">
        <f>Transport!U103</f>
        <v>0</v>
      </c>
      <c r="CO103" s="57"/>
      <c r="CQ103" s="1">
        <f>(((($B103+$C103+$D103+$O103+$P103+$Q103)*0.5)+BR103+BS103)*(0.005*'Prices&amp;Fuel'!$H103)+'Index Price Deals'!AV103)+(((BB103+BC103+BD103+BE103+BF103+BG103)*(1-'Prices&amp;Fuel'!F103))*0.005*0.5*'Prices&amp;Fuel'!H103)</f>
        <v>2875.25</v>
      </c>
      <c r="CR103" s="1">
        <f>(((($B103+$C103+$D103+$O103+$P103+$Q103)*0.5)+X103+Y103)*(0.005*'Prices&amp;Fuel'!$H103)+CA103+'Index Price Deals'!AW103)+(((BB103+BC103+BD103+BE103+BF103+BG103)*(1-'Prices&amp;Fuel'!F103))*0.005*0.5*'Prices&amp;Fuel'!H103)</f>
        <v>23913.810411311057</v>
      </c>
      <c r="CS103" s="21"/>
      <c r="CT103" s="1">
        <f>[3]Sheet1!$O120</f>
        <v>-183238.04479554712</v>
      </c>
      <c r="CU103" s="1">
        <f>'[4]Long Term Deals'!$Z102</f>
        <v>10529.101554715919</v>
      </c>
      <c r="CV103" s="60">
        <f t="shared" si="106"/>
        <v>455923.27434456756</v>
      </c>
      <c r="DB103" s="3">
        <f>(O103+P103+Q103)*'Prices&amp;Fuel'!$H103</f>
        <v>778100</v>
      </c>
      <c r="DE103" s="3">
        <v>132000</v>
      </c>
    </row>
    <row r="104" spans="1:109" x14ac:dyDescent="0.25">
      <c r="A104" s="10">
        <f t="shared" si="130"/>
        <v>38760.24999999976</v>
      </c>
      <c r="O104" s="1">
        <v>9036</v>
      </c>
      <c r="P104" s="1">
        <v>10794</v>
      </c>
      <c r="Q104" s="1">
        <v>5270</v>
      </c>
      <c r="R104" s="11">
        <f t="shared" si="131"/>
        <v>3.198</v>
      </c>
      <c r="S104" s="11">
        <f t="shared" si="132"/>
        <v>3.1856</v>
      </c>
      <c r="T104" s="1">
        <f>(($O104*R104)+($P104*R104)+($Q104*R104))*'Prices&amp;Fuel'!$H104</f>
        <v>2247554.3999999994</v>
      </c>
      <c r="U104" s="1">
        <f>(($O104*S104)+($P104*S104)+($Q104*S104))*'Prices&amp;Fuel'!$H104</f>
        <v>2238839.6799999997</v>
      </c>
      <c r="V104" s="13">
        <f t="shared" si="134"/>
        <v>8714.7199999997392</v>
      </c>
      <c r="AF104" s="1">
        <f>(32000/(1-'Prices&amp;Fuel'!F104))+(25000/(1-'Prices&amp;Fuel'!G104))-AI104</f>
        <v>58611.825192802062</v>
      </c>
      <c r="AG104" s="1">
        <v>0</v>
      </c>
      <c r="AH104" s="1">
        <f>(75000/(1-'Prices&amp;Fuel'!G104))-AK104</f>
        <v>77120.822622107968</v>
      </c>
      <c r="AI104" s="1"/>
      <c r="AJ104" s="1"/>
      <c r="AK104" s="1"/>
      <c r="AL104" s="21">
        <f>ROUND((132000/(1-'Prices&amp;Fuel'!F104))-AF104-AG104-AH104,0)</f>
        <v>0</v>
      </c>
      <c r="AM104" s="1">
        <f t="shared" si="126"/>
        <v>29306</v>
      </c>
      <c r="AO104" s="1">
        <f>ROUND((75000/(1-'Prices&amp;Fuel'!G104)-AV104-AK104)/2,0)</f>
        <v>38560</v>
      </c>
      <c r="AR104" s="1">
        <f t="shared" si="128"/>
        <v>29305.825192802062</v>
      </c>
      <c r="AT104" s="13">
        <f t="shared" si="107"/>
        <v>38560.822622107968</v>
      </c>
      <c r="AU104" s="13">
        <f>AL104*AX104*'Prices&amp;Fuel'!H104</f>
        <v>0</v>
      </c>
      <c r="AW104" s="20">
        <f t="shared" ref="AW104:AW114" si="140">AW103</f>
        <v>0.05</v>
      </c>
      <c r="AX104" s="20">
        <f t="shared" si="129"/>
        <v>2.5000000000000001E-2</v>
      </c>
      <c r="AY104" s="6">
        <f>('Prices&amp;Fuel'!H104*('Prices&amp;Fuel'!B104+AW104)*'Long Term Deals'!AF104)+('Prices&amp;Fuel'!H104*('Prices&amp;Fuel'!C104+'Long Term Deals'!AW104)*'Long Term Deals'!AG104)+(AH104*('Prices&amp;Fuel'!C104+AW104)*'Prices&amp;Fuel'!H104)+(AW104*AL104*'Prices&amp;Fuel'!H104)</f>
        <v>10136826.68302149</v>
      </c>
      <c r="AZ104" s="6">
        <f>(AP104*'Prices&amp;Fuel'!H104*'Prices&amp;Fuel'!B104)+(AQ104*'Prices&amp;Fuel'!C104*'Prices&amp;Fuel'!H104)+((AM104+AR104)*('Prices&amp;Fuel'!B104+'Long Term Deals'!AX104)*'Prices&amp;Fuel'!H104)+((AN104+AS104)*('Prices&amp;Fuel'!C104+'Long Term Deals'!AX104)*'Prices&amp;Fuel'!H104)+((AO104+AT104)*('Prices&amp;Fuel'!D104+'Long Term Deals'!AX104)*'Prices&amp;Fuel'!H104)+(AV104*'Prices&amp;Fuel'!H104*'Prices&amp;Fuel'!Q104)+AU104</f>
        <v>9933844.6778801046</v>
      </c>
      <c r="BA104" s="6">
        <f t="shared" si="135"/>
        <v>202982.0051413849</v>
      </c>
      <c r="BB104" s="6">
        <f>IF('FP Corp'!T104-((BE104+BF104+BG104)*(1-'Prices&amp;Fuel'!F104))&lt;'Prices&amp;Fuel'!R104,('FP Corp'!T104-(BE104+BF104+BG104)*(1-'Prices&amp;Fuel'!F104)),'Prices&amp;Fuel'!R104)/(1-'Prices&amp;Fuel'!F104)</f>
        <v>4325.9640102827761</v>
      </c>
      <c r="BC104" s="14"/>
      <c r="BD104" s="14">
        <f>ROUND(IF('FP Corp'!T104/(1-'Prices&amp;Fuel'!F104)-BE104-BF104-BG104-BB104&gt;'Prices&amp;Fuel'!T104,'Prices&amp;Fuel'!T104,'FP Corp'!T104/(1-'Prices&amp;Fuel'!F104)-BE104-BF104-BG104-BB104),9)</f>
        <v>0</v>
      </c>
      <c r="BE104" s="14">
        <f>'Prices&amp;Fuel'!U104/(1-'Prices&amp;Fuel'!F104)</f>
        <v>2635.4755784061695</v>
      </c>
      <c r="BF104" s="14">
        <f>('Prices&amp;Fuel'!V104+'Prices&amp;Fuel'!X104)/(1-'Prices&amp;Fuel'!F104)</f>
        <v>3645.2442159383031</v>
      </c>
      <c r="BG104" s="14">
        <f>'Prices&amp;Fuel'!W104/(1-'Prices&amp;Fuel'!F104)</f>
        <v>1732.6478149100255</v>
      </c>
      <c r="BH104" s="25">
        <f>('Prices&amp;Fuel'!C104+'Prices&amp;Fuel'!D104)/2-0.05+('Prices&amp;Fuel'!M104+'Prices&amp;Fuel'!P104)*(1-'Prices&amp;Fuel'!F104)</f>
        <v>3.3125829354000005</v>
      </c>
      <c r="BI104" s="25"/>
      <c r="BJ104" s="25"/>
      <c r="BK104" s="25">
        <f>(((BB104+BE104)*('Prices&amp;Fuel'!B104+0.025))+(('Prices&amp;Fuel'!D104+0.025)*(BD104+BG104))+(('Prices&amp;Fuel'!C104+0.025)*(BC104+BF104))-(BI104+BJ104)*0.025)/(BB104+BC104+BD104+BE104+BF104+BG104)</f>
        <v>2.6272633520666666</v>
      </c>
      <c r="BL104" s="14">
        <f>(BB104+BC104+BD104+BE104+BF104+BG104)*BH104*'Prices&amp;Fuel'!H104</f>
        <v>1144501.661999383</v>
      </c>
      <c r="BM104" s="14">
        <f>'Prices&amp;Fuel'!X104*('Prices&amp;Fuel'!N104+'Prices&amp;Fuel'!O104)*'Prices&amp;Fuel'!H104</f>
        <v>8525.2235997038133</v>
      </c>
      <c r="BN104" s="14">
        <f>('Prices&amp;Fuel'!U104+'Prices&amp;Fuel'!V104+'Prices&amp;Fuel'!W104)*('Prices&amp;Fuel'!L104+'Prices&amp;Fuel'!O104)*'Prices&amp;Fuel'!H104</f>
        <v>88747.203212143664</v>
      </c>
      <c r="BO104" s="14">
        <f>((BB104+BC104+BD104)*(1-'Prices&amp;Fuel'!G104))*('Prices&amp;Fuel'!M104+'Prices&amp;Fuel'!P104)*'Prices&amp;Fuel'!H104</f>
        <v>90172.837999999989</v>
      </c>
      <c r="BP104" s="14">
        <f>((BD104+BC104+BB104+BE104+BF104+BG104)*BK104*'Prices&amp;Fuel'!H104)+BM104+BN104+BO104</f>
        <v>1095168.1298960634</v>
      </c>
      <c r="BQ104" s="6">
        <f t="shared" si="133"/>
        <v>49333.532103319652</v>
      </c>
      <c r="CA104" s="6">
        <f>(AF104+AG104+AH104+AL104)*0.005*'Prices&amp;Fuel'!H104</f>
        <v>19002.570694087408</v>
      </c>
      <c r="CB104" s="6">
        <f>(B104+C104+D104+O104+P104+Q104+X104+Y104+BB104+BC104+BD104+BE104+BF104+BG104+BR104+BS104)*0.005*'Prices&amp;Fuel'!H104</f>
        <v>5241.5064267352182</v>
      </c>
      <c r="CC104" s="1">
        <f t="shared" si="137"/>
        <v>13528882.74502087</v>
      </c>
      <c r="CD104" s="1">
        <f t="shared" si="138"/>
        <v>13292096.56489699</v>
      </c>
      <c r="CE104" s="1">
        <f t="shared" si="139"/>
        <v>236786.18012388051</v>
      </c>
      <c r="CF104" s="1">
        <f>'Index Price Deals'!AR104</f>
        <v>0</v>
      </c>
      <c r="CG104" s="1">
        <f>'Index Price Deals'!AS104</f>
        <v>0</v>
      </c>
      <c r="CH104" s="1">
        <f>'Index Price Deals'!AT104</f>
        <v>0</v>
      </c>
      <c r="CI104" s="1">
        <f>'Index Price Deals'!AU104</f>
        <v>0</v>
      </c>
      <c r="CJ104" s="1">
        <f t="shared" si="136"/>
        <v>13528882.74502087</v>
      </c>
      <c r="CK104" s="1">
        <f t="shared" si="120"/>
        <v>13292096.56489699</v>
      </c>
      <c r="CL104" s="1">
        <f t="shared" si="120"/>
        <v>236786.18012388051</v>
      </c>
      <c r="CM104" s="30"/>
      <c r="CN104" s="1">
        <f>Transport!U104</f>
        <v>0</v>
      </c>
      <c r="CO104" s="57"/>
      <c r="CQ104" s="1">
        <f>(((($B104+$C104+$D104+$O104+$P104+$Q104)*0.5)+BR104+BS104)*(0.005*'Prices&amp;Fuel'!$H104)+'Index Price Deals'!AV104)+(((BB104+BC104+BD104+BE104+BF104+BG104)*(1-'Prices&amp;Fuel'!F104))*0.005*0.5*'Prices&amp;Fuel'!H104)</f>
        <v>2597</v>
      </c>
      <c r="CR104" s="1">
        <f>(((($B104+$C104+$D104+$O104+$P104+$Q104)*0.5)+X104+Y104)*(0.005*'Prices&amp;Fuel'!$H104)+CA104+'Index Price Deals'!AW104)+(((BB104+BC104+BD104+BE104+BF104+BG104)*(1-'Prices&amp;Fuel'!F104))*0.005*0.5*'Prices&amp;Fuel'!H104)</f>
        <v>21599.570694087408</v>
      </c>
      <c r="CS104" s="21"/>
      <c r="CT104" s="1">
        <f>[3]Sheet1!$O121</f>
        <v>-165505.33078307484</v>
      </c>
      <c r="CU104" s="1">
        <f>'[4]Long Term Deals'!$Z103</f>
        <v>9510.1562429692131</v>
      </c>
      <c r="CV104" s="60">
        <f t="shared" si="106"/>
        <v>411801.66714992456</v>
      </c>
      <c r="DB104" s="3">
        <f>(O104+P104+Q104)*'Prices&amp;Fuel'!$H104</f>
        <v>702800</v>
      </c>
      <c r="DE104" s="3">
        <v>132000</v>
      </c>
    </row>
    <row r="105" spans="1:109" x14ac:dyDescent="0.25">
      <c r="A105" s="10">
        <f t="shared" si="130"/>
        <v>38790.666666666424</v>
      </c>
      <c r="O105" s="1">
        <v>9036</v>
      </c>
      <c r="P105" s="1">
        <v>10794</v>
      </c>
      <c r="Q105" s="1">
        <v>5270</v>
      </c>
      <c r="R105" s="11">
        <f t="shared" si="131"/>
        <v>3.198</v>
      </c>
      <c r="S105" s="11">
        <f t="shared" si="132"/>
        <v>3.1856</v>
      </c>
      <c r="T105" s="1">
        <f>(($O105*R105)+($P105*R105)+($Q105*R105))*'Prices&amp;Fuel'!$H105</f>
        <v>2488363.7999999998</v>
      </c>
      <c r="U105" s="1">
        <f>(($O105*S105)+($P105*S105)+($Q105*S105))*'Prices&amp;Fuel'!$H105</f>
        <v>2478715.36</v>
      </c>
      <c r="V105" s="13">
        <f t="shared" si="134"/>
        <v>9648.4399999999441</v>
      </c>
      <c r="AF105" s="1">
        <f>(32000/(1-'Prices&amp;Fuel'!F105))+(25000/(1-'Prices&amp;Fuel'!G105))-AI105</f>
        <v>58611.825192802062</v>
      </c>
      <c r="AG105" s="1">
        <v>0</v>
      </c>
      <c r="AH105" s="1">
        <f>(75000/(1-'Prices&amp;Fuel'!G105))-AK105</f>
        <v>77120.822622107968</v>
      </c>
      <c r="AI105" s="1"/>
      <c r="AJ105" s="1"/>
      <c r="AK105" s="1"/>
      <c r="AL105" s="21">
        <f>ROUND((132000/(1-'Prices&amp;Fuel'!F105))-AF105-AG105-AH105,0)</f>
        <v>0</v>
      </c>
      <c r="AM105" s="1">
        <f t="shared" si="126"/>
        <v>29306</v>
      </c>
      <c r="AO105" s="1">
        <f>ROUND((75000/(1-'Prices&amp;Fuel'!G105)-AV105-AK105)/2,0)</f>
        <v>38560</v>
      </c>
      <c r="AR105" s="1">
        <f t="shared" si="128"/>
        <v>29305.825192802062</v>
      </c>
      <c r="AT105" s="13">
        <f t="shared" si="107"/>
        <v>38560.822622107968</v>
      </c>
      <c r="AU105" s="13">
        <f>AL105*AX105*'Prices&amp;Fuel'!H105</f>
        <v>0</v>
      </c>
      <c r="AW105" s="20">
        <f t="shared" si="140"/>
        <v>0.05</v>
      </c>
      <c r="AX105" s="20">
        <f t="shared" si="129"/>
        <v>2.5000000000000001E-2</v>
      </c>
      <c r="AY105" s="6">
        <f>('Prices&amp;Fuel'!H105*('Prices&amp;Fuel'!B105+AW105)*'Long Term Deals'!AF105)+('Prices&amp;Fuel'!H105*('Prices&amp;Fuel'!C105+'Long Term Deals'!AW105)*'Long Term Deals'!AG105)+(AH105*('Prices&amp;Fuel'!C105+AW105)*'Prices&amp;Fuel'!H105)+(AW105*AL105*'Prices&amp;Fuel'!H105)</f>
        <v>11222915.256202366</v>
      </c>
      <c r="AZ105" s="6">
        <f>(AP105*'Prices&amp;Fuel'!H105*'Prices&amp;Fuel'!B105)+(AQ105*'Prices&amp;Fuel'!C105*'Prices&amp;Fuel'!H105)+((AM105+AR105)*('Prices&amp;Fuel'!B105+'Long Term Deals'!AX105)*'Prices&amp;Fuel'!H105)+((AN105+AS105)*('Prices&amp;Fuel'!C105+'Long Term Deals'!AX105)*'Prices&amp;Fuel'!H105)+((AO105+AT105)*('Prices&amp;Fuel'!D105+'Long Term Deals'!AX105)*'Prices&amp;Fuel'!H105)+(AV105*'Prices&amp;Fuel'!H105*'Prices&amp;Fuel'!Q105)+AU105</f>
        <v>10998185.179081544</v>
      </c>
      <c r="BA105" s="6">
        <f t="shared" si="135"/>
        <v>224730.07712082192</v>
      </c>
      <c r="BB105" s="6">
        <f>IF('FP Corp'!T105-((BE105+BF105+BG105)*(1-'Prices&amp;Fuel'!F105))&lt;'Prices&amp;Fuel'!R105,('FP Corp'!T105-(BE105+BF105+BG105)*(1-'Prices&amp;Fuel'!F105)),'Prices&amp;Fuel'!R105)/(1-'Prices&amp;Fuel'!F105)</f>
        <v>4325.9640102827761</v>
      </c>
      <c r="BC105" s="14"/>
      <c r="BD105" s="14">
        <f>ROUND(IF('FP Corp'!T105/(1-'Prices&amp;Fuel'!F105)-BE105-BF105-BG105-BB105&gt;'Prices&amp;Fuel'!T105,'Prices&amp;Fuel'!T105,'FP Corp'!T105/(1-'Prices&amp;Fuel'!F105)-BE105-BF105-BG105-BB105),9)</f>
        <v>0</v>
      </c>
      <c r="BE105" s="14">
        <f>'Prices&amp;Fuel'!U105/(1-'Prices&amp;Fuel'!F105)</f>
        <v>2635.4755784061695</v>
      </c>
      <c r="BF105" s="14">
        <f>('Prices&amp;Fuel'!V105+'Prices&amp;Fuel'!X105)/(1-'Prices&amp;Fuel'!F105)</f>
        <v>3645.2442159383031</v>
      </c>
      <c r="BG105" s="14">
        <f>'Prices&amp;Fuel'!W105/(1-'Prices&amp;Fuel'!F105)</f>
        <v>1732.6478149100255</v>
      </c>
      <c r="BH105" s="25">
        <f>('Prices&amp;Fuel'!C105+'Prices&amp;Fuel'!D105)/2-0.05+('Prices&amp;Fuel'!M105+'Prices&amp;Fuel'!P105)*(1-'Prices&amp;Fuel'!F105)</f>
        <v>3.3125829354000005</v>
      </c>
      <c r="BI105" s="25"/>
      <c r="BJ105" s="25"/>
      <c r="BK105" s="25">
        <f>(((BB105+BE105)*('Prices&amp;Fuel'!B105+0.025))+(('Prices&amp;Fuel'!D105+0.025)*(BD105+BG105))+(('Prices&amp;Fuel'!C105+0.025)*(BC105+BF105))-(BI105+BJ105)*0.025)/(BB105+BC105+BD105+BE105+BF105+BG105)</f>
        <v>2.6272633520666666</v>
      </c>
      <c r="BL105" s="14">
        <f>(BB105+BC105+BD105+BE105+BF105+BG105)*BH105*'Prices&amp;Fuel'!H105</f>
        <v>1267126.8400707454</v>
      </c>
      <c r="BM105" s="14">
        <f>'Prices&amp;Fuel'!X105*('Prices&amp;Fuel'!N105+'Prices&amp;Fuel'!O105)*'Prices&amp;Fuel'!H105</f>
        <v>9438.6404139577935</v>
      </c>
      <c r="BN105" s="14">
        <f>('Prices&amp;Fuel'!U105+'Prices&amp;Fuel'!V105+'Prices&amp;Fuel'!W105)*('Prices&amp;Fuel'!L105+'Prices&amp;Fuel'!O105)*'Prices&amp;Fuel'!H105</f>
        <v>98255.832127730479</v>
      </c>
      <c r="BO105" s="14">
        <f>((BB105+BC105+BD105)*(1-'Prices&amp;Fuel'!G105))*('Prices&amp;Fuel'!M105+'Prices&amp;Fuel'!P105)*'Prices&amp;Fuel'!H105</f>
        <v>99834.213499999998</v>
      </c>
      <c r="BP105" s="14">
        <f>((BD105+BC105+BB105+BE105+BF105+BG105)*BK105*'Prices&amp;Fuel'!H105)+BM105+BN105+BO105</f>
        <v>1212507.5723849274</v>
      </c>
      <c r="BQ105" s="6">
        <f t="shared" si="133"/>
        <v>54619.26768581802</v>
      </c>
      <c r="CA105" s="6">
        <f>(AF105+AG105+AH105+AL105)*0.005*'Prices&amp;Fuel'!H105</f>
        <v>21038.560411311057</v>
      </c>
      <c r="CB105" s="6">
        <f>(B105+C105+D105+O105+P105+Q105+X105+Y105+BB105+BC105+BD105+BE105+BF105+BG105+BR105+BS105)*0.005*'Prices&amp;Fuel'!H105</f>
        <v>5803.0964010282778</v>
      </c>
      <c r="CC105" s="1">
        <f t="shared" si="137"/>
        <v>14978405.896273112</v>
      </c>
      <c r="CD105" s="1">
        <f t="shared" si="138"/>
        <v>14716249.768278811</v>
      </c>
      <c r="CE105" s="1">
        <f t="shared" si="139"/>
        <v>262156.1279943008</v>
      </c>
      <c r="CF105" s="1">
        <f>'Index Price Deals'!AR105</f>
        <v>0</v>
      </c>
      <c r="CG105" s="1">
        <f>'Index Price Deals'!AS105</f>
        <v>0</v>
      </c>
      <c r="CH105" s="1">
        <f>'Index Price Deals'!AT105</f>
        <v>0</v>
      </c>
      <c r="CI105" s="1">
        <f>'Index Price Deals'!AU105</f>
        <v>0</v>
      </c>
      <c r="CJ105" s="1">
        <f t="shared" si="136"/>
        <v>14978405.896273112</v>
      </c>
      <c r="CK105" s="1">
        <f t="shared" ref="CK105:CL124" si="141">CD105+CH105</f>
        <v>14716249.768278811</v>
      </c>
      <c r="CL105" s="1">
        <f t="shared" si="141"/>
        <v>262156.1279943008</v>
      </c>
      <c r="CM105" s="30"/>
      <c r="CN105" s="1">
        <f>Transport!U105</f>
        <v>0</v>
      </c>
      <c r="CQ105" s="1">
        <f>(((($B105+$C105+$D105+$O105+$P105+$Q105)*0.5)+BR105+BS105)*(0.005*'Prices&amp;Fuel'!$H105)+'Index Price Deals'!AV105)+(((BB105+BC105+BD105+BE105+BF105+BG105)*(1-'Prices&amp;Fuel'!F105))*0.005*0.5*'Prices&amp;Fuel'!H105)</f>
        <v>2875.25</v>
      </c>
      <c r="CR105" s="1">
        <f>(((($B105+$C105+$D105+$O105+$P105+$Q105)*0.5)+X105+Y105)*(0.005*'Prices&amp;Fuel'!$H105)+CA105+'Index Price Deals'!AW105)+(((BB105+BC105+BD105+BE105+BF105+BG105)*(1-'Prices&amp;Fuel'!F105))*0.005*0.5*'Prices&amp;Fuel'!H105)</f>
        <v>23913.810411311057</v>
      </c>
      <c r="CS105" s="21"/>
      <c r="CT105" s="1">
        <f>[3]Sheet1!$O122</f>
        <v>-183238.04479554712</v>
      </c>
      <c r="CU105" s="1">
        <f>'[4]Long Term Deals'!$Z104</f>
        <v>10529.101554715919</v>
      </c>
      <c r="CV105" s="60">
        <f t="shared" si="106"/>
        <v>455923.27434456383</v>
      </c>
      <c r="DB105" s="3">
        <f>(O105+P105+Q105)*'Prices&amp;Fuel'!$H105</f>
        <v>778100</v>
      </c>
      <c r="DE105" s="3">
        <v>132000</v>
      </c>
    </row>
    <row r="106" spans="1:109" x14ac:dyDescent="0.25">
      <c r="A106" s="10">
        <f t="shared" si="130"/>
        <v>38821.083333333088</v>
      </c>
      <c r="O106" s="1">
        <v>9036</v>
      </c>
      <c r="P106" s="1">
        <v>10794</v>
      </c>
      <c r="Q106" s="1">
        <v>5270</v>
      </c>
      <c r="R106" s="11">
        <f t="shared" si="131"/>
        <v>3.198</v>
      </c>
      <c r="S106" s="11">
        <f t="shared" si="132"/>
        <v>3.1856</v>
      </c>
      <c r="T106" s="1">
        <f>(($O106*R106)+($P106*R106)+($Q106*R106))*'Prices&amp;Fuel'!$H106</f>
        <v>2408093.9999999995</v>
      </c>
      <c r="U106" s="1">
        <f>(($O106*S106)+($P106*S106)+($Q106*S106))*'Prices&amp;Fuel'!$H106</f>
        <v>2398756.7999999998</v>
      </c>
      <c r="V106" s="13">
        <f t="shared" si="134"/>
        <v>9337.1999999997206</v>
      </c>
      <c r="AF106" s="1">
        <f>(32000/(1-'Prices&amp;Fuel'!F106))+(25000/(1-'Prices&amp;Fuel'!G106))-AI106</f>
        <v>58611.825192802062</v>
      </c>
      <c r="AG106" s="1">
        <v>0</v>
      </c>
      <c r="AH106" s="1">
        <f>(75000/(1-'Prices&amp;Fuel'!G106))-AK106</f>
        <v>77120.822622107968</v>
      </c>
      <c r="AI106" s="1"/>
      <c r="AJ106" s="1"/>
      <c r="AK106" s="1"/>
      <c r="AL106" s="21">
        <f>ROUND((132000/(1-'Prices&amp;Fuel'!F106))-AF106-AG106-AH106,0)</f>
        <v>0</v>
      </c>
      <c r="AM106" s="1">
        <f t="shared" si="126"/>
        <v>29306</v>
      </c>
      <c r="AO106" s="1">
        <f>ROUND((75000/(1-'Prices&amp;Fuel'!G106)-AV106-AK106)/2,0)</f>
        <v>38560</v>
      </c>
      <c r="AR106" s="1">
        <f t="shared" si="128"/>
        <v>29305.825192802062</v>
      </c>
      <c r="AT106" s="13">
        <f t="shared" si="107"/>
        <v>38560.822622107968</v>
      </c>
      <c r="AU106" s="13">
        <f>AL106*AX106*'Prices&amp;Fuel'!H106</f>
        <v>0</v>
      </c>
      <c r="AW106" s="20">
        <f t="shared" si="140"/>
        <v>0.05</v>
      </c>
      <c r="AX106" s="20">
        <f t="shared" si="129"/>
        <v>2.5000000000000001E-2</v>
      </c>
      <c r="AY106" s="6">
        <f>('Prices&amp;Fuel'!H106*('Prices&amp;Fuel'!B106+AW106)*'Long Term Deals'!AF106)+('Prices&amp;Fuel'!H106*('Prices&amp;Fuel'!C106+'Long Term Deals'!AW106)*'Long Term Deals'!AG106)+(AH106*('Prices&amp;Fuel'!C106+AW106)*'Prices&amp;Fuel'!H106)+(AW106*AL106*'Prices&amp;Fuel'!H106)</f>
        <v>12004961.626402058</v>
      </c>
      <c r="AZ106" s="6">
        <f>(AP106*'Prices&amp;Fuel'!H106*'Prices&amp;Fuel'!B106)+(AQ106*'Prices&amp;Fuel'!C106*'Prices&amp;Fuel'!H106)+((AM106+AR106)*('Prices&amp;Fuel'!B106+'Long Term Deals'!AX106)*'Prices&amp;Fuel'!H106)+((AN106+AS106)*('Prices&amp;Fuel'!C106+'Long Term Deals'!AX106)*'Prices&amp;Fuel'!H106)+((AO106+AT106)*('Prices&amp;Fuel'!D106+'Long Term Deals'!AX106)*'Prices&amp;Fuel'!H106)+(AV106*'Prices&amp;Fuel'!H106*'Prices&amp;Fuel'!Q106)+AU106</f>
        <v>11787480.906607714</v>
      </c>
      <c r="BA106" s="6">
        <f t="shared" si="135"/>
        <v>217480.71979434416</v>
      </c>
      <c r="BB106" s="6">
        <f>IF('FP Corp'!T106-((BE106+BF106+BG106)*(1-'Prices&amp;Fuel'!F106))&lt;'Prices&amp;Fuel'!R106,('FP Corp'!T106-(BE106+BF106+BG106)*(1-'Prices&amp;Fuel'!F106)),'Prices&amp;Fuel'!R106)/(1-'Prices&amp;Fuel'!F106)</f>
        <v>6278.6632390745499</v>
      </c>
      <c r="BC106" s="14"/>
      <c r="BD106" s="14">
        <f>ROUND(IF('FP Corp'!T106/(1-'Prices&amp;Fuel'!F106)-BE106-BF106-BG106-BB106&gt;'Prices&amp;Fuel'!T106,'Prices&amp;Fuel'!T106,'FP Corp'!T106/(1-'Prices&amp;Fuel'!F106)-BE106-BF106-BG106-BB106),9)</f>
        <v>0</v>
      </c>
      <c r="BE106" s="14">
        <f>'Prices&amp;Fuel'!U106/(1-'Prices&amp;Fuel'!F106)</f>
        <v>1933.1619537275064</v>
      </c>
      <c r="BF106" s="14">
        <f>('Prices&amp;Fuel'!V106+'Prices&amp;Fuel'!X106)/(1-'Prices&amp;Fuel'!F106)</f>
        <v>2833.9331619537274</v>
      </c>
      <c r="BG106" s="14">
        <f>'Prices&amp;Fuel'!W106/(1-'Prices&amp;Fuel'!F106)</f>
        <v>1293.5732647814909</v>
      </c>
      <c r="BH106" s="25">
        <f>('Prices&amp;Fuel'!C106+'Prices&amp;Fuel'!D106)/2-0.05+('Prices&amp;Fuel'!M106+'Prices&amp;Fuel'!P106)*(1-'Prices&amp;Fuel'!F106)</f>
        <v>3.593546018100001</v>
      </c>
      <c r="BI106" s="25"/>
      <c r="BJ106" s="25"/>
      <c r="BK106" s="25">
        <f>(((BB106+BE106)*('Prices&amp;Fuel'!B106+0.025))+(('Prices&amp;Fuel'!D106+0.025)*(BD106+BG106))+(('Prices&amp;Fuel'!C106+0.025)*(BC106+BF106))-(BI106+BJ106)*0.025)/(BB106+BC106+BD106+BE106+BF106+BG106)</f>
        <v>2.9039256014333339</v>
      </c>
      <c r="BL106" s="14">
        <f>(BB106+BC106+BD106+BE106+BF106+BG106)*BH106*'Prices&amp;Fuel'!H106</f>
        <v>1330258.6802221085</v>
      </c>
      <c r="BM106" s="14">
        <f>'Prices&amp;Fuel'!X106*('Prices&amp;Fuel'!N106+'Prices&amp;Fuel'!O106)*'Prices&amp;Fuel'!H106</f>
        <v>9134.1681425398001</v>
      </c>
      <c r="BN106" s="14">
        <f>('Prices&amp;Fuel'!U106+'Prices&amp;Fuel'!V106+'Prices&amp;Fuel'!W106)*('Prices&amp;Fuel'!L106+'Prices&amp;Fuel'!O106)*'Prices&amp;Fuel'!H106</f>
        <v>69689.82458385783</v>
      </c>
      <c r="BO106" s="14">
        <f>((BB106+BC106+BD106)*(1-'Prices&amp;Fuel'!G106))*('Prices&amp;Fuel'!M106+'Prices&amp;Fuel'!P106)*'Prices&amp;Fuel'!H106</f>
        <v>140224.29</v>
      </c>
      <c r="BP106" s="14">
        <f>((BD106+BC106+BB106+BE106+BF106+BG106)*BK106*'Prices&amp;Fuel'!H106)+BM106+BN106+BO106</f>
        <v>1294023.3125629018</v>
      </c>
      <c r="BQ106" s="6">
        <f t="shared" si="133"/>
        <v>36235.367659206735</v>
      </c>
      <c r="CA106" s="6">
        <f>(AF106+AG106+AH106+AL106)*0.005*'Prices&amp;Fuel'!H106</f>
        <v>20359.897172236506</v>
      </c>
      <c r="CB106" s="6">
        <f>(B106+C106+D106+O106+P106+Q106+X106+Y106+BB106+BC106+BD106+BE106+BF106+BG106+BR106+BS106)*0.005*'Prices&amp;Fuel'!H106</f>
        <v>5615.89974293059</v>
      </c>
      <c r="CC106" s="1">
        <f t="shared" si="137"/>
        <v>15743314.306624167</v>
      </c>
      <c r="CD106" s="1">
        <f t="shared" si="138"/>
        <v>15506236.816085784</v>
      </c>
      <c r="CE106" s="1">
        <f t="shared" si="139"/>
        <v>237077.4905383829</v>
      </c>
      <c r="CF106" s="1">
        <f>'Index Price Deals'!AR106</f>
        <v>0</v>
      </c>
      <c r="CG106" s="1">
        <f>'Index Price Deals'!AS106</f>
        <v>0</v>
      </c>
      <c r="CH106" s="1">
        <f>'Index Price Deals'!AT106</f>
        <v>0</v>
      </c>
      <c r="CI106" s="1">
        <f>'Index Price Deals'!AU106</f>
        <v>0</v>
      </c>
      <c r="CJ106" s="1">
        <f t="shared" si="136"/>
        <v>15743314.306624167</v>
      </c>
      <c r="CK106" s="1">
        <f t="shared" si="141"/>
        <v>15506236.816085784</v>
      </c>
      <c r="CL106" s="1">
        <f t="shared" si="141"/>
        <v>237077.4905383829</v>
      </c>
      <c r="CM106" s="30"/>
      <c r="CN106" s="1">
        <f>Transport!U106</f>
        <v>0</v>
      </c>
      <c r="CQ106" s="1">
        <f>(((($B106+$C106+$D106+$O106+$P106+$Q106)*0.5)+BR106+BS106)*(0.005*'Prices&amp;Fuel'!$H106)+'Index Price Deals'!AV106)+(((BB106+BC106+BD106+BE106+BF106+BG106)*(1-'Prices&amp;Fuel'!F106))*0.005*0.5*'Prices&amp;Fuel'!H106)</f>
        <v>2782.5</v>
      </c>
      <c r="CR106" s="1">
        <f>(((($B106+$C106+$D106+$O106+$P106+$Q106)*0.5)+X106+Y106)*(0.005*'Prices&amp;Fuel'!$H106)+CA106+'Index Price Deals'!AW106)+(((BB106+BC106+BD106+BE106+BF106+BG106)*(1-'Prices&amp;Fuel'!F106))*0.005*0.5*'Prices&amp;Fuel'!H106)</f>
        <v>23142.397172236506</v>
      </c>
      <c r="CS106" s="21"/>
      <c r="CT106" s="1">
        <f>[3]Sheet1!$O123</f>
        <v>-177327.14012472305</v>
      </c>
      <c r="CU106" s="1">
        <f>'[4]Long Term Deals'!$Z105</f>
        <v>10189.453117467026</v>
      </c>
      <c r="CV106" s="60">
        <f t="shared" si="106"/>
        <v>424594.08378057298</v>
      </c>
      <c r="DB106" s="3">
        <f>(O106+P106+Q106)*'Prices&amp;Fuel'!$H106</f>
        <v>753000</v>
      </c>
      <c r="DE106" s="3">
        <v>132000</v>
      </c>
    </row>
    <row r="107" spans="1:109" x14ac:dyDescent="0.25">
      <c r="A107" s="10">
        <f t="shared" si="130"/>
        <v>38851.499999999753</v>
      </c>
      <c r="O107" s="1">
        <v>9036</v>
      </c>
      <c r="P107" s="1">
        <v>10794</v>
      </c>
      <c r="Q107" s="1">
        <v>5270</v>
      </c>
      <c r="R107" s="11">
        <f t="shared" si="131"/>
        <v>3.198</v>
      </c>
      <c r="S107" s="11">
        <f t="shared" si="132"/>
        <v>3.1856</v>
      </c>
      <c r="T107" s="1">
        <f>(($O107*R107)+($P107*R107)+($Q107*R107))*'Prices&amp;Fuel'!$H107</f>
        <v>2488363.7999999998</v>
      </c>
      <c r="U107" s="1">
        <f>(($O107*S107)+($P107*S107)+($Q107*S107))*'Prices&amp;Fuel'!$H107</f>
        <v>2478715.36</v>
      </c>
      <c r="V107" s="13">
        <f t="shared" si="134"/>
        <v>9648.4399999999441</v>
      </c>
      <c r="AF107" s="1">
        <f>((100000)/(1-'Prices&amp;Fuel'!F107))+(25000/(1-'Prices&amp;Fuel'!G107))-AI107</f>
        <v>128534.70437017996</v>
      </c>
      <c r="AG107" s="1">
        <v>0</v>
      </c>
      <c r="AH107" s="1">
        <f>(75000/(1-'Prices&amp;Fuel'!G107))-AK107</f>
        <v>77120.822622107968</v>
      </c>
      <c r="AI107" s="1"/>
      <c r="AJ107" s="1"/>
      <c r="AK107" s="1"/>
      <c r="AL107" s="21">
        <f>ROUND((200000/(1-'Prices&amp;Fuel'!F107))-AF107-AG107-AH107,0)</f>
        <v>0</v>
      </c>
      <c r="AM107" s="1">
        <f t="shared" si="126"/>
        <v>64267</v>
      </c>
      <c r="AO107" s="1">
        <f>ROUND((75000/(1-'Prices&amp;Fuel'!G107)-AV107-AK107)/2,0)</f>
        <v>38560</v>
      </c>
      <c r="AR107" s="1">
        <f t="shared" si="128"/>
        <v>64267.704370179956</v>
      </c>
      <c r="AT107" s="13">
        <f t="shared" si="107"/>
        <v>38560.822622107968</v>
      </c>
      <c r="AU107" s="13">
        <f>AL107*AX107*'Prices&amp;Fuel'!H107</f>
        <v>0</v>
      </c>
      <c r="AW107" s="20">
        <f t="shared" si="140"/>
        <v>0.05</v>
      </c>
      <c r="AX107" s="20">
        <f t="shared" si="129"/>
        <v>2.5000000000000001E-2</v>
      </c>
      <c r="AY107" s="6">
        <f>('Prices&amp;Fuel'!H107*('Prices&amp;Fuel'!B107+AW107)*'Long Term Deals'!AF107)+('Prices&amp;Fuel'!H107*('Prices&amp;Fuel'!C107+'Long Term Deals'!AW107)*'Long Term Deals'!AG107)+(AH107*('Prices&amp;Fuel'!C107+AW107)*'Prices&amp;Fuel'!H107)+(AW107*AL107*'Prices&amp;Fuel'!H107)</f>
        <v>19982246.360925458</v>
      </c>
      <c r="AZ107" s="6">
        <f>(AP107*'Prices&amp;Fuel'!H107*'Prices&amp;Fuel'!B107)+(AQ107*'Prices&amp;Fuel'!C107*'Prices&amp;Fuel'!H107)+((AM107+AR107)*('Prices&amp;Fuel'!B107+'Long Term Deals'!AX107)*'Prices&amp;Fuel'!H107)+((AN107+AS107)*('Prices&amp;Fuel'!C107+'Long Term Deals'!AX107)*'Prices&amp;Fuel'!H107)+((AO107+AT107)*('Prices&amp;Fuel'!D107+'Long Term Deals'!AX107)*'Prices&amp;Fuel'!H107)+(AV107*'Prices&amp;Fuel'!H107*'Prices&amp;Fuel'!Q107)+AU107</f>
        <v>19703326.052442167</v>
      </c>
      <c r="BA107" s="6">
        <f t="shared" si="135"/>
        <v>278920.30848329142</v>
      </c>
      <c r="BB107" s="6">
        <f>IF('FP Corp'!T107-((BE107+BF107+BG107)*(1-'Prices&amp;Fuel'!F107))&lt;'Prices&amp;Fuel'!R107,('FP Corp'!T107-(BE107+BF107+BG107)*(1-'Prices&amp;Fuel'!F107)),'Prices&amp;Fuel'!R107)/(1-'Prices&amp;Fuel'!F107)</f>
        <v>8976.8637532133671</v>
      </c>
      <c r="BC107" s="14"/>
      <c r="BD107" s="14">
        <f>ROUND(IF('FP Corp'!T107/(1-'Prices&amp;Fuel'!F107)-BE107-BF107-BG107-BB107&gt;'Prices&amp;Fuel'!T107,'Prices&amp;Fuel'!T107,'FP Corp'!T107/(1-'Prices&amp;Fuel'!F107)-BE107-BF107-BG107-BB107),9)</f>
        <v>6556.2982005140002</v>
      </c>
      <c r="BE107" s="14">
        <f>'Prices&amp;Fuel'!U107/(1-'Prices&amp;Fuel'!F107)</f>
        <v>1933.1619537275064</v>
      </c>
      <c r="BF107" s="14">
        <f>('Prices&amp;Fuel'!V107+'Prices&amp;Fuel'!X107)/(1-'Prices&amp;Fuel'!F107)</f>
        <v>3062.2107969151671</v>
      </c>
      <c r="BG107" s="14">
        <f>'Prices&amp;Fuel'!W107/(1-'Prices&amp;Fuel'!F107)</f>
        <v>1065.2956298200513</v>
      </c>
      <c r="BH107" s="25">
        <f>('Prices&amp;Fuel'!C107+'Prices&amp;Fuel'!D107)/2-0.05+('Prices&amp;Fuel'!M107+'Prices&amp;Fuel'!P107)*(1-'Prices&amp;Fuel'!F107)</f>
        <v>3.7912607800000013</v>
      </c>
      <c r="BI107" s="25"/>
      <c r="BJ107" s="25"/>
      <c r="BK107" s="25">
        <f>(((BB107+BE107)*('Prices&amp;Fuel'!B107+0.025))+(('Prices&amp;Fuel'!D107+0.025)*(BD107+BG107))+(('Prices&amp;Fuel'!C107+0.025)*(BC107+BF107))-(BI107+BJ107)*0.025)/(BB107+BC107+BD107+BE107+BF107+BG107)</f>
        <v>3.0988501252380964</v>
      </c>
      <c r="BL107" s="14">
        <f>(BB107+BC107+BD107+BE107+BF107+BG107)*BH107*'Prices&amp;Fuel'!H107</f>
        <v>2537903.1031156653</v>
      </c>
      <c r="BM107" s="14">
        <f>'Prices&amp;Fuel'!X107*('Prices&amp;Fuel'!N107+'Prices&amp;Fuel'!O107)*'Prices&amp;Fuel'!H107</f>
        <v>9438.6404139577935</v>
      </c>
      <c r="BN107" s="14">
        <f>('Prices&amp;Fuel'!U107+'Prices&amp;Fuel'!V107+'Prices&amp;Fuel'!W107)*('Prices&amp;Fuel'!L107+'Prices&amp;Fuel'!O107)*'Prices&amp;Fuel'!H107</f>
        <v>72012.818736653091</v>
      </c>
      <c r="BO107" s="14">
        <f>((BB107+BC107+BD107)*(1-'Prices&amp;Fuel'!G107))*('Prices&amp;Fuel'!M107+'Prices&amp;Fuel'!P107)*'Prices&amp;Fuel'!H107</f>
        <v>358472.93299999676</v>
      </c>
      <c r="BP107" s="14">
        <f>((BD107+BC107+BB107+BE107+BF107+BG107)*BK107*'Prices&amp;Fuel'!H107)+BM107+BN107+BO107</f>
        <v>2514321.7510503381</v>
      </c>
      <c r="BQ107" s="6">
        <f t="shared" si="133"/>
        <v>23581.352065327112</v>
      </c>
      <c r="CA107" s="6">
        <f>(AF107+AG107+AH107+AL107)*0.005*'Prices&amp;Fuel'!H107</f>
        <v>31876.606683804628</v>
      </c>
      <c r="CB107" s="6">
        <f>(B107+C107+D107+O107+P107+Q107+X107+Y107+BB107+BC107+BD107+BE107+BF107+BG107+BR107+BS107)*0.005*'Prices&amp;Fuel'!H107</f>
        <v>7237.5437017994636</v>
      </c>
      <c r="CC107" s="1">
        <f t="shared" si="137"/>
        <v>25008513.264041126</v>
      </c>
      <c r="CD107" s="1">
        <f t="shared" si="138"/>
        <v>24735477.313878108</v>
      </c>
      <c r="CE107" s="1">
        <f t="shared" si="139"/>
        <v>273035.95016301796</v>
      </c>
      <c r="CF107" s="1">
        <f>'Index Price Deals'!AR107</f>
        <v>0</v>
      </c>
      <c r="CG107" s="1">
        <f>'Index Price Deals'!AS107</f>
        <v>0</v>
      </c>
      <c r="CH107" s="1">
        <f>'Index Price Deals'!AT107</f>
        <v>0</v>
      </c>
      <c r="CI107" s="1">
        <f>'Index Price Deals'!AU107</f>
        <v>0</v>
      </c>
      <c r="CJ107" s="1">
        <f t="shared" si="136"/>
        <v>25008513.264041126</v>
      </c>
      <c r="CK107" s="1">
        <f t="shared" si="141"/>
        <v>24735477.313878108</v>
      </c>
      <c r="CL107" s="1">
        <f t="shared" si="141"/>
        <v>273035.95016301796</v>
      </c>
      <c r="CM107" s="30"/>
      <c r="CN107" s="1">
        <f>Transport!U107</f>
        <v>3.1490140827372673E-9</v>
      </c>
      <c r="CQ107" s="1">
        <f>(((($B107+$C107+$D107+$O107+$P107+$Q107)*0.5)+BR107+BS107)*(0.005*'Prices&amp;Fuel'!$H107)+'Index Price Deals'!AV107)+(((BB107+BC107+BD107+BE107+BF107+BG107)*(1-'Prices&amp;Fuel'!F107))*0.005*0.5*'Prices&amp;Fuel'!H107)</f>
        <v>3572.7499999999895</v>
      </c>
      <c r="CR107" s="1">
        <f>(((($B107+$C107+$D107+$O107+$P107+$Q107)*0.5)+X107+Y107)*(0.005*'Prices&amp;Fuel'!$H107)+CA107+'Index Price Deals'!AW107)+(((BB107+BC107+BD107+BE107+BF107+BG107)*(1-'Prices&amp;Fuel'!F107))*0.005*0.5*'Prices&amp;Fuel'!H107)</f>
        <v>35449.356683804617</v>
      </c>
      <c r="CS107" s="21"/>
      <c r="CT107" s="1">
        <f>[3]Sheet1!$O124</f>
        <v>-277633.40120537439</v>
      </c>
      <c r="CU107" s="1">
        <f>'[4]Long Term Deals'!$Z106</f>
        <v>15953.184173812013</v>
      </c>
      <c r="CV107" s="60">
        <f t="shared" si="106"/>
        <v>566622.53554220125</v>
      </c>
      <c r="DB107" s="3">
        <f>(O107+P107+Q107)*'Prices&amp;Fuel'!$H107</f>
        <v>778100</v>
      </c>
      <c r="DE107" s="3">
        <v>200000</v>
      </c>
    </row>
    <row r="108" spans="1:109" x14ac:dyDescent="0.25">
      <c r="A108" s="10">
        <f t="shared" si="130"/>
        <v>38881.916666666417</v>
      </c>
      <c r="O108" s="1">
        <v>9036</v>
      </c>
      <c r="P108" s="1">
        <v>10794</v>
      </c>
      <c r="Q108" s="1">
        <v>5270</v>
      </c>
      <c r="R108" s="11">
        <f t="shared" si="131"/>
        <v>3.198</v>
      </c>
      <c r="S108" s="11">
        <f t="shared" si="132"/>
        <v>3.1856</v>
      </c>
      <c r="T108" s="1">
        <f>(($O108*R108)+($P108*R108)+($Q108*R108))*'Prices&amp;Fuel'!$H108</f>
        <v>2408093.9999999995</v>
      </c>
      <c r="U108" s="1">
        <f>(($O108*S108)+($P108*S108)+($Q108*S108))*'Prices&amp;Fuel'!$H108</f>
        <v>2398756.7999999998</v>
      </c>
      <c r="V108" s="13">
        <f t="shared" si="134"/>
        <v>9337.1999999997206</v>
      </c>
      <c r="AF108" s="1">
        <f>((100000)/(1-'Prices&amp;Fuel'!F108))+(25000/(1-'Prices&amp;Fuel'!G108))-AI108</f>
        <v>128534.70437017996</v>
      </c>
      <c r="AG108" s="1">
        <v>0</v>
      </c>
      <c r="AH108" s="1">
        <f>(75000/(1-'Prices&amp;Fuel'!G108))-AK108</f>
        <v>77120.822622107968</v>
      </c>
      <c r="AI108" s="1"/>
      <c r="AJ108" s="1"/>
      <c r="AK108" s="1"/>
      <c r="AL108" s="21">
        <f>ROUND((200000/(1-'Prices&amp;Fuel'!F108))-AF108-AG108-AH108,0)</f>
        <v>0</v>
      </c>
      <c r="AM108" s="1">
        <f t="shared" si="126"/>
        <v>64267</v>
      </c>
      <c r="AO108" s="1">
        <f>ROUND((75000/(1-'Prices&amp;Fuel'!G108)-AV108-AK108)/2,0)</f>
        <v>38560</v>
      </c>
      <c r="AR108" s="1">
        <f t="shared" si="128"/>
        <v>64267.704370179956</v>
      </c>
      <c r="AT108" s="13">
        <f t="shared" si="107"/>
        <v>38560.822622107968</v>
      </c>
      <c r="AU108" s="13">
        <f>AL108*AX108*'Prices&amp;Fuel'!H108</f>
        <v>0</v>
      </c>
      <c r="AW108" s="20">
        <f t="shared" si="140"/>
        <v>0.05</v>
      </c>
      <c r="AX108" s="20">
        <f t="shared" si="129"/>
        <v>2.5000000000000001E-2</v>
      </c>
      <c r="AY108" s="6">
        <f>('Prices&amp;Fuel'!H108*('Prices&amp;Fuel'!B108+AW108)*'Long Term Deals'!AF108)+('Prices&amp;Fuel'!H108*('Prices&amp;Fuel'!C108+'Long Term Deals'!AW108)*'Long Term Deals'!AG108)+(AH108*('Prices&amp;Fuel'!C108+AW108)*'Prices&amp;Fuel'!H108)+(AW108*AL108*'Prices&amp;Fuel'!H108)</f>
        <v>27748092.235064268</v>
      </c>
      <c r="AZ108" s="6">
        <f>(AP108*'Prices&amp;Fuel'!H108*'Prices&amp;Fuel'!B108)+(AQ108*'Prices&amp;Fuel'!C108*'Prices&amp;Fuel'!H108)+((AM108+AR108)*('Prices&amp;Fuel'!B108+'Long Term Deals'!AX108)*'Prices&amp;Fuel'!H108)+((AN108+AS108)*('Prices&amp;Fuel'!C108+'Long Term Deals'!AX108)*'Prices&amp;Fuel'!H108)+((AO108+AT108)*('Prices&amp;Fuel'!D108+'Long Term Deals'!AX108)*'Prices&amp;Fuel'!H108)+(AV108*'Prices&amp;Fuel'!H108*'Prices&amp;Fuel'!Q108)+AU108</f>
        <v>27478169.355886891</v>
      </c>
      <c r="BA108" s="6">
        <f t="shared" si="135"/>
        <v>269922.87917737663</v>
      </c>
      <c r="BB108" s="6">
        <f>IF('FP Corp'!T108-((BE108+BF108+BG108)*(1-'Prices&amp;Fuel'!F108))&lt;'Prices&amp;Fuel'!R108,('FP Corp'!T108-(BE108+BF108+BG108)*(1-'Prices&amp;Fuel'!F108)),'Prices&amp;Fuel'!R108)/(1-'Prices&amp;Fuel'!F108)</f>
        <v>8976.8637532133671</v>
      </c>
      <c r="BC108" s="14"/>
      <c r="BD108" s="14">
        <f>ROUND(IF('FP Corp'!T108/(1-'Prices&amp;Fuel'!F108)-BE108-BF108-BG108-BB108&gt;'Prices&amp;Fuel'!T108,'Prices&amp;Fuel'!T108,'FP Corp'!T108/(1-'Prices&amp;Fuel'!F108)-BE108-BF108-BG108-BB108),9)</f>
        <v>6556.2982005140002</v>
      </c>
      <c r="BE108" s="14">
        <f>'Prices&amp;Fuel'!U108/(1-'Prices&amp;Fuel'!F108)</f>
        <v>1933.1619537275064</v>
      </c>
      <c r="BF108" s="14">
        <f>('Prices&amp;Fuel'!V108+'Prices&amp;Fuel'!X108)/(1-'Prices&amp;Fuel'!F108)</f>
        <v>3062.2107969151671</v>
      </c>
      <c r="BG108" s="14">
        <f>'Prices&amp;Fuel'!W108/(1-'Prices&amp;Fuel'!F108)</f>
        <v>1065.2956298200513</v>
      </c>
      <c r="BH108" s="25">
        <f>('Prices&amp;Fuel'!C108+'Prices&amp;Fuel'!D108)/2-0.05+('Prices&amp;Fuel'!M108+'Prices&amp;Fuel'!P108)*(1-'Prices&amp;Fuel'!F108)</f>
        <v>5.1544520330999992</v>
      </c>
      <c r="BI108" s="25"/>
      <c r="BJ108" s="25"/>
      <c r="BK108" s="25">
        <f>(((BB108+BE108)*('Prices&amp;Fuel'!B108+0.025))+(('Prices&amp;Fuel'!D108+0.025)*(BD108+BG108))+(('Prices&amp;Fuel'!C108+0.025)*(BC108+BF108))-(BI108+BJ108)*0.025)/(BB108+BC108+BD108+BE108+BF108+BG108)</f>
        <v>4.4620413783380952</v>
      </c>
      <c r="BL108" s="14">
        <f>(BB108+BC108+BD108+BE108+BF108+BG108)*BH108*'Prices&amp;Fuel'!H108</f>
        <v>3339130.8800544762</v>
      </c>
      <c r="BM108" s="14">
        <f>'Prices&amp;Fuel'!X108*('Prices&amp;Fuel'!N108+'Prices&amp;Fuel'!O108)*'Prices&amp;Fuel'!H108</f>
        <v>9134.1681425398001</v>
      </c>
      <c r="BN108" s="14">
        <f>('Prices&amp;Fuel'!U108+'Prices&amp;Fuel'!V108+'Prices&amp;Fuel'!W108)*('Prices&amp;Fuel'!L108+'Prices&amp;Fuel'!O108)*'Prices&amp;Fuel'!H108</f>
        <v>69689.82458385783</v>
      </c>
      <c r="BO108" s="14">
        <f>((BB108+BC108+BD108)*(1-'Prices&amp;Fuel'!G108))*('Prices&amp;Fuel'!M108+'Prices&amp;Fuel'!P108)*'Prices&amp;Fuel'!H108</f>
        <v>346909.28999999689</v>
      </c>
      <c r="BP108" s="14">
        <f>((BD108+BC108+BB108+BE108+BF108+BG108)*BK108*'Prices&amp;Fuel'!H108)+BM108+BN108+BO108</f>
        <v>3316310.2167654503</v>
      </c>
      <c r="BQ108" s="6">
        <f t="shared" si="133"/>
        <v>22820.663289025892</v>
      </c>
      <c r="CA108" s="6">
        <f>(AF108+AG108+AH108+AL108)*0.005*'Prices&amp;Fuel'!H108</f>
        <v>30848.329048843189</v>
      </c>
      <c r="CB108" s="6">
        <f>(B108+C108+D108+O108+P108+Q108+X108+Y108+BB108+BC108+BD108+BE108+BF108+BG108+BR108+BS108)*0.005*'Prices&amp;Fuel'!H108</f>
        <v>7004.0745501285137</v>
      </c>
      <c r="CC108" s="1">
        <f t="shared" si="137"/>
        <v>33495317.115118746</v>
      </c>
      <c r="CD108" s="1">
        <f t="shared" si="138"/>
        <v>33231088.776251316</v>
      </c>
      <c r="CE108" s="1">
        <f t="shared" si="139"/>
        <v>264228.33886742964</v>
      </c>
      <c r="CF108" s="1">
        <f>'Index Price Deals'!AR108</f>
        <v>0</v>
      </c>
      <c r="CG108" s="1">
        <f>'Index Price Deals'!AS108</f>
        <v>0</v>
      </c>
      <c r="CH108" s="1">
        <f>'Index Price Deals'!AT108</f>
        <v>0</v>
      </c>
      <c r="CI108" s="1">
        <f>'Index Price Deals'!AU108</f>
        <v>0</v>
      </c>
      <c r="CJ108" s="1">
        <f t="shared" si="136"/>
        <v>33495317.115118746</v>
      </c>
      <c r="CK108" s="1">
        <f t="shared" si="141"/>
        <v>33231088.776251316</v>
      </c>
      <c r="CL108" s="1">
        <f t="shared" si="141"/>
        <v>264228.33886742964</v>
      </c>
      <c r="CM108" s="30"/>
      <c r="CN108" s="1">
        <f>Transport!U108</f>
        <v>3.0474329832941295E-9</v>
      </c>
      <c r="CQ108" s="1">
        <f>(((($B108+$C108+$D108+$O108+$P108+$Q108)*0.5)+BR108+BS108)*(0.005*'Prices&amp;Fuel'!$H108)+'Index Price Deals'!AV108)+(((BB108+BC108+BD108+BE108+BF108+BG108)*(1-'Prices&amp;Fuel'!F108))*0.005*0.5*'Prices&amp;Fuel'!H108)</f>
        <v>3457.49999999999</v>
      </c>
      <c r="CR108" s="1">
        <f>(((($B108+$C108+$D108+$O108+$P108+$Q108)*0.5)+X108+Y108)*(0.005*'Prices&amp;Fuel'!$H108)+CA108+'Index Price Deals'!AW108)+(((BB108+BC108+BD108+BE108+BF108+BG108)*(1-'Prices&amp;Fuel'!F108))*0.005*0.5*'Prices&amp;Fuel'!H108)</f>
        <v>34305.829048843181</v>
      </c>
      <c r="CS108" s="21"/>
      <c r="CT108" s="1">
        <f>[3]Sheet1!$O125</f>
        <v>-268677.48503745912</v>
      </c>
      <c r="CU108" s="1">
        <f>'[4]Long Term Deals'!$Z107</f>
        <v>15438.565329495468</v>
      </c>
      <c r="CV108" s="60">
        <f t="shared" si="106"/>
        <v>548344.38923438115</v>
      </c>
      <c r="DB108" s="3">
        <f>(O108+P108+Q108)*'Prices&amp;Fuel'!$H108</f>
        <v>753000</v>
      </c>
      <c r="DE108" s="3">
        <v>200000</v>
      </c>
    </row>
    <row r="109" spans="1:109" x14ac:dyDescent="0.25">
      <c r="A109" s="10">
        <f t="shared" si="130"/>
        <v>38912.333333333081</v>
      </c>
      <c r="O109" s="1">
        <v>9036</v>
      </c>
      <c r="P109" s="1">
        <v>10794</v>
      </c>
      <c r="Q109" s="1">
        <v>5270</v>
      </c>
      <c r="R109" s="11">
        <f>ROUND(3.075*1.04*1.04,4)</f>
        <v>3.3258999999999999</v>
      </c>
      <c r="S109" s="11">
        <f>R109-ROUND(0.01*1.02*1.02*1.02*1.02*1.02*1.02*1.02*1.02*1.02*1.02*1.02*1.02,4)</f>
        <v>3.3131999999999997</v>
      </c>
      <c r="T109" s="1">
        <f>(($O109*R109)+($P109*R109)+($Q109*R109))*'Prices&amp;Fuel'!$H109</f>
        <v>2587882.79</v>
      </c>
      <c r="U109" s="1">
        <f>(($O109*S109)+($P109*S109)+($Q109*S109))*'Prices&amp;Fuel'!$H109</f>
        <v>2578000.92</v>
      </c>
      <c r="V109" s="13">
        <f t="shared" si="134"/>
        <v>9881.8700000001118</v>
      </c>
      <c r="AF109" s="1">
        <f>((100000)/(1-'Prices&amp;Fuel'!F109))+(25000/(1-'Prices&amp;Fuel'!G109))-AI109</f>
        <v>128534.70437017996</v>
      </c>
      <c r="AG109" s="1">
        <v>0</v>
      </c>
      <c r="AH109" s="1">
        <f>(75000/(1-'Prices&amp;Fuel'!G109))-AK109</f>
        <v>77120.822622107968</v>
      </c>
      <c r="AI109" s="1"/>
      <c r="AJ109" s="1"/>
      <c r="AK109" s="1"/>
      <c r="AL109" s="21">
        <f>ROUND((200000/(1-'Prices&amp;Fuel'!F109))-AF109-AG109-AH109,0)</f>
        <v>0</v>
      </c>
      <c r="AM109" s="1">
        <f t="shared" si="126"/>
        <v>64267</v>
      </c>
      <c r="AO109" s="1">
        <f>ROUND((75000/(1-'Prices&amp;Fuel'!G109)-AV109-AK109)/2,0)</f>
        <v>38560</v>
      </c>
      <c r="AR109" s="1">
        <f t="shared" ref="AR109:AR124" si="142">IF(AP109&gt;AF109,0,AF109-AM109-AP109)</f>
        <v>64267.704370179956</v>
      </c>
      <c r="AT109" s="13">
        <f t="shared" si="107"/>
        <v>38560.822622107968</v>
      </c>
      <c r="AU109" s="13">
        <f>AL109*AX109*'Prices&amp;Fuel'!H109</f>
        <v>0</v>
      </c>
      <c r="AW109" s="20">
        <f t="shared" si="140"/>
        <v>0.05</v>
      </c>
      <c r="AX109" s="20">
        <f t="shared" si="129"/>
        <v>2.5000000000000001E-2</v>
      </c>
      <c r="AY109" s="6">
        <f>('Prices&amp;Fuel'!H109*('Prices&amp;Fuel'!B109+AW109)*'Long Term Deals'!AF109)+('Prices&amp;Fuel'!H109*('Prices&amp;Fuel'!C109+'Long Term Deals'!AW109)*'Long Term Deals'!AG109)+(AH109*('Prices&amp;Fuel'!C109+AW109)*'Prices&amp;Fuel'!H109)+(AW109*AL109*'Prices&amp;Fuel'!H109)</f>
        <v>28606686.793419022</v>
      </c>
      <c r="AZ109" s="6">
        <f>(AP109*'Prices&amp;Fuel'!H109*'Prices&amp;Fuel'!B109)+(AQ109*'Prices&amp;Fuel'!C109*'Prices&amp;Fuel'!H109)+((AM109+AR109)*('Prices&amp;Fuel'!B109+'Long Term Deals'!AX109)*'Prices&amp;Fuel'!H109)+((AN109+AS109)*('Prices&amp;Fuel'!C109+'Long Term Deals'!AX109)*'Prices&amp;Fuel'!H109)+((AO109+AT109)*('Prices&amp;Fuel'!D109+'Long Term Deals'!AX109)*'Prices&amp;Fuel'!H109)+(AV109*'Prices&amp;Fuel'!H109*'Prices&amp;Fuel'!Q109)+AU109</f>
        <v>28327766.484935738</v>
      </c>
      <c r="BA109" s="6">
        <f t="shared" si="135"/>
        <v>278920.30848328397</v>
      </c>
      <c r="BB109" s="6">
        <f>IF('FP Corp'!T109-((BE109+BF109+BG109)*(1-'Prices&amp;Fuel'!F109))&lt;'Prices&amp;Fuel'!R109,('FP Corp'!T109-(BE109+BF109+BG109)*(1-'Prices&amp;Fuel'!F109)),'Prices&amp;Fuel'!R109)/(1-'Prices&amp;Fuel'!F109)</f>
        <v>8976.8637532133671</v>
      </c>
      <c r="BC109" s="14"/>
      <c r="BD109" s="14">
        <f>ROUND(IF('FP Corp'!T109/(1-'Prices&amp;Fuel'!F109)-BE109-BF109-BG109-BB109&gt;'Prices&amp;Fuel'!T109,'Prices&amp;Fuel'!T109,'FP Corp'!T109/(1-'Prices&amp;Fuel'!F109)-BE109-BF109-BG109-BB109),9)</f>
        <v>6556.2982005140002</v>
      </c>
      <c r="BE109" s="14">
        <f>'Prices&amp;Fuel'!U109/(1-'Prices&amp;Fuel'!F109)</f>
        <v>1933.1619537275064</v>
      </c>
      <c r="BF109" s="14">
        <f>('Prices&amp;Fuel'!V109+'Prices&amp;Fuel'!X109)/(1-'Prices&amp;Fuel'!F109)</f>
        <v>3062.2107969151671</v>
      </c>
      <c r="BG109" s="14">
        <f>'Prices&amp;Fuel'!W109/(1-'Prices&amp;Fuel'!F109)</f>
        <v>1065.2956298200513</v>
      </c>
      <c r="BH109" s="25">
        <f>('Prices&amp;Fuel'!C109+'Prices&amp;Fuel'!D109)/2-0.05+('Prices&amp;Fuel'!M109+'Prices&amp;Fuel'!P109)*(1-'Prices&amp;Fuel'!F109)</f>
        <v>5.1440459929999998</v>
      </c>
      <c r="BI109" s="25"/>
      <c r="BJ109" s="25"/>
      <c r="BK109" s="25">
        <f>(((BB109+BE109)*('Prices&amp;Fuel'!B109+0.025))+(('Prices&amp;Fuel'!D109+0.025)*(BD109+BG109))+(('Prices&amp;Fuel'!C109+0.025)*(BC109+BF109))-(BI109+BJ109)*0.025)/(BB109+BC109+BD109+BE109+BF109+BG109)</f>
        <v>4.4516353382380967</v>
      </c>
      <c r="BL109" s="14">
        <f>(BB109+BC109+BD109+BE109+BF109+BG109)*BH109*'Prices&amp;Fuel'!H109</f>
        <v>3443469.3485274836</v>
      </c>
      <c r="BM109" s="14">
        <f>'Prices&amp;Fuel'!X109*('Prices&amp;Fuel'!N109+'Prices&amp;Fuel'!O109)*'Prices&amp;Fuel'!H109</f>
        <v>9438.6404139577935</v>
      </c>
      <c r="BN109" s="14">
        <f>('Prices&amp;Fuel'!U109+'Prices&amp;Fuel'!V109+'Prices&amp;Fuel'!W109)*('Prices&amp;Fuel'!L109+'Prices&amp;Fuel'!O109)*'Prices&amp;Fuel'!H109</f>
        <v>72012.818736653091</v>
      </c>
      <c r="BO109" s="14">
        <f>((BB109+BC109+BD109)*(1-'Prices&amp;Fuel'!G109))*('Prices&amp;Fuel'!M109+'Prices&amp;Fuel'!P109)*'Prices&amp;Fuel'!H109</f>
        <v>358472.93299999676</v>
      </c>
      <c r="BP109" s="14">
        <f>((BD109+BC109+BB109+BE109+BF109+BG109)*BK109*'Prices&amp;Fuel'!H109)+BM109+BN109+BO109</f>
        <v>3419887.9964621575</v>
      </c>
      <c r="BQ109" s="6">
        <f t="shared" si="133"/>
        <v>23581.35206532618</v>
      </c>
      <c r="CA109" s="6">
        <f>(AF109+AG109+AH109+AL109)*0.005*'Prices&amp;Fuel'!H109</f>
        <v>31876.606683804628</v>
      </c>
      <c r="CB109" s="6">
        <f>(B109+C109+D109+O109+P109+Q109+X109+Y109+BB109+BC109+BD109+BE109+BF109+BG109+BR109+BS109)*0.005*'Prices&amp;Fuel'!H109</f>
        <v>7237.5437017994636</v>
      </c>
      <c r="CC109" s="1">
        <f t="shared" si="137"/>
        <v>34638038.931946501</v>
      </c>
      <c r="CD109" s="1">
        <f t="shared" si="138"/>
        <v>34364769.551783502</v>
      </c>
      <c r="CE109" s="1">
        <f t="shared" si="139"/>
        <v>273269.38016299903</v>
      </c>
      <c r="CF109" s="1">
        <f>'Index Price Deals'!AR109</f>
        <v>0</v>
      </c>
      <c r="CG109" s="1">
        <f>'Index Price Deals'!AS109</f>
        <v>0</v>
      </c>
      <c r="CH109" s="1">
        <f>'Index Price Deals'!AT109</f>
        <v>0</v>
      </c>
      <c r="CI109" s="1">
        <f>'Index Price Deals'!AU109</f>
        <v>0</v>
      </c>
      <c r="CJ109" s="1">
        <f t="shared" si="136"/>
        <v>34638038.931946501</v>
      </c>
      <c r="CK109" s="1">
        <f t="shared" si="141"/>
        <v>34364769.551783502</v>
      </c>
      <c r="CL109" s="1">
        <f t="shared" si="141"/>
        <v>273269.38016299903</v>
      </c>
      <c r="CM109" s="30"/>
      <c r="CN109" s="1">
        <f>Transport!U109</f>
        <v>3.1490140827372673E-9</v>
      </c>
      <c r="CQ109" s="1">
        <f>(((($B109+$C109+$D109+$O109+$P109+$Q109)*0.5)+BR109+BS109)*(0.005*'Prices&amp;Fuel'!$H109)+'Index Price Deals'!AV109)+(((BB109+BC109+BD109+BE109+BF109+BG109)*(1-'Prices&amp;Fuel'!F109))*0.005*0.5*'Prices&amp;Fuel'!H109)</f>
        <v>3572.7499999999895</v>
      </c>
      <c r="CR109" s="1">
        <f>(((($B109+$C109+$D109+$O109+$P109+$Q109)*0.5)+X109+Y109)*(0.005*'Prices&amp;Fuel'!$H109)+CA109+'Index Price Deals'!AW109)+(((BB109+BC109+BD109+BE109+BF109+BG109)*(1-'Prices&amp;Fuel'!F109))*0.005*0.5*'Prices&amp;Fuel'!H109)</f>
        <v>35449.356683804617</v>
      </c>
      <c r="CS109" s="21"/>
      <c r="CT109" s="1">
        <f>[3]Sheet1!$O126</f>
        <v>-277633.40120537439</v>
      </c>
      <c r="CU109" s="1">
        <f>'[4]Long Term Deals'!$Z108</f>
        <v>15953.184173812013</v>
      </c>
      <c r="CV109" s="60">
        <f t="shared" si="106"/>
        <v>566855.96554218233</v>
      </c>
      <c r="DB109" s="3">
        <f>(O109+P109+Q109)*'Prices&amp;Fuel'!$H109</f>
        <v>778100</v>
      </c>
      <c r="DE109" s="3">
        <v>200000</v>
      </c>
    </row>
    <row r="110" spans="1:109" x14ac:dyDescent="0.25">
      <c r="A110" s="10">
        <f t="shared" si="130"/>
        <v>38942.749999999745</v>
      </c>
      <c r="O110" s="1">
        <v>9036</v>
      </c>
      <c r="P110" s="1">
        <v>10794</v>
      </c>
      <c r="Q110" s="1">
        <v>5270</v>
      </c>
      <c r="R110" s="11">
        <f t="shared" ref="R110:R120" si="143">R109</f>
        <v>3.3258999999999999</v>
      </c>
      <c r="S110" s="11">
        <f t="shared" ref="S110:S120" si="144">S109</f>
        <v>3.3131999999999997</v>
      </c>
      <c r="T110" s="1">
        <f>(($O110*R110)+($P110*R110)+($Q110*R110))*'Prices&amp;Fuel'!$H110</f>
        <v>2587882.79</v>
      </c>
      <c r="U110" s="1">
        <f>(($O110*S110)+($P110*S110)+($Q110*S110))*'Prices&amp;Fuel'!$H110</f>
        <v>2578000.92</v>
      </c>
      <c r="V110" s="13">
        <f t="shared" si="134"/>
        <v>9881.8700000001118</v>
      </c>
      <c r="AF110" s="1">
        <f>((100000)/(1-'Prices&amp;Fuel'!F110))+(25000/(1-'Prices&amp;Fuel'!G110))-AI110</f>
        <v>128534.70437017996</v>
      </c>
      <c r="AG110" s="1">
        <v>0</v>
      </c>
      <c r="AH110" s="1">
        <f>(75000/(1-'Prices&amp;Fuel'!G110))-AK110</f>
        <v>77120.822622107968</v>
      </c>
      <c r="AI110" s="1"/>
      <c r="AJ110" s="1"/>
      <c r="AK110" s="1"/>
      <c r="AL110" s="21">
        <f>ROUND((200000/(1-'Prices&amp;Fuel'!F110))-AF110-AG110-AH110,0)</f>
        <v>0</v>
      </c>
      <c r="AM110" s="1">
        <f t="shared" si="126"/>
        <v>64267</v>
      </c>
      <c r="AO110" s="1">
        <f>ROUND((75000/(1-'Prices&amp;Fuel'!G110)-AV110-AK110)/2,0)</f>
        <v>38560</v>
      </c>
      <c r="AR110" s="1">
        <f t="shared" si="142"/>
        <v>64267.704370179956</v>
      </c>
      <c r="AT110" s="13">
        <f t="shared" si="107"/>
        <v>38560.822622107968</v>
      </c>
      <c r="AU110" s="13">
        <f>AL110*AX110*'Prices&amp;Fuel'!H110</f>
        <v>0</v>
      </c>
      <c r="AW110" s="20">
        <f t="shared" si="140"/>
        <v>0.05</v>
      </c>
      <c r="AX110" s="20">
        <f t="shared" si="129"/>
        <v>2.5000000000000001E-2</v>
      </c>
      <c r="AY110" s="6">
        <f>('Prices&amp;Fuel'!H110*('Prices&amp;Fuel'!B110+AW110)*'Long Term Deals'!AF110)+('Prices&amp;Fuel'!H110*('Prices&amp;Fuel'!C110+'Long Term Deals'!AW110)*'Long Term Deals'!AG110)+(AH110*('Prices&amp;Fuel'!C110+AW110)*'Prices&amp;Fuel'!H110)+(AW110*AL110*'Prices&amp;Fuel'!H110)</f>
        <v>25024226.921460152</v>
      </c>
      <c r="AZ110" s="6">
        <f>(AP110*'Prices&amp;Fuel'!H110*'Prices&amp;Fuel'!B110)+(AQ110*'Prices&amp;Fuel'!C110*'Prices&amp;Fuel'!H110)+((AM110+AR110)*('Prices&amp;Fuel'!B110+'Long Term Deals'!AX110)*'Prices&amp;Fuel'!H110)+((AN110+AS110)*('Prices&amp;Fuel'!C110+'Long Term Deals'!AX110)*'Prices&amp;Fuel'!H110)+((AO110+AT110)*('Prices&amp;Fuel'!D110+'Long Term Deals'!AX110)*'Prices&amp;Fuel'!H110)+(AV110*'Prices&amp;Fuel'!H110*'Prices&amp;Fuel'!Q110)+AU110</f>
        <v>24745306.612976864</v>
      </c>
      <c r="BA110" s="6">
        <f t="shared" si="135"/>
        <v>278920.30848328769</v>
      </c>
      <c r="BB110" s="6">
        <f>IF('FP Corp'!T110-((BE110+BF110+BG110)*(1-'Prices&amp;Fuel'!F110))&lt;'Prices&amp;Fuel'!R110,('FP Corp'!T110-(BE110+BF110+BG110)*(1-'Prices&amp;Fuel'!F110)),'Prices&amp;Fuel'!R110)/(1-'Prices&amp;Fuel'!F110)</f>
        <v>8976.8637532133671</v>
      </c>
      <c r="BC110" s="14"/>
      <c r="BD110" s="14">
        <f>ROUND(IF('FP Corp'!T110/(1-'Prices&amp;Fuel'!F110)-BE110-BF110-BG110-BB110&gt;'Prices&amp;Fuel'!T110,'Prices&amp;Fuel'!T110,'FP Corp'!T110/(1-'Prices&amp;Fuel'!F110)-BE110-BF110-BG110-BB110),9)</f>
        <v>6556.2982005140002</v>
      </c>
      <c r="BE110" s="14">
        <f>'Prices&amp;Fuel'!U110/(1-'Prices&amp;Fuel'!F110)</f>
        <v>1933.1619537275064</v>
      </c>
      <c r="BF110" s="14">
        <f>('Prices&amp;Fuel'!V110+'Prices&amp;Fuel'!X110)/(1-'Prices&amp;Fuel'!F110)</f>
        <v>3062.2107969151671</v>
      </c>
      <c r="BG110" s="14">
        <f>'Prices&amp;Fuel'!W110/(1-'Prices&amp;Fuel'!F110)</f>
        <v>1065.2956298200513</v>
      </c>
      <c r="BH110" s="25">
        <f>('Prices&amp;Fuel'!C110+'Prices&amp;Fuel'!D110)/2-0.05+('Prices&amp;Fuel'!M110+'Prices&amp;Fuel'!P110)*(1-'Prices&amp;Fuel'!F110)</f>
        <v>4.5821198276000006</v>
      </c>
      <c r="BI110" s="25"/>
      <c r="BJ110" s="25"/>
      <c r="BK110" s="25">
        <f>(((BB110+BE110)*('Prices&amp;Fuel'!B110+0.025))+(('Prices&amp;Fuel'!D110+0.025)*(BD110+BG110))+(('Prices&amp;Fuel'!C110+0.025)*(BC110+BF110))-(BI110+BJ110)*0.025)/(BB110+BC110+BD110+BE110+BF110+BG110)</f>
        <v>3.8897091728380957</v>
      </c>
      <c r="BL110" s="14">
        <f>(BB110+BC110+BD110+BE110+BF110+BG110)*BH110*'Prices&amp;Fuel'!H110</f>
        <v>3067311.0619718055</v>
      </c>
      <c r="BM110" s="14">
        <f>'Prices&amp;Fuel'!X110*('Prices&amp;Fuel'!N110+'Prices&amp;Fuel'!O110)*'Prices&amp;Fuel'!H110</f>
        <v>9438.6404139577935</v>
      </c>
      <c r="BN110" s="14">
        <f>('Prices&amp;Fuel'!U110+'Prices&amp;Fuel'!V110+'Prices&amp;Fuel'!W110)*('Prices&amp;Fuel'!L110+'Prices&amp;Fuel'!O110)*'Prices&amp;Fuel'!H110</f>
        <v>72012.818736653091</v>
      </c>
      <c r="BO110" s="14">
        <f>((BB110+BC110+BD110)*(1-'Prices&amp;Fuel'!G110))*('Prices&amp;Fuel'!M110+'Prices&amp;Fuel'!P110)*'Prices&amp;Fuel'!H110</f>
        <v>358472.93299999676</v>
      </c>
      <c r="BP110" s="14">
        <f>((BD110+BC110+BB110+BE110+BF110+BG110)*BK110*'Prices&amp;Fuel'!H110)+BM110+BN110+BO110</f>
        <v>3043729.7099064784</v>
      </c>
      <c r="BQ110" s="6">
        <f t="shared" si="133"/>
        <v>23581.352065327112</v>
      </c>
      <c r="CA110" s="6">
        <f>(AF110+AG110+AH110+AL110)*0.005*'Prices&amp;Fuel'!H110</f>
        <v>31876.606683804628</v>
      </c>
      <c r="CB110" s="6">
        <f>(B110+C110+D110+O110+P110+Q110+X110+Y110+BB110+BC110+BD110+BE110+BF110+BG110+BR110+BS110)*0.005*'Prices&amp;Fuel'!H110</f>
        <v>7237.5437017994636</v>
      </c>
      <c r="CC110" s="1">
        <f t="shared" si="137"/>
        <v>30679420.773431957</v>
      </c>
      <c r="CD110" s="1">
        <f t="shared" si="138"/>
        <v>30406151.393268947</v>
      </c>
      <c r="CE110" s="1">
        <f t="shared" si="139"/>
        <v>273269.38016301021</v>
      </c>
      <c r="CF110" s="1">
        <f>'Index Price Deals'!AR110</f>
        <v>0</v>
      </c>
      <c r="CG110" s="1">
        <f>'Index Price Deals'!AS110</f>
        <v>0</v>
      </c>
      <c r="CH110" s="1">
        <f>'Index Price Deals'!AT110</f>
        <v>0</v>
      </c>
      <c r="CI110" s="1">
        <f>'Index Price Deals'!AU110</f>
        <v>0</v>
      </c>
      <c r="CJ110" s="1">
        <f t="shared" si="136"/>
        <v>30679420.773431957</v>
      </c>
      <c r="CK110" s="1">
        <f t="shared" si="141"/>
        <v>30406151.393268947</v>
      </c>
      <c r="CL110" s="1">
        <f t="shared" si="141"/>
        <v>273269.38016301021</v>
      </c>
      <c r="CM110" s="30"/>
      <c r="CN110" s="1">
        <f>Transport!U110</f>
        <v>3.1490140827372673E-9</v>
      </c>
      <c r="CQ110" s="1">
        <f>(((($B110+$C110+$D110+$O110+$P110+$Q110)*0.5)+BR110+BS110)*(0.005*'Prices&amp;Fuel'!$H110)+'Index Price Deals'!AV110)+(((BB110+BC110+BD110+BE110+BF110+BG110)*(1-'Prices&amp;Fuel'!F110))*0.005*0.5*'Prices&amp;Fuel'!H110)</f>
        <v>3572.7499999999895</v>
      </c>
      <c r="CR110" s="1">
        <f>(((($B110+$C110+$D110+$O110+$P110+$Q110)*0.5)+X110+Y110)*(0.005*'Prices&amp;Fuel'!$H110)+CA110+'Index Price Deals'!AW110)+(((BB110+BC110+BD110+BE110+BF110+BG110)*(1-'Prices&amp;Fuel'!F110))*0.005*0.5*'Prices&amp;Fuel'!H110)</f>
        <v>35449.356683804617</v>
      </c>
      <c r="CS110" s="21"/>
      <c r="CT110" s="1">
        <f>[3]Sheet1!$O127</f>
        <v>-277633.40120537439</v>
      </c>
      <c r="CU110" s="1">
        <f>'[4]Long Term Deals'!$Z109</f>
        <v>15953.184173812013</v>
      </c>
      <c r="CV110" s="60">
        <f t="shared" si="106"/>
        <v>566855.9655421935</v>
      </c>
      <c r="DB110" s="3">
        <f>(O110+P110+Q110)*'Prices&amp;Fuel'!$H110</f>
        <v>778100</v>
      </c>
      <c r="DE110" s="3">
        <v>200000</v>
      </c>
    </row>
    <row r="111" spans="1:109" x14ac:dyDescent="0.25">
      <c r="A111" s="10">
        <f t="shared" si="130"/>
        <v>38973.16666666641</v>
      </c>
      <c r="O111" s="1">
        <v>9036</v>
      </c>
      <c r="P111" s="1">
        <v>10794</v>
      </c>
      <c r="Q111" s="1">
        <v>5270</v>
      </c>
      <c r="R111" s="11">
        <f t="shared" si="143"/>
        <v>3.3258999999999999</v>
      </c>
      <c r="S111" s="11">
        <f t="shared" si="144"/>
        <v>3.3131999999999997</v>
      </c>
      <c r="T111" s="1">
        <f>(($O111*R111)+($P111*R111)+($Q111*R111))*'Prices&amp;Fuel'!$H111</f>
        <v>2504402.6999999997</v>
      </c>
      <c r="U111" s="1">
        <f>(($O111*S111)+($P111*S111)+($Q111*S111))*'Prices&amp;Fuel'!$H111</f>
        <v>2494839.5999999996</v>
      </c>
      <c r="V111" s="13">
        <f t="shared" si="134"/>
        <v>9563.1000000000931</v>
      </c>
      <c r="AF111" s="1">
        <f>((100000)/(1-'Prices&amp;Fuel'!F111))+(25000/(1-'Prices&amp;Fuel'!G111))-AI111</f>
        <v>128534.70437017996</v>
      </c>
      <c r="AG111" s="1">
        <v>0</v>
      </c>
      <c r="AH111" s="1">
        <f>(75000/(1-'Prices&amp;Fuel'!G111))-AK111</f>
        <v>77120.822622107968</v>
      </c>
      <c r="AI111" s="1"/>
      <c r="AJ111" s="1"/>
      <c r="AK111" s="1"/>
      <c r="AL111" s="21">
        <f>ROUND((200000/(1-'Prices&amp;Fuel'!F111))-AF111-AG111-AH111,0)</f>
        <v>0</v>
      </c>
      <c r="AM111" s="1">
        <f t="shared" si="126"/>
        <v>64267</v>
      </c>
      <c r="AO111" s="1">
        <f>ROUND((75000/(1-'Prices&amp;Fuel'!G111)-AV111-AK111)/2,0)</f>
        <v>38560</v>
      </c>
      <c r="AR111" s="1">
        <f t="shared" si="142"/>
        <v>64267.704370179956</v>
      </c>
      <c r="AT111" s="13">
        <f t="shared" si="107"/>
        <v>38560.822622107968</v>
      </c>
      <c r="AU111" s="13">
        <f>AL111*AX111*'Prices&amp;Fuel'!H111</f>
        <v>0</v>
      </c>
      <c r="AW111" s="20">
        <f t="shared" si="140"/>
        <v>0.05</v>
      </c>
      <c r="AX111" s="20">
        <f t="shared" si="129"/>
        <v>2.5000000000000001E-2</v>
      </c>
      <c r="AY111" s="6">
        <f>('Prices&amp;Fuel'!H111*('Prices&amp;Fuel'!B111+AW111)*'Long Term Deals'!AF111)+('Prices&amp;Fuel'!H111*('Prices&amp;Fuel'!C111+'Long Term Deals'!AW111)*'Long Term Deals'!AG111)+(AH111*('Prices&amp;Fuel'!C111+AW111)*'Prices&amp;Fuel'!H111)+(AW111*AL111*'Prices&amp;Fuel'!H111)</f>
        <v>29160531.611105401</v>
      </c>
      <c r="AZ111" s="6">
        <f>(AP111*'Prices&amp;Fuel'!H111*'Prices&amp;Fuel'!B111)+(AQ111*'Prices&amp;Fuel'!C111*'Prices&amp;Fuel'!H111)+((AM111+AR111)*('Prices&amp;Fuel'!B111+'Long Term Deals'!AX111)*'Prices&amp;Fuel'!H111)+((AN111+AS111)*('Prices&amp;Fuel'!C111+'Long Term Deals'!AX111)*'Prices&amp;Fuel'!H111)+((AO111+AT111)*('Prices&amp;Fuel'!D111+'Long Term Deals'!AX111)*'Prices&amp;Fuel'!H111)+(AV111*'Prices&amp;Fuel'!H111*'Prices&amp;Fuel'!Q111)+AU111</f>
        <v>28890608.731928028</v>
      </c>
      <c r="BA111" s="6">
        <f t="shared" si="135"/>
        <v>269922.8791773729</v>
      </c>
      <c r="BB111" s="6">
        <f>IF('FP Corp'!T111-((BE111+BF111+BG111)*(1-'Prices&amp;Fuel'!F111))&lt;'Prices&amp;Fuel'!R111,('FP Corp'!T111-(BE111+BF111+BG111)*(1-'Prices&amp;Fuel'!F111)),'Prices&amp;Fuel'!R111)/(1-'Prices&amp;Fuel'!F111)</f>
        <v>8976.8637532133671</v>
      </c>
      <c r="BC111" s="14"/>
      <c r="BD111" s="14">
        <f>ROUND(IF('FP Corp'!T111/(1-'Prices&amp;Fuel'!F111)-BE111-BF111-BG111-BB111&gt;'Prices&amp;Fuel'!T111,'Prices&amp;Fuel'!T111,'FP Corp'!T111/(1-'Prices&amp;Fuel'!F111)-BE111-BF111-BG111-BB111),9)</f>
        <v>6556.2982005140002</v>
      </c>
      <c r="BE111" s="14">
        <f>'Prices&amp;Fuel'!U111/(1-'Prices&amp;Fuel'!F111)</f>
        <v>1933.1619537275064</v>
      </c>
      <c r="BF111" s="14">
        <f>('Prices&amp;Fuel'!V111+'Prices&amp;Fuel'!X111)/(1-'Prices&amp;Fuel'!F111)</f>
        <v>3062.2107969151671</v>
      </c>
      <c r="BG111" s="14">
        <f>'Prices&amp;Fuel'!W111/(1-'Prices&amp;Fuel'!F111)</f>
        <v>1065.2956298200513</v>
      </c>
      <c r="BH111" s="25">
        <f>('Prices&amp;Fuel'!C111+'Prices&amp;Fuel'!D111)/2-0.05+('Prices&amp;Fuel'!M111+'Prices&amp;Fuel'!P111)*(1-'Prices&amp;Fuel'!F111)</f>
        <v>5.3833849153000015</v>
      </c>
      <c r="BI111" s="25"/>
      <c r="BJ111" s="25"/>
      <c r="BK111" s="25">
        <f>(((BB111+BE111)*('Prices&amp;Fuel'!B111+0.025))+(('Prices&amp;Fuel'!D111+0.025)*(BD111+BG111))+(('Prices&amp;Fuel'!C111+0.025)*(BC111+BF111))-(BI111+BJ111)*0.025)/(BB111+BC111+BD111+BE111+BF111+BG111)</f>
        <v>4.6909742605380966</v>
      </c>
      <c r="BL111" s="14">
        <f>(BB111+BC111+BD111+BE111+BF111+BG111)*BH111*'Prices&amp;Fuel'!H111</f>
        <v>3487437.0145387957</v>
      </c>
      <c r="BM111" s="14">
        <f>'Prices&amp;Fuel'!X111*('Prices&amp;Fuel'!N111+'Prices&amp;Fuel'!O111)*'Prices&amp;Fuel'!H111</f>
        <v>9134.1681425398001</v>
      </c>
      <c r="BN111" s="14">
        <f>('Prices&amp;Fuel'!U111+'Prices&amp;Fuel'!V111+'Prices&amp;Fuel'!W111)*('Prices&amp;Fuel'!L111+'Prices&amp;Fuel'!O111)*'Prices&amp;Fuel'!H111</f>
        <v>69689.82458385783</v>
      </c>
      <c r="BO111" s="14">
        <f>((BB111+BC111+BD111)*(1-'Prices&amp;Fuel'!G111))*('Prices&amp;Fuel'!M111+'Prices&amp;Fuel'!P111)*'Prices&amp;Fuel'!H111</f>
        <v>346909.28999999689</v>
      </c>
      <c r="BP111" s="14">
        <f>((BD111+BC111+BB111+BE111+BF111+BG111)*BK111*'Prices&amp;Fuel'!H111)+BM111+BN111+BO111</f>
        <v>3464616.3512497689</v>
      </c>
      <c r="BQ111" s="6">
        <f t="shared" si="133"/>
        <v>22820.663289026823</v>
      </c>
      <c r="CA111" s="6">
        <f>(AF111+AG111+AH111+AL111)*0.005*'Prices&amp;Fuel'!H111</f>
        <v>30848.329048843189</v>
      </c>
      <c r="CB111" s="6">
        <f>(B111+C111+D111+O111+P111+Q111+X111+Y111+BB111+BC111+BD111+BE111+BF111+BG111+BR111+BS111)*0.005*'Prices&amp;Fuel'!H111</f>
        <v>7004.0745501285137</v>
      </c>
      <c r="CC111" s="1">
        <f t="shared" si="137"/>
        <v>35152371.325644195</v>
      </c>
      <c r="CD111" s="1">
        <f t="shared" si="138"/>
        <v>34887917.086776771</v>
      </c>
      <c r="CE111" s="1">
        <f t="shared" si="139"/>
        <v>264454.23886742443</v>
      </c>
      <c r="CF111" s="1">
        <f>'Index Price Deals'!AR111</f>
        <v>0</v>
      </c>
      <c r="CG111" s="1">
        <f>'Index Price Deals'!AS111</f>
        <v>0</v>
      </c>
      <c r="CH111" s="1">
        <f>'Index Price Deals'!AT111</f>
        <v>0</v>
      </c>
      <c r="CI111" s="1">
        <f>'Index Price Deals'!AU111</f>
        <v>0</v>
      </c>
      <c r="CJ111" s="1">
        <f t="shared" si="136"/>
        <v>35152371.325644195</v>
      </c>
      <c r="CK111" s="1">
        <f t="shared" si="141"/>
        <v>34887917.086776771</v>
      </c>
      <c r="CL111" s="1">
        <f t="shared" si="141"/>
        <v>264454.23886742443</v>
      </c>
      <c r="CM111" s="30"/>
      <c r="CN111" s="1">
        <f>Transport!U111</f>
        <v>3.0474329832941295E-9</v>
      </c>
      <c r="CQ111" s="1">
        <f>(((($B111+$C111+$D111+$O111+$P111+$Q111)*0.5)+BR111+BS111)*(0.005*'Prices&amp;Fuel'!$H111)+'Index Price Deals'!AV111)+(((BB111+BC111+BD111+BE111+BF111+BG111)*(1-'Prices&amp;Fuel'!F111))*0.005*0.5*'Prices&amp;Fuel'!H111)</f>
        <v>3457.49999999999</v>
      </c>
      <c r="CR111" s="1">
        <f>(((($B111+$C111+$D111+$O111+$P111+$Q111)*0.5)+X111+Y111)*(0.005*'Prices&amp;Fuel'!$H111)+CA111+'Index Price Deals'!AW111)+(((BB111+BC111+BD111+BE111+BF111+BG111)*(1-'Prices&amp;Fuel'!F111))*0.005*0.5*'Prices&amp;Fuel'!H111)</f>
        <v>34305.829048843181</v>
      </c>
      <c r="CS111" s="21"/>
      <c r="CT111" s="1">
        <f>[3]Sheet1!$O128</f>
        <v>-268677.48503745912</v>
      </c>
      <c r="CU111" s="1">
        <f>'[4]Long Term Deals'!$Z110</f>
        <v>15438.565329495468</v>
      </c>
      <c r="CV111" s="60">
        <f t="shared" si="106"/>
        <v>548570.28923437593</v>
      </c>
      <c r="DB111" s="3">
        <f>(O111+P111+Q111)*'Prices&amp;Fuel'!$H111</f>
        <v>753000</v>
      </c>
      <c r="DE111" s="3">
        <v>200000</v>
      </c>
    </row>
    <row r="112" spans="1:109" x14ac:dyDescent="0.25">
      <c r="A112" s="10">
        <f t="shared" si="130"/>
        <v>39003.583333333074</v>
      </c>
      <c r="O112" s="1">
        <v>9036</v>
      </c>
      <c r="P112" s="1">
        <v>10794</v>
      </c>
      <c r="Q112" s="1">
        <v>5270</v>
      </c>
      <c r="R112" s="11">
        <f t="shared" si="143"/>
        <v>3.3258999999999999</v>
      </c>
      <c r="S112" s="11">
        <f t="shared" si="144"/>
        <v>3.3131999999999997</v>
      </c>
      <c r="T112" s="1">
        <f>(($O112*R112)+($P112*R112)+($Q112*R112))*'Prices&amp;Fuel'!$H112</f>
        <v>2587882.79</v>
      </c>
      <c r="U112" s="1">
        <f>(($O112*S112)+($P112*S112)+($Q112*S112))*'Prices&amp;Fuel'!$H112</f>
        <v>2578000.92</v>
      </c>
      <c r="V112" s="13">
        <f t="shared" si="134"/>
        <v>9881.8700000001118</v>
      </c>
      <c r="AF112" s="1">
        <f>(32000/(1-'Prices&amp;Fuel'!F112))+(25000/(1-'Prices&amp;Fuel'!G112))-AI112</f>
        <v>58611.825192802062</v>
      </c>
      <c r="AG112" s="1">
        <v>0</v>
      </c>
      <c r="AH112" s="1">
        <f>(75000/(1-'Prices&amp;Fuel'!G112))-AK112</f>
        <v>77120.822622107968</v>
      </c>
      <c r="AI112" s="1"/>
      <c r="AJ112" s="1"/>
      <c r="AK112" s="1"/>
      <c r="AL112" s="21">
        <f>ROUND((132000/(1-'Prices&amp;Fuel'!F112))-AF112-AG112-AH112,0)</f>
        <v>0</v>
      </c>
      <c r="AM112" s="1">
        <f t="shared" si="126"/>
        <v>29306</v>
      </c>
      <c r="AO112" s="1">
        <f>ROUND((75000/(1-'Prices&amp;Fuel'!G112)-AV112-AK112)/2,0)</f>
        <v>38560</v>
      </c>
      <c r="AR112" s="1">
        <f t="shared" si="142"/>
        <v>29305.825192802062</v>
      </c>
      <c r="AT112" s="13">
        <f t="shared" si="107"/>
        <v>38560.822622107968</v>
      </c>
      <c r="AU112" s="13">
        <f>AL112*AX112*'Prices&amp;Fuel'!H112</f>
        <v>0</v>
      </c>
      <c r="AW112" s="20">
        <f t="shared" si="140"/>
        <v>0.05</v>
      </c>
      <c r="AX112" s="20">
        <f t="shared" si="129"/>
        <v>2.5000000000000001E-2</v>
      </c>
      <c r="AY112" s="6">
        <f>('Prices&amp;Fuel'!H112*('Prices&amp;Fuel'!B112+AW112)*'Long Term Deals'!AF112)+('Prices&amp;Fuel'!H112*('Prices&amp;Fuel'!C112+'Long Term Deals'!AW112)*'Long Term Deals'!AG112)+(AH112*('Prices&amp;Fuel'!C112+AW112)*'Prices&amp;Fuel'!H112)+(AW112*AL112*'Prices&amp;Fuel'!H112)</f>
        <v>22913675.971694808</v>
      </c>
      <c r="AZ112" s="6">
        <f>(AP112*'Prices&amp;Fuel'!H112*'Prices&amp;Fuel'!B112)+(AQ112*'Prices&amp;Fuel'!C112*'Prices&amp;Fuel'!H112)+((AM112+AR112)*('Prices&amp;Fuel'!B112+'Long Term Deals'!AX112)*'Prices&amp;Fuel'!H112)+((AN112+AS112)*('Prices&amp;Fuel'!C112+'Long Term Deals'!AX112)*'Prices&amp;Fuel'!H112)+((AO112+AT112)*('Prices&amp;Fuel'!D112+'Long Term Deals'!AX112)*'Prices&amp;Fuel'!H112)+(AV112*'Prices&amp;Fuel'!H112*'Prices&amp;Fuel'!Q112)+AU112</f>
        <v>22688945.894573987</v>
      </c>
      <c r="BA112" s="6">
        <f t="shared" si="135"/>
        <v>224730.07712082192</v>
      </c>
      <c r="BB112" s="6">
        <f>IF('FP Corp'!T112-((BE112+BF112+BG112)*(1-'Prices&amp;Fuel'!F112))&lt;'Prices&amp;Fuel'!R112,('FP Corp'!T112-(BE112+BF112+BG112)*(1-'Prices&amp;Fuel'!F112)),'Prices&amp;Fuel'!R112)/(1-'Prices&amp;Fuel'!F112)</f>
        <v>8976.8637532133671</v>
      </c>
      <c r="BC112" s="14"/>
      <c r="BD112" s="14">
        <f>ROUND(IF('FP Corp'!T112/(1-'Prices&amp;Fuel'!F112)-BE112-BF112-BG112-BB112&gt;'Prices&amp;Fuel'!T112,'Prices&amp;Fuel'!T112,'FP Corp'!T112/(1-'Prices&amp;Fuel'!F112)-BE112-BF112-BG112-BB112),9)</f>
        <v>3514.6529562979999</v>
      </c>
      <c r="BE112" s="14">
        <f>'Prices&amp;Fuel'!U112/(1-'Prices&amp;Fuel'!F112)</f>
        <v>2910.025706940874</v>
      </c>
      <c r="BF112" s="14">
        <f>('Prices&amp;Fuel'!V112+'Prices&amp;Fuel'!X112)/(1-'Prices&amp;Fuel'!F112)</f>
        <v>4628.2776349614396</v>
      </c>
      <c r="BG112" s="14">
        <f>'Prices&amp;Fuel'!W112/(1-'Prices&amp;Fuel'!F112)</f>
        <v>1564.0102827763496</v>
      </c>
      <c r="BH112" s="25">
        <f>('Prices&amp;Fuel'!C112+'Prices&amp;Fuel'!D112)/2-0.05+('Prices&amp;Fuel'!M112+'Prices&amp;Fuel'!P112)*(1-'Prices&amp;Fuel'!F112)</f>
        <v>6.0909956421000002</v>
      </c>
      <c r="BI112" s="25"/>
      <c r="BJ112" s="25"/>
      <c r="BK112" s="25">
        <f>(((BB112+BE112)*('Prices&amp;Fuel'!B112+0.025))+(('Prices&amp;Fuel'!D112+0.025)*(BD112+BG112))+(('Prices&amp;Fuel'!C112+0.025)*(BC112+BF112))-(BI112+BJ112)*0.025)/(BB112+BC112+BD112+BE112+BF112+BG112)</f>
        <v>5.4017587968619054</v>
      </c>
      <c r="BL112" s="14">
        <f>(BB112+BC112+BD112+BE112+BF112+BG112)*BH112*'Prices&amp;Fuel'!H112</f>
        <v>4077365.720315747</v>
      </c>
      <c r="BM112" s="14">
        <f>'Prices&amp;Fuel'!X112*('Prices&amp;Fuel'!N112+'Prices&amp;Fuel'!O112)*'Prices&amp;Fuel'!H112</f>
        <v>13833.205057645318</v>
      </c>
      <c r="BN112" s="14">
        <f>('Prices&amp;Fuel'!U112+'Prices&amp;Fuel'!V112+'Prices&amp;Fuel'!W112)*('Prices&amp;Fuel'!L112+'Prices&amp;Fuel'!O112)*'Prices&amp;Fuel'!H112</f>
        <v>108495.99691066272</v>
      </c>
      <c r="BO112" s="14">
        <f>((BB112+BC112+BD112)*(1-'Prices&amp;Fuel'!G112))*('Prices&amp;Fuel'!M112+'Prices&amp;Fuel'!P112)*'Prices&amp;Fuel'!H112</f>
        <v>288278.11399999529</v>
      </c>
      <c r="BP112" s="14">
        <f>((BD112+BC112+BB112+BE112+BF112+BG112)*BK112*'Prices&amp;Fuel'!H112)+BM112+BN112+BO112</f>
        <v>4026591.8679035921</v>
      </c>
      <c r="BQ112" s="6">
        <f t="shared" si="133"/>
        <v>50773.852412154898</v>
      </c>
      <c r="CA112" s="6">
        <f>(AF112+AG112+AH112+AL112)*0.005*'Prices&amp;Fuel'!H112</f>
        <v>21038.560411311057</v>
      </c>
      <c r="CB112" s="6">
        <f>(B112+C112+D112+O112+P112+Q112+X112+Y112+BB112+BC112+BD112+BE112+BF112+BG112+BR112+BS112)*0.005*'Prices&amp;Fuel'!H112</f>
        <v>7237.5437017994554</v>
      </c>
      <c r="CC112" s="1">
        <f t="shared" si="137"/>
        <v>29578924.482010555</v>
      </c>
      <c r="CD112" s="1">
        <f t="shared" si="138"/>
        <v>29321814.786590688</v>
      </c>
      <c r="CE112" s="1">
        <f t="shared" si="139"/>
        <v>257109.69541986659</v>
      </c>
      <c r="CF112" s="1">
        <f>'Index Price Deals'!AR112</f>
        <v>0</v>
      </c>
      <c r="CG112" s="1">
        <f>'Index Price Deals'!AS112</f>
        <v>0</v>
      </c>
      <c r="CH112" s="1">
        <f>'Index Price Deals'!AT112</f>
        <v>0</v>
      </c>
      <c r="CI112" s="1">
        <f>'Index Price Deals'!AU112</f>
        <v>0</v>
      </c>
      <c r="CJ112" s="1">
        <f t="shared" si="136"/>
        <v>29578924.482010555</v>
      </c>
      <c r="CK112" s="1">
        <f t="shared" si="141"/>
        <v>29321814.786590688</v>
      </c>
      <c r="CL112" s="1">
        <f t="shared" si="141"/>
        <v>257109.69541986659</v>
      </c>
      <c r="CM112" s="30"/>
      <c r="CN112" s="1">
        <f>Transport!U112</f>
        <v>4.3920459575019776E-9</v>
      </c>
      <c r="CQ112" s="1">
        <f>(((($B112+$C112+$D112+$O112+$P112+$Q112)*0.5)+BR112+BS112)*(0.005*'Prices&amp;Fuel'!$H112)+'Index Price Deals'!AV112)+(((BB112+BC112+BD112+BE112+BF112+BG112)*(1-'Prices&amp;Fuel'!F112))*0.005*0.5*'Prices&amp;Fuel'!H112)</f>
        <v>3572.749999999985</v>
      </c>
      <c r="CR112" s="1">
        <f>(((($B112+$C112+$D112+$O112+$P112+$Q112)*0.5)+X112+Y112)*(0.005*'Prices&amp;Fuel'!$H112)+CA112+'Index Price Deals'!AW112)+(((BB112+BC112+BD112+BE112+BF112+BG112)*(1-'Prices&amp;Fuel'!F112))*0.005*0.5*'Prices&amp;Fuel'!H112)</f>
        <v>24611.310411311042</v>
      </c>
      <c r="CS112" s="21"/>
      <c r="CT112" s="1">
        <f>[3]Sheet1!$O129</f>
        <v>-183238.04479554712</v>
      </c>
      <c r="CU112" s="1">
        <f>'[4]Long Term Deals'!$Z111</f>
        <v>10529.101554715919</v>
      </c>
      <c r="CV112" s="60">
        <f t="shared" si="106"/>
        <v>450876.8417701252</v>
      </c>
      <c r="DB112" s="3">
        <f>(O112+P112+Q112)*'Prices&amp;Fuel'!$H112</f>
        <v>778100</v>
      </c>
      <c r="DE112" s="3">
        <v>132000</v>
      </c>
    </row>
    <row r="113" spans="1:109" x14ac:dyDescent="0.25">
      <c r="A113" s="10">
        <f t="shared" ref="A113:A128" si="145">+A112+365/12</f>
        <v>39033.999999999738</v>
      </c>
      <c r="O113" s="1">
        <v>9036</v>
      </c>
      <c r="P113" s="1">
        <v>10794</v>
      </c>
      <c r="Q113" s="1">
        <v>5270</v>
      </c>
      <c r="R113" s="11">
        <f t="shared" si="143"/>
        <v>3.3258999999999999</v>
      </c>
      <c r="S113" s="11">
        <f t="shared" si="144"/>
        <v>3.3131999999999997</v>
      </c>
      <c r="T113" s="1">
        <f>(($O113*R113)+($P113*R113)+($Q113*R113))*'Prices&amp;Fuel'!$H113</f>
        <v>2504402.6999999997</v>
      </c>
      <c r="U113" s="1">
        <f>(($O113*S113)+($P113*S113)+($Q113*S113))*'Prices&amp;Fuel'!$H113</f>
        <v>2494839.5999999996</v>
      </c>
      <c r="V113" s="13">
        <f t="shared" si="134"/>
        <v>9563.1000000000931</v>
      </c>
      <c r="AF113" s="1">
        <f>(32000/(1-'Prices&amp;Fuel'!F113))+(25000/(1-'Prices&amp;Fuel'!G113))-AI113</f>
        <v>58611.825192802062</v>
      </c>
      <c r="AG113" s="1">
        <v>0</v>
      </c>
      <c r="AH113" s="1">
        <f>(75000/(1-'Prices&amp;Fuel'!G113))-AK113</f>
        <v>77120.822622107968</v>
      </c>
      <c r="AI113" s="1"/>
      <c r="AJ113" s="1"/>
      <c r="AK113" s="1"/>
      <c r="AL113" s="21">
        <f>ROUND((132000/(1-'Prices&amp;Fuel'!F113))-AF113-AG113-AH113,0)</f>
        <v>0</v>
      </c>
      <c r="AM113" s="1">
        <f t="shared" si="126"/>
        <v>29306</v>
      </c>
      <c r="AO113" s="1">
        <f>ROUND((75000/(1-'Prices&amp;Fuel'!G113)-AV113-AK113)/2,0)</f>
        <v>38560</v>
      </c>
      <c r="AR113" s="1">
        <f t="shared" si="142"/>
        <v>29305.825192802062</v>
      </c>
      <c r="AT113" s="13">
        <f t="shared" si="107"/>
        <v>38560.822622107968</v>
      </c>
      <c r="AU113" s="13">
        <f>AL113*AX113*'Prices&amp;Fuel'!H113</f>
        <v>0</v>
      </c>
      <c r="AW113" s="20">
        <f t="shared" si="140"/>
        <v>0.05</v>
      </c>
      <c r="AX113" s="20">
        <f t="shared" si="129"/>
        <v>2.5000000000000001E-2</v>
      </c>
      <c r="AY113" s="6">
        <f>('Prices&amp;Fuel'!H113*('Prices&amp;Fuel'!B113+AW113)*'Long Term Deals'!AF113)+('Prices&amp;Fuel'!H113*('Prices&amp;Fuel'!C113+'Long Term Deals'!AW113)*'Long Term Deals'!AG113)+(AH113*('Prices&amp;Fuel'!C113+AW113)*'Prices&amp;Fuel'!H113)+(AW113*AL113*'Prices&amp;Fuel'!H113)</f>
        <v>14843964.772244733</v>
      </c>
      <c r="AZ113" s="6">
        <f>(AP113*'Prices&amp;Fuel'!H113*'Prices&amp;Fuel'!B113)+(AQ113*'Prices&amp;Fuel'!C113*'Prices&amp;Fuel'!H113)+((AM113+AR113)*('Prices&amp;Fuel'!B113+'Long Term Deals'!AX113)*'Prices&amp;Fuel'!H113)+((AN113+AS113)*('Prices&amp;Fuel'!C113+'Long Term Deals'!AX113)*'Prices&amp;Fuel'!H113)+((AO113+AT113)*('Prices&amp;Fuel'!D113+'Long Term Deals'!AX113)*'Prices&amp;Fuel'!H113)+(AV113*'Prices&amp;Fuel'!H113*'Prices&amp;Fuel'!Q113)+AU113</f>
        <v>14626484.052450389</v>
      </c>
      <c r="BA113" s="6">
        <f t="shared" si="135"/>
        <v>217480.71979434416</v>
      </c>
      <c r="BB113" s="6">
        <f>IF('FP Corp'!T113-((BE113+BF113+BG113)*(1-'Prices&amp;Fuel'!F113))&lt;'Prices&amp;Fuel'!R113,('FP Corp'!T113-(BE113+BF113+BG113)*(1-'Prices&amp;Fuel'!F113)),'Prices&amp;Fuel'!R113)/(1-'Prices&amp;Fuel'!F113)</f>
        <v>4325.9640102827761</v>
      </c>
      <c r="BC113" s="14"/>
      <c r="BD113" s="14">
        <f>ROUND(IF('FP Corp'!T113/(1-'Prices&amp;Fuel'!F113)-BE113-BF113-BG113-BB113&gt;'Prices&amp;Fuel'!T113,'Prices&amp;Fuel'!T113,'FP Corp'!T113/(1-'Prices&amp;Fuel'!F113)-BE113-BF113-BG113-BB113),9)</f>
        <v>0</v>
      </c>
      <c r="BE113" s="14">
        <f>'Prices&amp;Fuel'!U113/(1-'Prices&amp;Fuel'!F113)</f>
        <v>2635.4755784061695</v>
      </c>
      <c r="BF113" s="14">
        <f>('Prices&amp;Fuel'!V113+'Prices&amp;Fuel'!X113)/(1-'Prices&amp;Fuel'!F113)</f>
        <v>3645.2442159383031</v>
      </c>
      <c r="BG113" s="14">
        <f>'Prices&amp;Fuel'!W113/(1-'Prices&amp;Fuel'!F113)</f>
        <v>1732.6478149100255</v>
      </c>
      <c r="BH113" s="25">
        <f>('Prices&amp;Fuel'!C113+'Prices&amp;Fuel'!D113)/2-0.05+('Prices&amp;Fuel'!M113+'Prices&amp;Fuel'!P113)*(1-'Prices&amp;Fuel'!F113)</f>
        <v>4.2907507048000006</v>
      </c>
      <c r="BI113" s="25"/>
      <c r="BJ113" s="25"/>
      <c r="BK113" s="25">
        <f>(((BB113+BE113)*('Prices&amp;Fuel'!B113+0.025))+(('Prices&amp;Fuel'!D113+0.025)*(BD113+BG113))+(('Prices&amp;Fuel'!C113+0.025)*(BC113+BF113))-(BI113+BJ113)*0.025)/(BB113+BC113+BD113+BE113+BF113+BG113)</f>
        <v>3.6054311214666672</v>
      </c>
      <c r="BL113" s="14">
        <f>(BB113+BC113+BD113+BE113+BF113+BG113)*BH113*'Prices&amp;Fuel'!H113</f>
        <v>1588349.8752987147</v>
      </c>
      <c r="BM113" s="14">
        <f>'Prices&amp;Fuel'!X113*('Prices&amp;Fuel'!N113+'Prices&amp;Fuel'!O113)*'Prices&amp;Fuel'!H113</f>
        <v>9134.1681425398001</v>
      </c>
      <c r="BN113" s="14">
        <f>('Prices&amp;Fuel'!U113+'Prices&amp;Fuel'!V113+'Prices&amp;Fuel'!W113)*('Prices&amp;Fuel'!L113+'Prices&amp;Fuel'!O113)*'Prices&amp;Fuel'!H113</f>
        <v>95086.289155868202</v>
      </c>
      <c r="BO113" s="14">
        <f>((BB113+BC113+BD113)*(1-'Prices&amp;Fuel'!G113))*('Prices&amp;Fuel'!M113+'Prices&amp;Fuel'!P113)*'Prices&amp;Fuel'!H113</f>
        <v>96613.75499999999</v>
      </c>
      <c r="BP113" s="14">
        <f>((BD113+BC113+BB113+BE113+BF113+BG113)*BK113*'Prices&amp;Fuel'!H113)+BM113+BN113+BO113</f>
        <v>1535492.5194737294</v>
      </c>
      <c r="BQ113" s="6">
        <f t="shared" si="133"/>
        <v>52857.355824985309</v>
      </c>
      <c r="CA113" s="6">
        <f>(AF113+AG113+AH113+AL113)*0.005*'Prices&amp;Fuel'!H113</f>
        <v>20359.897172236506</v>
      </c>
      <c r="CB113" s="6">
        <f>(B113+C113+D113+O113+P113+Q113+X113+Y113+BB113+BC113+BD113+BE113+BF113+BG113+BR113+BS113)*0.005*'Prices&amp;Fuel'!H113</f>
        <v>5615.8997429305909</v>
      </c>
      <c r="CC113" s="1">
        <f t="shared" si="137"/>
        <v>18936717.347543448</v>
      </c>
      <c r="CD113" s="1">
        <f t="shared" si="138"/>
        <v>18682791.968839284</v>
      </c>
      <c r="CE113" s="1">
        <f t="shared" si="139"/>
        <v>253925.37870416418</v>
      </c>
      <c r="CF113" s="1">
        <f>'Index Price Deals'!AR113</f>
        <v>0</v>
      </c>
      <c r="CG113" s="1">
        <f>'Index Price Deals'!AS113</f>
        <v>0</v>
      </c>
      <c r="CH113" s="1">
        <f>'Index Price Deals'!AT113</f>
        <v>0</v>
      </c>
      <c r="CI113" s="1">
        <f>'Index Price Deals'!AU113</f>
        <v>0</v>
      </c>
      <c r="CJ113" s="1">
        <f t="shared" si="136"/>
        <v>18936717.347543448</v>
      </c>
      <c r="CK113" s="1">
        <f t="shared" si="141"/>
        <v>18682791.968839284</v>
      </c>
      <c r="CL113" s="1">
        <f t="shared" si="141"/>
        <v>253925.37870416418</v>
      </c>
      <c r="CM113" s="30"/>
      <c r="CN113" s="1">
        <f>Transport!U113</f>
        <v>0</v>
      </c>
      <c r="CQ113" s="1">
        <f>(((($B113+$C113+$D113+$O113+$P113+$Q113)*0.5)+BR113+BS113)*(0.005*'Prices&amp;Fuel'!$H113)+'Index Price Deals'!AV113)+(((BB113+BC113+BD113+BE113+BF113+BG113)*(1-'Prices&amp;Fuel'!F113))*0.005*0.5*'Prices&amp;Fuel'!H113)</f>
        <v>2782.5</v>
      </c>
      <c r="CR113" s="1">
        <f>(((($B113+$C113+$D113+$O113+$P113+$Q113)*0.5)+X113+Y113)*(0.005*'Prices&amp;Fuel'!$H113)+CA113+'Index Price Deals'!AW113)+(((BB113+BC113+BD113+BE113+BF113+BG113)*(1-'Prices&amp;Fuel'!F113))*0.005*0.5*'Prices&amp;Fuel'!H113)</f>
        <v>23142.397172236506</v>
      </c>
      <c r="CS113" s="21"/>
      <c r="CT113" s="1">
        <f>[3]Sheet1!$O130</f>
        <v>-177327.14012472305</v>
      </c>
      <c r="CU113" s="1">
        <f>'[4]Long Term Deals'!$Z112</f>
        <v>10189.453117467026</v>
      </c>
      <c r="CV113" s="60">
        <f t="shared" si="106"/>
        <v>441441.97194635426</v>
      </c>
      <c r="DB113" s="3">
        <f>(O113+P113+Q113)*'Prices&amp;Fuel'!$H113</f>
        <v>753000</v>
      </c>
      <c r="DE113" s="3">
        <v>132000</v>
      </c>
    </row>
    <row r="114" spans="1:109" x14ac:dyDescent="0.25">
      <c r="A114" s="10">
        <f t="shared" si="145"/>
        <v>39064.416666666402</v>
      </c>
      <c r="O114" s="1">
        <v>9036</v>
      </c>
      <c r="P114" s="1">
        <v>10794</v>
      </c>
      <c r="Q114" s="1">
        <v>5270</v>
      </c>
      <c r="R114" s="11">
        <f t="shared" si="143"/>
        <v>3.3258999999999999</v>
      </c>
      <c r="S114" s="11">
        <f t="shared" si="144"/>
        <v>3.3131999999999997</v>
      </c>
      <c r="T114" s="1">
        <f>(($O114*R114)+($P114*R114)+($Q114*R114))*'Prices&amp;Fuel'!$H114</f>
        <v>2587882.79</v>
      </c>
      <c r="U114" s="1">
        <f>(($O114*S114)+($P114*S114)+($Q114*S114))*'Prices&amp;Fuel'!$H114</f>
        <v>2578000.92</v>
      </c>
      <c r="V114" s="13">
        <f t="shared" si="134"/>
        <v>9881.8700000001118</v>
      </c>
      <c r="AF114" s="1">
        <f>(32000/(1-'Prices&amp;Fuel'!F114))+(25000/(1-'Prices&amp;Fuel'!G114))-AI114</f>
        <v>58611.825192802062</v>
      </c>
      <c r="AG114" s="1">
        <v>0</v>
      </c>
      <c r="AH114" s="1">
        <f>(75000/(1-'Prices&amp;Fuel'!G114))-AK114</f>
        <v>77120.822622107968</v>
      </c>
      <c r="AI114" s="1"/>
      <c r="AJ114" s="1"/>
      <c r="AK114" s="1"/>
      <c r="AL114" s="21">
        <f>ROUND((132000/(1-'Prices&amp;Fuel'!F114))-AF114-AG114-AH114,0)</f>
        <v>0</v>
      </c>
      <c r="AM114" s="1">
        <f t="shared" si="126"/>
        <v>29306</v>
      </c>
      <c r="AO114" s="1">
        <f>ROUND((75000/(1-'Prices&amp;Fuel'!G114)-AV114-AK114)/2,0)</f>
        <v>38560</v>
      </c>
      <c r="AR114" s="1">
        <f t="shared" si="142"/>
        <v>29305.825192802062</v>
      </c>
      <c r="AT114" s="13">
        <f t="shared" si="107"/>
        <v>38560.822622107968</v>
      </c>
      <c r="AU114" s="13">
        <f>AL114*AX114*'Prices&amp;Fuel'!H114</f>
        <v>0</v>
      </c>
      <c r="AW114" s="20">
        <f t="shared" si="140"/>
        <v>0.05</v>
      </c>
      <c r="AX114" s="20">
        <f t="shared" si="129"/>
        <v>2.5000000000000001E-2</v>
      </c>
      <c r="AY114" s="6">
        <f>('Prices&amp;Fuel'!H114*('Prices&amp;Fuel'!B114+AW114)*'Long Term Deals'!AF114)+('Prices&amp;Fuel'!H114*('Prices&amp;Fuel'!C114+'Long Term Deals'!AW114)*'Long Term Deals'!AG114)+(AH114*('Prices&amp;Fuel'!C114+AW114)*'Prices&amp;Fuel'!H114)+(AW114*AL114*'Prices&amp;Fuel'!H114)</f>
        <v>11485628.980146017</v>
      </c>
      <c r="AZ114" s="6">
        <f>(AP114*'Prices&amp;Fuel'!H114*'Prices&amp;Fuel'!B114)+(AQ114*'Prices&amp;Fuel'!C114*'Prices&amp;Fuel'!H114)+((AM114+AR114)*('Prices&amp;Fuel'!B114+'Long Term Deals'!AX114)*'Prices&amp;Fuel'!H114)+((AN114+AS114)*('Prices&amp;Fuel'!C114+'Long Term Deals'!AX114)*'Prices&amp;Fuel'!H114)+((AO114+AT114)*('Prices&amp;Fuel'!D114+'Long Term Deals'!AX114)*'Prices&amp;Fuel'!H114)+(AV114*'Prices&amp;Fuel'!H114*'Prices&amp;Fuel'!Q114)+AU114</f>
        <v>11260898.903025195</v>
      </c>
      <c r="BA114" s="6">
        <f t="shared" si="135"/>
        <v>224730.07712082192</v>
      </c>
      <c r="BB114" s="6">
        <f>IF('FP Corp'!T114-((BE114+BF114+BG114)*(1-'Prices&amp;Fuel'!F114))&lt;'Prices&amp;Fuel'!R114,('FP Corp'!T114-(BE114+BF114+BG114)*(1-'Prices&amp;Fuel'!F114)),'Prices&amp;Fuel'!R114)/(1-'Prices&amp;Fuel'!F114)</f>
        <v>4325.9640102827761</v>
      </c>
      <c r="BC114" s="14"/>
      <c r="BD114" s="14">
        <f>ROUND(IF('FP Corp'!T114/(1-'Prices&amp;Fuel'!F114)-BE114-BF114-BG114-BB114&gt;'Prices&amp;Fuel'!T114,'Prices&amp;Fuel'!T114,'FP Corp'!T114/(1-'Prices&amp;Fuel'!F114)-BE114-BF114-BG114-BB114),9)</f>
        <v>0</v>
      </c>
      <c r="BE114" s="14">
        <f>'Prices&amp;Fuel'!U114/(1-'Prices&amp;Fuel'!F114)</f>
        <v>2635.4755784061695</v>
      </c>
      <c r="BF114" s="14">
        <f>('Prices&amp;Fuel'!V114+'Prices&amp;Fuel'!X114)/(1-'Prices&amp;Fuel'!F114)</f>
        <v>3645.2442159383031</v>
      </c>
      <c r="BG114" s="14">
        <f>'Prices&amp;Fuel'!W114/(1-'Prices&amp;Fuel'!F114)</f>
        <v>1732.6478149100255</v>
      </c>
      <c r="BH114" s="25">
        <f>('Prices&amp;Fuel'!C114+'Prices&amp;Fuel'!D114)/2-0.05+('Prices&amp;Fuel'!M114+'Prices&amp;Fuel'!P114)*(1-'Prices&amp;Fuel'!F114)</f>
        <v>3.3750191760000012</v>
      </c>
      <c r="BI114" s="25"/>
      <c r="BJ114" s="25"/>
      <c r="BK114" s="25">
        <f>(((BB114+BE114)*('Prices&amp;Fuel'!B114+0.025))+(('Prices&amp;Fuel'!D114+0.025)*(BD114+BG114))+(('Prices&amp;Fuel'!C114+0.025)*(BC114+BF114))-(BI114+BJ114)*0.025)/(BB114+BC114+BD114+BE114+BF114+BG114)</f>
        <v>2.6896995926666678</v>
      </c>
      <c r="BL114" s="14">
        <f>(BB114+BC114+BD114+BE114+BF114+BG114)*BH114*'Prices&amp;Fuel'!H114</f>
        <v>1291009.9058838049</v>
      </c>
      <c r="BM114" s="14">
        <f>'Prices&amp;Fuel'!X114*('Prices&amp;Fuel'!N114+'Prices&amp;Fuel'!O114)*'Prices&amp;Fuel'!H114</f>
        <v>9438.6404139577935</v>
      </c>
      <c r="BN114" s="14">
        <f>('Prices&amp;Fuel'!U114+'Prices&amp;Fuel'!V114+'Prices&amp;Fuel'!W114)*('Prices&amp;Fuel'!L114+'Prices&amp;Fuel'!O114)*'Prices&amp;Fuel'!H114</f>
        <v>98255.832127730479</v>
      </c>
      <c r="BO114" s="14">
        <f>((BB114+BC114+BD114)*(1-'Prices&amp;Fuel'!G114))*('Prices&amp;Fuel'!M114+'Prices&amp;Fuel'!P114)*'Prices&amp;Fuel'!H114</f>
        <v>99834.213499999998</v>
      </c>
      <c r="BP114" s="14">
        <f>((BD114+BC114+BB114+BE114+BF114+BG114)*BK114*'Prices&amp;Fuel'!H114)+BM114+BN114+BO114</f>
        <v>1236390.6381979869</v>
      </c>
      <c r="BQ114" s="6">
        <f t="shared" ref="BQ114:BQ129" si="146">BL114-BP114</f>
        <v>54619.26768581802</v>
      </c>
      <c r="CA114" s="6">
        <f>(AF114+AG114+AH114+AL114)*0.005*'Prices&amp;Fuel'!H114</f>
        <v>21038.560411311057</v>
      </c>
      <c r="CB114" s="6">
        <f>(B114+C114+D114+O114+P114+Q114+X114+Y114+BB114+BC114+BD114+BE114+BF114+BG114+BR114+BS114)*0.005*'Prices&amp;Fuel'!H114</f>
        <v>5803.0964010282778</v>
      </c>
      <c r="CC114" s="1">
        <f t="shared" si="137"/>
        <v>15364521.67602982</v>
      </c>
      <c r="CD114" s="1">
        <f t="shared" si="138"/>
        <v>15102132.118035521</v>
      </c>
      <c r="CE114" s="1">
        <f t="shared" si="139"/>
        <v>262389.55799429864</v>
      </c>
      <c r="CF114" s="1">
        <f>'Index Price Deals'!AR114</f>
        <v>0</v>
      </c>
      <c r="CG114" s="1">
        <f>'Index Price Deals'!AS114</f>
        <v>0</v>
      </c>
      <c r="CH114" s="1">
        <f>'Index Price Deals'!AT114</f>
        <v>0</v>
      </c>
      <c r="CI114" s="1">
        <f>'Index Price Deals'!AU114</f>
        <v>0</v>
      </c>
      <c r="CJ114" s="1">
        <f t="shared" si="136"/>
        <v>15364521.67602982</v>
      </c>
      <c r="CK114" s="1">
        <f t="shared" si="141"/>
        <v>15102132.118035521</v>
      </c>
      <c r="CL114" s="1">
        <f t="shared" si="141"/>
        <v>262389.55799429864</v>
      </c>
      <c r="CM114" s="1">
        <f>SUM(CL103:CL114)</f>
        <v>3119857.8469930794</v>
      </c>
      <c r="CN114" s="1">
        <f>Transport!U114</f>
        <v>0</v>
      </c>
      <c r="CQ114" s="1">
        <f>(((($B114+$C114+$D114+$O114+$P114+$Q114)*0.5)+BR114+BS114)*(0.005*'Prices&amp;Fuel'!$H114)+'Index Price Deals'!AV114)+(((BB114+BC114+BD114+BE114+BF114+BG114)*(1-'Prices&amp;Fuel'!F114))*0.005*0.5*'Prices&amp;Fuel'!H114)</f>
        <v>2875.25</v>
      </c>
      <c r="CR114" s="1">
        <f>(((($B114+$C114+$D114+$O114+$P114+$Q114)*0.5)+X114+Y114)*(0.005*'Prices&amp;Fuel'!$H114)+CA114+'Index Price Deals'!AW114)+(((BB114+BC114+BD114+BE114+BF114+BG114)*(1-'Prices&amp;Fuel'!F114))*0.005*0.5*'Prices&amp;Fuel'!H114)</f>
        <v>23913.810411311057</v>
      </c>
      <c r="CS114" s="21"/>
      <c r="CT114" s="1">
        <f>[3]Sheet1!$O131</f>
        <v>-183238.04479554712</v>
      </c>
      <c r="CU114" s="1">
        <f>'[4]Long Term Deals'!$Z113</f>
        <v>10529.101554715919</v>
      </c>
      <c r="CV114" s="60">
        <f t="shared" si="106"/>
        <v>456156.70434456167</v>
      </c>
      <c r="DB114" s="3">
        <f>(O114+P114+Q114)*'Prices&amp;Fuel'!$H114</f>
        <v>778100</v>
      </c>
      <c r="DE114" s="3">
        <v>132000</v>
      </c>
    </row>
    <row r="115" spans="1:109" x14ac:dyDescent="0.25">
      <c r="A115" s="10">
        <f t="shared" si="145"/>
        <v>39094.833333333067</v>
      </c>
      <c r="O115" s="1">
        <v>9036</v>
      </c>
      <c r="P115" s="1">
        <v>10794</v>
      </c>
      <c r="Q115" s="1">
        <v>5270</v>
      </c>
      <c r="R115" s="11">
        <f t="shared" si="143"/>
        <v>3.3258999999999999</v>
      </c>
      <c r="S115" s="11">
        <f t="shared" si="144"/>
        <v>3.3131999999999997</v>
      </c>
      <c r="T115" s="1">
        <f>(($O115*R115)+($P115*R115)+($Q115*R115))*'Prices&amp;Fuel'!$H115</f>
        <v>2587882.79</v>
      </c>
      <c r="U115" s="1">
        <f>(($O115*S115)+($P115*S115)+($Q115*S115))*'Prices&amp;Fuel'!$H115</f>
        <v>2578000.92</v>
      </c>
      <c r="V115" s="13">
        <f t="shared" si="134"/>
        <v>9881.8700000001118</v>
      </c>
      <c r="AF115" s="1">
        <f>(32000/(1-'Prices&amp;Fuel'!F115))+(25000/(1-'Prices&amp;Fuel'!G115))-AI115</f>
        <v>58611.825192802062</v>
      </c>
      <c r="AG115" s="1">
        <v>0</v>
      </c>
      <c r="AH115" s="1">
        <f>(75000/(1-'Prices&amp;Fuel'!G115))-AK115</f>
        <v>77120.822622107968</v>
      </c>
      <c r="AI115" s="1"/>
      <c r="AJ115" s="1"/>
      <c r="AK115" s="1"/>
      <c r="AL115" s="21">
        <f>ROUND((132000/(1-'Prices&amp;Fuel'!F115))-AF115-AG115-AH115,0)</f>
        <v>0</v>
      </c>
      <c r="AM115" s="1">
        <f t="shared" si="126"/>
        <v>29306</v>
      </c>
      <c r="AO115" s="1">
        <f>ROUND((75000/(1-'Prices&amp;Fuel'!G115)-AV115-AK115)/2,0)</f>
        <v>38560</v>
      </c>
      <c r="AR115" s="1">
        <f t="shared" si="142"/>
        <v>29305.825192802062</v>
      </c>
      <c r="AT115" s="13">
        <f t="shared" si="107"/>
        <v>38560.822622107968</v>
      </c>
      <c r="AU115" s="13">
        <f>AL115*AX115*'Prices&amp;Fuel'!H115</f>
        <v>0</v>
      </c>
      <c r="AW115" s="20">
        <v>0.04</v>
      </c>
      <c r="AX115" s="20">
        <f t="shared" si="129"/>
        <v>2.5000000000000001E-2</v>
      </c>
      <c r="AY115" s="6">
        <f>('Prices&amp;Fuel'!H115*('Prices&amp;Fuel'!B115+AW115)*'Long Term Deals'!AF115)+('Prices&amp;Fuel'!H115*('Prices&amp;Fuel'!C115+'Long Term Deals'!AW115)*'Long Term Deals'!AG115)+(AH115*('Prices&amp;Fuel'!C115+AW115)*'Prices&amp;Fuel'!H115)+(AW115*AL115*'Prices&amp;Fuel'!H115)</f>
        <v>10098019.736525333</v>
      </c>
      <c r="AZ115" s="6">
        <f>(AP115*'Prices&amp;Fuel'!H115*'Prices&amp;Fuel'!B115)+(AQ115*'Prices&amp;Fuel'!C115*'Prices&amp;Fuel'!H115)+((AM115+AR115)*('Prices&amp;Fuel'!B115+'Long Term Deals'!AX115)*'Prices&amp;Fuel'!H115)+((AN115+AS115)*('Prices&amp;Fuel'!C115+'Long Term Deals'!AX115)*'Prices&amp;Fuel'!H115)+((AO115+AT115)*('Prices&amp;Fuel'!D115+'Long Term Deals'!AX115)*'Prices&amp;Fuel'!H115)+(AV115*'Prices&amp;Fuel'!H115*'Prices&amp;Fuel'!Q115)+AU115</f>
        <v>9915366.7802271321</v>
      </c>
      <c r="BA115" s="6">
        <f t="shared" si="135"/>
        <v>182652.95629820041</v>
      </c>
      <c r="BB115" s="6">
        <f>IF('FP Corp'!T115-((BE115+BF115+BG115)*(1-'Prices&amp;Fuel'!F115))&lt;'Prices&amp;Fuel'!R115,('FP Corp'!T115-(BE115+BF115+BG115)*(1-'Prices&amp;Fuel'!F115)),'Prices&amp;Fuel'!R115)/(1-'Prices&amp;Fuel'!F115)</f>
        <v>4325.9640102827761</v>
      </c>
      <c r="BC115" s="14"/>
      <c r="BD115" s="14">
        <f>ROUND(IF('FP Corp'!T115/(1-'Prices&amp;Fuel'!F115)-BE115-BF115-BG115-BB115&gt;'Prices&amp;Fuel'!T115,'Prices&amp;Fuel'!T115,'FP Corp'!T115/(1-'Prices&amp;Fuel'!F115)-BE115-BF115-BG115-BB115),9)</f>
        <v>0</v>
      </c>
      <c r="BE115" s="14">
        <f>'Prices&amp;Fuel'!U115/(1-'Prices&amp;Fuel'!F115)</f>
        <v>2635.4755784061695</v>
      </c>
      <c r="BF115" s="14">
        <f>('Prices&amp;Fuel'!V115+'Prices&amp;Fuel'!X115)/(1-'Prices&amp;Fuel'!F115)</f>
        <v>3645.2442159383031</v>
      </c>
      <c r="BG115" s="14">
        <f>'Prices&amp;Fuel'!W115/(1-'Prices&amp;Fuel'!F115)</f>
        <v>1732.6478149100255</v>
      </c>
      <c r="BH115" s="25">
        <f>('Prices&amp;Fuel'!C115+'Prices&amp;Fuel'!D115)/2-0.05+('Prices&amp;Fuel'!M115+'Prices&amp;Fuel'!P115)*(1-'Prices&amp;Fuel'!F115)</f>
        <v>3.0552415637270007</v>
      </c>
      <c r="BI115" s="25"/>
      <c r="BJ115" s="25"/>
      <c r="BK115" s="25">
        <f>(((BB115+BE115)*('Prices&amp;Fuel'!B115+0.025))+(('Prices&amp;Fuel'!D115+0.025)*(BD115+BG115))+(('Prices&amp;Fuel'!C115+0.025)*(BC115+BF115))-(BI115+BJ115)*0.025)/(BB115+BC115+BD115+BE115+BF115+BG115)</f>
        <v>2.3699219803936669</v>
      </c>
      <c r="BL115" s="14">
        <f>(BB115+BC115+BD115+BE115+BF115+BG115)*BH115*'Prices&amp;Fuel'!H115</f>
        <v>1168688.8038112537</v>
      </c>
      <c r="BM115" s="14">
        <f>'Prices&amp;Fuel'!X115*('Prices&amp;Fuel'!N115+'Prices&amp;Fuel'!O115)*'Prices&amp;Fuel'!H115</f>
        <v>9438.6404139577935</v>
      </c>
      <c r="BN115" s="14">
        <f>('Prices&amp;Fuel'!U115+'Prices&amp;Fuel'!V115+'Prices&amp;Fuel'!W115)*('Prices&amp;Fuel'!L115+'Prices&amp;Fuel'!O115)*'Prices&amp;Fuel'!H115</f>
        <v>98255.832127730479</v>
      </c>
      <c r="BO115" s="14">
        <f>((BB115+BC115+BD115)*(1-'Prices&amp;Fuel'!G115))*('Prices&amp;Fuel'!M115+'Prices&amp;Fuel'!P115)*'Prices&amp;Fuel'!H115</f>
        <v>99834.213499999998</v>
      </c>
      <c r="BP115" s="14">
        <f>((BD115+BC115+BB115+BE115+BF115+BG115)*BK115*'Prices&amp;Fuel'!H115)+BM115+BN115+BO115</f>
        <v>1114069.5361254353</v>
      </c>
      <c r="BQ115" s="6">
        <f t="shared" si="146"/>
        <v>54619.267685818486</v>
      </c>
      <c r="CA115" s="6">
        <f>(AF115+AG115+AH115+AL115)*0.005*'Prices&amp;Fuel'!H115</f>
        <v>21038.560411311057</v>
      </c>
      <c r="CB115" s="6">
        <f>(B115+C115+D115+O115+P115+Q115+X115+Y115+BB115+BC115+BD115+BE115+BF115+BG115+BR115+BS115)*0.005*'Prices&amp;Fuel'!H115</f>
        <v>5803.0964010282778</v>
      </c>
      <c r="CC115" s="1">
        <f t="shared" si="137"/>
        <v>13854591.330336588</v>
      </c>
      <c r="CD115" s="1">
        <f t="shared" si="138"/>
        <v>13634278.893164907</v>
      </c>
      <c r="CE115" s="1">
        <f t="shared" si="139"/>
        <v>220312.43717168085</v>
      </c>
      <c r="CF115" s="1">
        <f>'Index Price Deals'!AR115</f>
        <v>0</v>
      </c>
      <c r="CG115" s="1">
        <f>'Index Price Deals'!AS115</f>
        <v>0</v>
      </c>
      <c r="CH115" s="1">
        <f>'Index Price Deals'!AT115</f>
        <v>0</v>
      </c>
      <c r="CI115" s="1">
        <f>'Index Price Deals'!AU115</f>
        <v>0</v>
      </c>
      <c r="CJ115" s="1">
        <f t="shared" si="136"/>
        <v>13854591.330336588</v>
      </c>
      <c r="CK115" s="1">
        <f t="shared" si="141"/>
        <v>13634278.893164907</v>
      </c>
      <c r="CL115" s="1">
        <f t="shared" si="141"/>
        <v>220312.43717168085</v>
      </c>
      <c r="CM115" s="30"/>
      <c r="CN115" s="1">
        <f>Transport!U115</f>
        <v>0</v>
      </c>
      <c r="CQ115" s="1">
        <f>(((($B115+$C115+$D115+$O115+$P115+$Q115)*0.5)+BR115+BS115)*(0.005*'Prices&amp;Fuel'!$H115)+'Index Price Deals'!AV115)+(((BB115+BC115+BD115+BE115+BF115+BG115)*(1-'Prices&amp;Fuel'!F115))*0.005*0.5*'Prices&amp;Fuel'!H115)</f>
        <v>2875.25</v>
      </c>
      <c r="CR115" s="1">
        <f>(((($B115+$C115+$D115+$O115+$P115+$Q115)*0.5)+X115+Y115)*(0.005*'Prices&amp;Fuel'!$H115)+CA115+'Index Price Deals'!AW115)+(((BB115+BC115+BD115+BE115+BF115+BG115)*(1-'Prices&amp;Fuel'!F115))*0.005*0.5*'Prices&amp;Fuel'!H115)</f>
        <v>23913.810411311057</v>
      </c>
      <c r="CS115" s="21"/>
      <c r="CT115" s="1">
        <f>[3]Sheet1!$O133</f>
        <v>-225445.36815810515</v>
      </c>
      <c r="CU115" s="1">
        <f>'[4]Long Term Deals'!$Z114</f>
        <v>10529.101554715919</v>
      </c>
      <c r="CV115" s="60">
        <f t="shared" si="106"/>
        <v>456286.90688450192</v>
      </c>
      <c r="DB115" s="3">
        <f>(O115+P115+Q115)*'Prices&amp;Fuel'!$H115</f>
        <v>778100</v>
      </c>
      <c r="DE115" s="3">
        <v>132000</v>
      </c>
    </row>
    <row r="116" spans="1:109" x14ac:dyDescent="0.25">
      <c r="A116" s="10">
        <f t="shared" si="145"/>
        <v>39125.249999999731</v>
      </c>
      <c r="O116" s="1">
        <v>9036</v>
      </c>
      <c r="P116" s="1">
        <v>10794</v>
      </c>
      <c r="Q116" s="1">
        <v>5270</v>
      </c>
      <c r="R116" s="11">
        <f t="shared" si="143"/>
        <v>3.3258999999999999</v>
      </c>
      <c r="S116" s="11">
        <f t="shared" si="144"/>
        <v>3.3131999999999997</v>
      </c>
      <c r="T116" s="1">
        <f>(($O116*R116)+($P116*R116)+($Q116*R116))*'Prices&amp;Fuel'!$H116</f>
        <v>2337442.52</v>
      </c>
      <c r="U116" s="1">
        <f>(($O116*S116)+($P116*S116)+($Q116*S116))*'Prices&amp;Fuel'!$H116</f>
        <v>2328516.96</v>
      </c>
      <c r="V116" s="13">
        <f t="shared" si="134"/>
        <v>8925.5600000000559</v>
      </c>
      <c r="AF116" s="1">
        <f>(32000/(1-'Prices&amp;Fuel'!F116))+(25000/(1-'Prices&amp;Fuel'!G116))-AI116</f>
        <v>58611.825192802062</v>
      </c>
      <c r="AG116" s="1">
        <v>0</v>
      </c>
      <c r="AH116" s="1">
        <f>(75000/(1-'Prices&amp;Fuel'!G116))-AK116</f>
        <v>77120.822622107968</v>
      </c>
      <c r="AI116" s="1"/>
      <c r="AJ116" s="1"/>
      <c r="AK116" s="1"/>
      <c r="AL116" s="21">
        <f>ROUND((132000/(1-'Prices&amp;Fuel'!F116))-AF116-AG116-AH116,0)</f>
        <v>0</v>
      </c>
      <c r="AM116" s="1">
        <f t="shared" si="126"/>
        <v>29306</v>
      </c>
      <c r="AO116" s="1">
        <f>ROUND((75000/(1-'Prices&amp;Fuel'!G116)-AV116-AK116)/2,0)</f>
        <v>38560</v>
      </c>
      <c r="AR116" s="1">
        <f t="shared" si="142"/>
        <v>29305.825192802062</v>
      </c>
      <c r="AT116" s="13">
        <f t="shared" si="107"/>
        <v>38560.822622107968</v>
      </c>
      <c r="AU116" s="13">
        <f>AL116*AX116*'Prices&amp;Fuel'!H116</f>
        <v>0</v>
      </c>
      <c r="AW116" s="20">
        <f t="shared" ref="AW116:AW126" si="147">AW115</f>
        <v>0.04</v>
      </c>
      <c r="AX116" s="20">
        <f t="shared" si="129"/>
        <v>2.5000000000000001E-2</v>
      </c>
      <c r="AY116" s="6">
        <f>('Prices&amp;Fuel'!H116*('Prices&amp;Fuel'!B116+AW116)*'Long Term Deals'!AF116)+('Prices&amp;Fuel'!H116*('Prices&amp;Fuel'!C116+'Long Term Deals'!AW116)*'Long Term Deals'!AG116)+(AH116*('Prices&amp;Fuel'!C116+AW116)*'Prices&amp;Fuel'!H116)+(AW116*AL116*'Prices&amp;Fuel'!H116)</f>
        <v>10199274.230057362</v>
      </c>
      <c r="AZ116" s="6">
        <f>(AP116*'Prices&amp;Fuel'!H116*'Prices&amp;Fuel'!B116)+(AQ116*'Prices&amp;Fuel'!C116*'Prices&amp;Fuel'!H116)+((AM116+AR116)*('Prices&amp;Fuel'!B116+'Long Term Deals'!AX116)*'Prices&amp;Fuel'!H116)+((AN116+AS116)*('Prices&amp;Fuel'!C116+'Long Term Deals'!AX116)*'Prices&amp;Fuel'!H116)+((AO116+AT116)*('Prices&amp;Fuel'!D116+'Long Term Deals'!AX116)*'Prices&amp;Fuel'!H116)+(AV116*'Prices&amp;Fuel'!H116*'Prices&amp;Fuel'!Q116)+AU116</f>
        <v>10034297.366304148</v>
      </c>
      <c r="BA116" s="6">
        <f t="shared" si="135"/>
        <v>164976.86375321448</v>
      </c>
      <c r="BB116" s="6">
        <f>IF('FP Corp'!T116-((BE116+BF116+BG116)*(1-'Prices&amp;Fuel'!F116))&lt;'Prices&amp;Fuel'!R116,('FP Corp'!T116-(BE116+BF116+BG116)*(1-'Prices&amp;Fuel'!F116)),'Prices&amp;Fuel'!R116)/(1-'Prices&amp;Fuel'!F116)</f>
        <v>4325.9640102827761</v>
      </c>
      <c r="BC116" s="14"/>
      <c r="BD116" s="14">
        <f>ROUND(IF('FP Corp'!T116/(1-'Prices&amp;Fuel'!F116)-BE116-BF116-BG116-BB116&gt;'Prices&amp;Fuel'!T116,'Prices&amp;Fuel'!T116,'FP Corp'!T116/(1-'Prices&amp;Fuel'!F116)-BE116-BF116-BG116-BB116),9)</f>
        <v>0</v>
      </c>
      <c r="BE116" s="14">
        <f>'Prices&amp;Fuel'!U116/(1-'Prices&amp;Fuel'!F116)</f>
        <v>2635.4755784061695</v>
      </c>
      <c r="BF116" s="14">
        <f>('Prices&amp;Fuel'!V116+'Prices&amp;Fuel'!X116)/(1-'Prices&amp;Fuel'!F116)</f>
        <v>3645.2442159383031</v>
      </c>
      <c r="BG116" s="14">
        <f>'Prices&amp;Fuel'!W116/(1-'Prices&amp;Fuel'!F116)</f>
        <v>1732.6478149100255</v>
      </c>
      <c r="BH116" s="25">
        <f>('Prices&amp;Fuel'!C116+'Prices&amp;Fuel'!D116)/2-0.05+('Prices&amp;Fuel'!M116+'Prices&amp;Fuel'!P116)*(1-'Prices&amp;Fuel'!F116)</f>
        <v>3.3390142772540004</v>
      </c>
      <c r="BI116" s="25"/>
      <c r="BJ116" s="25"/>
      <c r="BK116" s="25">
        <f>(((BB116+BE116)*('Prices&amp;Fuel'!B116+0.025))+(('Prices&amp;Fuel'!D116+0.025)*(BD116+BG116))+(('Prices&amp;Fuel'!C116+0.025)*(BC116+BF116))-(BI116+BJ116)*0.025)/(BB116+BC116+BD116+BE116+BF116+BG116)</f>
        <v>2.6536946939206669</v>
      </c>
      <c r="BL116" s="14">
        <f>(BB116+BC116+BD116+BE116+BF116+BG116)*BH116*'Prices&amp;Fuel'!H116</f>
        <v>1153633.7245833871</v>
      </c>
      <c r="BM116" s="14">
        <f>'Prices&amp;Fuel'!X116*('Prices&amp;Fuel'!N116+'Prices&amp;Fuel'!O116)*'Prices&amp;Fuel'!H116</f>
        <v>8525.2235997038133</v>
      </c>
      <c r="BN116" s="14">
        <f>('Prices&amp;Fuel'!U116+'Prices&amp;Fuel'!V116+'Prices&amp;Fuel'!W116)*('Prices&amp;Fuel'!L116+'Prices&amp;Fuel'!O116)*'Prices&amp;Fuel'!H116</f>
        <v>88747.203212143664</v>
      </c>
      <c r="BO116" s="14">
        <f>((BB116+BC116+BD116)*(1-'Prices&amp;Fuel'!G116))*('Prices&amp;Fuel'!M116+'Prices&amp;Fuel'!P116)*'Prices&amp;Fuel'!H116</f>
        <v>90172.837999999989</v>
      </c>
      <c r="BP116" s="14">
        <f>((BD116+BC116+BB116+BE116+BF116+BG116)*BK116*'Prices&amp;Fuel'!H116)+BM116+BN116+BO116</f>
        <v>1104300.1924800675</v>
      </c>
      <c r="BQ116" s="6">
        <f t="shared" si="146"/>
        <v>49333.532103319652</v>
      </c>
      <c r="CA116" s="6">
        <f>(AF116+AG116+AH116+AL116)*0.005*'Prices&amp;Fuel'!H116</f>
        <v>19002.570694087408</v>
      </c>
      <c r="CB116" s="6">
        <f>(B116+C116+D116+O116+P116+Q116+X116+Y116+BB116+BC116+BD116+BE116+BF116+BG116+BR116+BS116)*0.005*'Prices&amp;Fuel'!H116</f>
        <v>5241.5064267352182</v>
      </c>
      <c r="CC116" s="1">
        <f t="shared" si="137"/>
        <v>13690350.474640749</v>
      </c>
      <c r="CD116" s="1">
        <f t="shared" si="138"/>
        <v>13491358.595905038</v>
      </c>
      <c r="CE116" s="1">
        <f t="shared" si="139"/>
        <v>198991.8787357118</v>
      </c>
      <c r="CF116" s="1">
        <f>'Index Price Deals'!AR116</f>
        <v>0</v>
      </c>
      <c r="CG116" s="1">
        <f>'Index Price Deals'!AS116</f>
        <v>0</v>
      </c>
      <c r="CH116" s="1">
        <f>'Index Price Deals'!AT116</f>
        <v>0</v>
      </c>
      <c r="CI116" s="1">
        <f>'Index Price Deals'!AU116</f>
        <v>0</v>
      </c>
      <c r="CJ116" s="1">
        <f t="shared" si="136"/>
        <v>13690350.474640749</v>
      </c>
      <c r="CK116" s="1">
        <f t="shared" si="141"/>
        <v>13491358.595905038</v>
      </c>
      <c r="CL116" s="1">
        <f t="shared" si="141"/>
        <v>198991.8787357118</v>
      </c>
      <c r="CM116" s="30"/>
      <c r="CN116" s="1">
        <f>Transport!U116</f>
        <v>0</v>
      </c>
      <c r="CQ116" s="1">
        <f>(((($B116+$C116+$D116+$O116+$P116+$Q116)*0.5)+BR116+BS116)*(0.005*'Prices&amp;Fuel'!$H116)+'Index Price Deals'!AV116)+(((BB116+BC116+BD116+BE116+BF116+BG116)*(1-'Prices&amp;Fuel'!F116))*0.005*0.5*'Prices&amp;Fuel'!H116)</f>
        <v>2597</v>
      </c>
      <c r="CR116" s="1">
        <f>(((($B116+$C116+$D116+$O116+$P116+$Q116)*0.5)+X116+Y116)*(0.005*'Prices&amp;Fuel'!$H116)+CA116+'Index Price Deals'!AW116)+(((BB116+BC116+BD116+BE116+BF116+BG116)*(1-'Prices&amp;Fuel'!F116))*0.005*0.5*'Prices&amp;Fuel'!H116)</f>
        <v>21599.570694087408</v>
      </c>
      <c r="CS116" s="21"/>
      <c r="CT116" s="1">
        <f>[3]Sheet1!$O134</f>
        <v>-203628.07446538532</v>
      </c>
      <c r="CU116" s="1">
        <f>'[4]Long Term Deals'!$Z115</f>
        <v>9510.1562429692131</v>
      </c>
      <c r="CV116" s="60">
        <f t="shared" si="106"/>
        <v>412130.1094440663</v>
      </c>
      <c r="DB116" s="3">
        <f>(O116+P116+Q116)*'Prices&amp;Fuel'!$H116</f>
        <v>702800</v>
      </c>
      <c r="DE116" s="3">
        <v>132000</v>
      </c>
    </row>
    <row r="117" spans="1:109" x14ac:dyDescent="0.25">
      <c r="A117" s="10">
        <f t="shared" si="145"/>
        <v>39155.666666666395</v>
      </c>
      <c r="O117" s="1">
        <v>9036</v>
      </c>
      <c r="P117" s="1">
        <v>10794</v>
      </c>
      <c r="Q117" s="1">
        <v>5270</v>
      </c>
      <c r="R117" s="11">
        <f t="shared" si="143"/>
        <v>3.3258999999999999</v>
      </c>
      <c r="S117" s="11">
        <f t="shared" si="144"/>
        <v>3.3131999999999997</v>
      </c>
      <c r="T117" s="1">
        <f>(($O117*R117)+($P117*R117)+($Q117*R117))*'Prices&amp;Fuel'!$H117</f>
        <v>2587882.79</v>
      </c>
      <c r="U117" s="1">
        <f>(($O117*S117)+($P117*S117)+($Q117*S117))*'Prices&amp;Fuel'!$H117</f>
        <v>2578000.92</v>
      </c>
      <c r="V117" s="13">
        <f t="shared" ref="V117:V132" si="148">T117-U117</f>
        <v>9881.8700000001118</v>
      </c>
      <c r="AF117" s="1">
        <f>(32000/(1-'Prices&amp;Fuel'!F117))+(25000/(1-'Prices&amp;Fuel'!G117))-AI117</f>
        <v>58611.825192802062</v>
      </c>
      <c r="AG117" s="1">
        <v>0</v>
      </c>
      <c r="AH117" s="1">
        <f>(75000/(1-'Prices&amp;Fuel'!G117))-AK117</f>
        <v>77120.822622107968</v>
      </c>
      <c r="AI117" s="1"/>
      <c r="AJ117" s="1"/>
      <c r="AK117" s="1"/>
      <c r="AL117" s="21">
        <f>ROUND((132000/(1-'Prices&amp;Fuel'!F117))-AF117-AG117-AH117,0)</f>
        <v>0</v>
      </c>
      <c r="AM117" s="1">
        <f t="shared" si="126"/>
        <v>29306</v>
      </c>
      <c r="AO117" s="1">
        <f>ROUND((75000/(1-'Prices&amp;Fuel'!G117)-AV117-AK117)/2,0)</f>
        <v>38560</v>
      </c>
      <c r="AR117" s="1">
        <f t="shared" si="142"/>
        <v>29305.825192802062</v>
      </c>
      <c r="AT117" s="13">
        <f t="shared" si="107"/>
        <v>38560.822622107968</v>
      </c>
      <c r="AU117" s="13">
        <f>AL117*AX117*'Prices&amp;Fuel'!H117</f>
        <v>0</v>
      </c>
      <c r="AW117" s="20">
        <f t="shared" si="147"/>
        <v>0.04</v>
      </c>
      <c r="AX117" s="20">
        <f t="shared" si="129"/>
        <v>2.5000000000000001E-2</v>
      </c>
      <c r="AY117" s="6">
        <f>('Prices&amp;Fuel'!H117*('Prices&amp;Fuel'!B117+AW117)*'Long Term Deals'!AF117)+('Prices&amp;Fuel'!H117*('Prices&amp;Fuel'!C117+'Long Term Deals'!AW117)*'Long Term Deals'!AG117)+(AH117*('Prices&amp;Fuel'!C117+AW117)*'Prices&amp;Fuel'!H117)+(AW117*AL117*'Prices&amp;Fuel'!H117)</f>
        <v>11292053.611849222</v>
      </c>
      <c r="AZ117" s="6">
        <f>(AP117*'Prices&amp;Fuel'!H117*'Prices&amp;Fuel'!B117)+(AQ117*'Prices&amp;Fuel'!C117*'Prices&amp;Fuel'!H117)+((AM117+AR117)*('Prices&amp;Fuel'!B117+'Long Term Deals'!AX117)*'Prices&amp;Fuel'!H117)+((AN117+AS117)*('Prices&amp;Fuel'!C117+'Long Term Deals'!AX117)*'Prices&amp;Fuel'!H117)+((AO117+AT117)*('Prices&amp;Fuel'!D117+'Long Term Deals'!AX117)*'Prices&amp;Fuel'!H117)+(AV117*'Prices&amp;Fuel'!H117*'Prices&amp;Fuel'!Q117)+AU117</f>
        <v>11109400.65555102</v>
      </c>
      <c r="BA117" s="6">
        <f t="shared" ref="BA117:BA132" si="149">AY117-AZ117</f>
        <v>182652.95629820228</v>
      </c>
      <c r="BB117" s="6">
        <f>IF('FP Corp'!T117-((BE117+BF117+BG117)*(1-'Prices&amp;Fuel'!F117))&lt;'Prices&amp;Fuel'!R117,('FP Corp'!T117-(BE117+BF117+BG117)*(1-'Prices&amp;Fuel'!F117)),'Prices&amp;Fuel'!R117)/(1-'Prices&amp;Fuel'!F117)</f>
        <v>4325.9640102827761</v>
      </c>
      <c r="BC117" s="14"/>
      <c r="BD117" s="14">
        <f>ROUND(IF('FP Corp'!T117/(1-'Prices&amp;Fuel'!F117)-BE117-BF117-BG117-BB117&gt;'Prices&amp;Fuel'!T117,'Prices&amp;Fuel'!T117,'FP Corp'!T117/(1-'Prices&amp;Fuel'!F117)-BE117-BF117-BG117-BB117),9)</f>
        <v>0</v>
      </c>
      <c r="BE117" s="14">
        <f>'Prices&amp;Fuel'!U117/(1-'Prices&amp;Fuel'!F117)</f>
        <v>2635.4755784061695</v>
      </c>
      <c r="BF117" s="14">
        <f>('Prices&amp;Fuel'!V117+'Prices&amp;Fuel'!X117)/(1-'Prices&amp;Fuel'!F117)</f>
        <v>3645.2442159383031</v>
      </c>
      <c r="BG117" s="14">
        <f>'Prices&amp;Fuel'!W117/(1-'Prices&amp;Fuel'!F117)</f>
        <v>1732.6478149100255</v>
      </c>
      <c r="BH117" s="25">
        <f>('Prices&amp;Fuel'!C117+'Prices&amp;Fuel'!D117)/2-0.05+('Prices&amp;Fuel'!M117+'Prices&amp;Fuel'!P117)*(1-'Prices&amp;Fuel'!F117)</f>
        <v>3.3390142772540004</v>
      </c>
      <c r="BI117" s="25"/>
      <c r="BJ117" s="25"/>
      <c r="BK117" s="25">
        <f>(((BB117+BE117)*('Prices&amp;Fuel'!B117+0.025))+(('Prices&amp;Fuel'!D117+0.025)*(BD117+BG117))+(('Prices&amp;Fuel'!C117+0.025)*(BC117+BF117))-(BI117+BJ117)*0.025)/(BB117+BC117+BD117+BE117+BF117+BG117)</f>
        <v>2.6536946939206669</v>
      </c>
      <c r="BL117" s="14">
        <f>(BB117+BC117+BD117+BE117+BF117+BG117)*BH117*'Prices&amp;Fuel'!H117</f>
        <v>1277237.3379316074</v>
      </c>
      <c r="BM117" s="14">
        <f>'Prices&amp;Fuel'!X117*('Prices&amp;Fuel'!N117+'Prices&amp;Fuel'!O117)*'Prices&amp;Fuel'!H117</f>
        <v>9438.6404139577935</v>
      </c>
      <c r="BN117" s="14">
        <f>('Prices&amp;Fuel'!U117+'Prices&amp;Fuel'!V117+'Prices&amp;Fuel'!W117)*('Prices&amp;Fuel'!L117+'Prices&amp;Fuel'!O117)*'Prices&amp;Fuel'!H117</f>
        <v>98255.832127730479</v>
      </c>
      <c r="BO117" s="14">
        <f>((BB117+BC117+BD117)*(1-'Prices&amp;Fuel'!G117))*('Prices&amp;Fuel'!M117+'Prices&amp;Fuel'!P117)*'Prices&amp;Fuel'!H117</f>
        <v>99834.213499999998</v>
      </c>
      <c r="BP117" s="14">
        <f>((BD117+BC117+BB117+BE117+BF117+BG117)*BK117*'Prices&amp;Fuel'!H117)+BM117+BN117+BO117</f>
        <v>1222618.0702457889</v>
      </c>
      <c r="BQ117" s="6">
        <f t="shared" si="146"/>
        <v>54619.267685818486</v>
      </c>
      <c r="CA117" s="6">
        <f>(AF117+AG117+AH117+AL117)*0.005*'Prices&amp;Fuel'!H117</f>
        <v>21038.560411311057</v>
      </c>
      <c r="CB117" s="6">
        <f>(B117+C117+D117+O117+P117+Q117+X117+Y117+BB117+BC117+BD117+BE117+BF117+BG117+BR117+BS117)*0.005*'Prices&amp;Fuel'!H117</f>
        <v>5803.0964010282778</v>
      </c>
      <c r="CC117" s="1">
        <f t="shared" si="137"/>
        <v>15157173.739780828</v>
      </c>
      <c r="CD117" s="1">
        <f t="shared" si="138"/>
        <v>14936861.302609149</v>
      </c>
      <c r="CE117" s="1">
        <f t="shared" si="139"/>
        <v>220312.43717167899</v>
      </c>
      <c r="CF117" s="1">
        <f>'Index Price Deals'!AR117</f>
        <v>0</v>
      </c>
      <c r="CG117" s="1">
        <f>'Index Price Deals'!AS117</f>
        <v>0</v>
      </c>
      <c r="CH117" s="1">
        <f>'Index Price Deals'!AT117</f>
        <v>0</v>
      </c>
      <c r="CI117" s="1">
        <f>'Index Price Deals'!AU117</f>
        <v>0</v>
      </c>
      <c r="CJ117" s="1">
        <f t="shared" ref="CJ117:CJ132" si="150">CC117+CF117</f>
        <v>15157173.739780828</v>
      </c>
      <c r="CK117" s="1">
        <f t="shared" si="141"/>
        <v>14936861.302609149</v>
      </c>
      <c r="CL117" s="1">
        <f t="shared" si="141"/>
        <v>220312.43717167899</v>
      </c>
      <c r="CM117" s="30"/>
      <c r="CN117" s="1">
        <f>Transport!U117</f>
        <v>0</v>
      </c>
      <c r="CQ117" s="1">
        <f>(((($B117+$C117+$D117+$O117+$P117+$Q117)*0.5)+BR117+BS117)*(0.005*'Prices&amp;Fuel'!$H117)+'Index Price Deals'!AV117)+(((BB117+BC117+BD117+BE117+BF117+BG117)*(1-'Prices&amp;Fuel'!F117))*0.005*0.5*'Prices&amp;Fuel'!H117)</f>
        <v>2875.25</v>
      </c>
      <c r="CR117" s="1">
        <f>(((($B117+$C117+$D117+$O117+$P117+$Q117)*0.5)+X117+Y117)*(0.005*'Prices&amp;Fuel'!$H117)+CA117+'Index Price Deals'!AW117)+(((BB117+BC117+BD117+BE117+BF117+BG117)*(1-'Prices&amp;Fuel'!F117))*0.005*0.5*'Prices&amp;Fuel'!H117)</f>
        <v>23913.810411311057</v>
      </c>
      <c r="CS117" s="21"/>
      <c r="CT117" s="1">
        <f>[3]Sheet1!$O135</f>
        <v>-225445.36815810515</v>
      </c>
      <c r="CU117" s="1">
        <f>'[4]Long Term Deals'!$Z116</f>
        <v>10529.101554715919</v>
      </c>
      <c r="CV117" s="60">
        <f t="shared" si="106"/>
        <v>456286.90688450006</v>
      </c>
      <c r="DB117" s="3">
        <f>(O117+P117+Q117)*'Prices&amp;Fuel'!$H117</f>
        <v>778100</v>
      </c>
      <c r="DE117" s="3">
        <v>132000</v>
      </c>
    </row>
    <row r="118" spans="1:109" x14ac:dyDescent="0.25">
      <c r="A118" s="10">
        <f t="shared" si="145"/>
        <v>39186.083333333059</v>
      </c>
      <c r="O118" s="1">
        <v>9036</v>
      </c>
      <c r="P118" s="1">
        <v>10794</v>
      </c>
      <c r="Q118" s="1">
        <v>5270</v>
      </c>
      <c r="R118" s="11">
        <f t="shared" si="143"/>
        <v>3.3258999999999999</v>
      </c>
      <c r="S118" s="11">
        <f t="shared" si="144"/>
        <v>3.3131999999999997</v>
      </c>
      <c r="T118" s="1">
        <f>(($O118*R118)+($P118*R118)+($Q118*R118))*'Prices&amp;Fuel'!$H118</f>
        <v>2504402.6999999997</v>
      </c>
      <c r="U118" s="1">
        <f>(($O118*S118)+($P118*S118)+($Q118*S118))*'Prices&amp;Fuel'!$H118</f>
        <v>2494839.5999999996</v>
      </c>
      <c r="V118" s="13">
        <f t="shared" si="148"/>
        <v>9563.1000000000931</v>
      </c>
      <c r="AF118" s="1">
        <f>(32000/(1-'Prices&amp;Fuel'!F118))+(25000/(1-'Prices&amp;Fuel'!G118))-AI118</f>
        <v>58611.825192802062</v>
      </c>
      <c r="AG118" s="1">
        <v>0</v>
      </c>
      <c r="AH118" s="1">
        <f>(75000/(1-'Prices&amp;Fuel'!G118))-AK118</f>
        <v>77120.822622107968</v>
      </c>
      <c r="AI118" s="1"/>
      <c r="AJ118" s="1"/>
      <c r="AK118" s="1"/>
      <c r="AL118" s="21">
        <f>ROUND((132000/(1-'Prices&amp;Fuel'!F118))-AF118-AG118-AH118,0)</f>
        <v>0</v>
      </c>
      <c r="AM118" s="1">
        <f t="shared" si="126"/>
        <v>29306</v>
      </c>
      <c r="AO118" s="1">
        <f>ROUND((75000/(1-'Prices&amp;Fuel'!G118)-AV118-AK118)/2,0)</f>
        <v>38560</v>
      </c>
      <c r="AR118" s="1">
        <f t="shared" si="142"/>
        <v>29305.825192802062</v>
      </c>
      <c r="AT118" s="13">
        <f t="shared" si="107"/>
        <v>38560.822622107968</v>
      </c>
      <c r="AU118" s="13">
        <f>AL118*AX118*'Prices&amp;Fuel'!H118</f>
        <v>0</v>
      </c>
      <c r="AW118" s="20">
        <f t="shared" si="147"/>
        <v>0.04</v>
      </c>
      <c r="AX118" s="20">
        <f t="shared" si="129"/>
        <v>2.5000000000000001E-2</v>
      </c>
      <c r="AY118" s="6">
        <f>('Prices&amp;Fuel'!H118*('Prices&amp;Fuel'!B118+AW118)*'Long Term Deals'!AF118)+('Prices&amp;Fuel'!H118*('Prices&amp;Fuel'!C118+'Long Term Deals'!AW118)*'Long Term Deals'!AG118)+(AH118*('Prices&amp;Fuel'!C118+AW118)*'Prices&amp;Fuel'!H118)+(AW118*AL118*'Prices&amp;Fuel'!H118)</f>
        <v>12083310.471457854</v>
      </c>
      <c r="AZ118" s="6">
        <f>(AP118*'Prices&amp;Fuel'!H118*'Prices&amp;Fuel'!B118)+(AQ118*'Prices&amp;Fuel'!C118*'Prices&amp;Fuel'!H118)+((AM118+AR118)*('Prices&amp;Fuel'!B118+'Long Term Deals'!AX118)*'Prices&amp;Fuel'!H118)+((AN118+AS118)*('Prices&amp;Fuel'!C118+'Long Term Deals'!AX118)*'Prices&amp;Fuel'!H118)+((AO118+AT118)*('Prices&amp;Fuel'!D118+'Long Term Deals'!AX118)*'Prices&amp;Fuel'!H118)+(AV118*'Prices&amp;Fuel'!H118*'Prices&amp;Fuel'!Q118)+AU118</f>
        <v>11906549.546007982</v>
      </c>
      <c r="BA118" s="6">
        <f t="shared" si="149"/>
        <v>176760.92544987239</v>
      </c>
      <c r="BB118" s="6">
        <f>IF('FP Corp'!T118-((BE118+BF118+BG118)*(1-'Prices&amp;Fuel'!F118))&lt;'Prices&amp;Fuel'!R118,('FP Corp'!T118-(BE118+BF118+BG118)*(1-'Prices&amp;Fuel'!F118)),'Prices&amp;Fuel'!R118)/(1-'Prices&amp;Fuel'!F118)</f>
        <v>6278.6632390745499</v>
      </c>
      <c r="BC118" s="14"/>
      <c r="BD118" s="14">
        <f>ROUND(IF('FP Corp'!T118/(1-'Prices&amp;Fuel'!F118)-BE118-BF118-BG118-BB118&gt;'Prices&amp;Fuel'!T118,'Prices&amp;Fuel'!T118,'FP Corp'!T118/(1-'Prices&amp;Fuel'!F118)-BE118-BF118-BG118-BB118),9)</f>
        <v>0</v>
      </c>
      <c r="BE118" s="14">
        <f>'Prices&amp;Fuel'!U118/(1-'Prices&amp;Fuel'!F118)</f>
        <v>1933.1619537275064</v>
      </c>
      <c r="BF118" s="14">
        <f>('Prices&amp;Fuel'!V118+'Prices&amp;Fuel'!X118)/(1-'Prices&amp;Fuel'!F118)</f>
        <v>2833.9331619537274</v>
      </c>
      <c r="BG118" s="14">
        <f>'Prices&amp;Fuel'!W118/(1-'Prices&amp;Fuel'!F118)</f>
        <v>1293.5732647814909</v>
      </c>
      <c r="BH118" s="25">
        <f>('Prices&amp;Fuel'!C118+'Prices&amp;Fuel'!D118)/2-0.05+('Prices&amp;Fuel'!M118+'Prices&amp;Fuel'!P118)*(1-'Prices&amp;Fuel'!F118)</f>
        <v>3.6227869907810009</v>
      </c>
      <c r="BI118" s="25"/>
      <c r="BJ118" s="25"/>
      <c r="BK118" s="25">
        <f>(((BB118+BE118)*('Prices&amp;Fuel'!B118+0.025))+(('Prices&amp;Fuel'!D118+0.025)*(BD118+BG118))+(('Prices&amp;Fuel'!C118+0.025)*(BC118+BF118))-(BI118+BJ118)*0.025)/(BB118+BC118+BD118+BE118+BF118+BG118)</f>
        <v>2.9331665741143333</v>
      </c>
      <c r="BL118" s="14">
        <f>(BB118+BC118+BD118+BE118+BF118+BG118)*BH118*'Prices&amp;Fuel'!H118</f>
        <v>1341083.1019857691</v>
      </c>
      <c r="BM118" s="14">
        <f>'Prices&amp;Fuel'!X118*('Prices&amp;Fuel'!N118+'Prices&amp;Fuel'!O118)*'Prices&amp;Fuel'!H118</f>
        <v>9134.1681425398001</v>
      </c>
      <c r="BN118" s="14">
        <f>('Prices&amp;Fuel'!U118+'Prices&amp;Fuel'!V118+'Prices&amp;Fuel'!W118)*('Prices&amp;Fuel'!L118+'Prices&amp;Fuel'!O118)*'Prices&amp;Fuel'!H118</f>
        <v>69689.82458385783</v>
      </c>
      <c r="BO118" s="14">
        <f>((BB118+BC118+BD118)*(1-'Prices&amp;Fuel'!G118))*('Prices&amp;Fuel'!M118+'Prices&amp;Fuel'!P118)*'Prices&amp;Fuel'!H118</f>
        <v>140224.29</v>
      </c>
      <c r="BP118" s="14">
        <f>((BD118+BC118+BB118+BE118+BF118+BG118)*BK118*'Prices&amp;Fuel'!H118)+BM118+BN118+BO118</f>
        <v>1304847.7343265624</v>
      </c>
      <c r="BQ118" s="6">
        <f t="shared" si="146"/>
        <v>36235.367659206735</v>
      </c>
      <c r="CA118" s="6">
        <f>(AF118+AG118+AH118+AL118)*0.005*'Prices&amp;Fuel'!H118</f>
        <v>20359.897172236506</v>
      </c>
      <c r="CB118" s="6">
        <f>(B118+C118+D118+O118+P118+Q118+X118+Y118+BB118+BC118+BD118+BE118+BF118+BG118+BR118+BS118)*0.005*'Prices&amp;Fuel'!H118</f>
        <v>5615.89974293059</v>
      </c>
      <c r="CC118" s="1">
        <f t="shared" ref="CC118:CC133" si="151">K118+T118+AB118+AY118+BL118+BX118</f>
        <v>15928796.273443623</v>
      </c>
      <c r="CD118" s="1">
        <f t="shared" ref="CD118:CD133" si="152">L118+U118+AC118+AZ118+BP118+BY118+CA118+CB118</f>
        <v>15732212.677249711</v>
      </c>
      <c r="CE118" s="1">
        <f t="shared" ref="CE118:CE133" si="153">CC118-CD118</f>
        <v>196583.59619391151</v>
      </c>
      <c r="CF118" s="1">
        <f>'Index Price Deals'!AR118</f>
        <v>0</v>
      </c>
      <c r="CG118" s="1">
        <f>'Index Price Deals'!AS118</f>
        <v>0</v>
      </c>
      <c r="CH118" s="1">
        <f>'Index Price Deals'!AT118</f>
        <v>0</v>
      </c>
      <c r="CI118" s="1">
        <f>'Index Price Deals'!AU118</f>
        <v>0</v>
      </c>
      <c r="CJ118" s="1">
        <f t="shared" si="150"/>
        <v>15928796.273443623</v>
      </c>
      <c r="CK118" s="1">
        <f t="shared" si="141"/>
        <v>15732212.677249711</v>
      </c>
      <c r="CL118" s="1">
        <f t="shared" si="141"/>
        <v>196583.59619391151</v>
      </c>
      <c r="CM118" s="30"/>
      <c r="CN118" s="1">
        <f>Transport!U118</f>
        <v>0</v>
      </c>
      <c r="CQ118" s="1">
        <f>(((($B118+$C118+$D118+$O118+$P118+$Q118)*0.5)+BR118+BS118)*(0.005*'Prices&amp;Fuel'!$H118)+'Index Price Deals'!AV118)+(((BB118+BC118+BD118+BE118+BF118+BG118)*(1-'Prices&amp;Fuel'!F118))*0.005*0.5*'Prices&amp;Fuel'!H118)</f>
        <v>2782.5</v>
      </c>
      <c r="CR118" s="1">
        <f>(((($B118+$C118+$D118+$O118+$P118+$Q118)*0.5)+X118+Y118)*(0.005*'Prices&amp;Fuel'!$H118)+CA118+'Index Price Deals'!AW118)+(((BB118+BC118+BD118+BE118+BF118+BG118)*(1-'Prices&amp;Fuel'!F118))*0.005*0.5*'Prices&amp;Fuel'!H118)</f>
        <v>23142.397172236506</v>
      </c>
      <c r="CS118" s="21"/>
      <c r="CT118" s="1">
        <f>[3]Sheet1!$O136</f>
        <v>-218172.93692719855</v>
      </c>
      <c r="CU118" s="1">
        <f>'[4]Long Term Deals'!$Z117</f>
        <v>10189.453117467026</v>
      </c>
      <c r="CV118" s="60">
        <f t="shared" si="106"/>
        <v>424945.98623857705</v>
      </c>
      <c r="DB118" s="3">
        <f>(O118+P118+Q118)*'Prices&amp;Fuel'!$H118</f>
        <v>753000</v>
      </c>
      <c r="DE118" s="3">
        <v>132000</v>
      </c>
    </row>
    <row r="119" spans="1:109" x14ac:dyDescent="0.25">
      <c r="A119" s="10">
        <f t="shared" si="145"/>
        <v>39216.499999999724</v>
      </c>
      <c r="O119" s="1">
        <v>9036</v>
      </c>
      <c r="P119" s="1">
        <v>10794</v>
      </c>
      <c r="Q119" s="1">
        <v>5270</v>
      </c>
      <c r="R119" s="11">
        <f t="shared" si="143"/>
        <v>3.3258999999999999</v>
      </c>
      <c r="S119" s="11">
        <f t="shared" si="144"/>
        <v>3.3131999999999997</v>
      </c>
      <c r="T119" s="1">
        <f>(($O119*R119)+($P119*R119)+($Q119*R119))*'Prices&amp;Fuel'!$H119</f>
        <v>2587882.79</v>
      </c>
      <c r="U119" s="1">
        <f>(($O119*S119)+($P119*S119)+($Q119*S119))*'Prices&amp;Fuel'!$H119</f>
        <v>2578000.92</v>
      </c>
      <c r="V119" s="13">
        <f t="shared" si="148"/>
        <v>9881.8700000001118</v>
      </c>
      <c r="AF119" s="1">
        <f>((100000)/(1-'Prices&amp;Fuel'!F119))+(25000/(1-'Prices&amp;Fuel'!G119))-AI119</f>
        <v>128534.70437017996</v>
      </c>
      <c r="AG119" s="1">
        <v>0</v>
      </c>
      <c r="AH119" s="1">
        <f>(75000/(1-'Prices&amp;Fuel'!G119))-AK119</f>
        <v>77120.822622107968</v>
      </c>
      <c r="AI119" s="1"/>
      <c r="AJ119" s="1"/>
      <c r="AK119" s="1"/>
      <c r="AL119" s="21">
        <f>ROUND((200000/(1-'Prices&amp;Fuel'!F119))-AF119-AG119-AH119,0)</f>
        <v>0</v>
      </c>
      <c r="AM119" s="1">
        <f t="shared" si="126"/>
        <v>64267</v>
      </c>
      <c r="AO119" s="1">
        <f>ROUND((75000/(1-'Prices&amp;Fuel'!G119)-AV119-AK119)/2,0)</f>
        <v>38560</v>
      </c>
      <c r="AR119" s="1">
        <f t="shared" si="142"/>
        <v>64267.704370179956</v>
      </c>
      <c r="AT119" s="13">
        <f t="shared" si="107"/>
        <v>38560.822622107968</v>
      </c>
      <c r="AU119" s="13">
        <f>AL119*AX119*'Prices&amp;Fuel'!H119</f>
        <v>0</v>
      </c>
      <c r="AW119" s="20">
        <f t="shared" si="147"/>
        <v>0.04</v>
      </c>
      <c r="AX119" s="20">
        <f t="shared" si="129"/>
        <v>2.5000000000000001E-2</v>
      </c>
      <c r="AY119" s="6">
        <f>('Prices&amp;Fuel'!H119*('Prices&amp;Fuel'!B119+AW119)*'Long Term Deals'!AF119)+('Prices&amp;Fuel'!H119*('Prices&amp;Fuel'!C119+'Long Term Deals'!AW119)*'Long Term Deals'!AG119)+(AH119*('Prices&amp;Fuel'!C119+AW119)*'Prices&amp;Fuel'!H119)+(AW119*AL119*'Prices&amp;Fuel'!H119)</f>
        <v>20117518.696000006</v>
      </c>
      <c r="AZ119" s="6">
        <f>(AP119*'Prices&amp;Fuel'!H119*'Prices&amp;Fuel'!B119)+(AQ119*'Prices&amp;Fuel'!C119*'Prices&amp;Fuel'!H119)+((AM119+AR119)*('Prices&amp;Fuel'!B119+'Long Term Deals'!AX119)*'Prices&amp;Fuel'!H119)+((AN119+AS119)*('Prices&amp;Fuel'!C119+'Long Term Deals'!AX119)*'Prices&amp;Fuel'!H119)+((AO119+AT119)*('Prices&amp;Fuel'!D119+'Long Term Deals'!AX119)*'Prices&amp;Fuel'!H119)+(AV119*'Prices&amp;Fuel'!H119*'Prices&amp;Fuel'!Q119)+AU119</f>
        <v>19902351.600884326</v>
      </c>
      <c r="BA119" s="6">
        <f t="shared" si="149"/>
        <v>215167.09511568025</v>
      </c>
      <c r="BB119" s="6">
        <f>IF('FP Corp'!T119-((BE119+BF119+BG119)*(1-'Prices&amp;Fuel'!F119))&lt;'Prices&amp;Fuel'!R119,('FP Corp'!T119-(BE119+BF119+BG119)*(1-'Prices&amp;Fuel'!F119)),'Prices&amp;Fuel'!R119)/(1-'Prices&amp;Fuel'!F119)</f>
        <v>8976.8637532133671</v>
      </c>
      <c r="BC119" s="14"/>
      <c r="BD119" s="14">
        <f>ROUND(IF('FP Corp'!T119/(1-'Prices&amp;Fuel'!F119)-BE119-BF119-BG119-BB119&gt;'Prices&amp;Fuel'!T119,'Prices&amp;Fuel'!T119,'FP Corp'!T119/(1-'Prices&amp;Fuel'!F119)-BE119-BF119-BG119-BB119),9)</f>
        <v>6556.2982005140002</v>
      </c>
      <c r="BE119" s="14">
        <f>'Prices&amp;Fuel'!U119/(1-'Prices&amp;Fuel'!F119)</f>
        <v>1933.1619537275064</v>
      </c>
      <c r="BF119" s="14">
        <f>('Prices&amp;Fuel'!V119+'Prices&amp;Fuel'!X119)/(1-'Prices&amp;Fuel'!F119)</f>
        <v>3062.2107969151671</v>
      </c>
      <c r="BG119" s="14">
        <f>'Prices&amp;Fuel'!W119/(1-'Prices&amp;Fuel'!F119)</f>
        <v>1065.2956298200513</v>
      </c>
      <c r="BH119" s="25">
        <f>('Prices&amp;Fuel'!C119+'Prices&amp;Fuel'!D119)/2-0.05+('Prices&amp;Fuel'!M119+'Prices&amp;Fuel'!P119)*(1-'Prices&amp;Fuel'!F119)</f>
        <v>3.8224789003000015</v>
      </c>
      <c r="BI119" s="25"/>
      <c r="BJ119" s="25"/>
      <c r="BK119" s="25">
        <f>(((BB119+BE119)*('Prices&amp;Fuel'!B119+0.025))+(('Prices&amp;Fuel'!D119+0.025)*(BD119+BG119))+(('Prices&amp;Fuel'!C119+0.025)*(BC119+BF119))-(BI119+BJ119)*0.025)/(BB119+BC119+BD119+BE119+BF119+BG119)</f>
        <v>3.1300682455380966</v>
      </c>
      <c r="BL119" s="14">
        <f>(BB119+BC119+BD119+BE119+BF119+BG119)*BH119*'Prices&amp;Fuel'!H119</f>
        <v>2558800.7857020921</v>
      </c>
      <c r="BM119" s="14">
        <f>'Prices&amp;Fuel'!X119*('Prices&amp;Fuel'!N119+'Prices&amp;Fuel'!O119)*'Prices&amp;Fuel'!H119</f>
        <v>9438.6404139577935</v>
      </c>
      <c r="BN119" s="14">
        <f>('Prices&amp;Fuel'!U119+'Prices&amp;Fuel'!V119+'Prices&amp;Fuel'!W119)*('Prices&amp;Fuel'!L119+'Prices&amp;Fuel'!O119)*'Prices&amp;Fuel'!H119</f>
        <v>72012.818736653091</v>
      </c>
      <c r="BO119" s="14">
        <f>((BB119+BC119+BD119)*(1-'Prices&amp;Fuel'!G119))*('Prices&amp;Fuel'!M119+'Prices&amp;Fuel'!P119)*'Prices&amp;Fuel'!H119</f>
        <v>358472.93299999676</v>
      </c>
      <c r="BP119" s="14">
        <f>((BD119+BC119+BB119+BE119+BF119+BG119)*BK119*'Prices&amp;Fuel'!H119)+BM119+BN119+BO119</f>
        <v>2535219.433636765</v>
      </c>
      <c r="BQ119" s="6">
        <f t="shared" si="146"/>
        <v>23581.352065327112</v>
      </c>
      <c r="CA119" s="6">
        <f>(AF119+AG119+AH119+AL119)*0.005*'Prices&amp;Fuel'!H119</f>
        <v>31876.606683804628</v>
      </c>
      <c r="CB119" s="6">
        <f>(B119+C119+D119+O119+P119+Q119+X119+Y119+BB119+BC119+BD119+BE119+BF119+BG119+BR119+BS119)*0.005*'Prices&amp;Fuel'!H119</f>
        <v>7237.5437017994636</v>
      </c>
      <c r="CC119" s="1">
        <f t="shared" si="151"/>
        <v>25264202.271702096</v>
      </c>
      <c r="CD119" s="1">
        <f t="shared" si="152"/>
        <v>25054686.104906697</v>
      </c>
      <c r="CE119" s="1">
        <f t="shared" si="153"/>
        <v>209516.16679539904</v>
      </c>
      <c r="CF119" s="1">
        <f>'Index Price Deals'!AR119</f>
        <v>0</v>
      </c>
      <c r="CG119" s="1">
        <f>'Index Price Deals'!AS119</f>
        <v>0</v>
      </c>
      <c r="CH119" s="1">
        <f>'Index Price Deals'!AT119</f>
        <v>0</v>
      </c>
      <c r="CI119" s="1">
        <f>'Index Price Deals'!AU119</f>
        <v>0</v>
      </c>
      <c r="CJ119" s="1">
        <f t="shared" si="150"/>
        <v>25264202.271702096</v>
      </c>
      <c r="CK119" s="1">
        <f t="shared" si="141"/>
        <v>25054686.104906697</v>
      </c>
      <c r="CL119" s="1">
        <f t="shared" si="141"/>
        <v>209516.16679539904</v>
      </c>
      <c r="CM119" s="30"/>
      <c r="CN119" s="1">
        <f>Transport!U119</f>
        <v>3.1490140827372673E-9</v>
      </c>
      <c r="CQ119" s="1">
        <f>(((($B119+$C119+$D119+$O119+$P119+$Q119)*0.5)+BR119+BS119)*(0.005*'Prices&amp;Fuel'!$H119)+'Index Price Deals'!AV119)+(((BB119+BC119+BD119+BE119+BF119+BG119)*(1-'Prices&amp;Fuel'!F119))*0.005*0.5*'Prices&amp;Fuel'!H119)</f>
        <v>3572.7499999999895</v>
      </c>
      <c r="CR119" s="1">
        <f>(((($B119+$C119+$D119+$O119+$P119+$Q119)*0.5)+X119+Y119)*(0.005*'Prices&amp;Fuel'!$H119)+CA119+'Index Price Deals'!AW119)+(((BB119+BC119+BD119+BE119+BF119+BG119)*(1-'Prices&amp;Fuel'!F119))*0.005*0.5*'Prices&amp;Fuel'!H119)</f>
        <v>35449.356683804617</v>
      </c>
      <c r="CS119" s="21"/>
      <c r="CT119" s="1">
        <f>[3]Sheet1!$O137</f>
        <v>-341583.89114864415</v>
      </c>
      <c r="CU119" s="1">
        <f>'[4]Long Term Deals'!$Z118</f>
        <v>15953.184173812013</v>
      </c>
      <c r="CV119" s="60">
        <f t="shared" si="106"/>
        <v>567053.24211785209</v>
      </c>
      <c r="DB119" s="3">
        <f>(O119+P119+Q119)*'Prices&amp;Fuel'!$H119</f>
        <v>778100</v>
      </c>
      <c r="DE119" s="3">
        <v>200000</v>
      </c>
    </row>
    <row r="120" spans="1:109" x14ac:dyDescent="0.25">
      <c r="A120" s="10">
        <f t="shared" si="145"/>
        <v>39246.916666666388</v>
      </c>
      <c r="O120" s="1">
        <v>9036</v>
      </c>
      <c r="P120" s="1">
        <v>10794</v>
      </c>
      <c r="Q120" s="1">
        <v>5270</v>
      </c>
      <c r="R120" s="11">
        <f t="shared" si="143"/>
        <v>3.3258999999999999</v>
      </c>
      <c r="S120" s="11">
        <f t="shared" si="144"/>
        <v>3.3131999999999997</v>
      </c>
      <c r="T120" s="1">
        <f>(($O120*R120)+($P120*R120)+($Q120*R120))*'Prices&amp;Fuel'!$H120</f>
        <v>2504402.6999999997</v>
      </c>
      <c r="U120" s="1">
        <f>(($O120*S120)+($P120*S120)+($Q120*S120))*'Prices&amp;Fuel'!$H120</f>
        <v>2494839.5999999996</v>
      </c>
      <c r="V120" s="13">
        <f t="shared" si="148"/>
        <v>9563.1000000000931</v>
      </c>
      <c r="AF120" s="1">
        <f>((100000)/(1-'Prices&amp;Fuel'!F120))+(25000/(1-'Prices&amp;Fuel'!G120))-AI120</f>
        <v>128534.70437017996</v>
      </c>
      <c r="AG120" s="1">
        <v>0</v>
      </c>
      <c r="AH120" s="1">
        <f>(75000/(1-'Prices&amp;Fuel'!G120))-AK120</f>
        <v>77120.822622107968</v>
      </c>
      <c r="AI120" s="1"/>
      <c r="AJ120" s="1"/>
      <c r="AK120" s="1"/>
      <c r="AL120" s="21">
        <f>ROUND((200000/(1-'Prices&amp;Fuel'!F120))-AF120-AG120-AH120,0)</f>
        <v>0</v>
      </c>
      <c r="AM120" s="1">
        <f t="shared" si="126"/>
        <v>64267</v>
      </c>
      <c r="AO120" s="1">
        <f>ROUND((75000/(1-'Prices&amp;Fuel'!G120)-AV120-AK120)/2,0)</f>
        <v>38560</v>
      </c>
      <c r="AR120" s="1">
        <f t="shared" si="142"/>
        <v>64267.704370179956</v>
      </c>
      <c r="AT120" s="13">
        <f t="shared" si="107"/>
        <v>38560.822622107968</v>
      </c>
      <c r="AU120" s="13">
        <f>AL120*AX120*'Prices&amp;Fuel'!H120</f>
        <v>0</v>
      </c>
      <c r="AW120" s="20">
        <f t="shared" si="147"/>
        <v>0.04</v>
      </c>
      <c r="AX120" s="20">
        <f t="shared" si="129"/>
        <v>2.5000000000000001E-2</v>
      </c>
      <c r="AY120" s="6">
        <f>('Prices&amp;Fuel'!H120*('Prices&amp;Fuel'!B120+AW120)*'Long Term Deals'!AF120)+('Prices&amp;Fuel'!H120*('Prices&amp;Fuel'!C120+'Long Term Deals'!AW120)*'Long Term Deals'!AG120)+(AH120*('Prices&amp;Fuel'!C120+AW120)*'Prices&amp;Fuel'!H120)+(AW120*AL120*'Prices&amp;Fuel'!H120)</f>
        <v>27963105.291091006</v>
      </c>
      <c r="AZ120" s="6">
        <f>(AP120*'Prices&amp;Fuel'!H120*'Prices&amp;Fuel'!B120)+(AQ120*'Prices&amp;Fuel'!C120*'Prices&amp;Fuel'!H120)+((AM120+AR120)*('Prices&amp;Fuel'!B120+'Long Term Deals'!AX120)*'Prices&amp;Fuel'!H120)+((AN120+AS120)*('Prices&amp;Fuel'!C120+'Long Term Deals'!AX120)*'Prices&amp;Fuel'!H120)+((AO120+AT120)*('Prices&amp;Fuel'!D120+'Long Term Deals'!AX120)*'Prices&amp;Fuel'!H120)+(AV120*'Prices&amp;Fuel'!H120*'Prices&amp;Fuel'!Q120)+AU120</f>
        <v>27754879.07001131</v>
      </c>
      <c r="BA120" s="6">
        <f t="shared" si="149"/>
        <v>208226.22107969597</v>
      </c>
      <c r="BB120" s="6">
        <f>IF('FP Corp'!T120-((BE120+BF120+BG120)*(1-'Prices&amp;Fuel'!F120))&lt;'Prices&amp;Fuel'!R120,('FP Corp'!T120-(BE120+BF120+BG120)*(1-'Prices&amp;Fuel'!F120)),'Prices&amp;Fuel'!R120)/(1-'Prices&amp;Fuel'!F120)</f>
        <v>8976.8637532133671</v>
      </c>
      <c r="BC120" s="14"/>
      <c r="BD120" s="14">
        <f>ROUND(IF('FP Corp'!T120/(1-'Prices&amp;Fuel'!F120)-BE120-BF120-BG120-BB120&gt;'Prices&amp;Fuel'!T120,'Prices&amp;Fuel'!T120,'FP Corp'!T120/(1-'Prices&amp;Fuel'!F120)-BE120-BF120-BG120-BB120),9)</f>
        <v>6556.2982005140002</v>
      </c>
      <c r="BE120" s="14">
        <f>'Prices&amp;Fuel'!U120/(1-'Prices&amp;Fuel'!F120)</f>
        <v>1933.1619537275064</v>
      </c>
      <c r="BF120" s="14">
        <f>('Prices&amp;Fuel'!V120+'Prices&amp;Fuel'!X120)/(1-'Prices&amp;Fuel'!F120)</f>
        <v>3062.2107969151671</v>
      </c>
      <c r="BG120" s="14">
        <f>'Prices&amp;Fuel'!W120/(1-'Prices&amp;Fuel'!F120)</f>
        <v>1065.2956298200513</v>
      </c>
      <c r="BH120" s="25">
        <f>('Prices&amp;Fuel'!C120+'Prices&amp;Fuel'!D120)/2-0.05+('Prices&amp;Fuel'!M120+'Prices&amp;Fuel'!P120)*(1-'Prices&amp;Fuel'!F120)</f>
        <v>5.1993020659309996</v>
      </c>
      <c r="BI120" s="25"/>
      <c r="BJ120" s="25"/>
      <c r="BK120" s="25">
        <f>(((BB120+BE120)*('Prices&amp;Fuel'!B120+0.025))+(('Prices&amp;Fuel'!D120+0.025)*(BD120+BG120))+(('Prices&amp;Fuel'!C120+0.025)*(BC120+BF120))-(BI120+BJ120)*0.025)/(BB120+BC120+BD120+BE120+BF120+BG120)</f>
        <v>4.5068914111690956</v>
      </c>
      <c r="BL120" s="14">
        <f>(BB120+BC120+BD120+BE120+BF120+BG120)*BH120*'Prices&amp;Fuel'!H120</f>
        <v>3368185.4000375411</v>
      </c>
      <c r="BM120" s="14">
        <f>'Prices&amp;Fuel'!X120*('Prices&amp;Fuel'!N120+'Prices&amp;Fuel'!O120)*'Prices&amp;Fuel'!H120</f>
        <v>9134.1681425398001</v>
      </c>
      <c r="BN120" s="14">
        <f>('Prices&amp;Fuel'!U120+'Prices&amp;Fuel'!V120+'Prices&amp;Fuel'!W120)*('Prices&amp;Fuel'!L120+'Prices&amp;Fuel'!O120)*'Prices&amp;Fuel'!H120</f>
        <v>69689.82458385783</v>
      </c>
      <c r="BO120" s="14">
        <f>((BB120+BC120+BD120)*(1-'Prices&amp;Fuel'!G120))*('Prices&amp;Fuel'!M120+'Prices&amp;Fuel'!P120)*'Prices&amp;Fuel'!H120</f>
        <v>346909.28999999689</v>
      </c>
      <c r="BP120" s="14">
        <f>((BD120+BC120+BB120+BE120+BF120+BG120)*BK120*'Prices&amp;Fuel'!H120)+BM120+BN120+BO120</f>
        <v>3345364.7367485147</v>
      </c>
      <c r="BQ120" s="6">
        <f t="shared" si="146"/>
        <v>22820.663289026357</v>
      </c>
      <c r="CA120" s="6">
        <f>(AF120+AG120+AH120+AL120)*0.005*'Prices&amp;Fuel'!H120</f>
        <v>30848.329048843189</v>
      </c>
      <c r="CB120" s="6">
        <f>(B120+C120+D120+O120+P120+Q120+X120+Y120+BB120+BC120+BD120+BE120+BF120+BG120+BR120+BS120)*0.005*'Prices&amp;Fuel'!H120</f>
        <v>7004.0745501285137</v>
      </c>
      <c r="CC120" s="1">
        <f t="shared" si="151"/>
        <v>33835693.391128547</v>
      </c>
      <c r="CD120" s="1">
        <f t="shared" si="152"/>
        <v>33632935.8103588</v>
      </c>
      <c r="CE120" s="1">
        <f t="shared" si="153"/>
        <v>202757.5807697475</v>
      </c>
      <c r="CF120" s="1">
        <f>'Index Price Deals'!AR120</f>
        <v>0</v>
      </c>
      <c r="CG120" s="1">
        <f>'Index Price Deals'!AS120</f>
        <v>0</v>
      </c>
      <c r="CH120" s="1">
        <f>'Index Price Deals'!AT120</f>
        <v>0</v>
      </c>
      <c r="CI120" s="1">
        <f>'Index Price Deals'!AU120</f>
        <v>0</v>
      </c>
      <c r="CJ120" s="1">
        <f t="shared" si="150"/>
        <v>33835693.391128547</v>
      </c>
      <c r="CK120" s="1">
        <f t="shared" si="141"/>
        <v>33632935.8103588</v>
      </c>
      <c r="CL120" s="1">
        <f t="shared" si="141"/>
        <v>202757.5807697475</v>
      </c>
      <c r="CM120" s="30"/>
      <c r="CN120" s="1">
        <f>Transport!U120</f>
        <v>3.0474329832941295E-9</v>
      </c>
      <c r="CQ120" s="1">
        <f>(((($B120+$C120+$D120+$O120+$P120+$Q120)*0.5)+BR120+BS120)*(0.005*'Prices&amp;Fuel'!$H120)+'Index Price Deals'!AV120)+(((BB120+BC120+BD120+BE120+BF120+BG120)*(1-'Prices&amp;Fuel'!F120))*0.005*0.5*'Prices&amp;Fuel'!H120)</f>
        <v>3457.49999999999</v>
      </c>
      <c r="CR120" s="1">
        <f>(((($B120+$C120+$D120+$O120+$P120+$Q120)*0.5)+X120+Y120)*(0.005*'Prices&amp;Fuel'!$H120)+CA120+'Index Price Deals'!AW120)+(((BB120+BC120+BD120+BE120+BF120+BG120)*(1-'Prices&amp;Fuel'!F120))*0.005*0.5*'Prices&amp;Fuel'!H120)</f>
        <v>34305.829048843181</v>
      </c>
      <c r="CS120" s="21"/>
      <c r="CT120" s="1">
        <f>[3]Sheet1!$O138</f>
        <v>-330565.05595030083</v>
      </c>
      <c r="CU120" s="1">
        <f>'[4]Long Term Deals'!$Z119</f>
        <v>15438.565329495468</v>
      </c>
      <c r="CV120" s="60">
        <f t="shared" si="106"/>
        <v>548761.20204954071</v>
      </c>
      <c r="DB120" s="3">
        <f>(O120+P120+Q120)*'Prices&amp;Fuel'!$H120</f>
        <v>753000</v>
      </c>
      <c r="DE120" s="3">
        <v>200000</v>
      </c>
    </row>
    <row r="121" spans="1:109" x14ac:dyDescent="0.25">
      <c r="A121" s="10">
        <f t="shared" si="145"/>
        <v>39277.333333333052</v>
      </c>
      <c r="O121" s="1">
        <v>9036</v>
      </c>
      <c r="P121" s="1">
        <v>10794</v>
      </c>
      <c r="Q121" s="1">
        <v>5270</v>
      </c>
      <c r="R121" s="11">
        <f>ROUND(3.075*1.04*1.04*1.04,4)</f>
        <v>3.4590000000000001</v>
      </c>
      <c r="S121" s="11">
        <f>R121-ROUND(0.01*1.02*1.02*1.02*1.02*1.02*1.02*1.02*1.02*1.02*1.02*1.02*1.02*1.02,4)</f>
        <v>3.4460999999999999</v>
      </c>
      <c r="T121" s="1">
        <f>(($O121*R121)+($P121*R121)+($Q121*R121))*'Prices&amp;Fuel'!$H121</f>
        <v>2691447.9</v>
      </c>
      <c r="U121" s="1">
        <f>(($O121*S121)+($P121*S121)+($Q121*S121))*'Prices&amp;Fuel'!$H121</f>
        <v>2681410.41</v>
      </c>
      <c r="V121" s="13">
        <f t="shared" si="148"/>
        <v>10037.489999999758</v>
      </c>
      <c r="AF121" s="1">
        <f>((100000)/(1-'Prices&amp;Fuel'!F121))+(25000/(1-'Prices&amp;Fuel'!G121))-AI121</f>
        <v>128534.70437017996</v>
      </c>
      <c r="AG121" s="1">
        <v>0</v>
      </c>
      <c r="AH121" s="1">
        <f>(75000/(1-'Prices&amp;Fuel'!G121))-AK121</f>
        <v>77120.822622107968</v>
      </c>
      <c r="AI121" s="1"/>
      <c r="AJ121" s="1"/>
      <c r="AK121" s="1"/>
      <c r="AL121" s="21">
        <f>ROUND((200000/(1-'Prices&amp;Fuel'!F121))-AF121-AG121-AH121,0)</f>
        <v>0</v>
      </c>
      <c r="AM121" s="1">
        <f t="shared" si="126"/>
        <v>64267</v>
      </c>
      <c r="AO121" s="1">
        <f>ROUND((75000/(1-'Prices&amp;Fuel'!G121)-AV121-AK121)/2,0)</f>
        <v>38560</v>
      </c>
      <c r="AR121" s="1">
        <f t="shared" si="142"/>
        <v>64267.704370179956</v>
      </c>
      <c r="AT121" s="13">
        <f t="shared" si="107"/>
        <v>38560.822622107968</v>
      </c>
      <c r="AU121" s="13">
        <f>AL121*AX121*'Prices&amp;Fuel'!H121</f>
        <v>0</v>
      </c>
      <c r="AW121" s="20">
        <f t="shared" si="147"/>
        <v>0.04</v>
      </c>
      <c r="AX121" s="20">
        <f t="shared" si="129"/>
        <v>2.5000000000000001E-2</v>
      </c>
      <c r="AY121" s="6">
        <f>('Prices&amp;Fuel'!H121*('Prices&amp;Fuel'!B121+AW121)*'Long Term Deals'!AF121)+('Prices&amp;Fuel'!H121*('Prices&amp;Fuel'!C121+'Long Term Deals'!AW121)*'Long Term Deals'!AG121)+(AH121*('Prices&amp;Fuel'!C121+AW121)*'Prices&amp;Fuel'!H121)+(AW121*AL121*'Prices&amp;Fuel'!H121)</f>
        <v>28828203.532818511</v>
      </c>
      <c r="AZ121" s="6">
        <f>(AP121*'Prices&amp;Fuel'!H121*'Prices&amp;Fuel'!B121)+(AQ121*'Prices&amp;Fuel'!C121*'Prices&amp;Fuel'!H121)+((AM121+AR121)*('Prices&amp;Fuel'!B121+'Long Term Deals'!AX121)*'Prices&amp;Fuel'!H121)+((AN121+AS121)*('Prices&amp;Fuel'!C121+'Long Term Deals'!AX121)*'Prices&amp;Fuel'!H121)+((AO121+AT121)*('Prices&amp;Fuel'!D121+'Long Term Deals'!AX121)*'Prices&amp;Fuel'!H121)+(AV121*'Prices&amp;Fuel'!H121*'Prices&amp;Fuel'!Q121)+AU121</f>
        <v>28613036.437702835</v>
      </c>
      <c r="BA121" s="6">
        <f t="shared" si="149"/>
        <v>215167.09511567652</v>
      </c>
      <c r="BB121" s="6">
        <f>IF('FP Corp'!T121-((BE121+BF121+BG121)*(1-'Prices&amp;Fuel'!F121))&lt;'Prices&amp;Fuel'!R121,('FP Corp'!T121-(BE121+BF121+BG121)*(1-'Prices&amp;Fuel'!F121)),'Prices&amp;Fuel'!R121)/(1-'Prices&amp;Fuel'!F121)</f>
        <v>8976.8637532133671</v>
      </c>
      <c r="BC121" s="14"/>
      <c r="BD121" s="14">
        <f>ROUND(IF('FP Corp'!T121/(1-'Prices&amp;Fuel'!F121)-BE121-BF121-BG121-BB121&gt;'Prices&amp;Fuel'!T121,'Prices&amp;Fuel'!T121,'FP Corp'!T121/(1-'Prices&amp;Fuel'!F121)-BE121-BF121-BG121-BB121),9)</f>
        <v>6556.2982005140002</v>
      </c>
      <c r="BE121" s="14">
        <f>'Prices&amp;Fuel'!U121/(1-'Prices&amp;Fuel'!F121)</f>
        <v>1933.1619537275064</v>
      </c>
      <c r="BF121" s="14">
        <f>('Prices&amp;Fuel'!V121+'Prices&amp;Fuel'!X121)/(1-'Prices&amp;Fuel'!F121)</f>
        <v>3062.2107969151671</v>
      </c>
      <c r="BG121" s="14">
        <f>'Prices&amp;Fuel'!W121/(1-'Prices&amp;Fuel'!F121)</f>
        <v>1065.2956298200513</v>
      </c>
      <c r="BH121" s="25">
        <f>('Prices&amp;Fuel'!C121+'Prices&amp;Fuel'!D121)/2-0.05+('Prices&amp;Fuel'!M121+'Prices&amp;Fuel'!P121)*(1-'Prices&amp;Fuel'!F121)</f>
        <v>5.1887919654300001</v>
      </c>
      <c r="BI121" s="25"/>
      <c r="BJ121" s="25"/>
      <c r="BK121" s="25">
        <f>(((BB121+BE121)*('Prices&amp;Fuel'!B121+0.025))+(('Prices&amp;Fuel'!D121+0.025)*(BD121+BG121))+(('Prices&amp;Fuel'!C121+0.025)*(BC121+BF121))-(BI121+BJ121)*0.025)/(BB121+BC121+BD121+BE121+BF121+BG121)</f>
        <v>4.496381310668097</v>
      </c>
      <c r="BL121" s="14">
        <f>(BB121+BC121+BD121+BE121+BF121+BG121)*BH121*'Prices&amp;Fuel'!H121</f>
        <v>3473422.6935680285</v>
      </c>
      <c r="BM121" s="14">
        <f>'Prices&amp;Fuel'!X121*('Prices&amp;Fuel'!N121+'Prices&amp;Fuel'!O121)*'Prices&amp;Fuel'!H121</f>
        <v>9438.6404139577935</v>
      </c>
      <c r="BN121" s="14">
        <f>('Prices&amp;Fuel'!U121+'Prices&amp;Fuel'!V121+'Prices&amp;Fuel'!W121)*('Prices&amp;Fuel'!L121+'Prices&amp;Fuel'!O121)*'Prices&amp;Fuel'!H121</f>
        <v>72012.818736653091</v>
      </c>
      <c r="BO121" s="14">
        <f>((BB121+BC121+BD121)*(1-'Prices&amp;Fuel'!G121))*('Prices&amp;Fuel'!M121+'Prices&amp;Fuel'!P121)*'Prices&amp;Fuel'!H121</f>
        <v>358472.93299999676</v>
      </c>
      <c r="BP121" s="14">
        <f>((BD121+BC121+BB121+BE121+BF121+BG121)*BK121*'Prices&amp;Fuel'!H121)+BM121+BN121+BO121</f>
        <v>3449841.3415027023</v>
      </c>
      <c r="BQ121" s="6">
        <f t="shared" si="146"/>
        <v>23581.35206532618</v>
      </c>
      <c r="CA121" s="6">
        <f>(AF121+AG121+AH121+AL121)*0.005*'Prices&amp;Fuel'!H121</f>
        <v>31876.606683804628</v>
      </c>
      <c r="CB121" s="6">
        <f>(B121+C121+D121+O121+P121+Q121+X121+Y121+BB121+BC121+BD121+BE121+BF121+BG121+BR121+BS121)*0.005*'Prices&amp;Fuel'!H121</f>
        <v>7237.5437017994636</v>
      </c>
      <c r="CC121" s="1">
        <f t="shared" si="151"/>
        <v>34993074.126386538</v>
      </c>
      <c r="CD121" s="1">
        <f t="shared" si="152"/>
        <v>34783402.339591138</v>
      </c>
      <c r="CE121" s="1">
        <f t="shared" si="153"/>
        <v>209671.78679540008</v>
      </c>
      <c r="CF121" s="1">
        <f>'Index Price Deals'!AR121</f>
        <v>0</v>
      </c>
      <c r="CG121" s="1">
        <f>'Index Price Deals'!AS121</f>
        <v>0</v>
      </c>
      <c r="CH121" s="1">
        <f>'Index Price Deals'!AT121</f>
        <v>0</v>
      </c>
      <c r="CI121" s="1">
        <f>'Index Price Deals'!AU121</f>
        <v>0</v>
      </c>
      <c r="CJ121" s="1">
        <f t="shared" si="150"/>
        <v>34993074.126386538</v>
      </c>
      <c r="CK121" s="1">
        <f t="shared" si="141"/>
        <v>34783402.339591138</v>
      </c>
      <c r="CL121" s="1">
        <f t="shared" si="141"/>
        <v>209671.78679540008</v>
      </c>
      <c r="CM121" s="30"/>
      <c r="CN121" s="1">
        <f>Transport!U121</f>
        <v>3.1490140827372673E-9</v>
      </c>
      <c r="CQ121" s="1">
        <f>(((($B121+$C121+$D121+$O121+$P121+$Q121)*0.5)+BR121+BS121)*(0.005*'Prices&amp;Fuel'!$H121)+'Index Price Deals'!AV121)+(((BB121+BC121+BD121+BE121+BF121+BG121)*(1-'Prices&amp;Fuel'!F121))*0.005*0.5*'Prices&amp;Fuel'!H121)</f>
        <v>3572.7499999999895</v>
      </c>
      <c r="CR121" s="1">
        <f>(((($B121+$C121+$D121+$O121+$P121+$Q121)*0.5)+X121+Y121)*(0.005*'Prices&amp;Fuel'!$H121)+CA121+'Index Price Deals'!AW121)+(((BB121+BC121+BD121+BE121+BF121+BG121)*(1-'Prices&amp;Fuel'!F121))*0.005*0.5*'Prices&amp;Fuel'!H121)</f>
        <v>35449.356683804617</v>
      </c>
      <c r="CS121" s="21"/>
      <c r="CT121" s="1">
        <f>[3]Sheet1!$O139</f>
        <v>-341583.89114864415</v>
      </c>
      <c r="CU121" s="1">
        <f>'[4]Long Term Deals'!$Z120</f>
        <v>15953.184173812013</v>
      </c>
      <c r="CV121" s="60">
        <f t="shared" si="106"/>
        <v>567208.86211785313</v>
      </c>
      <c r="DB121" s="3">
        <f>(O121+P121+Q121)*'Prices&amp;Fuel'!$H121</f>
        <v>778100</v>
      </c>
      <c r="DE121" s="3">
        <v>200000</v>
      </c>
    </row>
    <row r="122" spans="1:109" x14ac:dyDescent="0.25">
      <c r="A122" s="10">
        <f t="shared" si="145"/>
        <v>39307.749999999716</v>
      </c>
      <c r="O122" s="1">
        <v>9036</v>
      </c>
      <c r="P122" s="1">
        <v>10794</v>
      </c>
      <c r="Q122" s="1">
        <v>5270</v>
      </c>
      <c r="R122" s="11">
        <f t="shared" ref="R122:R132" si="154">R121</f>
        <v>3.4590000000000001</v>
      </c>
      <c r="S122" s="11">
        <f t="shared" ref="S122:S132" si="155">S121</f>
        <v>3.4460999999999999</v>
      </c>
      <c r="T122" s="1">
        <f>(($O122*R122)+($P122*R122)+($Q122*R122))*'Prices&amp;Fuel'!$H122</f>
        <v>2691447.9</v>
      </c>
      <c r="U122" s="1">
        <f>(($O122*S122)+($P122*S122)+($Q122*S122))*'Prices&amp;Fuel'!$H122</f>
        <v>2681410.41</v>
      </c>
      <c r="V122" s="13">
        <f t="shared" si="148"/>
        <v>10037.489999999758</v>
      </c>
      <c r="AF122" s="1">
        <f>((100000)/(1-'Prices&amp;Fuel'!F122))+(25000/(1-'Prices&amp;Fuel'!G122))-AI122</f>
        <v>128534.70437017996</v>
      </c>
      <c r="AG122" s="1">
        <v>0</v>
      </c>
      <c r="AH122" s="1">
        <f>(75000/(1-'Prices&amp;Fuel'!G122))-AK122</f>
        <v>77120.822622107968</v>
      </c>
      <c r="AI122" s="1"/>
      <c r="AJ122" s="1"/>
      <c r="AK122" s="1"/>
      <c r="AL122" s="21">
        <f>ROUND((200000/(1-'Prices&amp;Fuel'!F122))-AF122-AG122-AH122,0)</f>
        <v>0</v>
      </c>
      <c r="AM122" s="1">
        <f t="shared" si="126"/>
        <v>64267</v>
      </c>
      <c r="AO122" s="1">
        <f>ROUND((75000/(1-'Prices&amp;Fuel'!G122)-AV122-AK122)/2,0)</f>
        <v>38560</v>
      </c>
      <c r="AR122" s="1">
        <f t="shared" si="142"/>
        <v>64267.704370179956</v>
      </c>
      <c r="AT122" s="13">
        <f t="shared" si="107"/>
        <v>38560.822622107968</v>
      </c>
      <c r="AU122" s="13">
        <f>AL122*AX122*'Prices&amp;Fuel'!H122</f>
        <v>0</v>
      </c>
      <c r="AW122" s="20">
        <f t="shared" si="147"/>
        <v>0.04</v>
      </c>
      <c r="AX122" s="20">
        <f t="shared" si="129"/>
        <v>2.5000000000000001E-2</v>
      </c>
      <c r="AY122" s="6">
        <f>('Prices&amp;Fuel'!H122*('Prices&amp;Fuel'!B122+AW122)*'Long Term Deals'!AF122)+('Prices&amp;Fuel'!H122*('Prices&amp;Fuel'!C122+'Long Term Deals'!AW122)*'Long Term Deals'!AG122)+(AH122*('Prices&amp;Fuel'!C122+AW122)*'Prices&amp;Fuel'!H122)+(AW122*AL122*'Prices&amp;Fuel'!H122)</f>
        <v>25209919.062140055</v>
      </c>
      <c r="AZ122" s="6">
        <f>(AP122*'Prices&amp;Fuel'!H122*'Prices&amp;Fuel'!B122)+(AQ122*'Prices&amp;Fuel'!C122*'Prices&amp;Fuel'!H122)+((AM122+AR122)*('Prices&amp;Fuel'!B122+'Long Term Deals'!AX122)*'Prices&amp;Fuel'!H122)+((AN122+AS122)*('Prices&amp;Fuel'!C122+'Long Term Deals'!AX122)*'Prices&amp;Fuel'!H122)+((AO122+AT122)*('Prices&amp;Fuel'!D122+'Long Term Deals'!AX122)*'Prices&amp;Fuel'!H122)+(AV122*'Prices&amp;Fuel'!H122*'Prices&amp;Fuel'!Q122)+AU122</f>
        <v>24994751.967024371</v>
      </c>
      <c r="BA122" s="6">
        <f t="shared" si="149"/>
        <v>215167.09511568397</v>
      </c>
      <c r="BB122" s="6">
        <f>IF('FP Corp'!T122-((BE122+BF122+BG122)*(1-'Prices&amp;Fuel'!F122))&lt;'Prices&amp;Fuel'!R122,('FP Corp'!T122-(BE122+BF122+BG122)*(1-'Prices&amp;Fuel'!F122)),'Prices&amp;Fuel'!R122)/(1-'Prices&amp;Fuel'!F122)</f>
        <v>8976.8637532133671</v>
      </c>
      <c r="BC122" s="14"/>
      <c r="BD122" s="14">
        <f>ROUND(IF('FP Corp'!T122/(1-'Prices&amp;Fuel'!F122)-BE122-BF122-BG122-BB122&gt;'Prices&amp;Fuel'!T122,'Prices&amp;Fuel'!T122,'FP Corp'!T122/(1-'Prices&amp;Fuel'!F122)-BE122-BF122-BG122-BB122),9)</f>
        <v>6556.2982005140002</v>
      </c>
      <c r="BE122" s="14">
        <f>'Prices&amp;Fuel'!U122/(1-'Prices&amp;Fuel'!F122)</f>
        <v>1933.1619537275064</v>
      </c>
      <c r="BF122" s="14">
        <f>('Prices&amp;Fuel'!V122+'Prices&amp;Fuel'!X122)/(1-'Prices&amp;Fuel'!F122)</f>
        <v>3062.2107969151671</v>
      </c>
      <c r="BG122" s="14">
        <f>'Prices&amp;Fuel'!W122/(1-'Prices&amp;Fuel'!F122)</f>
        <v>1065.2956298200513</v>
      </c>
      <c r="BH122" s="25">
        <f>('Prices&amp;Fuel'!C122+'Prices&amp;Fuel'!D122)/2-0.05+('Prices&amp;Fuel'!M122+'Prices&amp;Fuel'!P122)*(1-'Prices&amp;Fuel'!F122)</f>
        <v>4.621246538376</v>
      </c>
      <c r="BI122" s="25"/>
      <c r="BJ122" s="25"/>
      <c r="BK122" s="25">
        <f>(((BB122+BE122)*('Prices&amp;Fuel'!B122+0.025))+(('Prices&amp;Fuel'!D122+0.025)*(BD122+BG122))+(('Prices&amp;Fuel'!C122+0.025)*(BC122+BF122))-(BI122+BJ122)*0.025)/(BB122+BC122+BD122+BE122+BF122+BG122)</f>
        <v>3.928835883614096</v>
      </c>
      <c r="BL122" s="14">
        <f>(BB122+BC122+BD122+BE122+BF122+BG122)*BH122*'Prices&amp;Fuel'!H122</f>
        <v>3093502.8241467932</v>
      </c>
      <c r="BM122" s="14">
        <f>'Prices&amp;Fuel'!X122*('Prices&amp;Fuel'!N122+'Prices&amp;Fuel'!O122)*'Prices&amp;Fuel'!H122</f>
        <v>9438.6404139577935</v>
      </c>
      <c r="BN122" s="14">
        <f>('Prices&amp;Fuel'!U122+'Prices&amp;Fuel'!V122+'Prices&amp;Fuel'!W122)*('Prices&amp;Fuel'!L122+'Prices&amp;Fuel'!O122)*'Prices&amp;Fuel'!H122</f>
        <v>72012.818736653091</v>
      </c>
      <c r="BO122" s="14">
        <f>((BB122+BC122+BD122)*(1-'Prices&amp;Fuel'!G122))*('Prices&amp;Fuel'!M122+'Prices&amp;Fuel'!P122)*'Prices&amp;Fuel'!H122</f>
        <v>358472.93299999676</v>
      </c>
      <c r="BP122" s="14">
        <f>((BD122+BC122+BB122+BE122+BF122+BG122)*BK122*'Prices&amp;Fuel'!H122)+BM122+BN122+BO122</f>
        <v>3069921.4720814661</v>
      </c>
      <c r="BQ122" s="6">
        <f t="shared" si="146"/>
        <v>23581.352065327112</v>
      </c>
      <c r="CA122" s="6">
        <f>(AF122+AG122+AH122+AL122)*0.005*'Prices&amp;Fuel'!H122</f>
        <v>31876.606683804628</v>
      </c>
      <c r="CB122" s="6">
        <f>(B122+C122+D122+O122+P122+Q122+X122+Y122+BB122+BC122+BD122+BE122+BF122+BG122+BR122+BS122)*0.005*'Prices&amp;Fuel'!H122</f>
        <v>7237.5437017994636</v>
      </c>
      <c r="CC122" s="1">
        <f t="shared" si="151"/>
        <v>30994869.786286846</v>
      </c>
      <c r="CD122" s="1">
        <f t="shared" si="152"/>
        <v>30785197.999491442</v>
      </c>
      <c r="CE122" s="1">
        <f t="shared" si="153"/>
        <v>209671.78679540381</v>
      </c>
      <c r="CF122" s="1">
        <f>'Index Price Deals'!AR122</f>
        <v>0</v>
      </c>
      <c r="CG122" s="1">
        <f>'Index Price Deals'!AS122</f>
        <v>0</v>
      </c>
      <c r="CH122" s="1">
        <f>'Index Price Deals'!AT122</f>
        <v>0</v>
      </c>
      <c r="CI122" s="1">
        <f>'Index Price Deals'!AU122</f>
        <v>0</v>
      </c>
      <c r="CJ122" s="1">
        <f t="shared" si="150"/>
        <v>30994869.786286846</v>
      </c>
      <c r="CK122" s="1">
        <f t="shared" si="141"/>
        <v>30785197.999491442</v>
      </c>
      <c r="CL122" s="1">
        <f t="shared" si="141"/>
        <v>209671.78679540381</v>
      </c>
      <c r="CM122" s="30"/>
      <c r="CN122" s="1">
        <f>Transport!U122</f>
        <v>3.1490140827372673E-9</v>
      </c>
      <c r="CQ122" s="1">
        <f>(((($B122+$C122+$D122+$O122+$P122+$Q122)*0.5)+BR122+BS122)*(0.005*'Prices&amp;Fuel'!$H122)+'Index Price Deals'!AV122)+(((BB122+BC122+BD122+BE122+BF122+BG122)*(1-'Prices&amp;Fuel'!F122))*0.005*0.5*'Prices&amp;Fuel'!H122)</f>
        <v>3572.7499999999895</v>
      </c>
      <c r="CR122" s="1">
        <f>(((($B122+$C122+$D122+$O122+$P122+$Q122)*0.5)+X122+Y122)*(0.005*'Prices&amp;Fuel'!$H122)+CA122+'Index Price Deals'!AW122)+(((BB122+BC122+BD122+BE122+BF122+BG122)*(1-'Prices&amp;Fuel'!F122))*0.005*0.5*'Prices&amp;Fuel'!H122)</f>
        <v>35449.356683804617</v>
      </c>
      <c r="CS122" s="21"/>
      <c r="CT122" s="1">
        <f>[3]Sheet1!$O140</f>
        <v>-341583.89114864415</v>
      </c>
      <c r="CU122" s="1">
        <f>'[4]Long Term Deals'!$Z121</f>
        <v>15953.184173812013</v>
      </c>
      <c r="CV122" s="60">
        <f t="shared" si="106"/>
        <v>567208.86211785686</v>
      </c>
      <c r="DB122" s="3">
        <f>(O122+P122+Q122)*'Prices&amp;Fuel'!$H122</f>
        <v>778100</v>
      </c>
      <c r="DE122" s="3">
        <v>200000</v>
      </c>
    </row>
    <row r="123" spans="1:109" x14ac:dyDescent="0.25">
      <c r="A123" s="10">
        <f t="shared" si="145"/>
        <v>39338.16666666638</v>
      </c>
      <c r="O123" s="1">
        <v>9036</v>
      </c>
      <c r="P123" s="1">
        <v>10794</v>
      </c>
      <c r="Q123" s="1">
        <v>5270</v>
      </c>
      <c r="R123" s="11">
        <f t="shared" si="154"/>
        <v>3.4590000000000001</v>
      </c>
      <c r="S123" s="11">
        <f t="shared" si="155"/>
        <v>3.4460999999999999</v>
      </c>
      <c r="T123" s="1">
        <f>(($O123*R123)+($P123*R123)+($Q123*R123))*'Prices&amp;Fuel'!$H123</f>
        <v>2604627</v>
      </c>
      <c r="U123" s="1">
        <f>(($O123*S123)+($P123*S123)+($Q123*S123))*'Prices&amp;Fuel'!$H123</f>
        <v>2594913.2999999998</v>
      </c>
      <c r="V123" s="13">
        <f t="shared" si="148"/>
        <v>9713.7000000001863</v>
      </c>
      <c r="AF123" s="1">
        <f>((100000)/(1-'Prices&amp;Fuel'!F123))+(25000/(1-'Prices&amp;Fuel'!G123))-AI123</f>
        <v>128534.70437017996</v>
      </c>
      <c r="AG123" s="1">
        <v>0</v>
      </c>
      <c r="AH123" s="1">
        <f>(75000/(1-'Prices&amp;Fuel'!G123))-AK123</f>
        <v>77120.822622107968</v>
      </c>
      <c r="AI123" s="1"/>
      <c r="AJ123" s="1"/>
      <c r="AK123" s="1"/>
      <c r="AL123" s="21">
        <f>ROUND((200000/(1-'Prices&amp;Fuel'!F123))-AF123-AG123-AH123,0)</f>
        <v>0</v>
      </c>
      <c r="AM123" s="1">
        <f t="shared" si="126"/>
        <v>64267</v>
      </c>
      <c r="AO123" s="1">
        <f>ROUND((75000/(1-'Prices&amp;Fuel'!G123)-AV123-AK123)/2,0)</f>
        <v>38560</v>
      </c>
      <c r="AR123" s="1">
        <f t="shared" si="142"/>
        <v>64267.704370179956</v>
      </c>
      <c r="AT123" s="13">
        <f t="shared" si="107"/>
        <v>38560.822622107968</v>
      </c>
      <c r="AU123" s="13">
        <f>AL123*AX123*'Prices&amp;Fuel'!H123</f>
        <v>0</v>
      </c>
      <c r="AW123" s="20">
        <f t="shared" si="147"/>
        <v>0.04</v>
      </c>
      <c r="AX123" s="20">
        <f t="shared" si="129"/>
        <v>2.5000000000000001E-2</v>
      </c>
      <c r="AY123" s="6">
        <f>('Prices&amp;Fuel'!H123*('Prices&amp;Fuel'!B123+AW123)*'Long Term Deals'!AF123)+('Prices&amp;Fuel'!H123*('Prices&amp;Fuel'!C123+'Long Term Deals'!AW123)*'Long Term Deals'!AG123)+(AH123*('Prices&amp;Fuel'!C123+AW123)*'Prices&amp;Fuel'!H123)+(AW123*AL123*'Prices&amp;Fuel'!H123)</f>
        <v>29389669.06089256</v>
      </c>
      <c r="AZ123" s="6">
        <f>(AP123*'Prices&amp;Fuel'!H123*'Prices&amp;Fuel'!B123)+(AQ123*'Prices&amp;Fuel'!C123*'Prices&amp;Fuel'!H123)+((AM123+AR123)*('Prices&amp;Fuel'!B123+'Long Term Deals'!AX123)*'Prices&amp;Fuel'!H123)+((AN123+AS123)*('Prices&amp;Fuel'!C123+'Long Term Deals'!AX123)*'Prices&amp;Fuel'!H123)+((AO123+AT123)*('Prices&amp;Fuel'!D123+'Long Term Deals'!AX123)*'Prices&amp;Fuel'!H123)+(AV123*'Prices&amp;Fuel'!H123*'Prices&amp;Fuel'!Q123)+AU123</f>
        <v>29181442.839812864</v>
      </c>
      <c r="BA123" s="6">
        <f t="shared" si="149"/>
        <v>208226.22107969597</v>
      </c>
      <c r="BB123" s="6">
        <f>IF('FP Corp'!T123-((BE123+BF123+BG123)*(1-'Prices&amp;Fuel'!F123))&lt;'Prices&amp;Fuel'!R123,('FP Corp'!T123-(BE123+BF123+BG123)*(1-'Prices&amp;Fuel'!F123)),'Prices&amp;Fuel'!R123)/(1-'Prices&amp;Fuel'!F123)</f>
        <v>8976.8637532133671</v>
      </c>
      <c r="BC123" s="14"/>
      <c r="BD123" s="14">
        <f>ROUND(IF('FP Corp'!T123/(1-'Prices&amp;Fuel'!F123)-BE123-BF123-BG123-BB123&gt;'Prices&amp;Fuel'!T123,'Prices&amp;Fuel'!T123,'FP Corp'!T123/(1-'Prices&amp;Fuel'!F123)-BE123-BF123-BG123-BB123),9)</f>
        <v>6556.2982005140002</v>
      </c>
      <c r="BE123" s="14">
        <f>'Prices&amp;Fuel'!U123/(1-'Prices&amp;Fuel'!F123)</f>
        <v>1933.1619537275064</v>
      </c>
      <c r="BF123" s="14">
        <f>('Prices&amp;Fuel'!V123+'Prices&amp;Fuel'!X123)/(1-'Prices&amp;Fuel'!F123)</f>
        <v>3062.2107969151671</v>
      </c>
      <c r="BG123" s="14">
        <f>'Prices&amp;Fuel'!W123/(1-'Prices&amp;Fuel'!F123)</f>
        <v>1065.2956298200513</v>
      </c>
      <c r="BH123" s="25">
        <f>('Prices&amp;Fuel'!C123+'Prices&amp;Fuel'!D123)/2-0.05+('Prices&amp;Fuel'!M123+'Prices&amp;Fuel'!P123)*(1-'Prices&amp;Fuel'!F123)</f>
        <v>5.430524276953002</v>
      </c>
      <c r="BI123" s="25"/>
      <c r="BJ123" s="25"/>
      <c r="BK123" s="25">
        <f>(((BB123+BE123)*('Prices&amp;Fuel'!B123+0.025))+(('Prices&amp;Fuel'!D123+0.025)*(BD123+BG123))+(('Prices&amp;Fuel'!C123+0.025)*(BC123+BF123))-(BI123+BJ123)*0.025)/(BB123+BC123+BD123+BE123+BF123+BG123)</f>
        <v>4.7381136221910971</v>
      </c>
      <c r="BL123" s="14">
        <f>(BB123+BC123+BD123+BE123+BF123+BG123)*BH123*'Prices&amp;Fuel'!H123</f>
        <v>3517974.595866703</v>
      </c>
      <c r="BM123" s="14">
        <f>'Prices&amp;Fuel'!X123*('Prices&amp;Fuel'!N123+'Prices&amp;Fuel'!O123)*'Prices&amp;Fuel'!H123</f>
        <v>9134.1681425398001</v>
      </c>
      <c r="BN123" s="14">
        <f>('Prices&amp;Fuel'!U123+'Prices&amp;Fuel'!V123+'Prices&amp;Fuel'!W123)*('Prices&amp;Fuel'!L123+'Prices&amp;Fuel'!O123)*'Prices&amp;Fuel'!H123</f>
        <v>69689.82458385783</v>
      </c>
      <c r="BO123" s="14">
        <f>((BB123+BC123+BD123)*(1-'Prices&amp;Fuel'!G123))*('Prices&amp;Fuel'!M123+'Prices&amp;Fuel'!P123)*'Prices&amp;Fuel'!H123</f>
        <v>346909.28999999689</v>
      </c>
      <c r="BP123" s="14">
        <f>((BD123+BC123+BB123+BE123+BF123+BG123)*BK123*'Prices&amp;Fuel'!H123)+BM123+BN123+BO123</f>
        <v>3495153.9325776766</v>
      </c>
      <c r="BQ123" s="6">
        <f t="shared" si="146"/>
        <v>22820.663289026357</v>
      </c>
      <c r="CA123" s="6">
        <f>(AF123+AG123+AH123+AL123)*0.005*'Prices&amp;Fuel'!H123</f>
        <v>30848.329048843189</v>
      </c>
      <c r="CB123" s="6">
        <f>(B123+C123+D123+O123+P123+Q123+X123+Y123+BB123+BC123+BD123+BE123+BF123+BG123+BR123+BS123)*0.005*'Prices&amp;Fuel'!H123</f>
        <v>7004.0745501285137</v>
      </c>
      <c r="CC123" s="1">
        <f t="shared" si="151"/>
        <v>35512270.656759262</v>
      </c>
      <c r="CD123" s="1">
        <f t="shared" si="152"/>
        <v>35309362.475989513</v>
      </c>
      <c r="CE123" s="1">
        <f t="shared" si="153"/>
        <v>202908.18076974899</v>
      </c>
      <c r="CF123" s="1">
        <f>'Index Price Deals'!AR123</f>
        <v>0</v>
      </c>
      <c r="CG123" s="1">
        <f>'Index Price Deals'!AS123</f>
        <v>0</v>
      </c>
      <c r="CH123" s="1">
        <f>'Index Price Deals'!AT123</f>
        <v>0</v>
      </c>
      <c r="CI123" s="1">
        <f>'Index Price Deals'!AU123</f>
        <v>0</v>
      </c>
      <c r="CJ123" s="1">
        <f t="shared" si="150"/>
        <v>35512270.656759262</v>
      </c>
      <c r="CK123" s="1">
        <f t="shared" si="141"/>
        <v>35309362.475989513</v>
      </c>
      <c r="CL123" s="1">
        <f t="shared" si="141"/>
        <v>202908.18076974899</v>
      </c>
      <c r="CM123" s="30"/>
      <c r="CN123" s="1">
        <f>Transport!U123</f>
        <v>3.0474329832941295E-9</v>
      </c>
      <c r="CQ123" s="1">
        <f>(((($B123+$C123+$D123+$O123+$P123+$Q123)*0.5)+BR123+BS123)*(0.005*'Prices&amp;Fuel'!$H123)+'Index Price Deals'!AV123)+(((BB123+BC123+BD123+BE123+BF123+BG123)*(1-'Prices&amp;Fuel'!F123))*0.005*0.5*'Prices&amp;Fuel'!H123)</f>
        <v>3457.49999999999</v>
      </c>
      <c r="CR123" s="1">
        <f>(((($B123+$C123+$D123+$O123+$P123+$Q123)*0.5)+X123+Y123)*(0.005*'Prices&amp;Fuel'!$H123)+CA123+'Index Price Deals'!AW123)+(((BB123+BC123+BD123+BE123+BF123+BG123)*(1-'Prices&amp;Fuel'!F123))*0.005*0.5*'Prices&amp;Fuel'!H123)</f>
        <v>34305.829048843181</v>
      </c>
      <c r="CS123" s="21"/>
      <c r="CT123" s="1">
        <f>[3]Sheet1!$O141</f>
        <v>-330565.05595030083</v>
      </c>
      <c r="CU123" s="1">
        <f>'[4]Long Term Deals'!$Z122</f>
        <v>15438.565329495468</v>
      </c>
      <c r="CV123" s="60">
        <f t="shared" si="106"/>
        <v>548911.8020495422</v>
      </c>
      <c r="DB123" s="3">
        <f>(O123+P123+Q123)*'Prices&amp;Fuel'!$H123</f>
        <v>753000</v>
      </c>
      <c r="DE123" s="3">
        <v>200000</v>
      </c>
    </row>
    <row r="124" spans="1:109" x14ac:dyDescent="0.25">
      <c r="A124" s="10">
        <f t="shared" si="145"/>
        <v>39368.583333333045</v>
      </c>
      <c r="O124" s="1">
        <v>9036</v>
      </c>
      <c r="P124" s="1">
        <v>10794</v>
      </c>
      <c r="Q124" s="1">
        <v>5270</v>
      </c>
      <c r="R124" s="11">
        <f t="shared" si="154"/>
        <v>3.4590000000000001</v>
      </c>
      <c r="S124" s="11">
        <f t="shared" si="155"/>
        <v>3.4460999999999999</v>
      </c>
      <c r="T124" s="1">
        <f>(($O124*R124)+($P124*R124)+($Q124*R124))*'Prices&amp;Fuel'!$H124</f>
        <v>2691447.9</v>
      </c>
      <c r="U124" s="1">
        <f>(($O124*S124)+($P124*S124)+($Q124*S124))*'Prices&amp;Fuel'!$H124</f>
        <v>2681410.41</v>
      </c>
      <c r="V124" s="13">
        <f t="shared" si="148"/>
        <v>10037.489999999758</v>
      </c>
      <c r="AF124" s="1">
        <f>(32000/(1-'Prices&amp;Fuel'!F124))+(25000/(1-'Prices&amp;Fuel'!G124))-AI124</f>
        <v>58611.825192802062</v>
      </c>
      <c r="AG124" s="1">
        <v>0</v>
      </c>
      <c r="AH124" s="1">
        <f>(75000/(1-'Prices&amp;Fuel'!G124))-AK124</f>
        <v>77120.822622107968</v>
      </c>
      <c r="AI124" s="1"/>
      <c r="AJ124" s="1"/>
      <c r="AK124" s="1"/>
      <c r="AL124" s="21">
        <f>ROUND((132000/(1-'Prices&amp;Fuel'!F124))-AF124-AG124-AH124,0)</f>
        <v>0</v>
      </c>
      <c r="AM124" s="1">
        <f t="shared" si="126"/>
        <v>29306</v>
      </c>
      <c r="AO124" s="1">
        <f>ROUND((75000/(1-'Prices&amp;Fuel'!G124)-AV124-AK124)/2,0)</f>
        <v>38560</v>
      </c>
      <c r="AR124" s="1">
        <f t="shared" si="142"/>
        <v>29305.825192802062</v>
      </c>
      <c r="AT124" s="13">
        <f t="shared" si="107"/>
        <v>38560.822622107968</v>
      </c>
      <c r="AU124" s="13">
        <f>AL124*AX124*'Prices&amp;Fuel'!H124</f>
        <v>0</v>
      </c>
      <c r="AW124" s="20">
        <f t="shared" si="147"/>
        <v>0.04</v>
      </c>
      <c r="AX124" s="20">
        <f t="shared" si="129"/>
        <v>2.5000000000000001E-2</v>
      </c>
      <c r="AY124" s="6">
        <f>('Prices&amp;Fuel'!H124*('Prices&amp;Fuel'!B124+AW124)*'Long Term Deals'!AF124)+('Prices&amp;Fuel'!H124*('Prices&amp;Fuel'!C124+'Long Term Deals'!AW124)*'Long Term Deals'!AG124)+(AH124*('Prices&amp;Fuel'!C124+AW124)*'Prices&amp;Fuel'!H124)+(AW124*AL124*'Prices&amp;Fuel'!H124)</f>
        <v>23099721.934496589</v>
      </c>
      <c r="AZ124" s="6">
        <f>(AP124*'Prices&amp;Fuel'!H124*'Prices&amp;Fuel'!B124)+(AQ124*'Prices&amp;Fuel'!C124*'Prices&amp;Fuel'!H124)+((AM124+AR124)*('Prices&amp;Fuel'!B124+'Long Term Deals'!AX124)*'Prices&amp;Fuel'!H124)+((AN124+AS124)*('Prices&amp;Fuel'!C124+'Long Term Deals'!AX124)*'Prices&amp;Fuel'!H124)+((AO124+AT124)*('Prices&amp;Fuel'!D124+'Long Term Deals'!AX124)*'Prices&amp;Fuel'!H124)+(AV124*'Prices&amp;Fuel'!H124*'Prices&amp;Fuel'!Q124)+AU124</f>
        <v>22917068.978198394</v>
      </c>
      <c r="BA124" s="6">
        <f t="shared" si="149"/>
        <v>182652.95629819483</v>
      </c>
      <c r="BB124" s="6">
        <f>IF('FP Corp'!T124-((BE124+BF124+BG124)*(1-'Prices&amp;Fuel'!F124))&lt;'Prices&amp;Fuel'!R124,('FP Corp'!T124-(BE124+BF124+BG124)*(1-'Prices&amp;Fuel'!F124)),'Prices&amp;Fuel'!R124)/(1-'Prices&amp;Fuel'!F124)</f>
        <v>8976.8637532133671</v>
      </c>
      <c r="BC124" s="14"/>
      <c r="BD124" s="14">
        <f>ROUND(IF('FP Corp'!T124/(1-'Prices&amp;Fuel'!F124)-BE124-BF124-BG124-BB124&gt;'Prices&amp;Fuel'!T124,'Prices&amp;Fuel'!T124,'FP Corp'!T124/(1-'Prices&amp;Fuel'!F124)-BE124-BF124-BG124-BB124),9)</f>
        <v>3514.6529562979999</v>
      </c>
      <c r="BE124" s="14">
        <f>'Prices&amp;Fuel'!U124/(1-'Prices&amp;Fuel'!F124)</f>
        <v>2910.025706940874</v>
      </c>
      <c r="BF124" s="14">
        <f>('Prices&amp;Fuel'!V124+'Prices&amp;Fuel'!X124)/(1-'Prices&amp;Fuel'!F124)</f>
        <v>4628.2776349614396</v>
      </c>
      <c r="BG124" s="14">
        <f>'Prices&amp;Fuel'!W124/(1-'Prices&amp;Fuel'!F124)</f>
        <v>1564.0102827763496</v>
      </c>
      <c r="BH124" s="25">
        <f>('Prices&amp;Fuel'!C124+'Prices&amp;Fuel'!D124)/2-0.05+('Prices&amp;Fuel'!M124+'Prices&amp;Fuel'!P124)*(1-'Prices&amp;Fuel'!F124)</f>
        <v>6.145211111021001</v>
      </c>
      <c r="BI124" s="25"/>
      <c r="BJ124" s="25"/>
      <c r="BK124" s="25">
        <f>(((BB124+BE124)*('Prices&amp;Fuel'!B124+0.025))+(('Prices&amp;Fuel'!D124+0.025)*(BD124+BG124))+(('Prices&amp;Fuel'!C124+0.025)*(BC124+BF124))-(BI124+BJ124)*0.025)/(BB124+BC124+BD124+BE124+BF124+BG124)</f>
        <v>5.4559742657829062</v>
      </c>
      <c r="BL124" s="14">
        <f>(BB124+BC124+BD124+BE124+BF124+BG124)*BH124*'Prices&amp;Fuel'!H124</f>
        <v>4113658.0290741744</v>
      </c>
      <c r="BM124" s="14">
        <f>'Prices&amp;Fuel'!X124*('Prices&amp;Fuel'!N124+'Prices&amp;Fuel'!O124)*'Prices&amp;Fuel'!H124</f>
        <v>13833.205057645318</v>
      </c>
      <c r="BN124" s="14">
        <f>('Prices&amp;Fuel'!U124+'Prices&amp;Fuel'!V124+'Prices&amp;Fuel'!W124)*('Prices&amp;Fuel'!L124+'Prices&amp;Fuel'!O124)*'Prices&amp;Fuel'!H124</f>
        <v>108495.99691066272</v>
      </c>
      <c r="BO124" s="14">
        <f>((BB124+BC124+BD124)*(1-'Prices&amp;Fuel'!G124))*('Prices&amp;Fuel'!M124+'Prices&amp;Fuel'!P124)*'Prices&amp;Fuel'!H124</f>
        <v>288278.11399999529</v>
      </c>
      <c r="BP124" s="14">
        <f>((BD124+BC124+BB124+BE124+BF124+BG124)*BK124*'Prices&amp;Fuel'!H124)+BM124+BN124+BO124</f>
        <v>4062884.1766620199</v>
      </c>
      <c r="BQ124" s="6">
        <f t="shared" si="146"/>
        <v>50773.852412154432</v>
      </c>
      <c r="CA124" s="6">
        <f>(AF124+AG124+AH124+AL124)*0.005*'Prices&amp;Fuel'!H124</f>
        <v>21038.560411311057</v>
      </c>
      <c r="CB124" s="6">
        <f>(B124+C124+D124+O124+P124+Q124+X124+Y124+BB124+BC124+BD124+BE124+BF124+BG124+BR124+BS124)*0.005*'Prices&amp;Fuel'!H124</f>
        <v>7237.5437017994554</v>
      </c>
      <c r="CC124" s="1">
        <f t="shared" si="151"/>
        <v>29904827.863570761</v>
      </c>
      <c r="CD124" s="1">
        <f t="shared" si="152"/>
        <v>29689639.668973524</v>
      </c>
      <c r="CE124" s="1">
        <f t="shared" si="153"/>
        <v>215188.19459723681</v>
      </c>
      <c r="CF124" s="1">
        <f>'Index Price Deals'!AR124</f>
        <v>0</v>
      </c>
      <c r="CG124" s="1">
        <f>'Index Price Deals'!AS124</f>
        <v>0</v>
      </c>
      <c r="CH124" s="1">
        <f>'Index Price Deals'!AT124</f>
        <v>0</v>
      </c>
      <c r="CI124" s="1">
        <f>'Index Price Deals'!AU124</f>
        <v>0</v>
      </c>
      <c r="CJ124" s="1">
        <f t="shared" si="150"/>
        <v>29904827.863570761</v>
      </c>
      <c r="CK124" s="1">
        <f t="shared" si="141"/>
        <v>29689639.668973524</v>
      </c>
      <c r="CL124" s="1">
        <f t="shared" si="141"/>
        <v>215188.19459723681</v>
      </c>
      <c r="CM124" s="30"/>
      <c r="CN124" s="1">
        <f>Transport!U124</f>
        <v>4.3920459575019776E-9</v>
      </c>
      <c r="CQ124" s="1">
        <f>(((($B124+$C124+$D124+$O124+$P124+$Q124)*0.5)+BR124+BS124)*(0.005*'Prices&amp;Fuel'!$H124)+'Index Price Deals'!AV124)+(((BB124+BC124+BD124+BE124+BF124+BG124)*(1-'Prices&amp;Fuel'!F124))*0.005*0.5*'Prices&amp;Fuel'!H124)</f>
        <v>3572.749999999985</v>
      </c>
      <c r="CR124" s="1">
        <f>(((($B124+$C124+$D124+$O124+$P124+$Q124)*0.5)+X124+Y124)*(0.005*'Prices&amp;Fuel'!$H124)+CA124+'Index Price Deals'!AW124)+(((BB124+BC124+BD124+BE124+BF124+BG124)*(1-'Prices&amp;Fuel'!F124))*0.005*0.5*'Prices&amp;Fuel'!H124)</f>
        <v>24611.310411311042</v>
      </c>
      <c r="CS124" s="21"/>
      <c r="CT124" s="1">
        <f>[3]Sheet1!$O142</f>
        <v>-225445.36815810515</v>
      </c>
      <c r="CU124" s="1">
        <f>'[4]Long Term Deals'!$Z123</f>
        <v>10529.101554715919</v>
      </c>
      <c r="CV124" s="60">
        <f t="shared" si="106"/>
        <v>451162.66431005346</v>
      </c>
      <c r="DB124" s="3">
        <f>(O124+P124+Q124)*'Prices&amp;Fuel'!$H124</f>
        <v>778100</v>
      </c>
      <c r="DE124" s="3">
        <v>132000</v>
      </c>
    </row>
    <row r="125" spans="1:109" x14ac:dyDescent="0.25">
      <c r="A125" s="10">
        <f t="shared" si="145"/>
        <v>39398.999999999709</v>
      </c>
      <c r="O125" s="1">
        <v>9036</v>
      </c>
      <c r="P125" s="1">
        <v>10794</v>
      </c>
      <c r="Q125" s="1">
        <v>5270</v>
      </c>
      <c r="R125" s="11">
        <f t="shared" si="154"/>
        <v>3.4590000000000001</v>
      </c>
      <c r="S125" s="11">
        <f t="shared" si="155"/>
        <v>3.4460999999999999</v>
      </c>
      <c r="T125" s="1">
        <f>(($O125*R125)+($P125*R125)+($Q125*R125))*'Prices&amp;Fuel'!$H125</f>
        <v>2604627</v>
      </c>
      <c r="U125" s="1">
        <f>(($O125*S125)+($P125*S125)+($Q125*S125))*'Prices&amp;Fuel'!$H125</f>
        <v>2594913.2999999998</v>
      </c>
      <c r="V125" s="13">
        <f t="shared" si="148"/>
        <v>9713.7000000001863</v>
      </c>
      <c r="AF125" s="1">
        <f>(32000/(1-'Prices&amp;Fuel'!F125))+(25000/(1-'Prices&amp;Fuel'!G125))-AI125</f>
        <v>58611.825192802062</v>
      </c>
      <c r="AG125" s="1">
        <v>0</v>
      </c>
      <c r="AH125" s="1">
        <f>(75000/(1-'Prices&amp;Fuel'!G125))-AK125</f>
        <v>77120.822622107968</v>
      </c>
      <c r="AI125" s="1"/>
      <c r="AJ125" s="1"/>
      <c r="AK125" s="1"/>
      <c r="AL125" s="21">
        <f>ROUND((132000/(1-'Prices&amp;Fuel'!F125))-AF125-AG125-AH125,0)</f>
        <v>0</v>
      </c>
      <c r="AM125" s="1">
        <f t="shared" si="126"/>
        <v>29306</v>
      </c>
      <c r="AO125" s="1">
        <f>ROUND((75000/(1-'Prices&amp;Fuel'!G125)-AV125-AK125)/2,0)</f>
        <v>38560</v>
      </c>
      <c r="AR125" s="1">
        <f t="shared" ref="AR125:AR140" si="156">IF(AP125&gt;AF125,0,AF125-AM125-AP125)</f>
        <v>29305.825192802062</v>
      </c>
      <c r="AT125" s="13">
        <f t="shared" si="107"/>
        <v>38560.822622107968</v>
      </c>
      <c r="AU125" s="13">
        <f>AL125*AX125*'Prices&amp;Fuel'!H125</f>
        <v>0</v>
      </c>
      <c r="AW125" s="20">
        <f t="shared" si="147"/>
        <v>0.04</v>
      </c>
      <c r="AX125" s="20">
        <f t="shared" si="129"/>
        <v>2.5000000000000001E-2</v>
      </c>
      <c r="AY125" s="6">
        <f>('Prices&amp;Fuel'!H125*('Prices&amp;Fuel'!B125+AW125)*'Long Term Deals'!AF125)+('Prices&amp;Fuel'!H125*('Prices&amp;Fuel'!C125+'Long Term Deals'!AW125)*'Long Term Deals'!AG125)+(AH125*('Prices&amp;Fuel'!C125+AW125)*'Prices&amp;Fuel'!H125)+(AW125*AL125*'Prices&amp;Fuel'!H125)</f>
        <v>14950703.648758955</v>
      </c>
      <c r="AZ125" s="6">
        <f>(AP125*'Prices&amp;Fuel'!H125*'Prices&amp;Fuel'!B125)+(AQ125*'Prices&amp;Fuel'!C125*'Prices&amp;Fuel'!H125)+((AM125+AR125)*('Prices&amp;Fuel'!B125+'Long Term Deals'!AX125)*'Prices&amp;Fuel'!H125)+((AN125+AS125)*('Prices&amp;Fuel'!C125+'Long Term Deals'!AX125)*'Prices&amp;Fuel'!H125)+((AO125+AT125)*('Prices&amp;Fuel'!D125+'Long Term Deals'!AX125)*'Prices&amp;Fuel'!H125)+(AV125*'Prices&amp;Fuel'!H125*'Prices&amp;Fuel'!Q125)+AU125</f>
        <v>14773942.723309085</v>
      </c>
      <c r="BA125" s="6">
        <f t="shared" si="149"/>
        <v>176760.92544987053</v>
      </c>
      <c r="BB125" s="6">
        <f>IF('FP Corp'!T125-((BE125+BF125+BG125)*(1-'Prices&amp;Fuel'!F125))&lt;'Prices&amp;Fuel'!R125,('FP Corp'!T125-(BE125+BF125+BG125)*(1-'Prices&amp;Fuel'!F125)),'Prices&amp;Fuel'!R125)/(1-'Prices&amp;Fuel'!F125)</f>
        <v>4325.9640102827761</v>
      </c>
      <c r="BC125" s="14"/>
      <c r="BD125" s="14">
        <f>ROUND(IF('FP Corp'!T125/(1-'Prices&amp;Fuel'!F125)-BE125-BF125-BG125-BB125&gt;'Prices&amp;Fuel'!T125,'Prices&amp;Fuel'!T125,'FP Corp'!T125/(1-'Prices&amp;Fuel'!F125)-BE125-BF125-BG125-BB125),9)</f>
        <v>0</v>
      </c>
      <c r="BE125" s="14">
        <f>'Prices&amp;Fuel'!U125/(1-'Prices&amp;Fuel'!F125)</f>
        <v>2635.4755784061695</v>
      </c>
      <c r="BF125" s="14">
        <f>('Prices&amp;Fuel'!V125+'Prices&amp;Fuel'!X125)/(1-'Prices&amp;Fuel'!F125)</f>
        <v>3645.2442159383031</v>
      </c>
      <c r="BG125" s="14">
        <f>'Prices&amp;Fuel'!W125/(1-'Prices&amp;Fuel'!F125)</f>
        <v>1732.6478149100255</v>
      </c>
      <c r="BH125" s="25">
        <f>('Prices&amp;Fuel'!C125+'Prices&amp;Fuel'!D125)/2-0.05+('Prices&amp;Fuel'!M125+'Prices&amp;Fuel'!P125)*(1-'Prices&amp;Fuel'!F125)</f>
        <v>4.3269637243480013</v>
      </c>
      <c r="BI125" s="25"/>
      <c r="BJ125" s="25"/>
      <c r="BK125" s="25">
        <f>(((BB125+BE125)*('Prices&amp;Fuel'!B125+0.025))+(('Prices&amp;Fuel'!D125+0.025)*(BD125+BG125))+(('Prices&amp;Fuel'!C125+0.025)*(BC125+BF125))-(BI125+BJ125)*0.025)/(BB125+BC125+BD125+BE125+BF125+BG125)</f>
        <v>3.6416441410146678</v>
      </c>
      <c r="BL125" s="14">
        <f>(BB125+BC125+BD125+BE125+BF125+BG125)*BH125*'Prices&amp;Fuel'!H125</f>
        <v>1601755.2090131417</v>
      </c>
      <c r="BM125" s="14">
        <f>'Prices&amp;Fuel'!X125*('Prices&amp;Fuel'!N125+'Prices&amp;Fuel'!O125)*'Prices&amp;Fuel'!H125</f>
        <v>9134.1681425398001</v>
      </c>
      <c r="BN125" s="14">
        <f>('Prices&amp;Fuel'!U125+'Prices&amp;Fuel'!V125+'Prices&amp;Fuel'!W125)*('Prices&amp;Fuel'!L125+'Prices&amp;Fuel'!O125)*'Prices&amp;Fuel'!H125</f>
        <v>95086.289155868202</v>
      </c>
      <c r="BO125" s="14">
        <f>((BB125+BC125+BD125)*(1-'Prices&amp;Fuel'!G125))*('Prices&amp;Fuel'!M125+'Prices&amp;Fuel'!P125)*'Prices&amp;Fuel'!H125</f>
        <v>96613.75499999999</v>
      </c>
      <c r="BP125" s="14">
        <f>((BD125+BC125+BB125+BE125+BF125+BG125)*BK125*'Prices&amp;Fuel'!H125)+BM125+BN125+BO125</f>
        <v>1548897.8531881564</v>
      </c>
      <c r="BQ125" s="6">
        <f t="shared" si="146"/>
        <v>52857.355824985309</v>
      </c>
      <c r="CA125" s="6">
        <f>(AF125+AG125+AH125+AL125)*0.005*'Prices&amp;Fuel'!H125</f>
        <v>20359.897172236506</v>
      </c>
      <c r="CB125" s="6">
        <f>(B125+C125+D125+O125+P125+Q125+X125+Y125+BB125+BC125+BD125+BE125+BF125+BG125+BR125+BS125)*0.005*'Prices&amp;Fuel'!H125</f>
        <v>5615.8997429305909</v>
      </c>
      <c r="CC125" s="1">
        <f t="shared" si="151"/>
        <v>19157085.857772097</v>
      </c>
      <c r="CD125" s="1">
        <f t="shared" si="152"/>
        <v>18943729.673412409</v>
      </c>
      <c r="CE125" s="1">
        <f t="shared" si="153"/>
        <v>213356.18435968831</v>
      </c>
      <c r="CF125" s="1">
        <f>'Index Price Deals'!AR125</f>
        <v>0</v>
      </c>
      <c r="CG125" s="1">
        <f>'Index Price Deals'!AS125</f>
        <v>0</v>
      </c>
      <c r="CH125" s="1">
        <f>'Index Price Deals'!AT125</f>
        <v>0</v>
      </c>
      <c r="CI125" s="1">
        <f>'Index Price Deals'!AU125</f>
        <v>0</v>
      </c>
      <c r="CJ125" s="1">
        <f t="shared" si="150"/>
        <v>19157085.857772097</v>
      </c>
      <c r="CK125" s="1">
        <f t="shared" ref="CK125:CL144" si="157">CD125+CH125</f>
        <v>18943729.673412409</v>
      </c>
      <c r="CL125" s="1">
        <f t="shared" si="157"/>
        <v>213356.18435968831</v>
      </c>
      <c r="CM125" s="30"/>
      <c r="CN125" s="1">
        <f>Transport!U125</f>
        <v>0</v>
      </c>
      <c r="CQ125" s="1">
        <f>(((($B125+$C125+$D125+$O125+$P125+$Q125)*0.5)+BR125+BS125)*(0.005*'Prices&amp;Fuel'!$H125)+'Index Price Deals'!AV125)+(((BB125+BC125+BD125+BE125+BF125+BG125)*(1-'Prices&amp;Fuel'!F125))*0.005*0.5*'Prices&amp;Fuel'!H125)</f>
        <v>2782.5</v>
      </c>
      <c r="CR125" s="1">
        <f>(((($B125+$C125+$D125+$O125+$P125+$Q125)*0.5)+X125+Y125)*(0.005*'Prices&amp;Fuel'!$H125)+CA125+'Index Price Deals'!AW125)+(((BB125+BC125+BD125+BE125+BF125+BG125)*(1-'Prices&amp;Fuel'!F125))*0.005*0.5*'Prices&amp;Fuel'!H125)</f>
        <v>23142.397172236506</v>
      </c>
      <c r="CS125" s="21"/>
      <c r="CT125" s="1">
        <f>[3]Sheet1!$O143</f>
        <v>-218172.93692719855</v>
      </c>
      <c r="CU125" s="1">
        <f>'[4]Long Term Deals'!$Z124</f>
        <v>10189.453117467026</v>
      </c>
      <c r="CV125" s="60">
        <f t="shared" si="106"/>
        <v>441718.57440435386</v>
      </c>
      <c r="DB125" s="3">
        <f>(O125+P125+Q125)*'Prices&amp;Fuel'!$H125</f>
        <v>753000</v>
      </c>
      <c r="DE125" s="3">
        <v>132000</v>
      </c>
    </row>
    <row r="126" spans="1:109" x14ac:dyDescent="0.25">
      <c r="A126" s="10">
        <f t="shared" si="145"/>
        <v>39429.416666666373</v>
      </c>
      <c r="O126" s="1">
        <v>9036</v>
      </c>
      <c r="P126" s="1">
        <v>10794</v>
      </c>
      <c r="Q126" s="1">
        <v>5270</v>
      </c>
      <c r="R126" s="11">
        <f t="shared" si="154"/>
        <v>3.4590000000000001</v>
      </c>
      <c r="S126" s="11">
        <f t="shared" si="155"/>
        <v>3.4460999999999999</v>
      </c>
      <c r="T126" s="1">
        <f>(($O126*R126)+($P126*R126)+($Q126*R126))*'Prices&amp;Fuel'!$H126</f>
        <v>2691447.9</v>
      </c>
      <c r="U126" s="1">
        <f>(($O126*S126)+($P126*S126)+($Q126*S126))*'Prices&amp;Fuel'!$H126</f>
        <v>2681410.41</v>
      </c>
      <c r="V126" s="13">
        <f t="shared" si="148"/>
        <v>10037.489999999758</v>
      </c>
      <c r="AF126" s="1">
        <f>(32000/(1-'Prices&amp;Fuel'!F126))+(25000/(1-'Prices&amp;Fuel'!G126))-AI126</f>
        <v>58611.825192802062</v>
      </c>
      <c r="AG126" s="1">
        <v>0</v>
      </c>
      <c r="AH126" s="1">
        <f>(75000/(1-'Prices&amp;Fuel'!G126))-AK126</f>
        <v>77120.822622107968</v>
      </c>
      <c r="AI126" s="1"/>
      <c r="AJ126" s="1"/>
      <c r="AK126" s="1"/>
      <c r="AL126" s="21">
        <f>ROUND((132000/(1-'Prices&amp;Fuel'!F126))-AF126-AG126-AH126,0)</f>
        <v>0</v>
      </c>
      <c r="AM126" s="1">
        <f t="shared" si="126"/>
        <v>29306</v>
      </c>
      <c r="AO126" s="1">
        <f>ROUND((75000/(1-'Prices&amp;Fuel'!G126)-AV126-AK126)/2,0)</f>
        <v>38560</v>
      </c>
      <c r="AR126" s="1">
        <f t="shared" si="156"/>
        <v>29305.825192802062</v>
      </c>
      <c r="AT126" s="13">
        <f t="shared" si="107"/>
        <v>38560.822622107968</v>
      </c>
      <c r="AU126" s="13">
        <f>AL126*AX126*'Prices&amp;Fuel'!H126</f>
        <v>0</v>
      </c>
      <c r="AW126" s="20">
        <f t="shared" si="147"/>
        <v>0.04</v>
      </c>
      <c r="AX126" s="20">
        <f t="shared" si="129"/>
        <v>2.5000000000000001E-2</v>
      </c>
      <c r="AY126" s="6">
        <f>('Prices&amp;Fuel'!H126*('Prices&amp;Fuel'!B126+AW126)*'Long Term Deals'!AF126)+('Prices&amp;Fuel'!H126*('Prices&amp;Fuel'!C126+'Long Term Deals'!AW126)*'Long Term Deals'!AG126)+(AH126*('Prices&amp;Fuel'!C126+AW126)*'Prices&amp;Fuel'!H126)+(AW126*AL126*'Prices&amp;Fuel'!H126)</f>
        <v>11557394.473032311</v>
      </c>
      <c r="AZ126" s="6">
        <f>(AP126*'Prices&amp;Fuel'!H126*'Prices&amp;Fuel'!B126)+(AQ126*'Prices&amp;Fuel'!C126*'Prices&amp;Fuel'!H126)+((AM126+AR126)*('Prices&amp;Fuel'!B126+'Long Term Deals'!AX126)*'Prices&amp;Fuel'!H126)+((AN126+AS126)*('Prices&amp;Fuel'!C126+'Long Term Deals'!AX126)*'Prices&amp;Fuel'!H126)+((AO126+AT126)*('Prices&amp;Fuel'!D126+'Long Term Deals'!AX126)*'Prices&amp;Fuel'!H126)+(AV126*'Prices&amp;Fuel'!H126*'Prices&amp;Fuel'!Q126)+AU126</f>
        <v>11374741.516734112</v>
      </c>
      <c r="BA126" s="6">
        <f t="shared" si="149"/>
        <v>182652.95629819855</v>
      </c>
      <c r="BB126" s="6">
        <f>IF('FP Corp'!T126-((BE126+BF126+BG126)*(1-'Prices&amp;Fuel'!F126))&lt;'Prices&amp;Fuel'!R126,('FP Corp'!T126-(BE126+BF126+BG126)*(1-'Prices&amp;Fuel'!F126)),'Prices&amp;Fuel'!R126)/(1-'Prices&amp;Fuel'!F126)</f>
        <v>4325.9640102827761</v>
      </c>
      <c r="BC126" s="14"/>
      <c r="BD126" s="14">
        <f>ROUND(IF('FP Corp'!T126/(1-'Prices&amp;Fuel'!F126)-BE126-BF126-BG126-BB126&gt;'Prices&amp;Fuel'!T126,'Prices&amp;Fuel'!T126,'FP Corp'!T126/(1-'Prices&amp;Fuel'!F126)-BE126-BF126-BG126-BB126),9)</f>
        <v>0</v>
      </c>
      <c r="BE126" s="14">
        <f>'Prices&amp;Fuel'!U126/(1-'Prices&amp;Fuel'!F126)</f>
        <v>2635.4755784061695</v>
      </c>
      <c r="BF126" s="14">
        <f>('Prices&amp;Fuel'!V126+'Prices&amp;Fuel'!X126)/(1-'Prices&amp;Fuel'!F126)</f>
        <v>3645.2442159383031</v>
      </c>
      <c r="BG126" s="14">
        <f>'Prices&amp;Fuel'!W126/(1-'Prices&amp;Fuel'!F126)</f>
        <v>1732.6478149100255</v>
      </c>
      <c r="BH126" s="25">
        <f>('Prices&amp;Fuel'!C126+'Prices&amp;Fuel'!D126)/2-0.05+('Prices&amp;Fuel'!M126+'Prices&amp;Fuel'!P126)*(1-'Prices&amp;Fuel'!F126)</f>
        <v>3.4020748802600012</v>
      </c>
      <c r="BI126" s="25"/>
      <c r="BJ126" s="25"/>
      <c r="BK126" s="25">
        <f>(((BB126+BE126)*('Prices&amp;Fuel'!B126+0.025))+(('Prices&amp;Fuel'!D126+0.025)*(BD126+BG126))+(('Prices&amp;Fuel'!C126+0.025)*(BC126+BF126))-(BI126+BJ126)*0.025)/(BB126+BC126+BD126+BE126+BF126+BG126)</f>
        <v>2.7167552969266677</v>
      </c>
      <c r="BL126" s="14">
        <f>(BB126+BC126+BD126+BE126+BF126+BG126)*BH126*'Prices&amp;Fuel'!H126</f>
        <v>1301359.2344027972</v>
      </c>
      <c r="BM126" s="14">
        <f>'Prices&amp;Fuel'!X126*('Prices&amp;Fuel'!N126+'Prices&amp;Fuel'!O126)*'Prices&amp;Fuel'!H126</f>
        <v>9438.6404139577935</v>
      </c>
      <c r="BN126" s="14">
        <f>('Prices&amp;Fuel'!U126+'Prices&amp;Fuel'!V126+'Prices&amp;Fuel'!W126)*('Prices&amp;Fuel'!L126+'Prices&amp;Fuel'!O126)*'Prices&amp;Fuel'!H126</f>
        <v>98255.832127730479</v>
      </c>
      <c r="BO126" s="14">
        <f>((BB126+BC126+BD126)*(1-'Prices&amp;Fuel'!G126))*('Prices&amp;Fuel'!M126+'Prices&amp;Fuel'!P126)*'Prices&amp;Fuel'!H126</f>
        <v>99834.213499999998</v>
      </c>
      <c r="BP126" s="14">
        <f>((BD126+BC126+BB126+BE126+BF126+BG126)*BK126*'Prices&amp;Fuel'!H126)+BM126+BN126+BO126</f>
        <v>1246739.9667169792</v>
      </c>
      <c r="BQ126" s="6">
        <f t="shared" si="146"/>
        <v>54619.26768581802</v>
      </c>
      <c r="CA126" s="6">
        <f>(AF126+AG126+AH126+AL126)*0.005*'Prices&amp;Fuel'!H126</f>
        <v>21038.560411311057</v>
      </c>
      <c r="CB126" s="6">
        <f>(B126+C126+D126+O126+P126+Q126+X126+Y126+BB126+BC126+BD126+BE126+BF126+BG126+BR126+BS126)*0.005*'Prices&amp;Fuel'!H126</f>
        <v>5803.0964010282778</v>
      </c>
      <c r="CC126" s="1">
        <f t="shared" si="151"/>
        <v>15550201.607435107</v>
      </c>
      <c r="CD126" s="1">
        <f t="shared" si="152"/>
        <v>15329733.550263431</v>
      </c>
      <c r="CE126" s="1">
        <f t="shared" si="153"/>
        <v>220468.05717167631</v>
      </c>
      <c r="CF126" s="1">
        <f>'Index Price Deals'!AR126</f>
        <v>0</v>
      </c>
      <c r="CG126" s="1">
        <f>'Index Price Deals'!AS126</f>
        <v>0</v>
      </c>
      <c r="CH126" s="1">
        <f>'Index Price Deals'!AT126</f>
        <v>0</v>
      </c>
      <c r="CI126" s="1">
        <f>'Index Price Deals'!AU126</f>
        <v>0</v>
      </c>
      <c r="CJ126" s="1">
        <f t="shared" si="150"/>
        <v>15550201.607435107</v>
      </c>
      <c r="CK126" s="1">
        <f t="shared" si="157"/>
        <v>15329733.550263431</v>
      </c>
      <c r="CL126" s="1">
        <f t="shared" si="157"/>
        <v>220468.05717167631</v>
      </c>
      <c r="CM126" s="1">
        <f>SUM(CL115:CL126)</f>
        <v>2519738.287327284</v>
      </c>
      <c r="CN126" s="1">
        <f>Transport!U126</f>
        <v>0</v>
      </c>
      <c r="CQ126" s="1">
        <f>(((($B126+$C126+$D126+$O126+$P126+$Q126)*0.5)+BR126+BS126)*(0.005*'Prices&amp;Fuel'!$H126)+'Index Price Deals'!AV126)+(((BB126+BC126+BD126+BE126+BF126+BG126)*(1-'Prices&amp;Fuel'!F126))*0.005*0.5*'Prices&amp;Fuel'!H126)</f>
        <v>2875.25</v>
      </c>
      <c r="CR126" s="1">
        <f>(((($B126+$C126+$D126+$O126+$P126+$Q126)*0.5)+X126+Y126)*(0.005*'Prices&amp;Fuel'!$H126)+CA126+'Index Price Deals'!AW126)+(((BB126+BC126+BD126+BE126+BF126+BG126)*(1-'Prices&amp;Fuel'!F126))*0.005*0.5*'Prices&amp;Fuel'!H126)</f>
        <v>23913.810411311057</v>
      </c>
      <c r="CS126" s="21"/>
      <c r="CT126" s="1">
        <f>[3]Sheet1!$O144</f>
        <v>-225445.36815810515</v>
      </c>
      <c r="CU126" s="1">
        <f>'[4]Long Term Deals'!$Z125</f>
        <v>10529.101554715919</v>
      </c>
      <c r="CV126" s="60">
        <f t="shared" si="106"/>
        <v>456442.52688449738</v>
      </c>
      <c r="DB126" s="3">
        <f>(O126+P126+Q126)*'Prices&amp;Fuel'!$H126</f>
        <v>778100</v>
      </c>
      <c r="DE126" s="3">
        <v>132000</v>
      </c>
    </row>
    <row r="127" spans="1:109" x14ac:dyDescent="0.25">
      <c r="A127" s="10">
        <f t="shared" si="145"/>
        <v>39459.833333333037</v>
      </c>
      <c r="O127" s="1">
        <v>9036</v>
      </c>
      <c r="P127" s="1">
        <v>10794</v>
      </c>
      <c r="Q127" s="1">
        <v>5270</v>
      </c>
      <c r="R127" s="11">
        <f t="shared" si="154"/>
        <v>3.4590000000000001</v>
      </c>
      <c r="S127" s="11">
        <f t="shared" si="155"/>
        <v>3.4460999999999999</v>
      </c>
      <c r="T127" s="1">
        <f>(($O127*R127)+($P127*R127)+($Q127*R127))*'Prices&amp;Fuel'!$H127</f>
        <v>2691447.9</v>
      </c>
      <c r="U127" s="1">
        <f>(($O127*S127)+($P127*S127)+($Q127*S127))*'Prices&amp;Fuel'!$H127</f>
        <v>2681410.41</v>
      </c>
      <c r="V127" s="13">
        <f t="shared" si="148"/>
        <v>10037.489999999758</v>
      </c>
      <c r="AF127" s="1">
        <f>(32000/(1-'Prices&amp;Fuel'!F127))+(25000/(1-'Prices&amp;Fuel'!G127))-AI127</f>
        <v>58611.825192802062</v>
      </c>
      <c r="AG127" s="1">
        <v>0</v>
      </c>
      <c r="AH127" s="1">
        <f>(75000/(1-'Prices&amp;Fuel'!G127))-AK127</f>
        <v>77120.822622107968</v>
      </c>
      <c r="AI127" s="1"/>
      <c r="AJ127" s="1"/>
      <c r="AK127" s="1"/>
      <c r="AL127" s="21">
        <f>ROUND((132000/(1-'Prices&amp;Fuel'!F127))-AF127-AG127-AH127,0)</f>
        <v>0</v>
      </c>
      <c r="AM127" s="1">
        <f t="shared" si="126"/>
        <v>29306</v>
      </c>
      <c r="AO127" s="1">
        <f>ROUND((75000/(1-'Prices&amp;Fuel'!G127)-AV127-AK127)/2,0)</f>
        <v>38560</v>
      </c>
      <c r="AR127" s="1">
        <f t="shared" si="156"/>
        <v>29305.825192802062</v>
      </c>
      <c r="AT127" s="13">
        <f t="shared" si="107"/>
        <v>38560.822622107968</v>
      </c>
      <c r="AU127" s="13">
        <f>AL127*AX127*'Prices&amp;Fuel'!H127</f>
        <v>0</v>
      </c>
      <c r="AW127" s="20">
        <v>0.03</v>
      </c>
      <c r="AX127" s="20">
        <v>1.4999999999999999E-2</v>
      </c>
      <c r="AY127" s="6">
        <f>('Prices&amp;Fuel'!H127*('Prices&amp;Fuel'!B127+AW127)*'Long Term Deals'!AF127)+('Prices&amp;Fuel'!H127*('Prices&amp;Fuel'!C127+'Long Term Deals'!AW127)*'Long Term Deals'!AG127)+(AH127*('Prices&amp;Fuel'!C127+AW127)*'Prices&amp;Fuel'!H127)+(AW127*AL127*'Prices&amp;Fuel'!H127)</f>
        <v>10156329.908183645</v>
      </c>
      <c r="AZ127" s="6">
        <f>(AP127*'Prices&amp;Fuel'!H127*'Prices&amp;Fuel'!B127)+(AQ127*'Prices&amp;Fuel'!C127*'Prices&amp;Fuel'!H127)+((AM127+AR127)*('Prices&amp;Fuel'!B127+'Long Term Deals'!AX127)*'Prices&amp;Fuel'!H127)+((AN127+AS127)*('Prices&amp;Fuel'!C127+'Long Term Deals'!AX127)*'Prices&amp;Fuel'!H127)+((AO127+AT127)*('Prices&amp;Fuel'!D127+'Long Term Deals'!AX127)*'Prices&amp;Fuel'!H127)+(AV127*'Prices&amp;Fuel'!H127*'Prices&amp;Fuel'!Q127)+AU127</f>
        <v>9973676.951885445</v>
      </c>
      <c r="BA127" s="6">
        <f t="shared" si="149"/>
        <v>182652.95629820041</v>
      </c>
      <c r="BB127" s="6">
        <f>IF('FP Corp'!T127-((BE127+BF127+BG127)*(1-'Prices&amp;Fuel'!F127))&lt;'Prices&amp;Fuel'!R127,('FP Corp'!T127-(BE127+BF127+BG127)*(1-'Prices&amp;Fuel'!F127)),'Prices&amp;Fuel'!R127)/(1-'Prices&amp;Fuel'!F127)</f>
        <v>4325.9640102827761</v>
      </c>
      <c r="BC127" s="14"/>
      <c r="BD127" s="14">
        <f>ROUND(IF('FP Corp'!T127/(1-'Prices&amp;Fuel'!F127)-BE127-BF127-BG127-BB127&gt;'Prices&amp;Fuel'!T127,'Prices&amp;Fuel'!T127,'FP Corp'!T127/(1-'Prices&amp;Fuel'!F127)-BE127-BF127-BG127-BB127),9)</f>
        <v>0</v>
      </c>
      <c r="BE127" s="14">
        <f>'Prices&amp;Fuel'!U127/(1-'Prices&amp;Fuel'!F127)</f>
        <v>2635.4755784061695</v>
      </c>
      <c r="BF127" s="14">
        <f>('Prices&amp;Fuel'!V127+'Prices&amp;Fuel'!X127)/(1-'Prices&amp;Fuel'!F127)</f>
        <v>3645.2442159383031</v>
      </c>
      <c r="BG127" s="14">
        <f>'Prices&amp;Fuel'!W127/(1-'Prices&amp;Fuel'!F127)</f>
        <v>1732.6478149100255</v>
      </c>
      <c r="BH127" s="25">
        <f>('Prices&amp;Fuel'!C127+'Prices&amp;Fuel'!D127)/2-0.05+('Prices&amp;Fuel'!M127+'Prices&amp;Fuel'!P127)*(1-'Prices&amp;Fuel'!F127)</f>
        <v>3.0790994918642709</v>
      </c>
      <c r="BI127" s="25"/>
      <c r="BJ127" s="25"/>
      <c r="BK127" s="25">
        <f>(((BB127+BE127)*('Prices&amp;Fuel'!B127+0.025))+(('Prices&amp;Fuel'!D127+0.025)*(BD127+BG127))+(('Prices&amp;Fuel'!C127+0.025)*(BC127+BF127))-(BI127+BJ127)*0.025)/(BB127+BC127+BD127+BE127+BF127+BG127)</f>
        <v>2.393779908530937</v>
      </c>
      <c r="BL127" s="14">
        <f>(BB127+BC127+BD127+BE127+BF127+BG127)*BH127*'Prices&amp;Fuel'!H127</f>
        <v>1177814.9213095205</v>
      </c>
      <c r="BM127" s="14">
        <f>'Prices&amp;Fuel'!X127*('Prices&amp;Fuel'!N127+'Prices&amp;Fuel'!O127)*'Prices&amp;Fuel'!H127</f>
        <v>9415.6112109141941</v>
      </c>
      <c r="BN127" s="14">
        <f>('Prices&amp;Fuel'!U127+'Prices&amp;Fuel'!V127+'Prices&amp;Fuel'!W127)*('Prices&amp;Fuel'!L127+'Prices&amp;Fuel'!O127)*'Prices&amp;Fuel'!H127</f>
        <v>98016.099135578203</v>
      </c>
      <c r="BO127" s="14">
        <f>((BB127+BC127+BD127)*(1-'Prices&amp;Fuel'!G127))*('Prices&amp;Fuel'!M127+'Prices&amp;Fuel'!P127)*'Prices&amp;Fuel'!H127</f>
        <v>99834.213499999998</v>
      </c>
      <c r="BP127" s="14">
        <f>((BD127+BC127+BB127+BE127+BF127+BG127)*BK127*'Prices&amp;Fuel'!H127)+BM127+BN127+BO127</f>
        <v>1122932.8914285065</v>
      </c>
      <c r="BQ127" s="6">
        <f t="shared" si="146"/>
        <v>54882.029881014023</v>
      </c>
      <c r="CA127" s="6">
        <f>(AF127+AG127+AH127+AL127)*0.005*'Prices&amp;Fuel'!H127</f>
        <v>21038.560411311057</v>
      </c>
      <c r="CB127" s="6">
        <f>(B127+C127+D127+O127+P127+Q127+X127+Y127+BB127+BC127+BD127+BE127+BF127+BG127+BR127+BS127)*0.005*'Prices&amp;Fuel'!H127</f>
        <v>5803.0964010282778</v>
      </c>
      <c r="CC127" s="1">
        <f t="shared" si="151"/>
        <v>14025592.729493167</v>
      </c>
      <c r="CD127" s="1">
        <f t="shared" si="152"/>
        <v>13804861.910126291</v>
      </c>
      <c r="CE127" s="1">
        <f t="shared" si="153"/>
        <v>220730.81936687604</v>
      </c>
      <c r="CF127" s="1">
        <f>'Index Price Deals'!AR127</f>
        <v>0</v>
      </c>
      <c r="CG127" s="1">
        <f>'Index Price Deals'!AS127</f>
        <v>0</v>
      </c>
      <c r="CH127" s="1">
        <f>'Index Price Deals'!AT127</f>
        <v>0</v>
      </c>
      <c r="CI127" s="1">
        <f>'Index Price Deals'!AU127</f>
        <v>0</v>
      </c>
      <c r="CJ127" s="1">
        <f t="shared" si="150"/>
        <v>14025592.729493167</v>
      </c>
      <c r="CK127" s="1">
        <f t="shared" si="157"/>
        <v>13804861.910126291</v>
      </c>
      <c r="CL127" s="1">
        <f t="shared" si="157"/>
        <v>220730.81936687604</v>
      </c>
      <c r="CM127" s="30"/>
      <c r="CN127" s="1">
        <f>Transport!U127</f>
        <v>0</v>
      </c>
      <c r="CQ127" s="1">
        <f>(((($B127+$C127+$D127+$O127+$P127+$Q127)*0.5)+BR127+BS127)*(0.005*'Prices&amp;Fuel'!$H127)+'Index Price Deals'!AV127)+(((BB127+BC127+BD127+BE127+BF127+BG127)*(1-'Prices&amp;Fuel'!F127))*0.005*0.5*'Prices&amp;Fuel'!H127)</f>
        <v>2875.25</v>
      </c>
      <c r="CR127" s="1">
        <f>(((($B127+$C127+$D127+$O127+$P127+$Q127)*0.5)+X127+Y127)*(0.005*'Prices&amp;Fuel'!$H127)+CA127+'Index Price Deals'!AW127)+(((BB127+BC127+BD127+BE127+BF127+BG127)*(1-'Prices&amp;Fuel'!F127))*0.005*0.5*'Prices&amp;Fuel'!H127)</f>
        <v>23913.810411311057</v>
      </c>
      <c r="CS127" s="21"/>
      <c r="CT127" s="1">
        <f>[3]Sheet1!$O146</f>
        <v>-267652.69152066321</v>
      </c>
      <c r="CU127" s="1">
        <f>'[4]Long Term Deals'!$Z126</f>
        <v>-31548.019267906231</v>
      </c>
      <c r="CV127" s="60">
        <f t="shared" si="106"/>
        <v>456835.49161963305</v>
      </c>
      <c r="DB127" s="3">
        <f>(O127+P127+Q127)*'Prices&amp;Fuel'!$H127</f>
        <v>778100</v>
      </c>
      <c r="DE127" s="3">
        <v>132000</v>
      </c>
    </row>
    <row r="128" spans="1:109" x14ac:dyDescent="0.25">
      <c r="A128" s="10">
        <f t="shared" si="145"/>
        <v>39490.249999999702</v>
      </c>
      <c r="O128" s="1">
        <v>9036</v>
      </c>
      <c r="P128" s="1">
        <v>10794</v>
      </c>
      <c r="Q128" s="1">
        <v>5270</v>
      </c>
      <c r="R128" s="11">
        <f t="shared" si="154"/>
        <v>3.4590000000000001</v>
      </c>
      <c r="S128" s="11">
        <f t="shared" si="155"/>
        <v>3.4460999999999999</v>
      </c>
      <c r="T128" s="1">
        <f>(($O128*R128)+($P128*R128)+($Q128*R128))*'Prices&amp;Fuel'!$H128</f>
        <v>2517806.0999999996</v>
      </c>
      <c r="U128" s="1">
        <f>(($O128*S128)+($P128*S128)+($Q128*S128))*'Prices&amp;Fuel'!$H128</f>
        <v>2508416.19</v>
      </c>
      <c r="V128" s="13">
        <f t="shared" si="148"/>
        <v>9389.9099999996834</v>
      </c>
      <c r="AF128" s="1">
        <f>(32000/(1-'Prices&amp;Fuel'!F128))+(25000/(1-'Prices&amp;Fuel'!G128))-AI128</f>
        <v>58611.825192802062</v>
      </c>
      <c r="AG128" s="1">
        <v>0</v>
      </c>
      <c r="AH128" s="1">
        <f>(75000/(1-'Prices&amp;Fuel'!G128))-AK128</f>
        <v>77120.822622107968</v>
      </c>
      <c r="AI128" s="1"/>
      <c r="AJ128" s="1"/>
      <c r="AK128" s="1"/>
      <c r="AL128" s="21">
        <f>ROUND((132000/(1-'Prices&amp;Fuel'!F128))-AF128-AG128-AH128,0)</f>
        <v>0</v>
      </c>
      <c r="AM128" s="1">
        <f t="shared" si="126"/>
        <v>29306</v>
      </c>
      <c r="AO128" s="1">
        <f>ROUND((75000/(1-'Prices&amp;Fuel'!G128)-AV128-AK128)/2,0)</f>
        <v>38560</v>
      </c>
      <c r="AR128" s="1">
        <f t="shared" si="156"/>
        <v>29305.825192802062</v>
      </c>
      <c r="AT128" s="13">
        <f t="shared" si="107"/>
        <v>38560.822622107968</v>
      </c>
      <c r="AU128" s="13">
        <f>AL128*AX128*'Prices&amp;Fuel'!H128</f>
        <v>0</v>
      </c>
      <c r="AW128" s="20">
        <f t="shared" ref="AW128:AW138" si="158">AW127</f>
        <v>0.03</v>
      </c>
      <c r="AX128" s="20">
        <f t="shared" ref="AX128:AX138" si="159">AX127</f>
        <v>1.4999999999999999E-2</v>
      </c>
      <c r="AY128" s="6">
        <f>('Prices&amp;Fuel'!H128*('Prices&amp;Fuel'!B128+AW128)*'Long Term Deals'!AF128)+('Prices&amp;Fuel'!H128*('Prices&amp;Fuel'!C128+'Long Term Deals'!AW128)*'Long Term Deals'!AG128)+(AH128*('Prices&amp;Fuel'!C128+AW128)*'Prices&amp;Fuel'!H128)+(AW128*AL128*'Prices&amp;Fuel'!H128)</f>
        <v>10629252.243405238</v>
      </c>
      <c r="AZ128" s="6">
        <f>(AP128*'Prices&amp;Fuel'!H128*'Prices&amp;Fuel'!B128)+(AQ128*'Prices&amp;Fuel'!C128*'Prices&amp;Fuel'!H128)+((AM128+AR128)*('Prices&amp;Fuel'!B128+'Long Term Deals'!AX128)*'Prices&amp;Fuel'!H128)+((AN128+AS128)*('Prices&amp;Fuel'!C128+'Long Term Deals'!AX128)*'Prices&amp;Fuel'!H128)+((AO128+AT128)*('Prices&amp;Fuel'!D128+'Long Term Deals'!AX128)*'Prices&amp;Fuel'!H128)+(AV128*'Prices&amp;Fuel'!H128*'Prices&amp;Fuel'!Q128)+AU128</f>
        <v>10458383.348803697</v>
      </c>
      <c r="BA128" s="6">
        <f t="shared" si="149"/>
        <v>170868.89460154064</v>
      </c>
      <c r="BB128" s="6">
        <f>IF('FP Corp'!T128-((BE128+BF128+BG128)*(1-'Prices&amp;Fuel'!F128))&lt;'Prices&amp;Fuel'!R128,('FP Corp'!T128-(BE128+BF128+BG128)*(1-'Prices&amp;Fuel'!F128)),'Prices&amp;Fuel'!R128)/(1-'Prices&amp;Fuel'!F128)</f>
        <v>4325.9640102827761</v>
      </c>
      <c r="BC128" s="14"/>
      <c r="BD128" s="14">
        <f>ROUND(IF('FP Corp'!T128/(1-'Prices&amp;Fuel'!F128)-BE128-BF128-BG128-BB128&gt;'Prices&amp;Fuel'!T128,'Prices&amp;Fuel'!T128,'FP Corp'!T128/(1-'Prices&amp;Fuel'!F128)-BE128-BF128-BG128-BB128),9)</f>
        <v>0</v>
      </c>
      <c r="BE128" s="14">
        <f>'Prices&amp;Fuel'!U128/(1-'Prices&amp;Fuel'!F128)</f>
        <v>2635.4755784061695</v>
      </c>
      <c r="BF128" s="14">
        <f>('Prices&amp;Fuel'!V128+'Prices&amp;Fuel'!X128)/(1-'Prices&amp;Fuel'!F128)</f>
        <v>3645.2442159383031</v>
      </c>
      <c r="BG128" s="14">
        <f>'Prices&amp;Fuel'!W128/(1-'Prices&amp;Fuel'!F128)</f>
        <v>1732.6478149100255</v>
      </c>
      <c r="BH128" s="25">
        <f>('Prices&amp;Fuel'!C128+'Prices&amp;Fuel'!D128)/2-0.05+('Prices&amp;Fuel'!M128+'Prices&amp;Fuel'!P128)*(1-'Prices&amp;Fuel'!F128)</f>
        <v>3.3657099325265403</v>
      </c>
      <c r="BI128" s="25"/>
      <c r="BJ128" s="25"/>
      <c r="BK128" s="25">
        <f>(((BB128+BE128)*('Prices&amp;Fuel'!B128+0.025))+(('Prices&amp;Fuel'!D128+0.025)*(BD128+BG128))+(('Prices&amp;Fuel'!C128+0.025)*(BC128+BF128))-(BI128+BJ128)*0.025)/(BB128+BC128+BD128+BE128+BF128+BG128)</f>
        <v>2.6803903491932064</v>
      </c>
      <c r="BL128" s="14">
        <f>(BB128+BC128+BD128+BE128+BF128+BG128)*BH128*'Prices&amp;Fuel'!H128</f>
        <v>1204387.7187858466</v>
      </c>
      <c r="BM128" s="14">
        <f>'Prices&amp;Fuel'!X128*('Prices&amp;Fuel'!N128+'Prices&amp;Fuel'!O128)*'Prices&amp;Fuel'!H128</f>
        <v>8808.1524231132789</v>
      </c>
      <c r="BN128" s="14">
        <f>('Prices&amp;Fuel'!U128+'Prices&amp;Fuel'!V128+'Prices&amp;Fuel'!W128)*('Prices&amp;Fuel'!L128+'Prices&amp;Fuel'!O128)*'Prices&amp;Fuel'!H128</f>
        <v>91692.479836508646</v>
      </c>
      <c r="BO128" s="14">
        <f>((BB128+BC128+BD128)*(1-'Prices&amp;Fuel'!G128))*('Prices&amp;Fuel'!M128+'Prices&amp;Fuel'!P128)*'Prices&amp;Fuel'!H128</f>
        <v>93393.296499999997</v>
      </c>
      <c r="BP128" s="14">
        <f>((BD128+BC128+BB128+BE128+BF128+BG128)*BK128*'Prices&amp;Fuel'!H128)+BM128+BN128+BO128</f>
        <v>1153046.4650261882</v>
      </c>
      <c r="BQ128" s="6">
        <f t="shared" si="146"/>
        <v>51341.25375965843</v>
      </c>
      <c r="CA128" s="6">
        <f>(AF128+AG128+AH128+AL128)*0.005*'Prices&amp;Fuel'!H128</f>
        <v>19681.233933161955</v>
      </c>
      <c r="CB128" s="6">
        <f>(B128+C128+D128+O128+P128+Q128+X128+Y128+BB128+BC128+BD128+BE128+BF128+BG128+BR128+BS128)*0.005*'Prices&amp;Fuel'!H128</f>
        <v>5428.703084832905</v>
      </c>
      <c r="CC128" s="1">
        <f t="shared" si="151"/>
        <v>14351446.062191084</v>
      </c>
      <c r="CD128" s="1">
        <f t="shared" si="152"/>
        <v>14144955.940847879</v>
      </c>
      <c r="CE128" s="1">
        <f t="shared" si="153"/>
        <v>206490.12134320475</v>
      </c>
      <c r="CF128" s="1">
        <f>'Index Price Deals'!AR128</f>
        <v>0</v>
      </c>
      <c r="CG128" s="1">
        <f>'Index Price Deals'!AS128</f>
        <v>0</v>
      </c>
      <c r="CH128" s="1">
        <f>'Index Price Deals'!AT128</f>
        <v>0</v>
      </c>
      <c r="CI128" s="1">
        <f>'Index Price Deals'!AU128</f>
        <v>0</v>
      </c>
      <c r="CJ128" s="1">
        <f t="shared" si="150"/>
        <v>14351446.062191084</v>
      </c>
      <c r="CK128" s="1">
        <f t="shared" si="157"/>
        <v>14144955.940847879</v>
      </c>
      <c r="CL128" s="1">
        <f t="shared" si="157"/>
        <v>206490.12134320475</v>
      </c>
      <c r="CM128" s="30"/>
      <c r="CN128" s="1">
        <f>Transport!U128</f>
        <v>0</v>
      </c>
      <c r="CQ128" s="1">
        <f>(((($B128+$C128+$D128+$O128+$P128+$Q128)*0.5)+BR128+BS128)*(0.005*'Prices&amp;Fuel'!$H128)+'Index Price Deals'!AV128)+(((BB128+BC128+BD128+BE128+BF128+BG128)*(1-'Prices&amp;Fuel'!F128))*0.005*0.5*'Prices&amp;Fuel'!H128)</f>
        <v>2689.7499999999995</v>
      </c>
      <c r="CR128" s="1">
        <f>(((($B128+$C128+$D128+$O128+$P128+$Q128)*0.5)+X128+Y128)*(0.005*'Prices&amp;Fuel'!$H128)+CA128+'Index Price Deals'!AW128)+(((BB128+BC128+BD128+BE128+BF128+BG128)*(1-'Prices&amp;Fuel'!F128))*0.005*0.5*'Prices&amp;Fuel'!H128)</f>
        <v>22370.983933161955</v>
      </c>
      <c r="CS128" s="21"/>
      <c r="CT128" s="1">
        <f>[3]Sheet1!$O147</f>
        <v>-250384.77593868494</v>
      </c>
      <c r="CU128" s="1">
        <f>'[4]Long Term Deals'!$Z127</f>
        <v>-29512.663186105827</v>
      </c>
      <c r="CV128" s="60">
        <f t="shared" si="106"/>
        <v>427362.23409578385</v>
      </c>
      <c r="DB128" s="3">
        <f>(O128+P128+Q128)*'Prices&amp;Fuel'!$H128</f>
        <v>727900</v>
      </c>
      <c r="DE128" s="3">
        <v>132000</v>
      </c>
    </row>
    <row r="129" spans="1:109" x14ac:dyDescent="0.25">
      <c r="A129" s="10">
        <f t="shared" ref="A129:A144" si="160">+A128+365/12</f>
        <v>39520.666666666366</v>
      </c>
      <c r="O129" s="1">
        <v>9036</v>
      </c>
      <c r="P129" s="1">
        <v>10794</v>
      </c>
      <c r="Q129" s="1">
        <v>5270</v>
      </c>
      <c r="R129" s="11">
        <f t="shared" si="154"/>
        <v>3.4590000000000001</v>
      </c>
      <c r="S129" s="11">
        <f t="shared" si="155"/>
        <v>3.4460999999999999</v>
      </c>
      <c r="T129" s="1">
        <f>(($O129*R129)+($P129*R129)+($Q129*R129))*'Prices&amp;Fuel'!$H129</f>
        <v>2691447.9</v>
      </c>
      <c r="U129" s="1">
        <f>(($O129*S129)+($P129*S129)+($Q129*S129))*'Prices&amp;Fuel'!$H129</f>
        <v>2681410.41</v>
      </c>
      <c r="V129" s="13">
        <f t="shared" si="148"/>
        <v>10037.489999999758</v>
      </c>
      <c r="AF129" s="1">
        <f>(32000/(1-'Prices&amp;Fuel'!F129))+(25000/(1-'Prices&amp;Fuel'!G129))-AI129</f>
        <v>58611.825192802062</v>
      </c>
      <c r="AG129" s="1">
        <v>0</v>
      </c>
      <c r="AH129" s="1">
        <f>(75000/(1-'Prices&amp;Fuel'!G129))-AK129</f>
        <v>77120.822622107968</v>
      </c>
      <c r="AI129" s="1"/>
      <c r="AJ129" s="1"/>
      <c r="AK129" s="1"/>
      <c r="AL129" s="21">
        <f>ROUND((132000/(1-'Prices&amp;Fuel'!F129))-AF129-AG129-AH129,0)</f>
        <v>0</v>
      </c>
      <c r="AM129" s="1">
        <f t="shared" si="126"/>
        <v>29306</v>
      </c>
      <c r="AO129" s="1">
        <f>ROUND((75000/(1-'Prices&amp;Fuel'!G129)-AV129-AK129)/2,0)</f>
        <v>38560</v>
      </c>
      <c r="AR129" s="1">
        <f t="shared" si="156"/>
        <v>29305.825192802062</v>
      </c>
      <c r="AT129" s="13">
        <f t="shared" si="107"/>
        <v>38560.822622107968</v>
      </c>
      <c r="AU129" s="13">
        <f>AL129*AX129*'Prices&amp;Fuel'!H129</f>
        <v>0</v>
      </c>
      <c r="AW129" s="20">
        <f t="shared" si="158"/>
        <v>0.03</v>
      </c>
      <c r="AX129" s="20">
        <f t="shared" si="159"/>
        <v>1.4999999999999999E-2</v>
      </c>
      <c r="AY129" s="6">
        <f>('Prices&amp;Fuel'!H129*('Prices&amp;Fuel'!B129+AW129)*'Long Term Deals'!AF129)+('Prices&amp;Fuel'!H129*('Prices&amp;Fuel'!C129+'Long Term Deals'!AW129)*'Long Term Deals'!AG129)+(AH129*('Prices&amp;Fuel'!C129+AW129)*'Prices&amp;Fuel'!H129)+(AW129*AL129*'Prices&amp;Fuel'!H129)</f>
        <v>11362304.122260772</v>
      </c>
      <c r="AZ129" s="6">
        <f>(AP129*'Prices&amp;Fuel'!H129*'Prices&amp;Fuel'!B129)+(AQ129*'Prices&amp;Fuel'!C129*'Prices&amp;Fuel'!H129)+((AM129+AR129)*('Prices&amp;Fuel'!B129+'Long Term Deals'!AX129)*'Prices&amp;Fuel'!H129)+((AN129+AS129)*('Prices&amp;Fuel'!C129+'Long Term Deals'!AX129)*'Prices&amp;Fuel'!H129)+((AO129+AT129)*('Prices&amp;Fuel'!D129+'Long Term Deals'!AX129)*'Prices&amp;Fuel'!H129)+(AV129*'Prices&amp;Fuel'!H129*'Prices&amp;Fuel'!Q129)+AU129</f>
        <v>11179651.165962573</v>
      </c>
      <c r="BA129" s="6">
        <f t="shared" si="149"/>
        <v>182652.95629819855</v>
      </c>
      <c r="BB129" s="6">
        <f>IF('FP Corp'!T129-((BE129+BF129+BG129)*(1-'Prices&amp;Fuel'!F129))&lt;'Prices&amp;Fuel'!R129,('FP Corp'!T129-(BE129+BF129+BG129)*(1-'Prices&amp;Fuel'!F129)),'Prices&amp;Fuel'!R129)/(1-'Prices&amp;Fuel'!F129)</f>
        <v>4325.9640102827761</v>
      </c>
      <c r="BC129" s="14"/>
      <c r="BD129" s="14">
        <f>ROUND(IF('FP Corp'!T129/(1-'Prices&amp;Fuel'!F129)-BE129-BF129-BG129-BB129&gt;'Prices&amp;Fuel'!T129,'Prices&amp;Fuel'!T129,'FP Corp'!T129/(1-'Prices&amp;Fuel'!F129)-BE129-BF129-BG129-BB129),9)</f>
        <v>0</v>
      </c>
      <c r="BE129" s="14">
        <f>'Prices&amp;Fuel'!U129/(1-'Prices&amp;Fuel'!F129)</f>
        <v>2635.4755784061695</v>
      </c>
      <c r="BF129" s="14">
        <f>('Prices&amp;Fuel'!V129+'Prices&amp;Fuel'!X129)/(1-'Prices&amp;Fuel'!F129)</f>
        <v>3645.2442159383031</v>
      </c>
      <c r="BG129" s="14">
        <f>'Prices&amp;Fuel'!W129/(1-'Prices&amp;Fuel'!F129)</f>
        <v>1732.6478149100255</v>
      </c>
      <c r="BH129" s="25">
        <f>('Prices&amp;Fuel'!C129+'Prices&amp;Fuel'!D129)/2-0.05+('Prices&amp;Fuel'!M129+'Prices&amp;Fuel'!P129)*(1-'Prices&amp;Fuel'!F129)</f>
        <v>3.3657099325265403</v>
      </c>
      <c r="BI129" s="25"/>
      <c r="BJ129" s="25"/>
      <c r="BK129" s="25">
        <f>(((BB129+BE129)*('Prices&amp;Fuel'!B129+0.025))+(('Prices&amp;Fuel'!D129+0.025)*(BD129+BG129))+(('Prices&amp;Fuel'!C129+0.025)*(BC129+BF129))-(BI129+BJ129)*0.025)/(BB129+BC129+BD129+BE129+BF129+BG129)</f>
        <v>2.6803903491932064</v>
      </c>
      <c r="BL129" s="14">
        <f>(BB129+BC129+BD129+BE129+BF129+BG129)*BH129*'Prices&amp;Fuel'!H129</f>
        <v>1287448.9407710775</v>
      </c>
      <c r="BM129" s="14">
        <f>'Prices&amp;Fuel'!X129*('Prices&amp;Fuel'!N129+'Prices&amp;Fuel'!O129)*'Prices&amp;Fuel'!H129</f>
        <v>9415.6112109141941</v>
      </c>
      <c r="BN129" s="14">
        <f>('Prices&amp;Fuel'!U129+'Prices&amp;Fuel'!V129+'Prices&amp;Fuel'!W129)*('Prices&amp;Fuel'!L129+'Prices&amp;Fuel'!O129)*'Prices&amp;Fuel'!H129</f>
        <v>98016.099135578203</v>
      </c>
      <c r="BO129" s="14">
        <f>((BB129+BC129+BD129)*(1-'Prices&amp;Fuel'!G129))*('Prices&amp;Fuel'!M129+'Prices&amp;Fuel'!P129)*'Prices&amp;Fuel'!H129</f>
        <v>99834.213499999998</v>
      </c>
      <c r="BP129" s="14">
        <f>((BD129+BC129+BB129+BE129+BF129+BG129)*BK129*'Prices&amp;Fuel'!H129)+BM129+BN129+BO129</f>
        <v>1232566.9108900635</v>
      </c>
      <c r="BQ129" s="6">
        <f t="shared" si="146"/>
        <v>54882.029881014023</v>
      </c>
      <c r="CA129" s="6">
        <f>(AF129+AG129+AH129+AL129)*0.005*'Prices&amp;Fuel'!H129</f>
        <v>21038.560411311057</v>
      </c>
      <c r="CB129" s="6">
        <f>(B129+C129+D129+O129+P129+Q129+X129+Y129+BB129+BC129+BD129+BE129+BF129+BG129+BR129+BS129)*0.005*'Prices&amp;Fuel'!H129</f>
        <v>5803.0964010282778</v>
      </c>
      <c r="CC129" s="1">
        <f t="shared" si="151"/>
        <v>15341200.963031849</v>
      </c>
      <c r="CD129" s="1">
        <f t="shared" si="152"/>
        <v>15120470.143664977</v>
      </c>
      <c r="CE129" s="1">
        <f t="shared" si="153"/>
        <v>220730.81936687231</v>
      </c>
      <c r="CF129" s="1">
        <f>'Index Price Deals'!AR129</f>
        <v>0</v>
      </c>
      <c r="CG129" s="1">
        <f>'Index Price Deals'!AS129</f>
        <v>0</v>
      </c>
      <c r="CH129" s="1">
        <f>'Index Price Deals'!AT129</f>
        <v>0</v>
      </c>
      <c r="CI129" s="1">
        <f>'Index Price Deals'!AU129</f>
        <v>0</v>
      </c>
      <c r="CJ129" s="1">
        <f t="shared" si="150"/>
        <v>15341200.963031849</v>
      </c>
      <c r="CK129" s="1">
        <f t="shared" si="157"/>
        <v>15120470.143664977</v>
      </c>
      <c r="CL129" s="1">
        <f t="shared" si="157"/>
        <v>220730.81936687231</v>
      </c>
      <c r="CM129" s="30"/>
      <c r="CN129" s="1">
        <f>Transport!U129</f>
        <v>0</v>
      </c>
      <c r="CQ129" s="1">
        <f>(((($B129+$C129+$D129+$O129+$P129+$Q129)*0.5)+BR129+BS129)*(0.005*'Prices&amp;Fuel'!$H129)+'Index Price Deals'!AV129)+(((BB129+BC129+BD129+BE129+BF129+BG129)*(1-'Prices&amp;Fuel'!F129))*0.005*0.5*'Prices&amp;Fuel'!H129)</f>
        <v>2875.25</v>
      </c>
      <c r="CR129" s="1">
        <f>(((($B129+$C129+$D129+$O129+$P129+$Q129)*0.5)+X129+Y129)*(0.005*'Prices&amp;Fuel'!$H129)+CA129+'Index Price Deals'!AW129)+(((BB129+BC129+BD129+BE129+BF129+BG129)*(1-'Prices&amp;Fuel'!F129))*0.005*0.5*'Prices&amp;Fuel'!H129)</f>
        <v>23913.810411311057</v>
      </c>
      <c r="CS129" s="21"/>
      <c r="CT129" s="1">
        <f>[3]Sheet1!$O148</f>
        <v>-267652.69152066321</v>
      </c>
      <c r="CU129" s="1">
        <f>'[4]Long Term Deals'!$Z128</f>
        <v>-31548.019267906231</v>
      </c>
      <c r="CV129" s="60">
        <f t="shared" si="106"/>
        <v>456835.49161962932</v>
      </c>
      <c r="DB129" s="3">
        <f>(O129+P129+Q129)*'Prices&amp;Fuel'!$H129</f>
        <v>778100</v>
      </c>
      <c r="DE129" s="3">
        <v>132000</v>
      </c>
    </row>
    <row r="130" spans="1:109" x14ac:dyDescent="0.25">
      <c r="A130" s="10">
        <f t="shared" si="160"/>
        <v>39551.08333333303</v>
      </c>
      <c r="O130" s="1">
        <v>9036</v>
      </c>
      <c r="P130" s="1">
        <v>10794</v>
      </c>
      <c r="Q130" s="1">
        <v>5270</v>
      </c>
      <c r="R130" s="11">
        <f t="shared" si="154"/>
        <v>3.4590000000000001</v>
      </c>
      <c r="S130" s="11">
        <f t="shared" si="155"/>
        <v>3.4460999999999999</v>
      </c>
      <c r="T130" s="1">
        <f>(($O130*R130)+($P130*R130)+($Q130*R130))*'Prices&amp;Fuel'!$H130</f>
        <v>2604627</v>
      </c>
      <c r="U130" s="1">
        <f>(($O130*S130)+($P130*S130)+($Q130*S130))*'Prices&amp;Fuel'!$H130</f>
        <v>2594913.2999999998</v>
      </c>
      <c r="V130" s="13">
        <f t="shared" si="148"/>
        <v>9713.7000000001863</v>
      </c>
      <c r="AF130" s="1">
        <f>(32000/(1-'Prices&amp;Fuel'!F130))+(25000/(1-'Prices&amp;Fuel'!G130))-AI130</f>
        <v>58611.825192802062</v>
      </c>
      <c r="AG130" s="1">
        <v>0</v>
      </c>
      <c r="AH130" s="1">
        <f>(75000/(1-'Prices&amp;Fuel'!G130))-AK130</f>
        <v>77120.822622107968</v>
      </c>
      <c r="AI130" s="1"/>
      <c r="AJ130" s="1"/>
      <c r="AK130" s="1"/>
      <c r="AL130" s="21">
        <f>ROUND((132000/(1-'Prices&amp;Fuel'!F130))-AF130-AG130-AH130,0)</f>
        <v>0</v>
      </c>
      <c r="AM130" s="1">
        <f t="shared" si="126"/>
        <v>29306</v>
      </c>
      <c r="AO130" s="1">
        <f>ROUND((75000/(1-'Prices&amp;Fuel'!G130)-AV130-AK130)/2,0)</f>
        <v>38560</v>
      </c>
      <c r="AR130" s="1">
        <f t="shared" si="156"/>
        <v>29305.825192802062</v>
      </c>
      <c r="AT130" s="13">
        <f t="shared" si="107"/>
        <v>38560.822622107968</v>
      </c>
      <c r="AU130" s="13">
        <f>AL130*AX130*'Prices&amp;Fuel'!H130</f>
        <v>0</v>
      </c>
      <c r="AW130" s="20">
        <f t="shared" si="158"/>
        <v>0.03</v>
      </c>
      <c r="AX130" s="20">
        <f t="shared" si="159"/>
        <v>1.4999999999999999E-2</v>
      </c>
      <c r="AY130" s="6">
        <f>('Prices&amp;Fuel'!H130*('Prices&amp;Fuel'!B130+AW130)*'Long Term Deals'!AF130)+('Prices&amp;Fuel'!H130*('Prices&amp;Fuel'!C130+'Long Term Deals'!AW130)*'Long Term Deals'!AG130)+(AH130*('Prices&amp;Fuel'!C130+AW130)*'Prices&amp;Fuel'!H130)+(AW130*AL130*'Prices&amp;Fuel'!H130)</f>
        <v>12162850.002907649</v>
      </c>
      <c r="AZ130" s="6">
        <f>(AP130*'Prices&amp;Fuel'!H130*'Prices&amp;Fuel'!B130)+(AQ130*'Prices&amp;Fuel'!C130*'Prices&amp;Fuel'!H130)+((AM130+AR130)*('Prices&amp;Fuel'!B130+'Long Term Deals'!AX130)*'Prices&amp;Fuel'!H130)+((AN130+AS130)*('Prices&amp;Fuel'!C130+'Long Term Deals'!AX130)*'Prices&amp;Fuel'!H130)+((AO130+AT130)*('Prices&amp;Fuel'!D130+'Long Term Deals'!AX130)*'Prices&amp;Fuel'!H130)+(AV130*'Prices&amp;Fuel'!H130*'Prices&amp;Fuel'!Q130)+AU130</f>
        <v>11986089.077457782</v>
      </c>
      <c r="BA130" s="6">
        <f t="shared" si="149"/>
        <v>176760.9254498668</v>
      </c>
      <c r="BB130" s="6">
        <f>IF('FP Corp'!T130-((BE130+BF130+BG130)*(1-'Prices&amp;Fuel'!F130))&lt;'Prices&amp;Fuel'!R130,('FP Corp'!T130-(BE130+BF130+BG130)*(1-'Prices&amp;Fuel'!F130)),'Prices&amp;Fuel'!R130)/(1-'Prices&amp;Fuel'!F130)</f>
        <v>6278.6632390745499</v>
      </c>
      <c r="BC130" s="14"/>
      <c r="BD130" s="14">
        <f>ROUND(IF('FP Corp'!T130/(1-'Prices&amp;Fuel'!F130)-BE130-BF130-BG130-BB130&gt;'Prices&amp;Fuel'!T130,'Prices&amp;Fuel'!T130,'FP Corp'!T130/(1-'Prices&amp;Fuel'!F130)-BE130-BF130-BG130-BB130),9)</f>
        <v>0</v>
      </c>
      <c r="BE130" s="14">
        <f>'Prices&amp;Fuel'!U130/(1-'Prices&amp;Fuel'!F130)</f>
        <v>1933.1619537275064</v>
      </c>
      <c r="BF130" s="14">
        <f>('Prices&amp;Fuel'!V130+'Prices&amp;Fuel'!X130)/(1-'Prices&amp;Fuel'!F130)</f>
        <v>2833.9331619537274</v>
      </c>
      <c r="BG130" s="14">
        <f>'Prices&amp;Fuel'!W130/(1-'Prices&amp;Fuel'!F130)</f>
        <v>1293.5732647814909</v>
      </c>
      <c r="BH130" s="25">
        <f>('Prices&amp;Fuel'!C130+'Prices&amp;Fuel'!D130)/2-0.05+('Prices&amp;Fuel'!M130+'Prices&amp;Fuel'!P130)*(1-'Prices&amp;Fuel'!F130)</f>
        <v>3.652320373188811</v>
      </c>
      <c r="BI130" s="25"/>
      <c r="BJ130" s="25"/>
      <c r="BK130" s="25">
        <f>(((BB130+BE130)*('Prices&amp;Fuel'!B130+0.025))+(('Prices&amp;Fuel'!D130+0.025)*(BD130+BG130))+(('Prices&amp;Fuel'!C130+0.025)*(BC130+BF130))-(BI130+BJ130)*0.025)/(BB130+BC130+BD130+BE130+BF130+BG130)</f>
        <v>2.9626999565221439</v>
      </c>
      <c r="BL130" s="14">
        <f>(BB130+BC130+BD130+BE130+BF130+BG130)*BH130*'Prices&amp;Fuel'!H130</f>
        <v>1352015.7679670663</v>
      </c>
      <c r="BM130" s="14">
        <f>'Prices&amp;Fuel'!X130*('Prices&amp;Fuel'!N130+'Prices&amp;Fuel'!O130)*'Prices&amp;Fuel'!H130</f>
        <v>9111.8818170137365</v>
      </c>
      <c r="BN130" s="14">
        <f>('Prices&amp;Fuel'!U130+'Prices&amp;Fuel'!V130+'Prices&amp;Fuel'!W130)*('Prices&amp;Fuel'!L130+'Prices&amp;Fuel'!O130)*'Prices&amp;Fuel'!H130</f>
        <v>69519.789382809045</v>
      </c>
      <c r="BO130" s="14">
        <f>((BB130+BC130+BD130)*(1-'Prices&amp;Fuel'!G130))*('Prices&amp;Fuel'!M130+'Prices&amp;Fuel'!P130)*'Prices&amp;Fuel'!H130</f>
        <v>140224.29</v>
      </c>
      <c r="BP130" s="14">
        <f>((BD130+BC130+BB130+BE130+BF130+BG130)*BK130*'Prices&amp;Fuel'!H130)+BM130+BN130+BO130</f>
        <v>1315588.0787812849</v>
      </c>
      <c r="BQ130" s="6">
        <f t="shared" ref="BQ130:BQ145" si="161">BL130-BP130</f>
        <v>36427.689185781404</v>
      </c>
      <c r="CA130" s="6">
        <f>(AF130+AG130+AH130+AL130)*0.005*'Prices&amp;Fuel'!H130</f>
        <v>20359.897172236506</v>
      </c>
      <c r="CB130" s="6">
        <f>(B130+C130+D130+O130+P130+Q130+X130+Y130+BB130+BC130+BD130+BE130+BF130+BG130+BR130+BS130)*0.005*'Prices&amp;Fuel'!H130</f>
        <v>5615.89974293059</v>
      </c>
      <c r="CC130" s="1">
        <f t="shared" si="151"/>
        <v>16119492.770874714</v>
      </c>
      <c r="CD130" s="1">
        <f t="shared" si="152"/>
        <v>15922566.253154235</v>
      </c>
      <c r="CE130" s="1">
        <f t="shared" si="153"/>
        <v>196926.51772047952</v>
      </c>
      <c r="CF130" s="1">
        <f>'Index Price Deals'!AR130</f>
        <v>0</v>
      </c>
      <c r="CG130" s="1">
        <f>'Index Price Deals'!AS130</f>
        <v>0</v>
      </c>
      <c r="CH130" s="1">
        <f>'Index Price Deals'!AT130</f>
        <v>0</v>
      </c>
      <c r="CI130" s="1">
        <f>'Index Price Deals'!AU130</f>
        <v>0</v>
      </c>
      <c r="CJ130" s="1">
        <f t="shared" si="150"/>
        <v>16119492.770874714</v>
      </c>
      <c r="CK130" s="1">
        <f t="shared" si="157"/>
        <v>15922566.253154235</v>
      </c>
      <c r="CL130" s="1">
        <f t="shared" si="157"/>
        <v>196926.51772047952</v>
      </c>
      <c r="CM130" s="30"/>
      <c r="CN130" s="1">
        <f>Transport!U130</f>
        <v>0</v>
      </c>
      <c r="CQ130" s="1">
        <f>(((($B130+$C130+$D130+$O130+$P130+$Q130)*0.5)+BR130+BS130)*(0.005*'Prices&amp;Fuel'!$H130)+'Index Price Deals'!AV130)+(((BB130+BC130+BD130+BE130+BF130+BG130)*(1-'Prices&amp;Fuel'!F130))*0.005*0.5*'Prices&amp;Fuel'!H130)</f>
        <v>2782.5</v>
      </c>
      <c r="CR130" s="1">
        <f>(((($B130+$C130+$D130+$O130+$P130+$Q130)*0.5)+X130+Y130)*(0.005*'Prices&amp;Fuel'!$H130)+CA130+'Index Price Deals'!AW130)+(((BB130+BC130+BD130+BE130+BF130+BG130)*(1-'Prices&amp;Fuel'!F130))*0.005*0.5*'Prices&amp;Fuel'!H130)</f>
        <v>23142.397172236506</v>
      </c>
      <c r="CS130" s="21"/>
      <c r="CT130" s="1">
        <f>[3]Sheet1!$O149</f>
        <v>-259018.73372967407</v>
      </c>
      <c r="CU130" s="1">
        <f>'[4]Long Term Deals'!$Z129</f>
        <v>-30530.341227006029</v>
      </c>
      <c r="CV130" s="60">
        <f t="shared" si="106"/>
        <v>425414.91022314754</v>
      </c>
      <c r="DB130" s="3">
        <f>(O130+P130+Q130)*'Prices&amp;Fuel'!$H130</f>
        <v>753000</v>
      </c>
      <c r="DE130" s="3">
        <v>132000</v>
      </c>
    </row>
    <row r="131" spans="1:109" x14ac:dyDescent="0.25">
      <c r="A131" s="10">
        <f t="shared" si="160"/>
        <v>39581.499999999694</v>
      </c>
      <c r="O131" s="1">
        <v>9036</v>
      </c>
      <c r="P131" s="1">
        <v>10794</v>
      </c>
      <c r="Q131" s="1">
        <v>5270</v>
      </c>
      <c r="R131" s="11">
        <f t="shared" si="154"/>
        <v>3.4590000000000001</v>
      </c>
      <c r="S131" s="11">
        <f t="shared" si="155"/>
        <v>3.4460999999999999</v>
      </c>
      <c r="T131" s="1">
        <f>(($O131*R131)+($P131*R131)+($Q131*R131))*'Prices&amp;Fuel'!$H131</f>
        <v>2691447.9</v>
      </c>
      <c r="U131" s="1">
        <f>(($O131*S131)+($P131*S131)+($Q131*S131))*'Prices&amp;Fuel'!$H131</f>
        <v>2681410.41</v>
      </c>
      <c r="V131" s="13">
        <f t="shared" si="148"/>
        <v>10037.489999999758</v>
      </c>
      <c r="AF131" s="1">
        <f>((100000)/(1-'Prices&amp;Fuel'!F131))+(25000/(1-'Prices&amp;Fuel'!G131))-AI131</f>
        <v>128534.70437017996</v>
      </c>
      <c r="AG131" s="1">
        <v>0</v>
      </c>
      <c r="AH131" s="1">
        <f>(75000/(1-'Prices&amp;Fuel'!G131))-AK131</f>
        <v>77120.822622107968</v>
      </c>
      <c r="AI131" s="1"/>
      <c r="AJ131" s="1"/>
      <c r="AK131" s="1"/>
      <c r="AL131" s="21">
        <f>ROUND((200000/(1-'Prices&amp;Fuel'!F131))-AF131-AG131-AH131,0)</f>
        <v>0</v>
      </c>
      <c r="AM131" s="1">
        <f t="shared" si="126"/>
        <v>64267</v>
      </c>
      <c r="AO131" s="1">
        <f>ROUND((75000/(1-'Prices&amp;Fuel'!G131)-AV131-AK131)/2,0)</f>
        <v>38560</v>
      </c>
      <c r="AR131" s="1">
        <f t="shared" si="156"/>
        <v>64267.704370179956</v>
      </c>
      <c r="AT131" s="13">
        <f t="shared" si="107"/>
        <v>38560.822622107968</v>
      </c>
      <c r="AU131" s="13">
        <f>AL131*AX131*'Prices&amp;Fuel'!H131</f>
        <v>0</v>
      </c>
      <c r="AW131" s="20">
        <f t="shared" si="158"/>
        <v>0.03</v>
      </c>
      <c r="AX131" s="20">
        <f t="shared" si="159"/>
        <v>1.4999999999999999E-2</v>
      </c>
      <c r="AY131" s="6">
        <f>('Prices&amp;Fuel'!H131*('Prices&amp;Fuel'!B131+AW131)*'Long Term Deals'!AF131)+('Prices&amp;Fuel'!H131*('Prices&amp;Fuel'!C131+'Long Term Deals'!AW131)*'Long Term Deals'!AG131)+(AH131*('Prices&amp;Fuel'!C131+AW131)*'Prices&amp;Fuel'!H131)+(AW131*AL131*'Prices&amp;Fuel'!H131)</f>
        <v>20254781.286558978</v>
      </c>
      <c r="AZ131" s="6">
        <f>(AP131*'Prices&amp;Fuel'!H131*'Prices&amp;Fuel'!B131)+(AQ131*'Prices&amp;Fuel'!C131*'Prices&amp;Fuel'!H131)+((AM131+AR131)*('Prices&amp;Fuel'!B131+'Long Term Deals'!AX131)*'Prices&amp;Fuel'!H131)+((AN131+AS131)*('Prices&amp;Fuel'!C131+'Long Term Deals'!AX131)*'Prices&amp;Fuel'!H131)+((AO131+AT131)*('Prices&amp;Fuel'!D131+'Long Term Deals'!AX131)*'Prices&amp;Fuel'!H131)+(AV131*'Prices&amp;Fuel'!H131*'Prices&amp;Fuel'!Q131)+AU131</f>
        <v>20039614.191443298</v>
      </c>
      <c r="BA131" s="6">
        <f t="shared" si="149"/>
        <v>215167.09511568025</v>
      </c>
      <c r="BB131" s="6">
        <f>IF('FP Corp'!T131-((BE131+BF131+BG131)*(1-'Prices&amp;Fuel'!F131))&lt;'Prices&amp;Fuel'!R131,('FP Corp'!T131-(BE131+BF131+BG131)*(1-'Prices&amp;Fuel'!F131)),'Prices&amp;Fuel'!R131)/(1-'Prices&amp;Fuel'!F131)</f>
        <v>8976.8637532133671</v>
      </c>
      <c r="BC131" s="14"/>
      <c r="BD131" s="14">
        <f>ROUND(IF('FP Corp'!T131/(1-'Prices&amp;Fuel'!F131)-BE131-BF131-BG131-BB131&gt;'Prices&amp;Fuel'!T131,'Prices&amp;Fuel'!T131,'FP Corp'!T131/(1-'Prices&amp;Fuel'!F131)-BE131-BF131-BG131-BB131),9)</f>
        <v>6556.2982005140002</v>
      </c>
      <c r="BE131" s="14">
        <f>'Prices&amp;Fuel'!U131/(1-'Prices&amp;Fuel'!F131)</f>
        <v>1933.1619537275064</v>
      </c>
      <c r="BF131" s="14">
        <f>('Prices&amp;Fuel'!V131+'Prices&amp;Fuel'!X131)/(1-'Prices&amp;Fuel'!F131)</f>
        <v>3062.2107969151671</v>
      </c>
      <c r="BG131" s="14">
        <f>'Prices&amp;Fuel'!W131/(1-'Prices&amp;Fuel'!F131)</f>
        <v>1065.2956298200513</v>
      </c>
      <c r="BH131" s="25">
        <f>('Prices&amp;Fuel'!C131+'Prices&amp;Fuel'!D131)/2-0.05+('Prices&amp;Fuel'!M131+'Prices&amp;Fuel'!P131)*(1-'Prices&amp;Fuel'!F131)</f>
        <v>3.8540092018030014</v>
      </c>
      <c r="BI131" s="25"/>
      <c r="BJ131" s="25"/>
      <c r="BK131" s="25">
        <f>(((BB131+BE131)*('Prices&amp;Fuel'!B131+0.025))+(('Prices&amp;Fuel'!D131+0.025)*(BD131+BG131))+(('Prices&amp;Fuel'!C131+0.025)*(BC131+BF131))-(BI131+BJ131)*0.025)/(BB131+BC131+BD131+BE131+BF131+BG131)</f>
        <v>3.1615985470410961</v>
      </c>
      <c r="BL131" s="14">
        <f>(BB131+BC131+BD131+BE131+BF131+BG131)*BH131*'Prices&amp;Fuel'!H131</f>
        <v>2579907.445114383</v>
      </c>
      <c r="BM131" s="14">
        <f>'Prices&amp;Fuel'!X131*('Prices&amp;Fuel'!N131+'Prices&amp;Fuel'!O131)*'Prices&amp;Fuel'!H131</f>
        <v>9415.6112109141941</v>
      </c>
      <c r="BN131" s="14">
        <f>('Prices&amp;Fuel'!U131+'Prices&amp;Fuel'!V131+'Prices&amp;Fuel'!W131)*('Prices&amp;Fuel'!L131+'Prices&amp;Fuel'!O131)*'Prices&amp;Fuel'!H131</f>
        <v>71837.115695569344</v>
      </c>
      <c r="BO131" s="14">
        <f>((BB131+BC131+BD131)*(1-'Prices&amp;Fuel'!G131))*('Prices&amp;Fuel'!M131+'Prices&amp;Fuel'!P131)*'Prices&amp;Fuel'!H131</f>
        <v>358472.93299999676</v>
      </c>
      <c r="BP131" s="14">
        <f>((BD131+BC131+BB131+BE131+BF131+BG131)*BK131*'Prices&amp;Fuel'!H131)+BM131+BN131+BO131</f>
        <v>2556127.360804928</v>
      </c>
      <c r="BQ131" s="6">
        <f t="shared" si="161"/>
        <v>23780.084309455007</v>
      </c>
      <c r="CA131" s="6">
        <f>(AF131+AG131+AH131+AL131)*0.005*'Prices&amp;Fuel'!H131</f>
        <v>31876.606683804628</v>
      </c>
      <c r="CB131" s="6">
        <f>(B131+C131+D131+O131+P131+Q131+X131+Y131+BB131+BC131+BD131+BE131+BF131+BG131+BR131+BS131)*0.005*'Prices&amp;Fuel'!H131</f>
        <v>7237.5437017994636</v>
      </c>
      <c r="CC131" s="1">
        <f t="shared" si="151"/>
        <v>25526136.631673358</v>
      </c>
      <c r="CD131" s="1">
        <f t="shared" si="152"/>
        <v>25316266.112633828</v>
      </c>
      <c r="CE131" s="1">
        <f t="shared" si="153"/>
        <v>209870.51903953031</v>
      </c>
      <c r="CF131" s="1">
        <f>'Index Price Deals'!AR131</f>
        <v>0</v>
      </c>
      <c r="CG131" s="1">
        <f>'Index Price Deals'!AS131</f>
        <v>0</v>
      </c>
      <c r="CH131" s="1">
        <f>'Index Price Deals'!AT131</f>
        <v>0</v>
      </c>
      <c r="CI131" s="1">
        <f>'Index Price Deals'!AU131</f>
        <v>0</v>
      </c>
      <c r="CJ131" s="1">
        <f t="shared" si="150"/>
        <v>25526136.631673358</v>
      </c>
      <c r="CK131" s="1">
        <f t="shared" si="157"/>
        <v>25316266.112633828</v>
      </c>
      <c r="CL131" s="1">
        <f t="shared" si="157"/>
        <v>209870.51903953031</v>
      </c>
      <c r="CM131" s="30"/>
      <c r="CN131" s="1">
        <f>Transport!U131</f>
        <v>3.1490140827372673E-9</v>
      </c>
      <c r="CQ131" s="1">
        <f>(((($B131+$C131+$D131+$O131+$P131+$Q131)*0.5)+BR131+BS131)*(0.005*'Prices&amp;Fuel'!$H131)+'Index Price Deals'!AV131)+(((BB131+BC131+BD131+BE131+BF131+BG131)*(1-'Prices&amp;Fuel'!F131))*0.005*0.5*'Prices&amp;Fuel'!H131)</f>
        <v>3572.7499999999895</v>
      </c>
      <c r="CR131" s="1">
        <f>(((($B131+$C131+$D131+$O131+$P131+$Q131)*0.5)+X131+Y131)*(0.005*'Prices&amp;Fuel'!$H131)+CA131+'Index Price Deals'!AW131)+(((BB131+BC131+BD131+BE131+BF131+BG131)*(1-'Prices&amp;Fuel'!F131))*0.005*0.5*'Prices&amp;Fuel'!H131)</f>
        <v>35449.356683804617</v>
      </c>
      <c r="CS131" s="21"/>
      <c r="CT131" s="1">
        <f>[3]Sheet1!$O150</f>
        <v>-405534.38109191391</v>
      </c>
      <c r="CU131" s="1">
        <f>'[4]Long Term Deals'!$Z130</f>
        <v>-47800.029193797323</v>
      </c>
      <c r="CV131" s="60">
        <f t="shared" si="106"/>
        <v>567604.87093764381</v>
      </c>
      <c r="DB131" s="3">
        <f>(O131+P131+Q131)*'Prices&amp;Fuel'!$H131</f>
        <v>778100</v>
      </c>
      <c r="DE131" s="3">
        <v>200000</v>
      </c>
    </row>
    <row r="132" spans="1:109" x14ac:dyDescent="0.25">
      <c r="A132" s="10">
        <f t="shared" si="160"/>
        <v>39611.916666666359</v>
      </c>
      <c r="O132" s="1">
        <v>9036</v>
      </c>
      <c r="P132" s="1">
        <v>10794</v>
      </c>
      <c r="Q132" s="1">
        <v>5270</v>
      </c>
      <c r="R132" s="11">
        <f t="shared" si="154"/>
        <v>3.4590000000000001</v>
      </c>
      <c r="S132" s="11">
        <f t="shared" si="155"/>
        <v>3.4460999999999999</v>
      </c>
      <c r="T132" s="1">
        <f>(($O132*R132)+($P132*R132)+($Q132*R132))*'Prices&amp;Fuel'!$H132</f>
        <v>2604627</v>
      </c>
      <c r="U132" s="1">
        <f>(($O132*S132)+($P132*S132)+($Q132*S132))*'Prices&amp;Fuel'!$H132</f>
        <v>2594913.2999999998</v>
      </c>
      <c r="V132" s="13">
        <f t="shared" si="148"/>
        <v>9713.7000000001863</v>
      </c>
      <c r="AF132" s="1">
        <f>((100000)/(1-'Prices&amp;Fuel'!F132))+(25000/(1-'Prices&amp;Fuel'!G132))-AI132</f>
        <v>128534.70437017996</v>
      </c>
      <c r="AG132" s="1">
        <v>0</v>
      </c>
      <c r="AH132" s="1">
        <f>(75000/(1-'Prices&amp;Fuel'!G132))-AK132</f>
        <v>77120.822622107968</v>
      </c>
      <c r="AI132" s="1"/>
      <c r="AJ132" s="1"/>
      <c r="AK132" s="1"/>
      <c r="AL132" s="21">
        <f>ROUND((200000/(1-'Prices&amp;Fuel'!F132))-AF132-AG132-AH132,0)</f>
        <v>0</v>
      </c>
      <c r="AM132" s="1">
        <f t="shared" si="126"/>
        <v>64267</v>
      </c>
      <c r="AO132" s="1">
        <f>ROUND((75000/(1-'Prices&amp;Fuel'!G132)-AV132-AK132)/2,0)</f>
        <v>38560</v>
      </c>
      <c r="AR132" s="1">
        <f t="shared" si="156"/>
        <v>64267.704370179956</v>
      </c>
      <c r="AT132" s="13">
        <f t="shared" si="107"/>
        <v>38560.822622107968</v>
      </c>
      <c r="AU132" s="13">
        <f>AL132*AX132*'Prices&amp;Fuel'!H132</f>
        <v>0</v>
      </c>
      <c r="AW132" s="20">
        <f t="shared" si="158"/>
        <v>0.03</v>
      </c>
      <c r="AX132" s="20">
        <f t="shared" si="159"/>
        <v>1.4999999999999999E-2</v>
      </c>
      <c r="AY132" s="6">
        <f>('Prices&amp;Fuel'!H132*('Prices&amp;Fuel'!B132+AW132)*'Long Term Deals'!AF132)+('Prices&amp;Fuel'!H132*('Prices&amp;Fuel'!C132+'Long Term Deals'!AW132)*'Long Term Deals'!AG132)+(AH132*('Prices&amp;Fuel'!C132+AW132)*'Prices&amp;Fuel'!H132)+(AW132*AL132*'Prices&amp;Fuel'!H132)</f>
        <v>28180885.444258984</v>
      </c>
      <c r="AZ132" s="6">
        <f>(AP132*'Prices&amp;Fuel'!H132*'Prices&amp;Fuel'!B132)+(AQ132*'Prices&amp;Fuel'!C132*'Prices&amp;Fuel'!H132)+((AM132+AR132)*('Prices&amp;Fuel'!B132+'Long Term Deals'!AX132)*'Prices&amp;Fuel'!H132)+((AN132+AS132)*('Prices&amp;Fuel'!C132+'Long Term Deals'!AX132)*'Prices&amp;Fuel'!H132)+((AO132+AT132)*('Prices&amp;Fuel'!D132+'Long Term Deals'!AX132)*'Prices&amp;Fuel'!H132)+(AV132*'Prices&amp;Fuel'!H132*'Prices&amp;Fuel'!Q132)+AU132</f>
        <v>27972659.223179288</v>
      </c>
      <c r="BA132" s="6">
        <f t="shared" si="149"/>
        <v>208226.22107969597</v>
      </c>
      <c r="BB132" s="6">
        <f>IF('FP Corp'!T132-((BE132+BF132+BG132)*(1-'Prices&amp;Fuel'!F132))&lt;'Prices&amp;Fuel'!R132,('FP Corp'!T132-(BE132+BF132+BG132)*(1-'Prices&amp;Fuel'!F132)),'Prices&amp;Fuel'!R132)/(1-'Prices&amp;Fuel'!F132)</f>
        <v>8976.8637532133671</v>
      </c>
      <c r="BC132" s="14"/>
      <c r="BD132" s="14">
        <f>ROUND(IF('FP Corp'!T132/(1-'Prices&amp;Fuel'!F132)-BE132-BF132-BG132-BB132&gt;'Prices&amp;Fuel'!T132,'Prices&amp;Fuel'!T132,'FP Corp'!T132/(1-'Prices&amp;Fuel'!F132)-BE132-BF132-BG132-BB132),9)</f>
        <v>6556.2982005140002</v>
      </c>
      <c r="BE132" s="14">
        <f>'Prices&amp;Fuel'!U132/(1-'Prices&amp;Fuel'!F132)</f>
        <v>1933.1619537275064</v>
      </c>
      <c r="BF132" s="14">
        <f>('Prices&amp;Fuel'!V132+'Prices&amp;Fuel'!X132)/(1-'Prices&amp;Fuel'!F132)</f>
        <v>3062.2107969151671</v>
      </c>
      <c r="BG132" s="14">
        <f>'Prices&amp;Fuel'!W132/(1-'Prices&amp;Fuel'!F132)</f>
        <v>1065.2956298200513</v>
      </c>
      <c r="BH132" s="25">
        <f>('Prices&amp;Fuel'!C132+'Prices&amp;Fuel'!D132)/2-0.05+('Prices&amp;Fuel'!M132+'Prices&amp;Fuel'!P132)*(1-'Prices&amp;Fuel'!F132)</f>
        <v>5.2446005990903108</v>
      </c>
      <c r="BI132" s="25"/>
      <c r="BJ132" s="25"/>
      <c r="BK132" s="25">
        <f>(((BB132+BE132)*('Prices&amp;Fuel'!B132+0.025))+(('Prices&amp;Fuel'!D132+0.025)*(BD132+BG132))+(('Prices&amp;Fuel'!C132+0.025)*(BC132+BF132))-(BI132+BJ132)*0.025)/(BB132+BC132+BD132+BE132+BF132+BG132)</f>
        <v>4.552189944328406</v>
      </c>
      <c r="BL132" s="14">
        <f>(BB132+BC132+BD132+BE132+BF132+BG132)*BH132*'Prices&amp;Fuel'!H132</f>
        <v>3397530.465220436</v>
      </c>
      <c r="BM132" s="14">
        <f>'Prices&amp;Fuel'!X132*('Prices&amp;Fuel'!N132+'Prices&amp;Fuel'!O132)*'Prices&amp;Fuel'!H132</f>
        <v>9111.8818170137365</v>
      </c>
      <c r="BN132" s="14">
        <f>('Prices&amp;Fuel'!U132+'Prices&amp;Fuel'!V132+'Prices&amp;Fuel'!W132)*('Prices&amp;Fuel'!L132+'Prices&amp;Fuel'!O132)*'Prices&amp;Fuel'!H132</f>
        <v>69519.789382809045</v>
      </c>
      <c r="BO132" s="14">
        <f>((BB132+BC132+BD132)*(1-'Prices&amp;Fuel'!G132))*('Prices&amp;Fuel'!M132+'Prices&amp;Fuel'!P132)*'Prices&amp;Fuel'!H132</f>
        <v>346909.28999999689</v>
      </c>
      <c r="BP132" s="14">
        <f>((BD132+BC132+BB132+BE132+BF132+BG132)*BK132*'Prices&amp;Fuel'!H132)+BM132+BN132+BO132</f>
        <v>3374517.4804048347</v>
      </c>
      <c r="BQ132" s="6">
        <f t="shared" si="161"/>
        <v>23012.984815601259</v>
      </c>
      <c r="CA132" s="6">
        <f>(AF132+AG132+AH132+AL132)*0.005*'Prices&amp;Fuel'!H132</f>
        <v>30848.329048843189</v>
      </c>
      <c r="CB132" s="6">
        <f>(B132+C132+D132+O132+P132+Q132+X132+Y132+BB132+BC132+BD132+BE132+BF132+BG132+BR132+BS132)*0.005*'Prices&amp;Fuel'!H132</f>
        <v>7004.0745501285137</v>
      </c>
      <c r="CC132" s="1">
        <f t="shared" si="151"/>
        <v>34183042.909479417</v>
      </c>
      <c r="CD132" s="1">
        <f t="shared" si="152"/>
        <v>33979942.407183096</v>
      </c>
      <c r="CE132" s="1">
        <f t="shared" si="153"/>
        <v>203100.50229632109</v>
      </c>
      <c r="CF132" s="1">
        <f>'Index Price Deals'!AR132</f>
        <v>0</v>
      </c>
      <c r="CG132" s="1">
        <f>'Index Price Deals'!AS132</f>
        <v>0</v>
      </c>
      <c r="CH132" s="1">
        <f>'Index Price Deals'!AT132</f>
        <v>0</v>
      </c>
      <c r="CI132" s="1">
        <f>'Index Price Deals'!AU132</f>
        <v>0</v>
      </c>
      <c r="CJ132" s="1">
        <f t="shared" si="150"/>
        <v>34183042.909479417</v>
      </c>
      <c r="CK132" s="1">
        <f t="shared" si="157"/>
        <v>33979942.407183096</v>
      </c>
      <c r="CL132" s="1">
        <f t="shared" si="157"/>
        <v>203100.50229632109</v>
      </c>
      <c r="CM132" s="30"/>
      <c r="CN132" s="1">
        <f>Transport!U132</f>
        <v>3.0474329832941295E-9</v>
      </c>
      <c r="CQ132" s="1">
        <f>(((($B132+$C132+$D132+$O132+$P132+$Q132)*0.5)+BR132+BS132)*(0.005*'Prices&amp;Fuel'!$H132)+'Index Price Deals'!AV132)+(((BB132+BC132+BD132+BE132+BF132+BG132)*(1-'Prices&amp;Fuel'!F132))*0.005*0.5*'Prices&amp;Fuel'!H132)</f>
        <v>3457.49999999999</v>
      </c>
      <c r="CR132" s="1">
        <f>(((($B132+$C132+$D132+$O132+$P132+$Q132)*0.5)+X132+Y132)*(0.005*'Prices&amp;Fuel'!$H132)+CA132+'Index Price Deals'!AW132)+(((BB132+BC132+BD132+BE132+BF132+BG132)*(1-'Prices&amp;Fuel'!F132))*0.005*0.5*'Prices&amp;Fuel'!H132)</f>
        <v>34305.829048843181</v>
      </c>
      <c r="CS132" s="21"/>
      <c r="CT132" s="1">
        <f>[3]Sheet1!$O151</f>
        <v>-392452.62686314248</v>
      </c>
      <c r="CU132" s="1">
        <f>'[4]Long Term Deals'!$Z131</f>
        <v>-46258.092768190952</v>
      </c>
      <c r="CV132" s="60">
        <f t="shared" si="106"/>
        <v>549295.03639126965</v>
      </c>
      <c r="DB132" s="3">
        <f>(O132+P132+Q132)*'Prices&amp;Fuel'!$H132</f>
        <v>753000</v>
      </c>
      <c r="DE132" s="3">
        <v>200000</v>
      </c>
    </row>
    <row r="133" spans="1:109" x14ac:dyDescent="0.25">
      <c r="A133" s="10">
        <f t="shared" si="160"/>
        <v>39642.333333333023</v>
      </c>
      <c r="O133" s="1">
        <v>9036</v>
      </c>
      <c r="P133" s="1">
        <v>10794</v>
      </c>
      <c r="Q133" s="1">
        <v>5270</v>
      </c>
      <c r="R133" s="11">
        <f>ROUND(3.075*1.04*1.04*1.04*1.04,4)</f>
        <v>3.5973000000000002</v>
      </c>
      <c r="S133" s="11">
        <f>R133-ROUND(0.01*1.02*1.02*1.02*1.02*1.02*1.02*1.02*1.02*1.02*1.02*1.02*1.02*1.02*1.02,4)</f>
        <v>3.5841000000000003</v>
      </c>
      <c r="T133" s="1">
        <f>(($O133*R133)+($P133*R133)+($Q133*R133))*'Prices&amp;Fuel'!$H133</f>
        <v>2799059.1300000004</v>
      </c>
      <c r="U133" s="1">
        <f>(($O133*S133)+($P133*S133)+($Q133*S133))*'Prices&amp;Fuel'!$H133</f>
        <v>2788788.21</v>
      </c>
      <c r="V133" s="13">
        <f t="shared" ref="V133:V148" si="162">T133-U133</f>
        <v>10270.920000000391</v>
      </c>
      <c r="AF133" s="1">
        <f>((100000)/(1-'Prices&amp;Fuel'!F133))+(25000/(1-'Prices&amp;Fuel'!G133))-AI133</f>
        <v>128534.70437017996</v>
      </c>
      <c r="AG133" s="1">
        <v>0</v>
      </c>
      <c r="AH133" s="1">
        <f>(75000/(1-'Prices&amp;Fuel'!G133))-AK133</f>
        <v>77120.822622107968</v>
      </c>
      <c r="AI133" s="1"/>
      <c r="AJ133" s="1"/>
      <c r="AK133" s="1"/>
      <c r="AL133" s="21">
        <f>ROUND((200000/(1-'Prices&amp;Fuel'!F133))-AF133-AG133-AH133,0)</f>
        <v>0</v>
      </c>
      <c r="AM133" s="1">
        <f t="shared" si="126"/>
        <v>64267</v>
      </c>
      <c r="AO133" s="1">
        <f>ROUND((75000/(1-'Prices&amp;Fuel'!G133)-AV133-AK133)/2,0)</f>
        <v>38560</v>
      </c>
      <c r="AR133" s="1">
        <f t="shared" si="156"/>
        <v>64267.704370179956</v>
      </c>
      <c r="AT133" s="13">
        <f t="shared" si="107"/>
        <v>38560.822622107968</v>
      </c>
      <c r="AU133" s="13">
        <f>AL133*AX133*'Prices&amp;Fuel'!H133</f>
        <v>0</v>
      </c>
      <c r="AW133" s="20">
        <f t="shared" si="158"/>
        <v>0.03</v>
      </c>
      <c r="AX133" s="20">
        <f t="shared" si="159"/>
        <v>1.4999999999999999E-2</v>
      </c>
      <c r="AY133" s="6">
        <f>('Prices&amp;Fuel'!H133*('Prices&amp;Fuel'!B133+AW133)*'Long Term Deals'!AF133)+('Prices&amp;Fuel'!H133*('Prices&amp;Fuel'!C133+'Long Term Deals'!AW133)*'Long Term Deals'!AG133)+(AH133*('Prices&amp;Fuel'!C133+AW133)*'Prices&amp;Fuel'!H133)+(AW133*AL133*'Prices&amp;Fuel'!H133)</f>
        <v>29052572.97174567</v>
      </c>
      <c r="AZ133" s="6">
        <f>(AP133*'Prices&amp;Fuel'!H133*'Prices&amp;Fuel'!B133)+(AQ133*'Prices&amp;Fuel'!C133*'Prices&amp;Fuel'!H133)+((AM133+AR133)*('Prices&amp;Fuel'!B133+'Long Term Deals'!AX133)*'Prices&amp;Fuel'!H133)+((AN133+AS133)*('Prices&amp;Fuel'!C133+'Long Term Deals'!AX133)*'Prices&amp;Fuel'!H133)+((AO133+AT133)*('Prices&amp;Fuel'!D133+'Long Term Deals'!AX133)*'Prices&amp;Fuel'!H133)+(AV133*'Prices&amp;Fuel'!H133*'Prices&amp;Fuel'!Q133)+AU133</f>
        <v>28837405.87662999</v>
      </c>
      <c r="BA133" s="6">
        <f t="shared" ref="BA133:BA148" si="163">AY133-AZ133</f>
        <v>215167.09511568025</v>
      </c>
      <c r="BB133" s="6">
        <f>IF('FP Corp'!T133-((BE133+BF133+BG133)*(1-'Prices&amp;Fuel'!F133))&lt;'Prices&amp;Fuel'!R133,('FP Corp'!T133-(BE133+BF133+BG133)*(1-'Prices&amp;Fuel'!F133)),'Prices&amp;Fuel'!R133)/(1-'Prices&amp;Fuel'!F133)</f>
        <v>8976.8637532133671</v>
      </c>
      <c r="BC133" s="14"/>
      <c r="BD133" s="14">
        <f>ROUND(IF('FP Corp'!T133/(1-'Prices&amp;Fuel'!F133)-BE133-BF133-BG133-BB133&gt;'Prices&amp;Fuel'!T133,'Prices&amp;Fuel'!T133,'FP Corp'!T133/(1-'Prices&amp;Fuel'!F133)-BE133-BF133-BG133-BB133),9)</f>
        <v>6556.2982005140002</v>
      </c>
      <c r="BE133" s="14">
        <f>'Prices&amp;Fuel'!U133/(1-'Prices&amp;Fuel'!F133)</f>
        <v>1933.1619537275064</v>
      </c>
      <c r="BF133" s="14">
        <f>('Prices&amp;Fuel'!V133+'Prices&amp;Fuel'!X133)/(1-'Prices&amp;Fuel'!F133)</f>
        <v>3062.2107969151671</v>
      </c>
      <c r="BG133" s="14">
        <f>'Prices&amp;Fuel'!W133/(1-'Prices&amp;Fuel'!F133)</f>
        <v>1065.2956298200513</v>
      </c>
      <c r="BH133" s="25">
        <f>('Prices&amp;Fuel'!C133+'Prices&amp;Fuel'!D133)/2-0.05+('Prices&amp;Fuel'!M133+'Prices&amp;Fuel'!P133)*(1-'Prices&amp;Fuel'!F133)</f>
        <v>5.2339853975843011</v>
      </c>
      <c r="BI133" s="25"/>
      <c r="BJ133" s="25"/>
      <c r="BK133" s="25">
        <f>(((BB133+BE133)*('Prices&amp;Fuel'!B133+0.025))+(('Prices&amp;Fuel'!D133+0.025)*(BD133+BG133))+(('Prices&amp;Fuel'!C133+0.025)*(BC133+BF133))-(BI133+BJ133)*0.025)/(BB133+BC133+BD133+BE133+BF133+BG133)</f>
        <v>4.5415747428223963</v>
      </c>
      <c r="BL133" s="14">
        <f>(BB133+BC133+BD133+BE133+BF133+BG133)*BH133*'Prices&amp;Fuel'!H133</f>
        <v>3503675.5720589799</v>
      </c>
      <c r="BM133" s="14">
        <f>'Prices&amp;Fuel'!X133*('Prices&amp;Fuel'!N133+'Prices&amp;Fuel'!O133)*'Prices&amp;Fuel'!H133</f>
        <v>9415.6112109141941</v>
      </c>
      <c r="BN133" s="14">
        <f>('Prices&amp;Fuel'!U133+'Prices&amp;Fuel'!V133+'Prices&amp;Fuel'!W133)*('Prices&amp;Fuel'!L133+'Prices&amp;Fuel'!O133)*'Prices&amp;Fuel'!H133</f>
        <v>71837.115695569344</v>
      </c>
      <c r="BO133" s="14">
        <f>((BB133+BC133+BD133)*(1-'Prices&amp;Fuel'!G133))*('Prices&amp;Fuel'!M133+'Prices&amp;Fuel'!P133)*'Prices&amp;Fuel'!H133</f>
        <v>358472.93299999676</v>
      </c>
      <c r="BP133" s="14">
        <f>((BD133+BC133+BB133+BE133+BF133+BG133)*BK133*'Prices&amp;Fuel'!H133)+BM133+BN133+BO133</f>
        <v>3479895.4877495244</v>
      </c>
      <c r="BQ133" s="6">
        <f t="shared" si="161"/>
        <v>23780.084309455473</v>
      </c>
      <c r="CA133" s="6">
        <f>(AF133+AG133+AH133+AL133)*0.005*'Prices&amp;Fuel'!H133</f>
        <v>31876.606683804628</v>
      </c>
      <c r="CB133" s="6">
        <f>(B133+C133+D133+O133+P133+Q133+X133+Y133+BB133+BC133+BD133+BE133+BF133+BG133+BR133+BS133)*0.005*'Prices&amp;Fuel'!H133</f>
        <v>7237.5437017994636</v>
      </c>
      <c r="CC133" s="1">
        <f t="shared" si="151"/>
        <v>35355307.673804648</v>
      </c>
      <c r="CD133" s="1">
        <f t="shared" si="152"/>
        <v>35145203.724765122</v>
      </c>
      <c r="CE133" s="1">
        <f t="shared" si="153"/>
        <v>210103.94903952628</v>
      </c>
      <c r="CF133" s="1">
        <f>'Index Price Deals'!AR133</f>
        <v>0</v>
      </c>
      <c r="CG133" s="1">
        <f>'Index Price Deals'!AS133</f>
        <v>0</v>
      </c>
      <c r="CH133" s="1">
        <f>'Index Price Deals'!AT133</f>
        <v>0</v>
      </c>
      <c r="CI133" s="1">
        <f>'Index Price Deals'!AU133</f>
        <v>0</v>
      </c>
      <c r="CJ133" s="1">
        <f t="shared" ref="CJ133:CJ148" si="164">CC133+CF133</f>
        <v>35355307.673804648</v>
      </c>
      <c r="CK133" s="1">
        <f t="shared" si="157"/>
        <v>35145203.724765122</v>
      </c>
      <c r="CL133" s="1">
        <f t="shared" si="157"/>
        <v>210103.94903952628</v>
      </c>
      <c r="CM133" s="30"/>
      <c r="CN133" s="1">
        <f>Transport!U133</f>
        <v>3.1490140827372673E-9</v>
      </c>
      <c r="CQ133" s="1">
        <f>(((($B133+$C133+$D133+$O133+$P133+$Q133)*0.5)+BR133+BS133)*(0.005*'Prices&amp;Fuel'!$H133)+'Index Price Deals'!AV133)+(((BB133+BC133+BD133+BE133+BF133+BG133)*(1-'Prices&amp;Fuel'!F133))*0.005*0.5*'Prices&amp;Fuel'!H133)</f>
        <v>3572.7499999999895</v>
      </c>
      <c r="CR133" s="1">
        <f>(((($B133+$C133+$D133+$O133+$P133+$Q133)*0.5)+X133+Y133)*(0.005*'Prices&amp;Fuel'!$H133)+CA133+'Index Price Deals'!AW133)+(((BB133+BC133+BD133+BE133+BF133+BG133)*(1-'Prices&amp;Fuel'!F133))*0.005*0.5*'Prices&amp;Fuel'!H133)</f>
        <v>35449.356683804617</v>
      </c>
      <c r="CS133" s="21"/>
      <c r="CT133" s="1">
        <f>[3]Sheet1!$O152</f>
        <v>-405534.38109191391</v>
      </c>
      <c r="CU133" s="1">
        <f>'[4]Long Term Deals'!$Z132</f>
        <v>-47800.029193797323</v>
      </c>
      <c r="CV133" s="60">
        <f t="shared" si="106"/>
        <v>567838.30093763978</v>
      </c>
      <c r="DB133" s="3">
        <f>(O133+P133+Q133)*'Prices&amp;Fuel'!$H133</f>
        <v>778100</v>
      </c>
      <c r="DE133" s="3">
        <v>200000</v>
      </c>
    </row>
    <row r="134" spans="1:109" x14ac:dyDescent="0.25">
      <c r="A134" s="10">
        <f t="shared" si="160"/>
        <v>39672.749999999687</v>
      </c>
      <c r="O134" s="1">
        <v>9036</v>
      </c>
      <c r="P134" s="1">
        <v>10794</v>
      </c>
      <c r="Q134" s="1">
        <v>5270</v>
      </c>
      <c r="R134" s="11">
        <f t="shared" ref="R134:R144" si="165">R133</f>
        <v>3.5973000000000002</v>
      </c>
      <c r="S134" s="11">
        <f t="shared" ref="S134:S144" si="166">S133</f>
        <v>3.5841000000000003</v>
      </c>
      <c r="T134" s="1">
        <f>(($O134*R134)+($P134*R134)+($Q134*R134))*'Prices&amp;Fuel'!$H134</f>
        <v>2799059.1300000004</v>
      </c>
      <c r="U134" s="1">
        <f>(($O134*S134)+($P134*S134)+($Q134*S134))*'Prices&amp;Fuel'!$H134</f>
        <v>2788788.21</v>
      </c>
      <c r="V134" s="13">
        <f t="shared" si="162"/>
        <v>10270.920000000391</v>
      </c>
      <c r="AF134" s="1">
        <f>((100000)/(1-'Prices&amp;Fuel'!F134))+(25000/(1-'Prices&amp;Fuel'!G134))-AI134</f>
        <v>128534.70437017996</v>
      </c>
      <c r="AG134" s="1">
        <v>0</v>
      </c>
      <c r="AH134" s="1">
        <f>(75000/(1-'Prices&amp;Fuel'!G134))-AK134</f>
        <v>77120.822622107968</v>
      </c>
      <c r="AI134" s="1"/>
      <c r="AJ134" s="1"/>
      <c r="AK134" s="1"/>
      <c r="AL134" s="21">
        <f>ROUND((200000/(1-'Prices&amp;Fuel'!F134))-AF134-AG134-AH134,0)</f>
        <v>0</v>
      </c>
      <c r="AM134" s="1">
        <f t="shared" si="126"/>
        <v>64267</v>
      </c>
      <c r="AO134" s="1">
        <f>ROUND((75000/(1-'Prices&amp;Fuel'!G134)-AV134-AK134)/2,0)</f>
        <v>38560</v>
      </c>
      <c r="AR134" s="1">
        <f t="shared" si="156"/>
        <v>64267.704370179956</v>
      </c>
      <c r="AT134" s="13">
        <f t="shared" si="107"/>
        <v>38560.822622107968</v>
      </c>
      <c r="AU134" s="13">
        <f>AL134*AX134*'Prices&amp;Fuel'!H134</f>
        <v>0</v>
      </c>
      <c r="AW134" s="20">
        <f t="shared" si="158"/>
        <v>0.03</v>
      </c>
      <c r="AX134" s="20">
        <f t="shared" si="159"/>
        <v>1.4999999999999999E-2</v>
      </c>
      <c r="AY134" s="6">
        <f>('Prices&amp;Fuel'!H134*('Prices&amp;Fuel'!B134+AW134)*'Long Term Deals'!AF134)+('Prices&amp;Fuel'!H134*('Prices&amp;Fuel'!C134+'Long Term Deals'!AW134)*'Long Term Deals'!AG134)+(AH134*('Prices&amp;Fuel'!C134+AW134)*'Prices&amp;Fuel'!H134)+(AW134*AL134*'Prices&amp;Fuel'!H134)</f>
        <v>25398105.656360425</v>
      </c>
      <c r="AZ134" s="6">
        <f>(AP134*'Prices&amp;Fuel'!H134*'Prices&amp;Fuel'!B134)+(AQ134*'Prices&amp;Fuel'!C134*'Prices&amp;Fuel'!H134)+((AM134+AR134)*('Prices&amp;Fuel'!B134+'Long Term Deals'!AX134)*'Prices&amp;Fuel'!H134)+((AN134+AS134)*('Prices&amp;Fuel'!C134+'Long Term Deals'!AX134)*'Prices&amp;Fuel'!H134)+((AO134+AT134)*('Prices&amp;Fuel'!D134+'Long Term Deals'!AX134)*'Prices&amp;Fuel'!H134)+(AV134*'Prices&amp;Fuel'!H134*'Prices&amp;Fuel'!Q134)+AU134</f>
        <v>25182938.561244749</v>
      </c>
      <c r="BA134" s="6">
        <f t="shared" si="163"/>
        <v>215167.09511567652</v>
      </c>
      <c r="BB134" s="6">
        <f>IF('FP Corp'!T134-((BE134+BF134+BG134)*(1-'Prices&amp;Fuel'!F134))&lt;'Prices&amp;Fuel'!R134,('FP Corp'!T134-(BE134+BF134+BG134)*(1-'Prices&amp;Fuel'!F134)),'Prices&amp;Fuel'!R134)/(1-'Prices&amp;Fuel'!F134)</f>
        <v>8976.8637532133671</v>
      </c>
      <c r="BC134" s="14"/>
      <c r="BD134" s="14">
        <f>ROUND(IF('FP Corp'!T134/(1-'Prices&amp;Fuel'!F134)-BE134-BF134-BG134-BB134&gt;'Prices&amp;Fuel'!T134,'Prices&amp;Fuel'!T134,'FP Corp'!T134/(1-'Prices&amp;Fuel'!F134)-BE134-BF134-BG134-BB134),9)</f>
        <v>6556.2982005140002</v>
      </c>
      <c r="BE134" s="14">
        <f>'Prices&amp;Fuel'!U134/(1-'Prices&amp;Fuel'!F134)</f>
        <v>1933.1619537275064</v>
      </c>
      <c r="BF134" s="14">
        <f>('Prices&amp;Fuel'!V134+'Prices&amp;Fuel'!X134)/(1-'Prices&amp;Fuel'!F134)</f>
        <v>3062.2107969151671</v>
      </c>
      <c r="BG134" s="14">
        <f>'Prices&amp;Fuel'!W134/(1-'Prices&amp;Fuel'!F134)</f>
        <v>1065.2956298200513</v>
      </c>
      <c r="BH134" s="25">
        <f>('Prices&amp;Fuel'!C134+'Prices&amp;Fuel'!D134)/2-0.05+('Prices&amp;Fuel'!M134+'Prices&amp;Fuel'!P134)*(1-'Prices&amp;Fuel'!F134)</f>
        <v>4.6607645162597606</v>
      </c>
      <c r="BI134" s="25"/>
      <c r="BJ134" s="25"/>
      <c r="BK134" s="25">
        <f>(((BB134+BE134)*('Prices&amp;Fuel'!B134+0.025))+(('Prices&amp;Fuel'!D134+0.025)*(BD134+BG134))+(('Prices&amp;Fuel'!C134+0.025)*(BC134+BF134))-(BI134+BJ134)*0.025)/(BB134+BC134+BD134+BE134+BF134+BG134)</f>
        <v>3.9683538614978557</v>
      </c>
      <c r="BL134" s="14">
        <f>(BB134+BC134+BD134+BE134+BF134+BG134)*BH134*'Prices&amp;Fuel'!H134</f>
        <v>3119956.5039435318</v>
      </c>
      <c r="BM134" s="14">
        <f>'Prices&amp;Fuel'!X134*('Prices&amp;Fuel'!N134+'Prices&amp;Fuel'!O134)*'Prices&amp;Fuel'!H134</f>
        <v>9415.6112109141941</v>
      </c>
      <c r="BN134" s="14">
        <f>('Prices&amp;Fuel'!U134+'Prices&amp;Fuel'!V134+'Prices&amp;Fuel'!W134)*('Prices&amp;Fuel'!L134+'Prices&amp;Fuel'!O134)*'Prices&amp;Fuel'!H134</f>
        <v>71837.115695569344</v>
      </c>
      <c r="BO134" s="14">
        <f>((BB134+BC134+BD134)*(1-'Prices&amp;Fuel'!G134))*('Prices&amp;Fuel'!M134+'Prices&amp;Fuel'!P134)*'Prices&amp;Fuel'!H134</f>
        <v>358472.93299999676</v>
      </c>
      <c r="BP134" s="14">
        <f>((BD134+BC134+BB134+BE134+BF134+BG134)*BK134*'Prices&amp;Fuel'!H134)+BM134+BN134+BO134</f>
        <v>3096176.4196340763</v>
      </c>
      <c r="BQ134" s="6">
        <f t="shared" si="161"/>
        <v>23780.084309455473</v>
      </c>
      <c r="CA134" s="6">
        <f>(AF134+AG134+AH134+AL134)*0.005*'Prices&amp;Fuel'!H134</f>
        <v>31876.606683804628</v>
      </c>
      <c r="CB134" s="6">
        <f>(B134+C134+D134+O134+P134+Q134+X134+Y134+BB134+BC134+BD134+BE134+BF134+BG134+BR134+BS134)*0.005*'Prices&amp;Fuel'!H134</f>
        <v>7237.5437017994636</v>
      </c>
      <c r="CC134" s="1">
        <f t="shared" ref="CC134:CC149" si="167">K134+T134+AB134+AY134+BL134+BX134</f>
        <v>31317121.290303957</v>
      </c>
      <c r="CD134" s="1">
        <f t="shared" ref="CD134:CD149" si="168">L134+U134+AC134+AZ134+BP134+BY134+CA134+CB134</f>
        <v>31107017.34126443</v>
      </c>
      <c r="CE134" s="1">
        <f t="shared" ref="CE134:CE149" si="169">CC134-CD134</f>
        <v>210103.94903952628</v>
      </c>
      <c r="CF134" s="1">
        <f>'Index Price Deals'!AR134</f>
        <v>0</v>
      </c>
      <c r="CG134" s="1">
        <f>'Index Price Deals'!AS134</f>
        <v>0</v>
      </c>
      <c r="CH134" s="1">
        <f>'Index Price Deals'!AT134</f>
        <v>0</v>
      </c>
      <c r="CI134" s="1">
        <f>'Index Price Deals'!AU134</f>
        <v>0</v>
      </c>
      <c r="CJ134" s="1">
        <f t="shared" si="164"/>
        <v>31317121.290303957</v>
      </c>
      <c r="CK134" s="1">
        <f t="shared" si="157"/>
        <v>31107017.34126443</v>
      </c>
      <c r="CL134" s="1">
        <f t="shared" si="157"/>
        <v>210103.94903952628</v>
      </c>
      <c r="CM134" s="30"/>
      <c r="CN134" s="1">
        <f>Transport!U134</f>
        <v>3.1490140827372673E-9</v>
      </c>
      <c r="CQ134" s="1">
        <f>(((($B134+$C134+$D134+$O134+$P134+$Q134)*0.5)+BR134+BS134)*(0.005*'Prices&amp;Fuel'!$H134)+'Index Price Deals'!AV134)+(((BB134+BC134+BD134+BE134+BF134+BG134)*(1-'Prices&amp;Fuel'!F134))*0.005*0.5*'Prices&amp;Fuel'!H134)</f>
        <v>3572.7499999999895</v>
      </c>
      <c r="CR134" s="1">
        <f>(((($B134+$C134+$D134+$O134+$P134+$Q134)*0.5)+X134+Y134)*(0.005*'Prices&amp;Fuel'!$H134)+CA134+'Index Price Deals'!AW134)+(((BB134+BC134+BD134+BE134+BF134+BG134)*(1-'Prices&amp;Fuel'!F134))*0.005*0.5*'Prices&amp;Fuel'!H134)</f>
        <v>35449.356683804617</v>
      </c>
      <c r="CS134" s="21"/>
      <c r="CT134" s="1">
        <f>[3]Sheet1!$O153</f>
        <v>-405534.38109191391</v>
      </c>
      <c r="CU134" s="1">
        <f>'[4]Long Term Deals'!$Z133</f>
        <v>-47800.029193797323</v>
      </c>
      <c r="CV134" s="60">
        <f t="shared" ref="CV134:CV197" si="170">CL134-CN134-CT134+CU134+CS134+CO134</f>
        <v>567838.30093763978</v>
      </c>
      <c r="DB134" s="3">
        <f>(O134+P134+Q134)*'Prices&amp;Fuel'!$H134</f>
        <v>778100</v>
      </c>
      <c r="DE134" s="3">
        <v>200000</v>
      </c>
    </row>
    <row r="135" spans="1:109" x14ac:dyDescent="0.25">
      <c r="A135" s="10">
        <f t="shared" si="160"/>
        <v>39703.166666666351</v>
      </c>
      <c r="O135" s="1">
        <v>9036</v>
      </c>
      <c r="P135" s="1">
        <v>10794</v>
      </c>
      <c r="Q135" s="1">
        <v>5270</v>
      </c>
      <c r="R135" s="11">
        <f t="shared" si="165"/>
        <v>3.5973000000000002</v>
      </c>
      <c r="S135" s="11">
        <f t="shared" si="166"/>
        <v>3.5841000000000003</v>
      </c>
      <c r="T135" s="1">
        <f>(($O135*R135)+($P135*R135)+($Q135*R135))*'Prices&amp;Fuel'!$H135</f>
        <v>2708766.9000000004</v>
      </c>
      <c r="U135" s="1">
        <f>(($O135*S135)+($P135*S135)+($Q135*S135))*'Prices&amp;Fuel'!$H135</f>
        <v>2698827.3000000003</v>
      </c>
      <c r="V135" s="13">
        <f t="shared" si="162"/>
        <v>9939.6000000000931</v>
      </c>
      <c r="AF135" s="1">
        <f>((100000)/(1-'Prices&amp;Fuel'!F135))+(25000/(1-'Prices&amp;Fuel'!G135))-AI135</f>
        <v>128534.70437017996</v>
      </c>
      <c r="AG135" s="1">
        <v>0</v>
      </c>
      <c r="AH135" s="1">
        <f>(75000/(1-'Prices&amp;Fuel'!G135))-AK135</f>
        <v>77120.822622107968</v>
      </c>
      <c r="AI135" s="1"/>
      <c r="AJ135" s="1"/>
      <c r="AK135" s="1"/>
      <c r="AL135" s="21">
        <f>ROUND((200000/(1-'Prices&amp;Fuel'!F135))-AF135-AG135-AH135,0)</f>
        <v>0</v>
      </c>
      <c r="AM135" s="1">
        <f t="shared" si="126"/>
        <v>64267</v>
      </c>
      <c r="AO135" s="1">
        <f>ROUND((75000/(1-'Prices&amp;Fuel'!G135)-AV135-AK135)/2,0)</f>
        <v>38560</v>
      </c>
      <c r="AR135" s="1">
        <f t="shared" si="156"/>
        <v>64267.704370179956</v>
      </c>
      <c r="AT135" s="13">
        <f t="shared" si="107"/>
        <v>38560.822622107968</v>
      </c>
      <c r="AU135" s="13">
        <f>AL135*AX135*'Prices&amp;Fuel'!H135</f>
        <v>0</v>
      </c>
      <c r="AW135" s="20">
        <f t="shared" si="158"/>
        <v>0.03</v>
      </c>
      <c r="AX135" s="20">
        <f t="shared" si="159"/>
        <v>1.4999999999999999E-2</v>
      </c>
      <c r="AY135" s="6">
        <f>('Prices&amp;Fuel'!H135*('Prices&amp;Fuel'!B135+AW135)*'Long Term Deals'!AF135)+('Prices&amp;Fuel'!H135*('Prices&amp;Fuel'!C135+'Long Term Deals'!AW135)*'Long Term Deals'!AG135)+(AH135*('Prices&amp;Fuel'!C135+AW135)*'Prices&amp;Fuel'!H135)+(AW135*AL135*'Prices&amp;Fuel'!H135)</f>
        <v>29621714.851758551</v>
      </c>
      <c r="AZ135" s="6">
        <f>(AP135*'Prices&amp;Fuel'!H135*'Prices&amp;Fuel'!B135)+(AQ135*'Prices&amp;Fuel'!C135*'Prices&amp;Fuel'!H135)+((AM135+AR135)*('Prices&amp;Fuel'!B135+'Long Term Deals'!AX135)*'Prices&amp;Fuel'!H135)+((AN135+AS135)*('Prices&amp;Fuel'!C135+'Long Term Deals'!AX135)*'Prices&amp;Fuel'!H135)+((AO135+AT135)*('Prices&amp;Fuel'!D135+'Long Term Deals'!AX135)*'Prices&amp;Fuel'!H135)+(AV135*'Prices&amp;Fuel'!H135*'Prices&amp;Fuel'!Q135)+AU135</f>
        <v>29413488.630678859</v>
      </c>
      <c r="BA135" s="6">
        <f t="shared" si="163"/>
        <v>208226.22107969224</v>
      </c>
      <c r="BB135" s="6">
        <f>IF('FP Corp'!T135-((BE135+BF135+BG135)*(1-'Prices&amp;Fuel'!F135))&lt;'Prices&amp;Fuel'!R135,('FP Corp'!T135-(BE135+BF135+BG135)*(1-'Prices&amp;Fuel'!F135)),'Prices&amp;Fuel'!R135)/(1-'Prices&amp;Fuel'!F135)</f>
        <v>8976.8637532133671</v>
      </c>
      <c r="BC135" s="14"/>
      <c r="BD135" s="14">
        <f>ROUND(IF('FP Corp'!T135/(1-'Prices&amp;Fuel'!F135)-BE135-BF135-BG135-BB135&gt;'Prices&amp;Fuel'!T135,'Prices&amp;Fuel'!T135,'FP Corp'!T135/(1-'Prices&amp;Fuel'!F135)-BE135-BF135-BG135-BB135),9)</f>
        <v>6556.2982005140002</v>
      </c>
      <c r="BE135" s="14">
        <f>'Prices&amp;Fuel'!U135/(1-'Prices&amp;Fuel'!F135)</f>
        <v>1933.1619537275064</v>
      </c>
      <c r="BF135" s="14">
        <f>('Prices&amp;Fuel'!V135+'Prices&amp;Fuel'!X135)/(1-'Prices&amp;Fuel'!F135)</f>
        <v>3062.2107969151671</v>
      </c>
      <c r="BG135" s="14">
        <f>'Prices&amp;Fuel'!W135/(1-'Prices&amp;Fuel'!F135)</f>
        <v>1065.2956298200513</v>
      </c>
      <c r="BH135" s="25">
        <f>('Prices&amp;Fuel'!C135+'Prices&amp;Fuel'!D135)/2-0.05+('Prices&amp;Fuel'!M135+'Prices&amp;Fuel'!P135)*(1-'Prices&amp;Fuel'!F135)</f>
        <v>5.4781350322225313</v>
      </c>
      <c r="BI135" s="25"/>
      <c r="BJ135" s="25"/>
      <c r="BK135" s="25">
        <f>(((BB135+BE135)*('Prices&amp;Fuel'!B135+0.025))+(('Prices&amp;Fuel'!D135+0.025)*(BD135+BG135))+(('Prices&amp;Fuel'!C135+0.025)*(BC135+BF135))-(BI135+BJ135)*0.025)/(BB135+BC135+BD135+BE135+BF135+BG135)</f>
        <v>4.7857243774606273</v>
      </c>
      <c r="BL135" s="14">
        <f>(BB135+BC135+BD135+BE135+BF135+BG135)*BH135*'Prices&amp;Fuel'!H135</f>
        <v>3548817.5530078891</v>
      </c>
      <c r="BM135" s="14">
        <f>'Prices&amp;Fuel'!X135*('Prices&amp;Fuel'!N135+'Prices&amp;Fuel'!O135)*'Prices&amp;Fuel'!H135</f>
        <v>9111.8818170137365</v>
      </c>
      <c r="BN135" s="14">
        <f>('Prices&amp;Fuel'!U135+'Prices&amp;Fuel'!V135+'Prices&amp;Fuel'!W135)*('Prices&amp;Fuel'!L135+'Prices&amp;Fuel'!O135)*'Prices&amp;Fuel'!H135</f>
        <v>69519.789382809045</v>
      </c>
      <c r="BO135" s="14">
        <f>((BB135+BC135+BD135)*(1-'Prices&amp;Fuel'!G135))*('Prices&amp;Fuel'!M135+'Prices&amp;Fuel'!P135)*'Prices&amp;Fuel'!H135</f>
        <v>346909.28999999689</v>
      </c>
      <c r="BP135" s="14">
        <f>((BD135+BC135+BB135+BE135+BF135+BG135)*BK135*'Prices&amp;Fuel'!H135)+BM135+BN135+BO135</f>
        <v>3525804.5681922883</v>
      </c>
      <c r="BQ135" s="6">
        <f t="shared" si="161"/>
        <v>23012.984815600794</v>
      </c>
      <c r="CA135" s="6">
        <f>(AF135+AG135+AH135+AL135)*0.005*'Prices&amp;Fuel'!H135</f>
        <v>30848.329048843189</v>
      </c>
      <c r="CB135" s="6">
        <f>(B135+C135+D135+O135+P135+Q135+X135+Y135+BB135+BC135+BD135+BE135+BF135+BG135+BR135+BS135)*0.005*'Prices&amp;Fuel'!H135</f>
        <v>7004.0745501285137</v>
      </c>
      <c r="CC135" s="1">
        <f t="shared" si="167"/>
        <v>35879299.304766439</v>
      </c>
      <c r="CD135" s="1">
        <f t="shared" si="168"/>
        <v>35675972.902470119</v>
      </c>
      <c r="CE135" s="1">
        <f t="shared" si="169"/>
        <v>203326.4022963196</v>
      </c>
      <c r="CF135" s="1">
        <f>'Index Price Deals'!AR135</f>
        <v>0</v>
      </c>
      <c r="CG135" s="1">
        <f>'Index Price Deals'!AS135</f>
        <v>0</v>
      </c>
      <c r="CH135" s="1">
        <f>'Index Price Deals'!AT135</f>
        <v>0</v>
      </c>
      <c r="CI135" s="1">
        <f>'Index Price Deals'!AU135</f>
        <v>0</v>
      </c>
      <c r="CJ135" s="1">
        <f t="shared" si="164"/>
        <v>35879299.304766439</v>
      </c>
      <c r="CK135" s="1">
        <f t="shared" si="157"/>
        <v>35675972.902470119</v>
      </c>
      <c r="CL135" s="1">
        <f t="shared" si="157"/>
        <v>203326.4022963196</v>
      </c>
      <c r="CM135" s="30"/>
      <c r="CN135" s="1">
        <f>Transport!U135</f>
        <v>3.0474329832941295E-9</v>
      </c>
      <c r="CQ135" s="1">
        <f>(((($B135+$C135+$D135+$O135+$P135+$Q135)*0.5)+BR135+BS135)*(0.005*'Prices&amp;Fuel'!$H135)+'Index Price Deals'!AV135)+(((BB135+BC135+BD135+BE135+BF135+BG135)*(1-'Prices&amp;Fuel'!F135))*0.005*0.5*'Prices&amp;Fuel'!H135)</f>
        <v>3457.49999999999</v>
      </c>
      <c r="CR135" s="1">
        <f>(((($B135+$C135+$D135+$O135+$P135+$Q135)*0.5)+X135+Y135)*(0.005*'Prices&amp;Fuel'!$H135)+CA135+'Index Price Deals'!AW135)+(((BB135+BC135+BD135+BE135+BF135+BG135)*(1-'Prices&amp;Fuel'!F135))*0.005*0.5*'Prices&amp;Fuel'!H135)</f>
        <v>34305.829048843181</v>
      </c>
      <c r="CS135" s="21"/>
      <c r="CT135" s="1">
        <f>[3]Sheet1!$O154</f>
        <v>-392452.62686314248</v>
      </c>
      <c r="CU135" s="1">
        <f>'[4]Long Term Deals'!$Z134</f>
        <v>-46258.092768190952</v>
      </c>
      <c r="CV135" s="60">
        <f t="shared" si="170"/>
        <v>549520.93639126816</v>
      </c>
      <c r="DB135" s="3">
        <f>(O135+P135+Q135)*'Prices&amp;Fuel'!$H135</f>
        <v>753000</v>
      </c>
      <c r="DE135" s="3">
        <v>200000</v>
      </c>
    </row>
    <row r="136" spans="1:109" x14ac:dyDescent="0.25">
      <c r="A136" s="10">
        <f t="shared" si="160"/>
        <v>39733.583333333016</v>
      </c>
      <c r="O136" s="1">
        <v>9036</v>
      </c>
      <c r="P136" s="1">
        <v>10794</v>
      </c>
      <c r="Q136" s="1">
        <v>5270</v>
      </c>
      <c r="R136" s="11">
        <f t="shared" si="165"/>
        <v>3.5973000000000002</v>
      </c>
      <c r="S136" s="11">
        <f t="shared" si="166"/>
        <v>3.5841000000000003</v>
      </c>
      <c r="T136" s="1">
        <f>(($O136*R136)+($P136*R136)+($Q136*R136))*'Prices&amp;Fuel'!$H136</f>
        <v>2799059.1300000004</v>
      </c>
      <c r="U136" s="1">
        <f>(($O136*S136)+($P136*S136)+($Q136*S136))*'Prices&amp;Fuel'!$H136</f>
        <v>2788788.21</v>
      </c>
      <c r="V136" s="13">
        <f t="shared" si="162"/>
        <v>10270.920000000391</v>
      </c>
      <c r="AF136" s="1">
        <f>(32000/(1-'Prices&amp;Fuel'!F136))+(25000/(1-'Prices&amp;Fuel'!G136))-AI136</f>
        <v>58611.825192802062</v>
      </c>
      <c r="AG136" s="1">
        <v>0</v>
      </c>
      <c r="AH136" s="1">
        <f>(75000/(1-'Prices&amp;Fuel'!G136))-AK136</f>
        <v>77120.822622107968</v>
      </c>
      <c r="AI136" s="1"/>
      <c r="AJ136" s="1"/>
      <c r="AK136" s="1"/>
      <c r="AL136" s="21">
        <f>ROUND((132000/(1-'Prices&amp;Fuel'!F136))-AF136-AG136-AH136,0)</f>
        <v>0</v>
      </c>
      <c r="AM136" s="1">
        <f t="shared" si="126"/>
        <v>29306</v>
      </c>
      <c r="AO136" s="1">
        <f>ROUND((75000/(1-'Prices&amp;Fuel'!G136)-AV136-AK136)/2,0)</f>
        <v>38560</v>
      </c>
      <c r="AR136" s="1">
        <f t="shared" si="156"/>
        <v>29305.825192802062</v>
      </c>
      <c r="AT136" s="13">
        <f t="shared" ref="AT136:AT152" si="171">AH136-AO136-AV136</f>
        <v>38560.822622107968</v>
      </c>
      <c r="AU136" s="13">
        <f>AL136*AX136*'Prices&amp;Fuel'!H136</f>
        <v>0</v>
      </c>
      <c r="AW136" s="20">
        <f t="shared" si="158"/>
        <v>0.03</v>
      </c>
      <c r="AX136" s="20">
        <f t="shared" si="159"/>
        <v>1.4999999999999999E-2</v>
      </c>
      <c r="AY136" s="6">
        <f>('Prices&amp;Fuel'!H136*('Prices&amp;Fuel'!B136+AW136)*'Long Term Deals'!AF136)+('Prices&amp;Fuel'!H136*('Prices&amp;Fuel'!C136+'Long Term Deals'!AW136)*'Long Term Deals'!AG136)+(AH136*('Prices&amp;Fuel'!C136+AW136)*'Prices&amp;Fuel'!H136)+(AW136*AL136*'Prices&amp;Fuel'!H136)</f>
        <v>23288049.128134616</v>
      </c>
      <c r="AZ136" s="6">
        <f>(AP136*'Prices&amp;Fuel'!H136*'Prices&amp;Fuel'!B136)+(AQ136*'Prices&amp;Fuel'!C136*'Prices&amp;Fuel'!H136)+((AM136+AR136)*('Prices&amp;Fuel'!B136+'Long Term Deals'!AX136)*'Prices&amp;Fuel'!H136)+((AN136+AS136)*('Prices&amp;Fuel'!C136+'Long Term Deals'!AX136)*'Prices&amp;Fuel'!H136)+((AO136+AT136)*('Prices&amp;Fuel'!D136+'Long Term Deals'!AX136)*'Prices&amp;Fuel'!H136)+(AV136*'Prices&amp;Fuel'!H136*'Prices&amp;Fuel'!Q136)+AU136</f>
        <v>23105396.171836413</v>
      </c>
      <c r="BA136" s="6">
        <f t="shared" si="163"/>
        <v>182652.95629820228</v>
      </c>
      <c r="BB136" s="6">
        <f>IF('FP Corp'!T136-((BE136+BF136+BG136)*(1-'Prices&amp;Fuel'!F136))&lt;'Prices&amp;Fuel'!R136,('FP Corp'!T136-(BE136+BF136+BG136)*(1-'Prices&amp;Fuel'!F136)),'Prices&amp;Fuel'!R136)/(1-'Prices&amp;Fuel'!F136)</f>
        <v>8976.8637532133671</v>
      </c>
      <c r="BC136" s="14"/>
      <c r="BD136" s="14">
        <f>ROUND(IF('FP Corp'!T136/(1-'Prices&amp;Fuel'!F136)-BE136-BF136-BG136-BB136&gt;'Prices&amp;Fuel'!T136,'Prices&amp;Fuel'!T136,'FP Corp'!T136/(1-'Prices&amp;Fuel'!F136)-BE136-BF136-BG136-BB136),9)</f>
        <v>3514.6529562979999</v>
      </c>
      <c r="BE136" s="14">
        <f>'Prices&amp;Fuel'!U136/(1-'Prices&amp;Fuel'!F136)</f>
        <v>2910.025706940874</v>
      </c>
      <c r="BF136" s="14">
        <f>('Prices&amp;Fuel'!V136+'Prices&amp;Fuel'!X136)/(1-'Prices&amp;Fuel'!F136)</f>
        <v>4628.2776349614396</v>
      </c>
      <c r="BG136" s="14">
        <f>'Prices&amp;Fuel'!W136/(1-'Prices&amp;Fuel'!F136)</f>
        <v>1564.0102827763496</v>
      </c>
      <c r="BH136" s="25">
        <f>('Prices&amp;Fuel'!C136+'Prices&amp;Fuel'!D136)/2-0.05+('Prices&amp;Fuel'!M136+'Prices&amp;Fuel'!P136)*(1-'Prices&amp;Fuel'!F136)</f>
        <v>6.1999687346312102</v>
      </c>
      <c r="BI136" s="25"/>
      <c r="BJ136" s="25"/>
      <c r="BK136" s="25">
        <f>(((BB136+BE136)*('Prices&amp;Fuel'!B136+0.025))+(('Prices&amp;Fuel'!D136+0.025)*(BD136+BG136))+(('Prices&amp;Fuel'!C136+0.025)*(BC136+BF136))-(BI136+BJ136)*0.025)/(BB136+BC136+BD136+BE136+BF136+BG136)</f>
        <v>5.5107318893931154</v>
      </c>
      <c r="BL136" s="14">
        <f>(BB136+BC136+BD136+BE136+BF136+BG136)*BH136*'Prices&amp;Fuel'!H136</f>
        <v>4150313.2609201856</v>
      </c>
      <c r="BM136" s="14">
        <f>'Prices&amp;Fuel'!X136*('Prices&amp;Fuel'!N136+'Prices&amp;Fuel'!O136)*'Prices&amp;Fuel'!H136</f>
        <v>13799.453619509673</v>
      </c>
      <c r="BN136" s="14">
        <f>('Prices&amp;Fuel'!U136+'Prices&amp;Fuel'!V136+'Prices&amp;Fuel'!W136)*('Prices&amp;Fuel'!L136+'Prices&amp;Fuel'!O136)*'Prices&amp;Fuel'!H136</f>
        <v>108231.27908768276</v>
      </c>
      <c r="BO136" s="14">
        <f>((BB136+BC136+BD136)*(1-'Prices&amp;Fuel'!G136))*('Prices&amp;Fuel'!M136+'Prices&amp;Fuel'!P136)*'Prices&amp;Fuel'!H136</f>
        <v>288278.11399999529</v>
      </c>
      <c r="BP136" s="14">
        <f>((BD136+BC136+BB136+BE136+BF136+BG136)*BK136*'Prices&amp;Fuel'!H136)+BM136+BN136+BO136</f>
        <v>4099240.9392469148</v>
      </c>
      <c r="BQ136" s="6">
        <f t="shared" si="161"/>
        <v>51072.321673270781</v>
      </c>
      <c r="CA136" s="6">
        <f>(AF136+AG136+AH136+AL136)*0.005*'Prices&amp;Fuel'!H136</f>
        <v>21038.560411311057</v>
      </c>
      <c r="CB136" s="6">
        <f>(B136+C136+D136+O136+P136+Q136+X136+Y136+BB136+BC136+BD136+BE136+BF136+BG136+BR136+BS136)*0.005*'Prices&amp;Fuel'!H136</f>
        <v>7237.5437017994554</v>
      </c>
      <c r="CC136" s="1">
        <f t="shared" si="167"/>
        <v>30237421.5190548</v>
      </c>
      <c r="CD136" s="1">
        <f t="shared" si="168"/>
        <v>30021701.425196439</v>
      </c>
      <c r="CE136" s="1">
        <f t="shared" si="169"/>
        <v>215720.09385836124</v>
      </c>
      <c r="CF136" s="1">
        <f>'Index Price Deals'!AR136</f>
        <v>0</v>
      </c>
      <c r="CG136" s="1">
        <f>'Index Price Deals'!AS136</f>
        <v>0</v>
      </c>
      <c r="CH136" s="1">
        <f>'Index Price Deals'!AT136</f>
        <v>0</v>
      </c>
      <c r="CI136" s="1">
        <f>'Index Price Deals'!AU136</f>
        <v>0</v>
      </c>
      <c r="CJ136" s="1">
        <f t="shared" si="164"/>
        <v>30237421.5190548</v>
      </c>
      <c r="CK136" s="1">
        <f t="shared" si="157"/>
        <v>30021701.425196439</v>
      </c>
      <c r="CL136" s="1">
        <f t="shared" si="157"/>
        <v>215720.09385836124</v>
      </c>
      <c r="CM136" s="30"/>
      <c r="CN136" s="1">
        <f>Transport!U136</f>
        <v>4.3920459575019776E-9</v>
      </c>
      <c r="CQ136" s="1">
        <f>(((($B136+$C136+$D136+$O136+$P136+$Q136)*0.5)+BR136+BS136)*(0.005*'Prices&amp;Fuel'!$H136)+'Index Price Deals'!AV136)+(((BB136+BC136+BD136+BE136+BF136+BG136)*(1-'Prices&amp;Fuel'!F136))*0.005*0.5*'Prices&amp;Fuel'!H136)</f>
        <v>3572.749999999985</v>
      </c>
      <c r="CR136" s="1">
        <f>(((($B136+$C136+$D136+$O136+$P136+$Q136)*0.5)+X136+Y136)*(0.005*'Prices&amp;Fuel'!$H136)+CA136+'Index Price Deals'!AW136)+(((BB136+BC136+BD136+BE136+BF136+BG136)*(1-'Prices&amp;Fuel'!F136))*0.005*0.5*'Prices&amp;Fuel'!H136)</f>
        <v>24611.310411311042</v>
      </c>
      <c r="CS136" s="21"/>
      <c r="CT136" s="1">
        <f>[3]Sheet1!$O155</f>
        <v>-267652.69152066321</v>
      </c>
      <c r="CU136" s="1">
        <f>'[4]Long Term Deals'!$Z135</f>
        <v>-31548.019267906231</v>
      </c>
      <c r="CV136" s="60">
        <f t="shared" si="170"/>
        <v>451824.76611111383</v>
      </c>
      <c r="DB136" s="3">
        <f>(O136+P136+Q136)*'Prices&amp;Fuel'!$H136</f>
        <v>778100</v>
      </c>
      <c r="DE136" s="3">
        <v>132000</v>
      </c>
    </row>
    <row r="137" spans="1:109" x14ac:dyDescent="0.25">
      <c r="A137" s="10">
        <f t="shared" si="160"/>
        <v>39763.99999999968</v>
      </c>
      <c r="O137" s="1">
        <v>9036</v>
      </c>
      <c r="P137" s="1">
        <v>10794</v>
      </c>
      <c r="Q137" s="1">
        <v>5270</v>
      </c>
      <c r="R137" s="11">
        <f t="shared" si="165"/>
        <v>3.5973000000000002</v>
      </c>
      <c r="S137" s="11">
        <f t="shared" si="166"/>
        <v>3.5841000000000003</v>
      </c>
      <c r="T137" s="1">
        <f>(($O137*R137)+($P137*R137)+($Q137*R137))*'Prices&amp;Fuel'!$H137</f>
        <v>2708766.9000000004</v>
      </c>
      <c r="U137" s="1">
        <f>(($O137*S137)+($P137*S137)+($Q137*S137))*'Prices&amp;Fuel'!$H137</f>
        <v>2698827.3000000003</v>
      </c>
      <c r="V137" s="13">
        <f t="shared" si="162"/>
        <v>9939.6000000000931</v>
      </c>
      <c r="AF137" s="1">
        <f>(32000/(1-'Prices&amp;Fuel'!F137))+(25000/(1-'Prices&amp;Fuel'!G137))-AI137</f>
        <v>58611.825192802062</v>
      </c>
      <c r="AG137" s="1">
        <v>0</v>
      </c>
      <c r="AH137" s="1">
        <f>(75000/(1-'Prices&amp;Fuel'!G137))-AK137</f>
        <v>77120.822622107968</v>
      </c>
      <c r="AI137" s="1"/>
      <c r="AJ137" s="1"/>
      <c r="AK137" s="1"/>
      <c r="AL137" s="21">
        <f>ROUND((132000/(1-'Prices&amp;Fuel'!F137))-AF137-AG137-AH137,0)</f>
        <v>0</v>
      </c>
      <c r="AM137" s="1">
        <f t="shared" si="126"/>
        <v>29306</v>
      </c>
      <c r="AO137" s="1">
        <f>ROUND((75000/(1-'Prices&amp;Fuel'!G137)-AV137-AK137)/2,0)</f>
        <v>38560</v>
      </c>
      <c r="AR137" s="1">
        <f t="shared" si="156"/>
        <v>29305.825192802062</v>
      </c>
      <c r="AT137" s="13">
        <f t="shared" si="171"/>
        <v>38560.822622107968</v>
      </c>
      <c r="AU137" s="13">
        <f>AL137*AX137*'Prices&amp;Fuel'!H137</f>
        <v>0</v>
      </c>
      <c r="AW137" s="20">
        <f t="shared" si="158"/>
        <v>0.03</v>
      </c>
      <c r="AX137" s="20">
        <f t="shared" si="159"/>
        <v>1.4999999999999999E-2</v>
      </c>
      <c r="AY137" s="6">
        <f>('Prices&amp;Fuel'!H137*('Prices&amp;Fuel'!B137+AW137)*'Long Term Deals'!AF137)+('Prices&amp;Fuel'!H137*('Prices&amp;Fuel'!C137+'Long Term Deals'!AW137)*'Long Term Deals'!AG137)+(AH137*('Prices&amp;Fuel'!C137+AW137)*'Prices&amp;Fuel'!H137)+(AW137*AL137*'Prices&amp;Fuel'!H137)</f>
        <v>15058917.111981763</v>
      </c>
      <c r="AZ137" s="6">
        <f>(AP137*'Prices&amp;Fuel'!H137*'Prices&amp;Fuel'!B137)+(AQ137*'Prices&amp;Fuel'!C137*'Prices&amp;Fuel'!H137)+((AM137+AR137)*('Prices&amp;Fuel'!B137+'Long Term Deals'!AX137)*'Prices&amp;Fuel'!H137)+((AN137+AS137)*('Prices&amp;Fuel'!C137+'Long Term Deals'!AX137)*'Prices&amp;Fuel'!H137)+((AO137+AT137)*('Prices&amp;Fuel'!D137+'Long Term Deals'!AX137)*'Prices&amp;Fuel'!H137)+(AV137*'Prices&amp;Fuel'!H137*'Prices&amp;Fuel'!Q137)+AU137</f>
        <v>14882156.186531892</v>
      </c>
      <c r="BA137" s="6">
        <f t="shared" si="163"/>
        <v>176760.92544987053</v>
      </c>
      <c r="BB137" s="6">
        <f>IF('FP Corp'!T137-((BE137+BF137+BG137)*(1-'Prices&amp;Fuel'!F137))&lt;'Prices&amp;Fuel'!R137,('FP Corp'!T137-(BE137+BF137+BG137)*(1-'Prices&amp;Fuel'!F137)),'Prices&amp;Fuel'!R137)/(1-'Prices&amp;Fuel'!F137)</f>
        <v>4325.9640102827761</v>
      </c>
      <c r="BC137" s="14"/>
      <c r="BD137" s="14">
        <f>ROUND(IF('FP Corp'!T137/(1-'Prices&amp;Fuel'!F137)-BE137-BF137-BG137-BB137&gt;'Prices&amp;Fuel'!T137,'Prices&amp;Fuel'!T137,'FP Corp'!T137/(1-'Prices&amp;Fuel'!F137)-BE137-BF137-BG137-BB137),9)</f>
        <v>0</v>
      </c>
      <c r="BE137" s="14">
        <f>'Prices&amp;Fuel'!U137/(1-'Prices&amp;Fuel'!F137)</f>
        <v>2635.4755784061695</v>
      </c>
      <c r="BF137" s="14">
        <f>('Prices&amp;Fuel'!V137+'Prices&amp;Fuel'!X137)/(1-'Prices&amp;Fuel'!F137)</f>
        <v>3645.2442159383031</v>
      </c>
      <c r="BG137" s="14">
        <f>'Prices&amp;Fuel'!W137/(1-'Prices&amp;Fuel'!F137)</f>
        <v>1732.6478149100255</v>
      </c>
      <c r="BH137" s="25">
        <f>('Prices&amp;Fuel'!C137+'Prices&amp;Fuel'!D137)/2-0.05+('Prices&amp;Fuel'!M137+'Prices&amp;Fuel'!P137)*(1-'Prices&amp;Fuel'!F137)</f>
        <v>4.3635388740914811</v>
      </c>
      <c r="BI137" s="25"/>
      <c r="BJ137" s="25"/>
      <c r="BK137" s="25">
        <f>(((BB137+BE137)*('Prices&amp;Fuel'!B137+0.025))+(('Prices&amp;Fuel'!D137+0.025)*(BD137+BG137))+(('Prices&amp;Fuel'!C137+0.025)*(BC137+BF137))-(BI137+BJ137)*0.025)/(BB137+BC137+BD137+BE137+BF137+BG137)</f>
        <v>3.6782192907581477</v>
      </c>
      <c r="BL137" s="14">
        <f>(BB137+BC137+BD137+BE137+BF137+BG137)*BH137*'Prices&amp;Fuel'!H137</f>
        <v>1615294.5960647126</v>
      </c>
      <c r="BM137" s="14">
        <f>'Prices&amp;Fuel'!X137*('Prices&amp;Fuel'!N137+'Prices&amp;Fuel'!O137)*'Prices&amp;Fuel'!H137</f>
        <v>9111.8818170137365</v>
      </c>
      <c r="BN137" s="14">
        <f>('Prices&amp;Fuel'!U137+'Prices&amp;Fuel'!V137+'Prices&amp;Fuel'!W137)*('Prices&amp;Fuel'!L137+'Prices&amp;Fuel'!O137)*'Prices&amp;Fuel'!H137</f>
        <v>94854.289486043432</v>
      </c>
      <c r="BO137" s="14">
        <f>((BB137+BC137+BD137)*(1-'Prices&amp;Fuel'!G137))*('Prices&amp;Fuel'!M137+'Prices&amp;Fuel'!P137)*'Prices&amp;Fuel'!H137</f>
        <v>96613.75499999999</v>
      </c>
      <c r="BP137" s="14">
        <f>((BD137+BC137+BB137+BE137+BF137+BG137)*BK137*'Prices&amp;Fuel'!H137)+BM137+BN137+BO137</f>
        <v>1562182.9542443762</v>
      </c>
      <c r="BQ137" s="6">
        <f t="shared" si="161"/>
        <v>53111.641820336459</v>
      </c>
      <c r="CA137" s="6">
        <f>(AF137+AG137+AH137+AL137)*0.005*'Prices&amp;Fuel'!H137</f>
        <v>20359.897172236506</v>
      </c>
      <c r="CB137" s="6">
        <f>(B137+C137+D137+O137+P137+Q137+X137+Y137+BB137+BC137+BD137+BE137+BF137+BG137+BR137+BS137)*0.005*'Prices&amp;Fuel'!H137</f>
        <v>5615.8997429305909</v>
      </c>
      <c r="CC137" s="1">
        <f t="shared" si="167"/>
        <v>19382978.608046476</v>
      </c>
      <c r="CD137" s="1">
        <f t="shared" si="168"/>
        <v>19169142.237691432</v>
      </c>
      <c r="CE137" s="1">
        <f t="shared" si="169"/>
        <v>213836.37035504356</v>
      </c>
      <c r="CF137" s="1">
        <f>'Index Price Deals'!AR137</f>
        <v>0</v>
      </c>
      <c r="CG137" s="1">
        <f>'Index Price Deals'!AS137</f>
        <v>0</v>
      </c>
      <c r="CH137" s="1">
        <f>'Index Price Deals'!AT137</f>
        <v>0</v>
      </c>
      <c r="CI137" s="1">
        <f>'Index Price Deals'!AU137</f>
        <v>0</v>
      </c>
      <c r="CJ137" s="1">
        <f t="shared" si="164"/>
        <v>19382978.608046476</v>
      </c>
      <c r="CK137" s="1">
        <f t="shared" si="157"/>
        <v>19169142.237691432</v>
      </c>
      <c r="CL137" s="1">
        <f t="shared" si="157"/>
        <v>213836.37035504356</v>
      </c>
      <c r="CM137" s="30"/>
      <c r="CN137" s="1">
        <f>Transport!U137</f>
        <v>0</v>
      </c>
      <c r="CQ137" s="1">
        <f>(((($B137+$C137+$D137+$O137+$P137+$Q137)*0.5)+BR137+BS137)*(0.005*'Prices&amp;Fuel'!$H137)+'Index Price Deals'!AV137)+(((BB137+BC137+BD137+BE137+BF137+BG137)*(1-'Prices&amp;Fuel'!F137))*0.005*0.5*'Prices&amp;Fuel'!H137)</f>
        <v>2782.5</v>
      </c>
      <c r="CR137" s="1">
        <f>(((($B137+$C137+$D137+$O137+$P137+$Q137)*0.5)+X137+Y137)*(0.005*'Prices&amp;Fuel'!$H137)+CA137+'Index Price Deals'!AW137)+(((BB137+BC137+BD137+BE137+BF137+BG137)*(1-'Prices&amp;Fuel'!F137))*0.005*0.5*'Prices&amp;Fuel'!H137)</f>
        <v>23142.397172236506</v>
      </c>
      <c r="CS137" s="21"/>
      <c r="CT137" s="1">
        <f>[3]Sheet1!$O156</f>
        <v>-259018.73372967407</v>
      </c>
      <c r="CU137" s="1">
        <f>'[4]Long Term Deals'!$Z136</f>
        <v>-30530.341227006029</v>
      </c>
      <c r="CV137" s="60">
        <f t="shared" si="170"/>
        <v>442324.76285771158</v>
      </c>
      <c r="DB137" s="3">
        <f>(O137+P137+Q137)*'Prices&amp;Fuel'!$H137</f>
        <v>753000</v>
      </c>
      <c r="DE137" s="3">
        <v>132000</v>
      </c>
    </row>
    <row r="138" spans="1:109" x14ac:dyDescent="0.25">
      <c r="A138" s="10">
        <f t="shared" si="160"/>
        <v>39794.416666666344</v>
      </c>
      <c r="O138" s="1">
        <v>9036</v>
      </c>
      <c r="P138" s="1">
        <v>10794</v>
      </c>
      <c r="Q138" s="1">
        <v>5270</v>
      </c>
      <c r="R138" s="11">
        <f t="shared" si="165"/>
        <v>3.5973000000000002</v>
      </c>
      <c r="S138" s="11">
        <f t="shared" si="166"/>
        <v>3.5841000000000003</v>
      </c>
      <c r="T138" s="1">
        <f>(($O138*R138)+($P138*R138)+($Q138*R138))*'Prices&amp;Fuel'!$H138</f>
        <v>2799059.1300000004</v>
      </c>
      <c r="U138" s="1">
        <f>(($O138*S138)+($P138*S138)+($Q138*S138))*'Prices&amp;Fuel'!$H138</f>
        <v>2788788.21</v>
      </c>
      <c r="V138" s="13">
        <f t="shared" si="162"/>
        <v>10270.920000000391</v>
      </c>
      <c r="AF138" s="1">
        <f>(32000/(1-'Prices&amp;Fuel'!F138))+(25000/(1-'Prices&amp;Fuel'!G138))-AI138</f>
        <v>58611.825192802062</v>
      </c>
      <c r="AG138" s="1">
        <v>0</v>
      </c>
      <c r="AH138" s="1">
        <f>(75000/(1-'Prices&amp;Fuel'!G138))-AK138</f>
        <v>77120.822622107968</v>
      </c>
      <c r="AI138" s="1"/>
      <c r="AJ138" s="1"/>
      <c r="AK138" s="1"/>
      <c r="AL138" s="21">
        <f>ROUND((132000/(1-'Prices&amp;Fuel'!F138))-AF138-AG138-AH138,0)</f>
        <v>0</v>
      </c>
      <c r="AM138" s="1">
        <f t="shared" si="126"/>
        <v>29306</v>
      </c>
      <c r="AO138" s="1">
        <f>ROUND((75000/(1-'Prices&amp;Fuel'!G138)-AV138-AK138)/2,0)</f>
        <v>38560</v>
      </c>
      <c r="AR138" s="1">
        <f t="shared" si="156"/>
        <v>29305.825192802062</v>
      </c>
      <c r="AT138" s="13">
        <f t="shared" si="171"/>
        <v>38560.822622107968</v>
      </c>
      <c r="AU138" s="13">
        <f>AL138*AX138*'Prices&amp;Fuel'!H138</f>
        <v>0</v>
      </c>
      <c r="AW138" s="20">
        <f t="shared" si="158"/>
        <v>0.03</v>
      </c>
      <c r="AX138" s="20">
        <f t="shared" si="159"/>
        <v>1.4999999999999999E-2</v>
      </c>
      <c r="AY138" s="6">
        <f>('Prices&amp;Fuel'!H138*('Prices&amp;Fuel'!B138+AW138)*'Long Term Deals'!AF138)+('Prices&amp;Fuel'!H138*('Prices&amp;Fuel'!C138+'Long Term Deals'!AW138)*'Long Term Deals'!AG138)+(AH138*('Prices&amp;Fuel'!C138+AW138)*'Prices&amp;Fuel'!H138)+(AW138*AL138*'Prices&amp;Fuel'!H138)</f>
        <v>11630298.392055694</v>
      </c>
      <c r="AZ138" s="6">
        <f>(AP138*'Prices&amp;Fuel'!H138*'Prices&amp;Fuel'!B138)+(AQ138*'Prices&amp;Fuel'!C138*'Prices&amp;Fuel'!H138)+((AM138+AR138)*('Prices&amp;Fuel'!B138+'Long Term Deals'!AX138)*'Prices&amp;Fuel'!H138)+((AN138+AS138)*('Prices&amp;Fuel'!C138+'Long Term Deals'!AX138)*'Prices&amp;Fuel'!H138)+((AO138+AT138)*('Prices&amp;Fuel'!D138+'Long Term Deals'!AX138)*'Prices&amp;Fuel'!H138)+(AV138*'Prices&amp;Fuel'!H138*'Prices&amp;Fuel'!Q138)+AU138</f>
        <v>11447645.435757495</v>
      </c>
      <c r="BA138" s="6">
        <f t="shared" si="163"/>
        <v>182652.95629819855</v>
      </c>
      <c r="BB138" s="6">
        <f>IF('FP Corp'!T138-((BE138+BF138+BG138)*(1-'Prices&amp;Fuel'!F138))&lt;'Prices&amp;Fuel'!R138,('FP Corp'!T138-(BE138+BF138+BG138)*(1-'Prices&amp;Fuel'!F138)),'Prices&amp;Fuel'!R138)/(1-'Prices&amp;Fuel'!F138)</f>
        <v>4325.9640102827761</v>
      </c>
      <c r="BC138" s="14"/>
      <c r="BD138" s="14">
        <f>ROUND(IF('FP Corp'!T138/(1-'Prices&amp;Fuel'!F138)-BE138-BF138-BG138-BB138&gt;'Prices&amp;Fuel'!T138,'Prices&amp;Fuel'!T138,'FP Corp'!T138/(1-'Prices&amp;Fuel'!F138)-BE138-BF138-BG138-BB138),9)</f>
        <v>0</v>
      </c>
      <c r="BE138" s="14">
        <f>'Prices&amp;Fuel'!U138/(1-'Prices&amp;Fuel'!F138)</f>
        <v>2635.4755784061695</v>
      </c>
      <c r="BF138" s="14">
        <f>('Prices&amp;Fuel'!V138+'Prices&amp;Fuel'!X138)/(1-'Prices&amp;Fuel'!F138)</f>
        <v>3645.2442159383031</v>
      </c>
      <c r="BG138" s="14">
        <f>'Prices&amp;Fuel'!W138/(1-'Prices&amp;Fuel'!F138)</f>
        <v>1732.6478149100255</v>
      </c>
      <c r="BH138" s="25">
        <f>('Prices&amp;Fuel'!C138+'Prices&amp;Fuel'!D138)/2-0.05+('Prices&amp;Fuel'!M138+'Prices&amp;Fuel'!P138)*(1-'Prices&amp;Fuel'!F138)</f>
        <v>3.4294011415626011</v>
      </c>
      <c r="BI138" s="25"/>
      <c r="BJ138" s="25"/>
      <c r="BK138" s="25">
        <f>(((BB138+BE138)*('Prices&amp;Fuel'!B138+0.025))+(('Prices&amp;Fuel'!D138+0.025)*(BD138+BG138))+(('Prices&amp;Fuel'!C138+0.025)*(BC138+BF138))-(BI138+BJ138)*0.025)/(BB138+BC138+BD138+BE138+BF138+BG138)</f>
        <v>2.7440815582292672</v>
      </c>
      <c r="BL138" s="14">
        <f>(BB138+BC138+BD138+BE138+BF138+BG138)*BH138*'Prices&amp;Fuel'!H138</f>
        <v>1311812.0562069793</v>
      </c>
      <c r="BM138" s="14">
        <f>'Prices&amp;Fuel'!X138*('Prices&amp;Fuel'!N138+'Prices&amp;Fuel'!O138)*'Prices&amp;Fuel'!H138</f>
        <v>9415.6112109141941</v>
      </c>
      <c r="BN138" s="14">
        <f>('Prices&amp;Fuel'!U138+'Prices&amp;Fuel'!V138+'Prices&amp;Fuel'!W138)*('Prices&amp;Fuel'!L138+'Prices&amp;Fuel'!O138)*'Prices&amp;Fuel'!H138</f>
        <v>98016.099135578203</v>
      </c>
      <c r="BO138" s="14">
        <f>((BB138+BC138+BD138)*(1-'Prices&amp;Fuel'!G138))*('Prices&amp;Fuel'!M138+'Prices&amp;Fuel'!P138)*'Prices&amp;Fuel'!H138</f>
        <v>99834.213499999998</v>
      </c>
      <c r="BP138" s="14">
        <f>((BD138+BC138+BB138+BE138+BF138+BG138)*BK138*'Prices&amp;Fuel'!H138)+BM138+BN138+BO138</f>
        <v>1256930.0263259651</v>
      </c>
      <c r="BQ138" s="6">
        <f t="shared" si="161"/>
        <v>54882.029881014256</v>
      </c>
      <c r="CA138" s="6">
        <f>(AF138+AG138+AH138+AL138)*0.005*'Prices&amp;Fuel'!H138</f>
        <v>21038.560411311057</v>
      </c>
      <c r="CB138" s="6">
        <f>(B138+C138+D138+O138+P138+Q138+X138+Y138+BB138+BC138+BD138+BE138+BF138+BG138+BR138+BS138)*0.005*'Prices&amp;Fuel'!H138</f>
        <v>5803.0964010282778</v>
      </c>
      <c r="CC138" s="1">
        <f t="shared" si="167"/>
        <v>15741169.578262674</v>
      </c>
      <c r="CD138" s="1">
        <f t="shared" si="168"/>
        <v>15520205.328895802</v>
      </c>
      <c r="CE138" s="1">
        <f t="shared" si="169"/>
        <v>220964.24936687201</v>
      </c>
      <c r="CF138" s="1">
        <f>'Index Price Deals'!AR138</f>
        <v>0</v>
      </c>
      <c r="CG138" s="1">
        <f>'Index Price Deals'!AS138</f>
        <v>0</v>
      </c>
      <c r="CH138" s="1">
        <f>'Index Price Deals'!AT138</f>
        <v>0</v>
      </c>
      <c r="CI138" s="1">
        <f>'Index Price Deals'!AU138</f>
        <v>0</v>
      </c>
      <c r="CJ138" s="1">
        <f t="shared" si="164"/>
        <v>15741169.578262674</v>
      </c>
      <c r="CK138" s="1">
        <f t="shared" si="157"/>
        <v>15520205.328895802</v>
      </c>
      <c r="CL138" s="1">
        <f t="shared" si="157"/>
        <v>220964.24936687201</v>
      </c>
      <c r="CM138" s="1">
        <f>SUM(CL127:CL138)</f>
        <v>2531904.313088933</v>
      </c>
      <c r="CN138" s="1">
        <f>Transport!U138</f>
        <v>0</v>
      </c>
      <c r="CQ138" s="1">
        <f>(((($B138+$C138+$D138+$O138+$P138+$Q138)*0.5)+BR138+BS138)*(0.005*'Prices&amp;Fuel'!$H138)+'Index Price Deals'!AV138)+(((BB138+BC138+BD138+BE138+BF138+BG138)*(1-'Prices&amp;Fuel'!F138))*0.005*0.5*'Prices&amp;Fuel'!H138)</f>
        <v>2875.25</v>
      </c>
      <c r="CR138" s="1">
        <f>(((($B138+$C138+$D138+$O138+$P138+$Q138)*0.5)+X138+Y138)*(0.005*'Prices&amp;Fuel'!$H138)+CA138+'Index Price Deals'!AW138)+(((BB138+BC138+BD138+BE138+BF138+BG138)*(1-'Prices&amp;Fuel'!F138))*0.005*0.5*'Prices&amp;Fuel'!H138)</f>
        <v>23913.810411311057</v>
      </c>
      <c r="CS138" s="21"/>
      <c r="CT138" s="1">
        <f>[3]Sheet1!$O157</f>
        <v>-267652.69152066321</v>
      </c>
      <c r="CU138" s="1">
        <f>'[4]Long Term Deals'!$Z137</f>
        <v>-31548.019267906231</v>
      </c>
      <c r="CV138" s="60">
        <f t="shared" si="170"/>
        <v>457068.92161962902</v>
      </c>
      <c r="DB138" s="3">
        <f>(O138+P138+Q138)*'Prices&amp;Fuel'!$H138</f>
        <v>778100</v>
      </c>
      <c r="DE138" s="3">
        <v>132000</v>
      </c>
    </row>
    <row r="139" spans="1:109" x14ac:dyDescent="0.25">
      <c r="A139" s="10">
        <f t="shared" si="160"/>
        <v>39824.833333333008</v>
      </c>
      <c r="O139" s="1">
        <v>9036</v>
      </c>
      <c r="P139" s="1">
        <v>10794</v>
      </c>
      <c r="Q139" s="1">
        <v>5270</v>
      </c>
      <c r="R139" s="11">
        <f t="shared" si="165"/>
        <v>3.5973000000000002</v>
      </c>
      <c r="S139" s="11">
        <f t="shared" si="166"/>
        <v>3.5841000000000003</v>
      </c>
      <c r="T139" s="1">
        <f>(($O139*R139)+($P139*R139)+($Q139*R139))*'Prices&amp;Fuel'!$H139</f>
        <v>2799059.1300000004</v>
      </c>
      <c r="U139" s="1">
        <f>(($O139*S139)+($P139*S139)+($Q139*S139))*'Prices&amp;Fuel'!$H139</f>
        <v>2788788.21</v>
      </c>
      <c r="V139" s="13">
        <f t="shared" si="162"/>
        <v>10270.920000000391</v>
      </c>
      <c r="AF139" s="1">
        <f>(32000/(1-'Prices&amp;Fuel'!F139))+(25000/(1-'Prices&amp;Fuel'!G139))-AI139</f>
        <v>58611.825192802062</v>
      </c>
      <c r="AG139" s="1">
        <v>0</v>
      </c>
      <c r="AH139" s="1">
        <f>(75000/(1-'Prices&amp;Fuel'!G139))-AK139</f>
        <v>77120.822622107968</v>
      </c>
      <c r="AI139" s="1"/>
      <c r="AJ139" s="1"/>
      <c r="AK139" s="1"/>
      <c r="AL139" s="21">
        <f>ROUND((132000/(1-'Prices&amp;Fuel'!F139))-AF139-AG139-AH139,0)</f>
        <v>0</v>
      </c>
      <c r="AM139" s="1">
        <f t="shared" si="126"/>
        <v>29306</v>
      </c>
      <c r="AO139" s="1">
        <f>ROUND((75000/(1-'Prices&amp;Fuel'!G139)-AV139-AK139)/2,0)</f>
        <v>38560</v>
      </c>
      <c r="AR139" s="1">
        <f t="shared" si="156"/>
        <v>29305.825192802062</v>
      </c>
      <c r="AT139" s="13">
        <f t="shared" si="171"/>
        <v>38560.822622107968</v>
      </c>
      <c r="AU139" s="13">
        <f>AL139*AX139*'Prices&amp;Fuel'!H139</f>
        <v>0</v>
      </c>
      <c r="AW139" s="20">
        <v>0.02</v>
      </c>
      <c r="AX139" s="20">
        <f t="shared" ref="AX139:AX152" si="172">AX138</f>
        <v>1.4999999999999999E-2</v>
      </c>
      <c r="AY139" s="6">
        <f>('Prices&amp;Fuel'!H139*('Prices&amp;Fuel'!B139+AW139)*'Long Term Deals'!AF139)+('Prices&amp;Fuel'!H139*('Prices&amp;Fuel'!C139+'Long Term Deals'!AW139)*'Long Term Deals'!AG139)+(AH139*('Prices&amp;Fuel'!C139+AW139)*'Prices&amp;Fuel'!H139)+(AW139*AL139*'Prices&amp;Fuel'!H139)</f>
        <v>10215643.952766769</v>
      </c>
      <c r="AZ139" s="6">
        <f>(AP139*'Prices&amp;Fuel'!H139*'Prices&amp;Fuel'!B139)+(AQ139*'Prices&amp;Fuel'!C139*'Prices&amp;Fuel'!H139)+((AM139+AR139)*('Prices&amp;Fuel'!B139+'Long Term Deals'!AX139)*'Prices&amp;Fuel'!H139)+((AN139+AS139)*('Prices&amp;Fuel'!C139+'Long Term Deals'!AX139)*'Prices&amp;Fuel'!H139)+((AO139+AT139)*('Prices&amp;Fuel'!D139+'Long Term Deals'!AX139)*'Prices&amp;Fuel'!H139)+(AV139*'Prices&amp;Fuel'!H139*'Prices&amp;Fuel'!Q139)+AU139</f>
        <v>10075068.11729119</v>
      </c>
      <c r="BA139" s="6">
        <f t="shared" si="163"/>
        <v>140575.8354755789</v>
      </c>
      <c r="BB139" s="6">
        <f>IF('FP Corp'!T139-((BE139+BF139+BG139)*(1-'Prices&amp;Fuel'!F139))&lt;'Prices&amp;Fuel'!R139,('FP Corp'!T139-(BE139+BF139+BG139)*(1-'Prices&amp;Fuel'!F139)),'Prices&amp;Fuel'!R139)/(1-'Prices&amp;Fuel'!F139)</f>
        <v>4325.9640102827761</v>
      </c>
      <c r="BC139" s="14"/>
      <c r="BD139" s="14">
        <f>ROUND(IF('FP Corp'!T139/(1-'Prices&amp;Fuel'!F139)-BE139-BF139-BG139-BB139&gt;'Prices&amp;Fuel'!T139,'Prices&amp;Fuel'!T139,'FP Corp'!T139/(1-'Prices&amp;Fuel'!F139)-BE139-BF139-BG139-BB139),9)</f>
        <v>0</v>
      </c>
      <c r="BE139" s="14">
        <f>'Prices&amp;Fuel'!U139/(1-'Prices&amp;Fuel'!F139)</f>
        <v>2635.4755784061695</v>
      </c>
      <c r="BF139" s="14">
        <f>('Prices&amp;Fuel'!V139+'Prices&amp;Fuel'!X139)/(1-'Prices&amp;Fuel'!F139)</f>
        <v>3645.2442159383031</v>
      </c>
      <c r="BG139" s="14">
        <f>'Prices&amp;Fuel'!W139/(1-'Prices&amp;Fuel'!F139)</f>
        <v>1732.6478149100255</v>
      </c>
      <c r="BH139" s="25">
        <f>('Prices&amp;Fuel'!C139+'Prices&amp;Fuel'!D139)/2-0.05+('Prices&amp;Fuel'!M139+'Prices&amp;Fuel'!P139)*(1-'Prices&amp;Fuel'!F139)</f>
        <v>3.1031959992829137</v>
      </c>
      <c r="BI139" s="25"/>
      <c r="BJ139" s="25"/>
      <c r="BK139" s="25">
        <f>(((BB139+BE139)*('Prices&amp;Fuel'!B139+0.025))+(('Prices&amp;Fuel'!D139+0.025)*(BD139+BG139))+(('Prices&amp;Fuel'!C139+0.025)*(BC139+BF139))-(BI139+BJ139)*0.025)/(BB139+BC139+BD139+BE139+BF139+BG139)</f>
        <v>2.4178764159495798</v>
      </c>
      <c r="BL139" s="14">
        <f>(BB139+BC139+BD139+BE139+BF139+BG139)*BH139*'Prices&amp;Fuel'!H139</f>
        <v>1187032.2999827699</v>
      </c>
      <c r="BM139" s="14">
        <f>'Prices&amp;Fuel'!X139*('Prices&amp;Fuel'!N139+'Prices&amp;Fuel'!O139)*'Prices&amp;Fuel'!H139</f>
        <v>9438.6404139577935</v>
      </c>
      <c r="BN139" s="14">
        <f>('Prices&amp;Fuel'!U139+'Prices&amp;Fuel'!V139+'Prices&amp;Fuel'!W139)*('Prices&amp;Fuel'!L139+'Prices&amp;Fuel'!O139)*'Prices&amp;Fuel'!H139</f>
        <v>98255.832127730479</v>
      </c>
      <c r="BO139" s="14">
        <f>((BB139+BC139+BD139)*(1-'Prices&amp;Fuel'!G139))*('Prices&amp;Fuel'!M139+'Prices&amp;Fuel'!P139)*'Prices&amp;Fuel'!H139</f>
        <v>99834.213499999998</v>
      </c>
      <c r="BP139" s="14">
        <f>((BD139+BC139+BB139+BE139+BF139+BG139)*BK139*'Prices&amp;Fuel'!H139)+BM139+BN139+BO139</f>
        <v>1132413.0322969516</v>
      </c>
      <c r="BQ139" s="6">
        <f t="shared" si="161"/>
        <v>54619.267685818253</v>
      </c>
      <c r="CA139" s="6">
        <f>(AF139+AG139+AH139+AL139)*0.005*'Prices&amp;Fuel'!H139</f>
        <v>21038.560411311057</v>
      </c>
      <c r="CB139" s="6">
        <f>(B139+C139+D139+O139+P139+Q139+X139+Y139+BB139+BC139+BD139+BE139+BF139+BG139+BR139+BS139)*0.005*'Prices&amp;Fuel'!H139</f>
        <v>5803.0964010282778</v>
      </c>
      <c r="CC139" s="1">
        <f t="shared" si="167"/>
        <v>14201735.382749539</v>
      </c>
      <c r="CD139" s="1">
        <f t="shared" si="168"/>
        <v>14023111.016400483</v>
      </c>
      <c r="CE139" s="1">
        <f t="shared" si="169"/>
        <v>178624.36634905636</v>
      </c>
      <c r="CF139" s="1">
        <f>'Index Price Deals'!AR139</f>
        <v>0</v>
      </c>
      <c r="CG139" s="1">
        <f>'Index Price Deals'!AS139</f>
        <v>0</v>
      </c>
      <c r="CH139" s="1">
        <f>'Index Price Deals'!AT139</f>
        <v>0</v>
      </c>
      <c r="CI139" s="1">
        <f>'Index Price Deals'!AU139</f>
        <v>0</v>
      </c>
      <c r="CJ139" s="1">
        <f t="shared" si="164"/>
        <v>14201735.382749539</v>
      </c>
      <c r="CK139" s="1">
        <f t="shared" si="157"/>
        <v>14023111.016400483</v>
      </c>
      <c r="CL139" s="1">
        <f t="shared" si="157"/>
        <v>178624.36634905636</v>
      </c>
      <c r="CM139" s="30"/>
      <c r="CN139" s="1">
        <f>Transport!U139</f>
        <v>0</v>
      </c>
      <c r="CQ139" s="1">
        <f>(((($B139+$C139+$D139+$O139+$P139+$Q139)*0.5)+BR139+BS139)*(0.005*'Prices&amp;Fuel'!$H139)+'Index Price Deals'!AV139)+(((BB139+BC139+BD139+BE139+BF139+BG139)*(1-'Prices&amp;Fuel'!F139))*0.005*0.5*'Prices&amp;Fuel'!H139)</f>
        <v>2875.25</v>
      </c>
      <c r="CR139" s="1">
        <f>(((($B139+$C139+$D139+$O139+$P139+$Q139)*0.5)+X139+Y139)*(0.005*'Prices&amp;Fuel'!$H139)+CA139+'Index Price Deals'!AW139)+(((BB139+BC139+BD139+BE139+BF139+BG139)*(1-'Prices&amp;Fuel'!F139))*0.005*0.5*'Prices&amp;Fuel'!H139)</f>
        <v>23913.810411311057</v>
      </c>
      <c r="CS139" s="21"/>
      <c r="CT139" s="1">
        <f>[3]Sheet1!$O159</f>
        <v>-309860.01488322119</v>
      </c>
      <c r="CU139" s="1">
        <f>'[4]Long Term Deals'!$Z138</f>
        <v>-31548.019267906231</v>
      </c>
      <c r="CV139" s="60">
        <f t="shared" si="170"/>
        <v>456936.36196437129</v>
      </c>
      <c r="DB139" s="3">
        <f>(O139+P139+Q139)*'Prices&amp;Fuel'!$H139</f>
        <v>778100</v>
      </c>
      <c r="DE139" s="3">
        <v>132000</v>
      </c>
    </row>
    <row r="140" spans="1:109" x14ac:dyDescent="0.25">
      <c r="A140" s="10">
        <f t="shared" si="160"/>
        <v>39855.249999999673</v>
      </c>
      <c r="O140" s="1">
        <v>9036</v>
      </c>
      <c r="P140" s="1">
        <v>10794</v>
      </c>
      <c r="Q140" s="1">
        <v>5270</v>
      </c>
      <c r="R140" s="11">
        <f t="shared" si="165"/>
        <v>3.5973000000000002</v>
      </c>
      <c r="S140" s="11">
        <f t="shared" si="166"/>
        <v>3.5841000000000003</v>
      </c>
      <c r="T140" s="1">
        <f>(($O140*R140)+($P140*R140)+($Q140*R140))*'Prices&amp;Fuel'!$H140</f>
        <v>2528182.4400000004</v>
      </c>
      <c r="U140" s="1">
        <f>(($O140*S140)+($P140*S140)+($Q140*S140))*'Prices&amp;Fuel'!$H140</f>
        <v>2518905.48</v>
      </c>
      <c r="V140" s="13">
        <f t="shared" si="162"/>
        <v>9276.9600000004284</v>
      </c>
      <c r="AF140" s="1">
        <f>(32000/(1-'Prices&amp;Fuel'!F140))+(25000/(1-'Prices&amp;Fuel'!G140))-AI140</f>
        <v>58611.825192802062</v>
      </c>
      <c r="AG140" s="1">
        <v>0</v>
      </c>
      <c r="AH140" s="1">
        <f>(75000/(1-'Prices&amp;Fuel'!G140))-AK140</f>
        <v>77120.822622107968</v>
      </c>
      <c r="AI140" s="1"/>
      <c r="AJ140" s="1"/>
      <c r="AK140" s="1"/>
      <c r="AL140" s="21">
        <f>ROUND((132000/(1-'Prices&amp;Fuel'!F140))-AF140-AG140-AH140,0)</f>
        <v>0</v>
      </c>
      <c r="AM140" s="1">
        <f t="shared" si="126"/>
        <v>29306</v>
      </c>
      <c r="AO140" s="1">
        <f>ROUND((75000/(1-'Prices&amp;Fuel'!G140)-AV140-AK140)/2,0)</f>
        <v>38560</v>
      </c>
      <c r="AR140" s="1">
        <f t="shared" si="156"/>
        <v>29305.825192802062</v>
      </c>
      <c r="AT140" s="13">
        <f t="shared" si="171"/>
        <v>38560.822622107968</v>
      </c>
      <c r="AU140" s="13">
        <f>AL140*AX140*'Prices&amp;Fuel'!H140</f>
        <v>0</v>
      </c>
      <c r="AW140" s="20">
        <f t="shared" ref="AW140:AW150" si="173">AW139</f>
        <v>0.02</v>
      </c>
      <c r="AX140" s="20">
        <f t="shared" si="172"/>
        <v>1.4999999999999999E-2</v>
      </c>
      <c r="AY140" s="6">
        <f>('Prices&amp;Fuel'!H140*('Prices&amp;Fuel'!B140+AW140)*'Long Term Deals'!AF140)+('Prices&amp;Fuel'!H140*('Prices&amp;Fuel'!C140+'Long Term Deals'!AW140)*'Long Term Deals'!AG140)+(AH140*('Prices&amp;Fuel'!C140+AW140)*'Prices&amp;Fuel'!H140)+(AW140*AL140*'Prices&amp;Fuel'!H140)</f>
        <v>10327192.950050667</v>
      </c>
      <c r="AZ140" s="6">
        <f>(AP140*'Prices&amp;Fuel'!H140*'Prices&amp;Fuel'!B140)+(AQ140*'Prices&amp;Fuel'!C140*'Prices&amp;Fuel'!H140)+((AM140+AR140)*('Prices&amp;Fuel'!B140+'Long Term Deals'!AX140)*'Prices&amp;Fuel'!H140)+((AN140+AS140)*('Prices&amp;Fuel'!C140+'Long Term Deals'!AX140)*'Prices&amp;Fuel'!H140)+((AO140+AT140)*('Prices&amp;Fuel'!D140+'Long Term Deals'!AX140)*'Prices&amp;Fuel'!H140)+(AV140*'Prices&amp;Fuel'!H140*'Prices&amp;Fuel'!Q140)+AU140</f>
        <v>10200221.227685627</v>
      </c>
      <c r="BA140" s="6">
        <f t="shared" si="163"/>
        <v>126971.72236504033</v>
      </c>
      <c r="BB140" s="6">
        <f>IF('FP Corp'!T140-((BE140+BF140+BG140)*(1-'Prices&amp;Fuel'!F140))&lt;'Prices&amp;Fuel'!R140,('FP Corp'!T140-(BE140+BF140+BG140)*(1-'Prices&amp;Fuel'!F140)),'Prices&amp;Fuel'!R140)/(1-'Prices&amp;Fuel'!F140)</f>
        <v>4325.9640102827761</v>
      </c>
      <c r="BC140" s="14"/>
      <c r="BD140" s="14">
        <f>ROUND(IF('FP Corp'!T140/(1-'Prices&amp;Fuel'!F140)-BE140-BF140-BG140-BB140&gt;'Prices&amp;Fuel'!T140,'Prices&amp;Fuel'!T140,'FP Corp'!T140/(1-'Prices&amp;Fuel'!F140)-BE140-BF140-BG140-BB140),9)</f>
        <v>0</v>
      </c>
      <c r="BE140" s="14">
        <f>'Prices&amp;Fuel'!U140/(1-'Prices&amp;Fuel'!F140)</f>
        <v>2635.4755784061695</v>
      </c>
      <c r="BF140" s="14">
        <f>('Prices&amp;Fuel'!V140+'Prices&amp;Fuel'!X140)/(1-'Prices&amp;Fuel'!F140)</f>
        <v>3645.2442159383031</v>
      </c>
      <c r="BG140" s="14">
        <f>'Prices&amp;Fuel'!W140/(1-'Prices&amp;Fuel'!F140)</f>
        <v>1732.6478149100255</v>
      </c>
      <c r="BH140" s="25">
        <f>('Prices&amp;Fuel'!C140+'Prices&amp;Fuel'!D140)/2-0.05+('Prices&amp;Fuel'!M140+'Prices&amp;Fuel'!P140)*(1-'Prices&amp;Fuel'!F140)</f>
        <v>3.3926725443518055</v>
      </c>
      <c r="BI140" s="25"/>
      <c r="BJ140" s="25"/>
      <c r="BK140" s="25">
        <f>(((BB140+BE140)*('Prices&amp;Fuel'!B140+0.025))+(('Prices&amp;Fuel'!D140+0.025)*(BD140+BG140))+(('Prices&amp;Fuel'!C140+0.025)*(BC140+BF140))-(BI140+BJ140)*0.025)/(BB140+BC140+BD140+BE140+BF140+BG140)</f>
        <v>2.7073529610184721</v>
      </c>
      <c r="BL140" s="14">
        <f>(BB140+BC140+BD140+BE140+BF140+BG140)*BH140*'Prices&amp;Fuel'!H140</f>
        <v>1172172.7248351739</v>
      </c>
      <c r="BM140" s="14">
        <f>'Prices&amp;Fuel'!X140*('Prices&amp;Fuel'!N140+'Prices&amp;Fuel'!O140)*'Prices&amp;Fuel'!H140</f>
        <v>8525.2235997038133</v>
      </c>
      <c r="BN140" s="14">
        <f>('Prices&amp;Fuel'!U140+'Prices&amp;Fuel'!V140+'Prices&amp;Fuel'!W140)*('Prices&amp;Fuel'!L140+'Prices&amp;Fuel'!O140)*'Prices&amp;Fuel'!H140</f>
        <v>88747.203212143664</v>
      </c>
      <c r="BO140" s="14">
        <f>((BB140+BC140+BD140)*(1-'Prices&amp;Fuel'!G140))*('Prices&amp;Fuel'!M140+'Prices&amp;Fuel'!P140)*'Prices&amp;Fuel'!H140</f>
        <v>90172.837999999989</v>
      </c>
      <c r="BP140" s="14">
        <f>((BD140+BC140+BB140+BE140+BF140+BG140)*BK140*'Prices&amp;Fuel'!H140)+BM140+BN140+BO140</f>
        <v>1122839.192731854</v>
      </c>
      <c r="BQ140" s="6">
        <f t="shared" si="161"/>
        <v>49333.532103319885</v>
      </c>
      <c r="CA140" s="6">
        <f>(AF140+AG140+AH140+AL140)*0.005*'Prices&amp;Fuel'!H140</f>
        <v>19002.570694087408</v>
      </c>
      <c r="CB140" s="6">
        <f>(B140+C140+D140+O140+P140+Q140+X140+Y140+BB140+BC140+BD140+BE140+BF140+BG140+BR140+BS140)*0.005*'Prices&amp;Fuel'!H140</f>
        <v>5241.5064267352182</v>
      </c>
      <c r="CC140" s="1">
        <f t="shared" si="167"/>
        <v>14027548.114885842</v>
      </c>
      <c r="CD140" s="1">
        <f t="shared" si="168"/>
        <v>13866209.977538303</v>
      </c>
      <c r="CE140" s="1">
        <f t="shared" si="169"/>
        <v>161338.13734753989</v>
      </c>
      <c r="CF140" s="1">
        <f>'Index Price Deals'!AR140</f>
        <v>0</v>
      </c>
      <c r="CG140" s="1">
        <f>'Index Price Deals'!AS140</f>
        <v>0</v>
      </c>
      <c r="CH140" s="1">
        <f>'Index Price Deals'!AT140</f>
        <v>0</v>
      </c>
      <c r="CI140" s="1">
        <f>'Index Price Deals'!AU140</f>
        <v>0</v>
      </c>
      <c r="CJ140" s="1">
        <f t="shared" si="164"/>
        <v>14027548.114885842</v>
      </c>
      <c r="CK140" s="1">
        <f t="shared" si="157"/>
        <v>13866209.977538303</v>
      </c>
      <c r="CL140" s="1">
        <f t="shared" si="157"/>
        <v>161338.13734753989</v>
      </c>
      <c r="CM140" s="30"/>
      <c r="CN140" s="1">
        <f>Transport!U140</f>
        <v>0</v>
      </c>
      <c r="CQ140" s="1">
        <f>(((($B140+$C140+$D140+$O140+$P140+$Q140)*0.5)+BR140+BS140)*(0.005*'Prices&amp;Fuel'!$H140)+'Index Price Deals'!AV140)+(((BB140+BC140+BD140+BE140+BF140+BG140)*(1-'Prices&amp;Fuel'!F140))*0.005*0.5*'Prices&amp;Fuel'!H140)</f>
        <v>2597</v>
      </c>
      <c r="CR140" s="1">
        <f>(((($B140+$C140+$D140+$O140+$P140+$Q140)*0.5)+X140+Y140)*(0.005*'Prices&amp;Fuel'!$H140)+CA140+'Index Price Deals'!AW140)+(((BB140+BC140+BD140+BE140+BF140+BG140)*(1-'Prices&amp;Fuel'!F140))*0.005*0.5*'Prices&amp;Fuel'!H140)</f>
        <v>21599.570694087408</v>
      </c>
      <c r="CS140" s="21"/>
      <c r="CT140" s="1">
        <f>[3]Sheet1!$O160</f>
        <v>-279873.56183000625</v>
      </c>
      <c r="CU140" s="1">
        <f>'[4]Long Term Deals'!$Z139</f>
        <v>-28494.985145205632</v>
      </c>
      <c r="CV140" s="60">
        <f t="shared" si="170"/>
        <v>412716.7140323405</v>
      </c>
      <c r="DB140" s="3">
        <f>(O140+P140+Q140)*'Prices&amp;Fuel'!$H140</f>
        <v>702800</v>
      </c>
      <c r="DE140" s="3">
        <v>132000</v>
      </c>
    </row>
    <row r="141" spans="1:109" x14ac:dyDescent="0.25">
      <c r="A141" s="10">
        <f t="shared" si="160"/>
        <v>39885.666666666337</v>
      </c>
      <c r="O141" s="1">
        <v>9036</v>
      </c>
      <c r="P141" s="1">
        <v>10794</v>
      </c>
      <c r="Q141" s="1">
        <v>5270</v>
      </c>
      <c r="R141" s="11">
        <f t="shared" si="165"/>
        <v>3.5973000000000002</v>
      </c>
      <c r="S141" s="11">
        <f t="shared" si="166"/>
        <v>3.5841000000000003</v>
      </c>
      <c r="T141" s="1">
        <f>(($O141*R141)+($P141*R141)+($Q141*R141))*'Prices&amp;Fuel'!$H141</f>
        <v>2799059.1300000004</v>
      </c>
      <c r="U141" s="1">
        <f>(($O141*S141)+($P141*S141)+($Q141*S141))*'Prices&amp;Fuel'!$H141</f>
        <v>2788788.21</v>
      </c>
      <c r="V141" s="13">
        <f t="shared" si="162"/>
        <v>10270.920000000391</v>
      </c>
      <c r="AF141" s="1">
        <f>(32000/(1-'Prices&amp;Fuel'!F141))+(25000/(1-'Prices&amp;Fuel'!G141))-AI141</f>
        <v>58611.825192802062</v>
      </c>
      <c r="AG141" s="1">
        <v>0</v>
      </c>
      <c r="AH141" s="1">
        <f>(75000/(1-'Prices&amp;Fuel'!G141))-AK141</f>
        <v>77120.822622107968</v>
      </c>
      <c r="AI141" s="1"/>
      <c r="AJ141" s="1"/>
      <c r="AK141" s="1"/>
      <c r="AL141" s="21">
        <f>ROUND((132000/(1-'Prices&amp;Fuel'!F141))-AF141-AG141-AH141,0)</f>
        <v>0</v>
      </c>
      <c r="AM141" s="1">
        <f t="shared" si="126"/>
        <v>29306</v>
      </c>
      <c r="AO141" s="1">
        <f>ROUND((75000/(1-'Prices&amp;Fuel'!G141)-AV141-AK141)/2,0)</f>
        <v>38560</v>
      </c>
      <c r="AR141" s="1">
        <f t="shared" ref="AR141:AR152" si="174">IF(AP141&gt;AF141,0,AF141-AM141-AP141)</f>
        <v>29305.825192802062</v>
      </c>
      <c r="AT141" s="13">
        <f t="shared" si="171"/>
        <v>38560.822622107968</v>
      </c>
      <c r="AU141" s="13">
        <f>AL141*AX141*'Prices&amp;Fuel'!H141</f>
        <v>0</v>
      </c>
      <c r="AW141" s="20">
        <f t="shared" si="173"/>
        <v>0.02</v>
      </c>
      <c r="AX141" s="20">
        <f t="shared" si="172"/>
        <v>1.4999999999999999E-2</v>
      </c>
      <c r="AY141" s="6">
        <f>('Prices&amp;Fuel'!H141*('Prices&amp;Fuel'!B141+AW141)*'Long Term Deals'!AF141)+('Prices&amp;Fuel'!H141*('Prices&amp;Fuel'!C141+'Long Term Deals'!AW141)*'Long Term Deals'!AG141)+(AH141*('Prices&amp;Fuel'!C141+AW141)*'Prices&amp;Fuel'!H141)+(AW141*AL141*'Prices&amp;Fuel'!H141)</f>
        <v>11433677.908984665</v>
      </c>
      <c r="AZ141" s="6">
        <f>(AP141*'Prices&amp;Fuel'!H141*'Prices&amp;Fuel'!B141)+(AQ141*'Prices&amp;Fuel'!C141*'Prices&amp;Fuel'!H141)+((AM141+AR141)*('Prices&amp;Fuel'!B141+'Long Term Deals'!AX141)*'Prices&amp;Fuel'!H141)+((AN141+AS141)*('Prices&amp;Fuel'!C141+'Long Term Deals'!AX141)*'Prices&amp;Fuel'!H141)+((AO141+AT141)*('Prices&amp;Fuel'!D141+'Long Term Deals'!AX141)*'Prices&amp;Fuel'!H141)+(AV141*'Prices&amp;Fuel'!H141*'Prices&amp;Fuel'!Q141)+AU141</f>
        <v>11293102.07350909</v>
      </c>
      <c r="BA141" s="6">
        <f t="shared" si="163"/>
        <v>140575.83547557518</v>
      </c>
      <c r="BB141" s="6">
        <f>IF('FP Corp'!T141-((BE141+BF141+BG141)*(1-'Prices&amp;Fuel'!F141))&lt;'Prices&amp;Fuel'!R141,('FP Corp'!T141-(BE141+BF141+BG141)*(1-'Prices&amp;Fuel'!F141)),'Prices&amp;Fuel'!R141)/(1-'Prices&amp;Fuel'!F141)</f>
        <v>4325.9640102827761</v>
      </c>
      <c r="BC141" s="14"/>
      <c r="BD141" s="14">
        <f>ROUND(IF('FP Corp'!T141/(1-'Prices&amp;Fuel'!F141)-BE141-BF141-BG141-BB141&gt;'Prices&amp;Fuel'!T141,'Prices&amp;Fuel'!T141,'FP Corp'!T141/(1-'Prices&amp;Fuel'!F141)-BE141-BF141-BG141-BB141),9)</f>
        <v>0</v>
      </c>
      <c r="BE141" s="14">
        <f>'Prices&amp;Fuel'!U141/(1-'Prices&amp;Fuel'!F141)</f>
        <v>2635.4755784061695</v>
      </c>
      <c r="BF141" s="14">
        <f>('Prices&amp;Fuel'!V141+'Prices&amp;Fuel'!X141)/(1-'Prices&amp;Fuel'!F141)</f>
        <v>3645.2442159383031</v>
      </c>
      <c r="BG141" s="14">
        <f>'Prices&amp;Fuel'!W141/(1-'Prices&amp;Fuel'!F141)</f>
        <v>1732.6478149100255</v>
      </c>
      <c r="BH141" s="25">
        <f>('Prices&amp;Fuel'!C141+'Prices&amp;Fuel'!D141)/2-0.05+('Prices&amp;Fuel'!M141+'Prices&amp;Fuel'!P141)*(1-'Prices&amp;Fuel'!F141)</f>
        <v>3.3926725443518055</v>
      </c>
      <c r="BI141" s="25"/>
      <c r="BJ141" s="25"/>
      <c r="BK141" s="25">
        <f>(((BB141+BE141)*('Prices&amp;Fuel'!B141+0.025))+(('Prices&amp;Fuel'!D141+0.025)*(BD141+BG141))+(('Prices&amp;Fuel'!C141+0.025)*(BC141+BF141))-(BI141+BJ141)*0.025)/(BB141+BC141+BD141+BE141+BF141+BG141)</f>
        <v>2.7073529610184721</v>
      </c>
      <c r="BL141" s="14">
        <f>(BB141+BC141+BD141+BE141+BF141+BG141)*BH141*'Prices&amp;Fuel'!H141</f>
        <v>1297762.6596389425</v>
      </c>
      <c r="BM141" s="14">
        <f>'Prices&amp;Fuel'!X141*('Prices&amp;Fuel'!N141+'Prices&amp;Fuel'!O141)*'Prices&amp;Fuel'!H141</f>
        <v>9438.6404139577935</v>
      </c>
      <c r="BN141" s="14">
        <f>('Prices&amp;Fuel'!U141+'Prices&amp;Fuel'!V141+'Prices&amp;Fuel'!W141)*('Prices&amp;Fuel'!L141+'Prices&amp;Fuel'!O141)*'Prices&amp;Fuel'!H141</f>
        <v>98255.832127730479</v>
      </c>
      <c r="BO141" s="14">
        <f>((BB141+BC141+BD141)*(1-'Prices&amp;Fuel'!G141))*('Prices&amp;Fuel'!M141+'Prices&amp;Fuel'!P141)*'Prices&amp;Fuel'!H141</f>
        <v>99834.213499999998</v>
      </c>
      <c r="BP141" s="14">
        <f>((BD141+BC141+BB141+BE141+BF141+BG141)*BK141*'Prices&amp;Fuel'!H141)+BM141+BN141+BO141</f>
        <v>1243143.3919531242</v>
      </c>
      <c r="BQ141" s="6">
        <f t="shared" si="161"/>
        <v>54619.267685818253</v>
      </c>
      <c r="CA141" s="6">
        <f>(AF141+AG141+AH141+AL141)*0.005*'Prices&amp;Fuel'!H141</f>
        <v>21038.560411311057</v>
      </c>
      <c r="CB141" s="6">
        <f>(B141+C141+D141+O141+P141+Q141+X141+Y141+BB141+BC141+BD141+BE141+BF141+BG141+BR141+BS141)*0.005*'Prices&amp;Fuel'!H141</f>
        <v>5803.0964010282778</v>
      </c>
      <c r="CC141" s="1">
        <f t="shared" si="167"/>
        <v>15530499.698623609</v>
      </c>
      <c r="CD141" s="1">
        <f t="shared" si="168"/>
        <v>15351875.332274554</v>
      </c>
      <c r="CE141" s="1">
        <f t="shared" si="169"/>
        <v>178624.3663490545</v>
      </c>
      <c r="CF141" s="1">
        <f>'Index Price Deals'!AR141</f>
        <v>0</v>
      </c>
      <c r="CG141" s="1">
        <f>'Index Price Deals'!AS141</f>
        <v>0</v>
      </c>
      <c r="CH141" s="1">
        <f>'Index Price Deals'!AT141</f>
        <v>0</v>
      </c>
      <c r="CI141" s="1">
        <f>'Index Price Deals'!AU141</f>
        <v>0</v>
      </c>
      <c r="CJ141" s="1">
        <f t="shared" si="164"/>
        <v>15530499.698623609</v>
      </c>
      <c r="CK141" s="1">
        <f t="shared" si="157"/>
        <v>15351875.332274554</v>
      </c>
      <c r="CL141" s="1">
        <f t="shared" si="157"/>
        <v>178624.3663490545</v>
      </c>
      <c r="CM141" s="30"/>
      <c r="CN141" s="1">
        <f>Transport!U141</f>
        <v>0</v>
      </c>
      <c r="CQ141" s="1">
        <f>(((($B141+$C141+$D141+$O141+$P141+$Q141)*0.5)+BR141+BS141)*(0.005*'Prices&amp;Fuel'!$H141)+'Index Price Deals'!AV141)+(((BB141+BC141+BD141+BE141+BF141+BG141)*(1-'Prices&amp;Fuel'!F141))*0.005*0.5*'Prices&amp;Fuel'!H141)</f>
        <v>2875.25</v>
      </c>
      <c r="CR141" s="1">
        <f>(((($B141+$C141+$D141+$O141+$P141+$Q141)*0.5)+X141+Y141)*(0.005*'Prices&amp;Fuel'!$H141)+CA141+'Index Price Deals'!AW141)+(((BB141+BC141+BD141+BE141+BF141+BG141)*(1-'Prices&amp;Fuel'!F141))*0.005*0.5*'Prices&amp;Fuel'!H141)</f>
        <v>23913.810411311057</v>
      </c>
      <c r="CS141" s="21"/>
      <c r="CT141" s="1">
        <f>[3]Sheet1!$O161</f>
        <v>-309860.01488322119</v>
      </c>
      <c r="CU141" s="1">
        <f>'[4]Long Term Deals'!$Z140</f>
        <v>-31548.019267906231</v>
      </c>
      <c r="CV141" s="60">
        <f t="shared" si="170"/>
        <v>456936.36196436943</v>
      </c>
      <c r="DB141" s="3">
        <f>(O141+P141+Q141)*'Prices&amp;Fuel'!$H141</f>
        <v>778100</v>
      </c>
      <c r="DE141" s="3">
        <v>132000</v>
      </c>
    </row>
    <row r="142" spans="1:109" x14ac:dyDescent="0.25">
      <c r="A142" s="10">
        <f t="shared" si="160"/>
        <v>39916.083333333001</v>
      </c>
      <c r="O142" s="1">
        <v>9036</v>
      </c>
      <c r="P142" s="1">
        <v>10794</v>
      </c>
      <c r="Q142" s="1">
        <v>5270</v>
      </c>
      <c r="R142" s="11">
        <f t="shared" si="165"/>
        <v>3.5973000000000002</v>
      </c>
      <c r="S142" s="11">
        <f t="shared" si="166"/>
        <v>3.5841000000000003</v>
      </c>
      <c r="T142" s="1">
        <f>(($O142*R142)+($P142*R142)+($Q142*R142))*'Prices&amp;Fuel'!$H142</f>
        <v>2708766.9000000004</v>
      </c>
      <c r="U142" s="1">
        <f>(($O142*S142)+($P142*S142)+($Q142*S142))*'Prices&amp;Fuel'!$H142</f>
        <v>2698827.3000000003</v>
      </c>
      <c r="V142" s="13">
        <f t="shared" si="162"/>
        <v>9939.6000000000931</v>
      </c>
      <c r="AF142" s="1">
        <f>(32000/(1-'Prices&amp;Fuel'!F142))+(25000/(1-'Prices&amp;Fuel'!G142))-AI142</f>
        <v>58611.825192802062</v>
      </c>
      <c r="AG142" s="1">
        <v>0</v>
      </c>
      <c r="AH142" s="1">
        <f>(75000/(1-'Prices&amp;Fuel'!G142))-AK142</f>
        <v>77120.822622107968</v>
      </c>
      <c r="AI142" s="1"/>
      <c r="AJ142" s="1"/>
      <c r="AK142" s="1"/>
      <c r="AL142" s="21">
        <f>ROUND((132000/(1-'Prices&amp;Fuel'!F142))-AF142-AG142-AH142,0)</f>
        <v>0</v>
      </c>
      <c r="AM142" s="1">
        <f t="shared" si="126"/>
        <v>29306</v>
      </c>
      <c r="AO142" s="1">
        <f>ROUND((75000/(1-'Prices&amp;Fuel'!G142)-AV142-AK142)/2,0)</f>
        <v>38560</v>
      </c>
      <c r="AR142" s="1">
        <f t="shared" si="174"/>
        <v>29305.825192802062</v>
      </c>
      <c r="AT142" s="13">
        <f t="shared" si="171"/>
        <v>38560.822622107968</v>
      </c>
      <c r="AU142" s="13">
        <f>AL142*AX142*'Prices&amp;Fuel'!H142</f>
        <v>0</v>
      </c>
      <c r="AW142" s="20">
        <f t="shared" si="173"/>
        <v>0.02</v>
      </c>
      <c r="AX142" s="20">
        <f t="shared" si="172"/>
        <v>1.4999999999999999E-2</v>
      </c>
      <c r="AY142" s="6">
        <f>('Prices&amp;Fuel'!H142*('Prices&amp;Fuel'!B142+AW142)*'Long Term Deals'!AF142)+('Prices&amp;Fuel'!H142*('Prices&amp;Fuel'!C142+'Long Term Deals'!AW142)*'Long Term Deals'!AG142)+(AH142*('Prices&amp;Fuel'!C142+AW142)*'Prices&amp;Fuel'!H142)+(AW142*AL142*'Prices&amp;Fuel'!H142)</f>
        <v>12243592.12761539</v>
      </c>
      <c r="AZ142" s="6">
        <f>(AP142*'Prices&amp;Fuel'!H142*'Prices&amp;Fuel'!B142)+(AQ142*'Prices&amp;Fuel'!C142*'Prices&amp;Fuel'!H142)+((AM142+AR142)*('Prices&amp;Fuel'!B142+'Long Term Deals'!AX142)*'Prices&amp;Fuel'!H142)+((AN142+AS142)*('Prices&amp;Fuel'!C142+'Long Term Deals'!AX142)*'Prices&amp;Fuel'!H142)+((AO142+AT142)*('Prices&amp;Fuel'!D142+'Long Term Deals'!AX142)*'Prices&amp;Fuel'!H142)+(AV142*'Prices&amp;Fuel'!H142*'Prices&amp;Fuel'!Q142)+AU142</f>
        <v>12107550.996509993</v>
      </c>
      <c r="BA142" s="6">
        <f t="shared" si="163"/>
        <v>136041.1311053969</v>
      </c>
      <c r="BB142" s="6">
        <f>IF('FP Corp'!T142-((BE142+BF142+BG142)*(1-'Prices&amp;Fuel'!F142))&lt;'Prices&amp;Fuel'!R142,('FP Corp'!T142-(BE142+BF142+BG142)*(1-'Prices&amp;Fuel'!F142)),'Prices&amp;Fuel'!R142)/(1-'Prices&amp;Fuel'!F142)</f>
        <v>6278.6632390745499</v>
      </c>
      <c r="BC142" s="14"/>
      <c r="BD142" s="14">
        <f>ROUND(IF('FP Corp'!T142/(1-'Prices&amp;Fuel'!F142)-BE142-BF142-BG142-BB142&gt;'Prices&amp;Fuel'!T142,'Prices&amp;Fuel'!T142,'FP Corp'!T142/(1-'Prices&amp;Fuel'!F142)-BE142-BF142-BG142-BB142),9)</f>
        <v>0</v>
      </c>
      <c r="BE142" s="14">
        <f>'Prices&amp;Fuel'!U142/(1-'Prices&amp;Fuel'!F142)</f>
        <v>1933.1619537275064</v>
      </c>
      <c r="BF142" s="14">
        <f>('Prices&amp;Fuel'!V142+'Prices&amp;Fuel'!X142)/(1-'Prices&amp;Fuel'!F142)</f>
        <v>2833.9331619537274</v>
      </c>
      <c r="BG142" s="14">
        <f>'Prices&amp;Fuel'!W142/(1-'Prices&amp;Fuel'!F142)</f>
        <v>1293.5732647814909</v>
      </c>
      <c r="BH142" s="25">
        <f>('Prices&amp;Fuel'!C142+'Prices&amp;Fuel'!D142)/2-0.05+('Prices&amp;Fuel'!M142+'Prices&amp;Fuel'!P142)*(1-'Prices&amp;Fuel'!F142)</f>
        <v>3.6821490894206992</v>
      </c>
      <c r="BI142" s="25"/>
      <c r="BJ142" s="25"/>
      <c r="BK142" s="25">
        <f>(((BB142+BE142)*('Prices&amp;Fuel'!B142+0.025))+(('Prices&amp;Fuel'!D142+0.025)*(BD142+BG142))+(('Prices&amp;Fuel'!C142+0.025)*(BC142+BF142))-(BI142+BJ142)*0.025)/(BB142+BC142+BD142+BE142+BF142+BG142)</f>
        <v>2.9925286727540321</v>
      </c>
      <c r="BL142" s="14">
        <f>(BB142+BC142+BD142+BE142+BF142+BG142)*BH142*'Prices&amp;Fuel'!H142</f>
        <v>1363057.7606081765</v>
      </c>
      <c r="BM142" s="14">
        <f>'Prices&amp;Fuel'!X142*('Prices&amp;Fuel'!N142+'Prices&amp;Fuel'!O142)*'Prices&amp;Fuel'!H142</f>
        <v>9134.1681425398001</v>
      </c>
      <c r="BN142" s="14">
        <f>('Prices&amp;Fuel'!U142+'Prices&amp;Fuel'!V142+'Prices&amp;Fuel'!W142)*('Prices&amp;Fuel'!L142+'Prices&amp;Fuel'!O142)*'Prices&amp;Fuel'!H142</f>
        <v>69689.82458385783</v>
      </c>
      <c r="BO142" s="14">
        <f>((BB142+BC142+BD142)*(1-'Prices&amp;Fuel'!G142))*('Prices&amp;Fuel'!M142+'Prices&amp;Fuel'!P142)*'Prices&amp;Fuel'!H142</f>
        <v>140224.29</v>
      </c>
      <c r="BP142" s="14">
        <f>((BD142+BC142+BB142+BE142+BF142+BG142)*BK142*'Prices&amp;Fuel'!H142)+BM142+BN142+BO142</f>
        <v>1326822.39294897</v>
      </c>
      <c r="BQ142" s="6">
        <f t="shared" si="161"/>
        <v>36235.367659206502</v>
      </c>
      <c r="CA142" s="6">
        <f>(AF142+AG142+AH142+AL142)*0.005*'Prices&amp;Fuel'!H142</f>
        <v>20359.897172236506</v>
      </c>
      <c r="CB142" s="6">
        <f>(B142+C142+D142+O142+P142+Q142+X142+Y142+BB142+BC142+BD142+BE142+BF142+BG142+BR142+BS142)*0.005*'Prices&amp;Fuel'!H142</f>
        <v>5615.89974293059</v>
      </c>
      <c r="CC142" s="1">
        <f t="shared" si="167"/>
        <v>16315416.788223566</v>
      </c>
      <c r="CD142" s="1">
        <f t="shared" si="168"/>
        <v>16159176.486374132</v>
      </c>
      <c r="CE142" s="1">
        <f t="shared" si="169"/>
        <v>156240.30184943415</v>
      </c>
      <c r="CF142" s="1">
        <f>'Index Price Deals'!AR142</f>
        <v>0</v>
      </c>
      <c r="CG142" s="1">
        <f>'Index Price Deals'!AS142</f>
        <v>0</v>
      </c>
      <c r="CH142" s="1">
        <f>'Index Price Deals'!AT142</f>
        <v>0</v>
      </c>
      <c r="CI142" s="1">
        <f>'Index Price Deals'!AU142</f>
        <v>0</v>
      </c>
      <c r="CJ142" s="1">
        <f t="shared" si="164"/>
        <v>16315416.788223566</v>
      </c>
      <c r="CK142" s="1">
        <f t="shared" si="157"/>
        <v>16159176.486374132</v>
      </c>
      <c r="CL142" s="1">
        <f t="shared" si="157"/>
        <v>156240.30184943415</v>
      </c>
      <c r="CM142" s="30"/>
      <c r="CN142" s="1">
        <f>Transport!U142</f>
        <v>0</v>
      </c>
      <c r="CQ142" s="1">
        <f>(((($B142+$C142+$D142+$O142+$P142+$Q142)*0.5)+BR142+BS142)*(0.005*'Prices&amp;Fuel'!$H142)+'Index Price Deals'!AV142)+(((BB142+BC142+BD142+BE142+BF142+BG142)*(1-'Prices&amp;Fuel'!F142))*0.005*0.5*'Prices&amp;Fuel'!H142)</f>
        <v>2782.5</v>
      </c>
      <c r="CR142" s="1">
        <f>(((($B142+$C142+$D142+$O142+$P142+$Q142)*0.5)+X142+Y142)*(0.005*'Prices&amp;Fuel'!$H142)+CA142+'Index Price Deals'!AW142)+(((BB142+BC142+BD142+BE142+BF142+BG142)*(1-'Prices&amp;Fuel'!F142))*0.005*0.5*'Prices&amp;Fuel'!H142)</f>
        <v>23142.397172236506</v>
      </c>
      <c r="CS142" s="21"/>
      <c r="CT142" s="1">
        <f>[3]Sheet1!$O162</f>
        <v>-299864.5305321496</v>
      </c>
      <c r="CU142" s="1">
        <f>'[4]Long Term Deals'!$Z141</f>
        <v>-30530.341227006029</v>
      </c>
      <c r="CV142" s="60">
        <f t="shared" si="170"/>
        <v>425574.4911545777</v>
      </c>
      <c r="DB142" s="3">
        <f>(O142+P142+Q142)*'Prices&amp;Fuel'!$H142</f>
        <v>753000</v>
      </c>
      <c r="DE142" s="3">
        <v>132000</v>
      </c>
    </row>
    <row r="143" spans="1:109" x14ac:dyDescent="0.25">
      <c r="A143" s="10">
        <f t="shared" si="160"/>
        <v>39946.499999999665</v>
      </c>
      <c r="O143" s="1">
        <v>9036</v>
      </c>
      <c r="P143" s="1">
        <v>10794</v>
      </c>
      <c r="Q143" s="1">
        <v>5270</v>
      </c>
      <c r="R143" s="11">
        <f t="shared" si="165"/>
        <v>3.5973000000000002</v>
      </c>
      <c r="S143" s="11">
        <f t="shared" si="166"/>
        <v>3.5841000000000003</v>
      </c>
      <c r="T143" s="1">
        <f>(($O143*R143)+($P143*R143)+($Q143*R143))*'Prices&amp;Fuel'!$H143</f>
        <v>2799059.1300000004</v>
      </c>
      <c r="U143" s="1">
        <f>(($O143*S143)+($P143*S143)+($Q143*S143))*'Prices&amp;Fuel'!$H143</f>
        <v>2788788.21</v>
      </c>
      <c r="V143" s="13">
        <f t="shared" si="162"/>
        <v>10270.920000000391</v>
      </c>
      <c r="AF143" s="1">
        <f>((100000)/(1-'Prices&amp;Fuel'!F143))+(25000/(1-'Prices&amp;Fuel'!G143))-AI143</f>
        <v>128534.70437017996</v>
      </c>
      <c r="AG143" s="1">
        <v>0</v>
      </c>
      <c r="AH143" s="1">
        <f>(75000/(1-'Prices&amp;Fuel'!G143))-AK143</f>
        <v>77120.822622107968</v>
      </c>
      <c r="AI143" s="1"/>
      <c r="AJ143" s="1"/>
      <c r="AK143" s="1"/>
      <c r="AL143" s="21">
        <f>ROUND((200000/(1-'Prices&amp;Fuel'!F143))-AF143-AG143-AH143,0)</f>
        <v>0</v>
      </c>
      <c r="AM143" s="1">
        <f t="shared" si="126"/>
        <v>64267</v>
      </c>
      <c r="AO143" s="1">
        <f>ROUND((75000/(1-'Prices&amp;Fuel'!G143)-AV143-AK143)/2,0)</f>
        <v>38560</v>
      </c>
      <c r="AR143" s="1">
        <f t="shared" si="174"/>
        <v>64267.704370179956</v>
      </c>
      <c r="AT143" s="13">
        <f t="shared" si="171"/>
        <v>38560.822622107968</v>
      </c>
      <c r="AU143" s="13">
        <f>AL143*AX143*'Prices&amp;Fuel'!H143</f>
        <v>0</v>
      </c>
      <c r="AW143" s="20">
        <f t="shared" si="173"/>
        <v>0.02</v>
      </c>
      <c r="AX143" s="20">
        <f t="shared" si="172"/>
        <v>1.4999999999999999E-2</v>
      </c>
      <c r="AY143" s="6">
        <f>('Prices&amp;Fuel'!H143*('Prices&amp;Fuel'!B143+AW143)*'Long Term Deals'!AF143)+('Prices&amp;Fuel'!H143*('Prices&amp;Fuel'!C143+'Long Term Deals'!AW143)*'Long Term Deals'!AG143)+(AH143*('Prices&amp;Fuel'!C143+AW143)*'Prices&amp;Fuel'!H143)+(AW143*AL143*'Prices&amp;Fuel'!H143)</f>
        <v>20394054.035157219</v>
      </c>
      <c r="AZ143" s="6">
        <f>(AP143*'Prices&amp;Fuel'!H143*'Prices&amp;Fuel'!B143)+(AQ143*'Prices&amp;Fuel'!C143*'Prices&amp;Fuel'!H143)+((AM143+AR143)*('Prices&amp;Fuel'!B143+'Long Term Deals'!AX143)*'Prices&amp;Fuel'!H143)+((AN143+AS143)*('Prices&amp;Fuel'!C143+'Long Term Deals'!AX143)*'Prices&amp;Fuel'!H143)+((AO143+AT143)*('Prices&amp;Fuel'!D143+'Long Term Deals'!AX143)*'Prices&amp;Fuel'!H143)+(AV143*'Prices&amp;Fuel'!H143*'Prices&amp;Fuel'!Q143)+AU143</f>
        <v>20242640.153409146</v>
      </c>
      <c r="BA143" s="6">
        <f t="shared" si="163"/>
        <v>151413.8817480728</v>
      </c>
      <c r="BB143" s="6">
        <f>IF('FP Corp'!T143-((BE143+BF143+BG143)*(1-'Prices&amp;Fuel'!F143))&lt;'Prices&amp;Fuel'!R143,('FP Corp'!T143-(BE143+BF143+BG143)*(1-'Prices&amp;Fuel'!F143)),'Prices&amp;Fuel'!R143)/(1-'Prices&amp;Fuel'!F143)</f>
        <v>8976.8637532133671</v>
      </c>
      <c r="BC143" s="14"/>
      <c r="BD143" s="14">
        <f>ROUND(IF('FP Corp'!T143/(1-'Prices&amp;Fuel'!F143)-BE143-BF143-BG143-BB143&gt;'Prices&amp;Fuel'!T143,'Prices&amp;Fuel'!T143,'FP Corp'!T143/(1-'Prices&amp;Fuel'!F143)-BE143-BF143-BG143-BB143),9)</f>
        <v>6556.2982005140002</v>
      </c>
      <c r="BE143" s="14">
        <f>'Prices&amp;Fuel'!U143/(1-'Prices&amp;Fuel'!F143)</f>
        <v>1933.1619537275064</v>
      </c>
      <c r="BF143" s="14">
        <f>('Prices&amp;Fuel'!V143+'Prices&amp;Fuel'!X143)/(1-'Prices&amp;Fuel'!F143)</f>
        <v>3062.2107969151671</v>
      </c>
      <c r="BG143" s="14">
        <f>'Prices&amp;Fuel'!W143/(1-'Prices&amp;Fuel'!F143)</f>
        <v>1065.2956298200513</v>
      </c>
      <c r="BH143" s="25">
        <f>('Prices&amp;Fuel'!C143+'Prices&amp;Fuel'!D143)/2-0.05+('Prices&amp;Fuel'!M143+'Prices&amp;Fuel'!P143)*(1-'Prices&amp;Fuel'!F143)</f>
        <v>3.8858548063210314</v>
      </c>
      <c r="BI143" s="25"/>
      <c r="BJ143" s="25"/>
      <c r="BK143" s="25">
        <f>(((BB143+BE143)*('Prices&amp;Fuel'!B143+0.025))+(('Prices&amp;Fuel'!D143+0.025)*(BD143+BG143))+(('Prices&amp;Fuel'!C143+0.025)*(BC143+BF143))-(BI143+BJ143)*0.025)/(BB143+BC143+BD143+BE143+BF143+BG143)</f>
        <v>3.1934441515591261</v>
      </c>
      <c r="BL143" s="14">
        <f>(BB143+BC143+BD143+BE143+BF143+BG143)*BH143*'Prices&amp;Fuel'!H143</f>
        <v>2601225.1711207968</v>
      </c>
      <c r="BM143" s="14">
        <f>'Prices&amp;Fuel'!X143*('Prices&amp;Fuel'!N143+'Prices&amp;Fuel'!O143)*'Prices&amp;Fuel'!H143</f>
        <v>9438.6404139577935</v>
      </c>
      <c r="BN143" s="14">
        <f>('Prices&amp;Fuel'!U143+'Prices&amp;Fuel'!V143+'Prices&amp;Fuel'!W143)*('Prices&amp;Fuel'!L143+'Prices&amp;Fuel'!O143)*'Prices&amp;Fuel'!H143</f>
        <v>72012.818736653091</v>
      </c>
      <c r="BO143" s="14">
        <f>((BB143+BC143+BD143)*(1-'Prices&amp;Fuel'!G143))*('Prices&amp;Fuel'!M143+'Prices&amp;Fuel'!P143)*'Prices&amp;Fuel'!H143</f>
        <v>358472.93299999676</v>
      </c>
      <c r="BP143" s="14">
        <f>((BD143+BC143+BB143+BE143+BF143+BG143)*BK143*'Prices&amp;Fuel'!H143)+BM143+BN143+BO143</f>
        <v>2577643.8190554692</v>
      </c>
      <c r="BQ143" s="6">
        <f t="shared" si="161"/>
        <v>23581.352065327577</v>
      </c>
      <c r="CA143" s="6">
        <f>(AF143+AG143+AH143+AL143)*0.005*'Prices&amp;Fuel'!H143</f>
        <v>31876.606683804628</v>
      </c>
      <c r="CB143" s="6">
        <f>(B143+C143+D143+O143+P143+Q143+X143+Y143+BB143+BC143+BD143+BE143+BF143+BG143+BR143+BS143)*0.005*'Prices&amp;Fuel'!H143</f>
        <v>7237.5437017994636</v>
      </c>
      <c r="CC143" s="1">
        <f t="shared" si="167"/>
        <v>25794338.336278014</v>
      </c>
      <c r="CD143" s="1">
        <f t="shared" si="168"/>
        <v>25648186.332850218</v>
      </c>
      <c r="CE143" s="1">
        <f t="shared" si="169"/>
        <v>146152.00342779607</v>
      </c>
      <c r="CF143" s="1">
        <f>'Index Price Deals'!AR143</f>
        <v>0</v>
      </c>
      <c r="CG143" s="1">
        <f>'Index Price Deals'!AS143</f>
        <v>0</v>
      </c>
      <c r="CH143" s="1">
        <f>'Index Price Deals'!AT143</f>
        <v>0</v>
      </c>
      <c r="CI143" s="1">
        <f>'Index Price Deals'!AU143</f>
        <v>0</v>
      </c>
      <c r="CJ143" s="1">
        <f t="shared" si="164"/>
        <v>25794338.336278014</v>
      </c>
      <c r="CK143" s="1">
        <f t="shared" si="157"/>
        <v>25648186.332850218</v>
      </c>
      <c r="CL143" s="1">
        <f t="shared" si="157"/>
        <v>146152.00342779607</v>
      </c>
      <c r="CM143" s="30"/>
      <c r="CN143" s="1">
        <f>Transport!U143</f>
        <v>3.1490140827372673E-9</v>
      </c>
      <c r="CQ143" s="1">
        <f>(((($B143+$C143+$D143+$O143+$P143+$Q143)*0.5)+BR143+BS143)*(0.005*'Prices&amp;Fuel'!$H143)+'Index Price Deals'!AV143)+(((BB143+BC143+BD143+BE143+BF143+BG143)*(1-'Prices&amp;Fuel'!F143))*0.005*0.5*'Prices&amp;Fuel'!H143)</f>
        <v>3572.7499999999895</v>
      </c>
      <c r="CR143" s="1">
        <f>(((($B143+$C143+$D143+$O143+$P143+$Q143)*0.5)+X143+Y143)*(0.005*'Prices&amp;Fuel'!$H143)+CA143+'Index Price Deals'!AW143)+(((BB143+BC143+BD143+BE143+BF143+BG143)*(1-'Prices&amp;Fuel'!F143))*0.005*0.5*'Prices&amp;Fuel'!H143)</f>
        <v>35449.356683804617</v>
      </c>
      <c r="CS143" s="21"/>
      <c r="CT143" s="1">
        <f>[3]Sheet1!$O163</f>
        <v>-469484.87103518361</v>
      </c>
      <c r="CU143" s="1">
        <f>'[4]Long Term Deals'!$Z142</f>
        <v>-47800.029193797323</v>
      </c>
      <c r="CV143" s="60">
        <f t="shared" si="170"/>
        <v>567836.8452691792</v>
      </c>
      <c r="DB143" s="3">
        <f>(O143+P143+Q143)*'Prices&amp;Fuel'!$H143</f>
        <v>778100</v>
      </c>
      <c r="DE143" s="3">
        <v>200000</v>
      </c>
    </row>
    <row r="144" spans="1:109" x14ac:dyDescent="0.25">
      <c r="A144" s="10">
        <f t="shared" si="160"/>
        <v>39976.91666666633</v>
      </c>
      <c r="O144" s="1">
        <v>9036</v>
      </c>
      <c r="P144" s="1">
        <v>10794</v>
      </c>
      <c r="Q144" s="1">
        <v>5270</v>
      </c>
      <c r="R144" s="11">
        <f t="shared" si="165"/>
        <v>3.5973000000000002</v>
      </c>
      <c r="S144" s="11">
        <f t="shared" si="166"/>
        <v>3.5841000000000003</v>
      </c>
      <c r="T144" s="1">
        <f>(($O144*R144)+($P144*R144)+($Q144*R144))*'Prices&amp;Fuel'!$H144</f>
        <v>2708766.9000000004</v>
      </c>
      <c r="U144" s="1">
        <f>(($O144*S144)+($P144*S144)+($Q144*S144))*'Prices&amp;Fuel'!$H144</f>
        <v>2698827.3000000003</v>
      </c>
      <c r="V144" s="13">
        <f t="shared" si="162"/>
        <v>9939.6000000000931</v>
      </c>
      <c r="AF144" s="1">
        <f>((100000)/(1-'Prices&amp;Fuel'!F144))+(25000/(1-'Prices&amp;Fuel'!G144))-AI144</f>
        <v>128534.70437017996</v>
      </c>
      <c r="AG144" s="1">
        <v>0</v>
      </c>
      <c r="AH144" s="1">
        <f>(75000/(1-'Prices&amp;Fuel'!G144))-AK144</f>
        <v>77120.822622107968</v>
      </c>
      <c r="AI144" s="1"/>
      <c r="AJ144" s="1"/>
      <c r="AK144" s="1"/>
      <c r="AL144" s="21">
        <f>ROUND((200000/(1-'Prices&amp;Fuel'!F144))-AF144-AG144-AH144,0)</f>
        <v>0</v>
      </c>
      <c r="AM144" s="1">
        <f t="shared" si="126"/>
        <v>64267</v>
      </c>
      <c r="AO144" s="1">
        <f>ROUND((75000/(1-'Prices&amp;Fuel'!G144)-AV144-AK144)/2,0)</f>
        <v>38560</v>
      </c>
      <c r="AR144" s="1">
        <f t="shared" si="174"/>
        <v>64267.704370179956</v>
      </c>
      <c r="AT144" s="13">
        <f t="shared" si="171"/>
        <v>38560.822622107968</v>
      </c>
      <c r="AU144" s="13">
        <f>AL144*AX144*'Prices&amp;Fuel'!H144</f>
        <v>0</v>
      </c>
      <c r="AW144" s="20">
        <f t="shared" si="173"/>
        <v>0.02</v>
      </c>
      <c r="AX144" s="20">
        <f t="shared" si="172"/>
        <v>1.4999999999999999E-2</v>
      </c>
      <c r="AY144" s="6">
        <f>('Prices&amp;Fuel'!H144*('Prices&amp;Fuel'!B144+AW144)*'Long Term Deals'!AF144)+('Prices&amp;Fuel'!H144*('Prices&amp;Fuel'!C144+'Long Term Deals'!AW144)*'Long Term Deals'!AG144)+(AH144*('Prices&amp;Fuel'!C144+AW144)*'Prices&amp;Fuel'!H144)+(AW144*AL144*'Prices&amp;Fuel'!H144)</f>
        <v>28401460.365539618</v>
      </c>
      <c r="AZ144" s="6">
        <f>(AP144*'Prices&amp;Fuel'!H144*'Prices&amp;Fuel'!B144)+(AQ144*'Prices&amp;Fuel'!C144*'Prices&amp;Fuel'!H144)+((AM144+AR144)*('Prices&amp;Fuel'!B144+'Long Term Deals'!AX144)*'Prices&amp;Fuel'!H144)+((AN144+AS144)*('Prices&amp;Fuel'!C144+'Long Term Deals'!AX144)*'Prices&amp;Fuel'!H144)+((AO144+AT144)*('Prices&amp;Fuel'!D144+'Long Term Deals'!AX144)*'Prices&amp;Fuel'!H144)+(AV144*'Prices&amp;Fuel'!H144*'Prices&amp;Fuel'!Q144)+AU144</f>
        <v>28254930.802557614</v>
      </c>
      <c r="BA144" s="6">
        <f t="shared" si="163"/>
        <v>146529.56298200414</v>
      </c>
      <c r="BB144" s="6">
        <f>IF('FP Corp'!T144-((BE144+BF144+BG144)*(1-'Prices&amp;Fuel'!F144))&lt;'Prices&amp;Fuel'!R144,('FP Corp'!T144-(BE144+BF144+BG144)*(1-'Prices&amp;Fuel'!F144)),'Prices&amp;Fuel'!R144)/(1-'Prices&amp;Fuel'!F144)</f>
        <v>8976.8637532133671</v>
      </c>
      <c r="BC144" s="14"/>
      <c r="BD144" s="14">
        <f>ROUND(IF('FP Corp'!T144/(1-'Prices&amp;Fuel'!F144)-BE144-BF144-BG144-BB144&gt;'Prices&amp;Fuel'!T144,'Prices&amp;Fuel'!T144,'FP Corp'!T144/(1-'Prices&amp;Fuel'!F144)-BE144-BF144-BG144-BB144),9)</f>
        <v>6556.2982005140002</v>
      </c>
      <c r="BE144" s="14">
        <f>'Prices&amp;Fuel'!U144/(1-'Prices&amp;Fuel'!F144)</f>
        <v>1933.1619537275064</v>
      </c>
      <c r="BF144" s="14">
        <f>('Prices&amp;Fuel'!V144+'Prices&amp;Fuel'!X144)/(1-'Prices&amp;Fuel'!F144)</f>
        <v>3062.2107969151671</v>
      </c>
      <c r="BG144" s="14">
        <f>'Prices&amp;Fuel'!W144/(1-'Prices&amp;Fuel'!F144)</f>
        <v>1065.2956298200513</v>
      </c>
      <c r="BH144" s="25">
        <f>('Prices&amp;Fuel'!C144+'Prices&amp;Fuel'!D144)/2-0.05+('Prices&amp;Fuel'!M144+'Prices&amp;Fuel'!P144)*(1-'Prices&amp;Fuel'!F144)</f>
        <v>5.2903521175812136</v>
      </c>
      <c r="BI144" s="25"/>
      <c r="BJ144" s="25"/>
      <c r="BK144" s="25">
        <f>(((BB144+BE144)*('Prices&amp;Fuel'!B144+0.025))+(('Prices&amp;Fuel'!D144+0.025)*(BD144+BG144))+(('Prices&amp;Fuel'!C144+0.025)*(BC144+BF144))-(BI144+BJ144)*0.025)/(BB144+BC144+BD144+BE144+BF144+BG144)</f>
        <v>4.5979414628193087</v>
      </c>
      <c r="BL144" s="14">
        <f>(BB144+BC144+BD144+BE144+BF144+BG144)*BH144*'Prices&amp;Fuel'!H144</f>
        <v>3427168.9810551601</v>
      </c>
      <c r="BM144" s="14">
        <f>'Prices&amp;Fuel'!X144*('Prices&amp;Fuel'!N144+'Prices&amp;Fuel'!O144)*'Prices&amp;Fuel'!H144</f>
        <v>9134.1681425398001</v>
      </c>
      <c r="BN144" s="14">
        <f>('Prices&amp;Fuel'!U144+'Prices&amp;Fuel'!V144+'Prices&amp;Fuel'!W144)*('Prices&amp;Fuel'!L144+'Prices&amp;Fuel'!O144)*'Prices&amp;Fuel'!H144</f>
        <v>69689.82458385783</v>
      </c>
      <c r="BO144" s="14">
        <f>((BB144+BC144+BD144)*(1-'Prices&amp;Fuel'!G144))*('Prices&amp;Fuel'!M144+'Prices&amp;Fuel'!P144)*'Prices&amp;Fuel'!H144</f>
        <v>346909.28999999689</v>
      </c>
      <c r="BP144" s="14">
        <f>((BD144+BC144+BB144+BE144+BF144+BG144)*BK144*'Prices&amp;Fuel'!H144)+BM144+BN144+BO144</f>
        <v>3404348.3177661328</v>
      </c>
      <c r="BQ144" s="6">
        <f t="shared" si="161"/>
        <v>22820.663289027289</v>
      </c>
      <c r="CA144" s="6">
        <f>(AF144+AG144+AH144+AL144)*0.005*'Prices&amp;Fuel'!H144</f>
        <v>30848.329048843189</v>
      </c>
      <c r="CB144" s="6">
        <f>(B144+C144+D144+O144+P144+Q144+X144+Y144+BB144+BC144+BD144+BE144+BF144+BG144+BR144+BS144)*0.005*'Prices&amp;Fuel'!H144</f>
        <v>7004.0745501285137</v>
      </c>
      <c r="CC144" s="1">
        <f t="shared" si="167"/>
        <v>34537396.246594779</v>
      </c>
      <c r="CD144" s="1">
        <f t="shared" si="168"/>
        <v>34395958.823922716</v>
      </c>
      <c r="CE144" s="1">
        <f t="shared" si="169"/>
        <v>141437.42267206311</v>
      </c>
      <c r="CF144" s="1">
        <f>'Index Price Deals'!AR144</f>
        <v>0</v>
      </c>
      <c r="CG144" s="1">
        <f>'Index Price Deals'!AS144</f>
        <v>0</v>
      </c>
      <c r="CH144" s="1">
        <f>'Index Price Deals'!AT144</f>
        <v>0</v>
      </c>
      <c r="CI144" s="1">
        <f>'Index Price Deals'!AU144</f>
        <v>0</v>
      </c>
      <c r="CJ144" s="1">
        <f t="shared" si="164"/>
        <v>34537396.246594779</v>
      </c>
      <c r="CK144" s="1">
        <f t="shared" si="157"/>
        <v>34395958.823922716</v>
      </c>
      <c r="CL144" s="1">
        <f t="shared" si="157"/>
        <v>141437.42267206311</v>
      </c>
      <c r="CM144" s="30"/>
      <c r="CN144" s="1">
        <f>Transport!U144</f>
        <v>3.0474329832941295E-9</v>
      </c>
      <c r="CQ144" s="1">
        <f>(((($B144+$C144+$D144+$O144+$P144+$Q144)*0.5)+BR144+BS144)*(0.005*'Prices&amp;Fuel'!$H144)+'Index Price Deals'!AV144)+(((BB144+BC144+BD144+BE144+BF144+BG144)*(1-'Prices&amp;Fuel'!F144))*0.005*0.5*'Prices&amp;Fuel'!H144)</f>
        <v>3457.49999999999</v>
      </c>
      <c r="CR144" s="1">
        <f>(((($B144+$C144+$D144+$O144+$P144+$Q144)*0.5)+X144+Y144)*(0.005*'Prices&amp;Fuel'!$H144)+CA144+'Index Price Deals'!AW144)+(((BB144+BC144+BD144+BE144+BF144+BG144)*(1-'Prices&amp;Fuel'!F144))*0.005*0.5*'Prices&amp;Fuel'!H144)</f>
        <v>34305.829048843181</v>
      </c>
      <c r="CS144" s="21"/>
      <c r="CT144" s="1">
        <f>[3]Sheet1!$O164</f>
        <v>-454340.19777598418</v>
      </c>
      <c r="CU144" s="1">
        <f>'[4]Long Term Deals'!$Z143</f>
        <v>-46258.092768190952</v>
      </c>
      <c r="CV144" s="60">
        <f t="shared" si="170"/>
        <v>549519.52767985337</v>
      </c>
      <c r="DB144" s="3">
        <f>(O144+P144+Q144)*'Prices&amp;Fuel'!$H144</f>
        <v>753000</v>
      </c>
      <c r="DE144" s="3">
        <v>200000</v>
      </c>
    </row>
    <row r="145" spans="1:109" x14ac:dyDescent="0.25">
      <c r="A145" s="10">
        <f t="shared" ref="A145:A160" si="175">+A144+365/12</f>
        <v>40007.333333332994</v>
      </c>
      <c r="O145" s="1">
        <v>9036</v>
      </c>
      <c r="P145" s="1">
        <v>10794</v>
      </c>
      <c r="Q145" s="1">
        <v>5270</v>
      </c>
      <c r="R145" s="11">
        <f>ROUND(3.075*1.04*1.04*1.04*1.04*1.04,4)</f>
        <v>3.7412000000000001</v>
      </c>
      <c r="S145" s="11">
        <f>R145-ROUND(0.01*1.02*1.02*1.02*1.02*1.02*1.02*1.02*1.02*1.02*1.02*1.02*1.02*1.02*1.02*1.02,4)</f>
        <v>3.7277</v>
      </c>
      <c r="T145" s="1">
        <f>(($O145*R145)+($P145*R145)+($Q145*R145))*'Prices&amp;Fuel'!$H145</f>
        <v>2911027.72</v>
      </c>
      <c r="U145" s="1">
        <f>(($O145*S145)+($P145*S145)+($Q145*S145))*'Prices&amp;Fuel'!$H145</f>
        <v>2900523.3699999996</v>
      </c>
      <c r="V145" s="13">
        <f t="shared" si="162"/>
        <v>10504.350000000559</v>
      </c>
      <c r="AF145" s="1">
        <f>((100000)/(1-'Prices&amp;Fuel'!F145))+(25000/(1-'Prices&amp;Fuel'!G145))-AI145</f>
        <v>128534.70437017996</v>
      </c>
      <c r="AG145" s="1">
        <v>0</v>
      </c>
      <c r="AH145" s="1">
        <f>(75000/(1-'Prices&amp;Fuel'!G145))-AK145</f>
        <v>77120.822622107968</v>
      </c>
      <c r="AI145" s="1"/>
      <c r="AJ145" s="1"/>
      <c r="AK145" s="1"/>
      <c r="AL145" s="21">
        <f>ROUND((200000/(1-'Prices&amp;Fuel'!F145))-AF145-AG145-AH145,0)</f>
        <v>0</v>
      </c>
      <c r="AM145" s="1">
        <f t="shared" si="126"/>
        <v>64267</v>
      </c>
      <c r="AO145" s="1">
        <f>ROUND((75000/(1-'Prices&amp;Fuel'!G145)-AV145-AK145)/2,0)</f>
        <v>38560</v>
      </c>
      <c r="AR145" s="1">
        <f t="shared" si="174"/>
        <v>64267.704370179956</v>
      </c>
      <c r="AT145" s="13">
        <f t="shared" si="171"/>
        <v>38560.822622107968</v>
      </c>
      <c r="AU145" s="13">
        <f>AL145*AX145*'Prices&amp;Fuel'!H145</f>
        <v>0</v>
      </c>
      <c r="AW145" s="20">
        <f t="shared" si="173"/>
        <v>0.02</v>
      </c>
      <c r="AX145" s="20">
        <f t="shared" si="172"/>
        <v>1.4999999999999999E-2</v>
      </c>
      <c r="AY145" s="6">
        <f>('Prices&amp;Fuel'!H145*('Prices&amp;Fuel'!B145+AW145)*'Long Term Deals'!AF145)+('Prices&amp;Fuel'!H145*('Prices&amp;Fuel'!C145+'Long Term Deals'!AW145)*'Long Term Deals'!AG145)+(AH145*('Prices&amp;Fuel'!C145+AW145)*'Prices&amp;Fuel'!H145)+(AW145*AL145*'Prices&amp;Fuel'!H145)</f>
        <v>29279823.63719577</v>
      </c>
      <c r="AZ145" s="6">
        <f>(AP145*'Prices&amp;Fuel'!H145*'Prices&amp;Fuel'!B145)+(AQ145*'Prices&amp;Fuel'!C145*'Prices&amp;Fuel'!H145)+((AM145+AR145)*('Prices&amp;Fuel'!B145+'Long Term Deals'!AX145)*'Prices&amp;Fuel'!H145)+((AN145+AS145)*('Prices&amp;Fuel'!C145+'Long Term Deals'!AX145)*'Prices&amp;Fuel'!H145)+((AO145+AT145)*('Prices&amp;Fuel'!D145+'Long Term Deals'!AX145)*'Prices&amp;Fuel'!H145)+(AV145*'Prices&amp;Fuel'!H145*'Prices&amp;Fuel'!Q145)+AU145</f>
        <v>29128409.755447701</v>
      </c>
      <c r="BA145" s="6">
        <f t="shared" si="163"/>
        <v>151413.88174806908</v>
      </c>
      <c r="BB145" s="6">
        <f>IF('FP Corp'!T145-((BE145+BF145+BG145)*(1-'Prices&amp;Fuel'!F145))&lt;'Prices&amp;Fuel'!R145,('FP Corp'!T145-(BE145+BF145+BG145)*(1-'Prices&amp;Fuel'!F145)),'Prices&amp;Fuel'!R145)/(1-'Prices&amp;Fuel'!F145)</f>
        <v>8976.8637532133671</v>
      </c>
      <c r="BC145" s="14"/>
      <c r="BD145" s="14">
        <f>ROUND(IF('FP Corp'!T145/(1-'Prices&amp;Fuel'!F145)-BE145-BF145-BG145-BB145&gt;'Prices&amp;Fuel'!T145,'Prices&amp;Fuel'!T145,'FP Corp'!T145/(1-'Prices&amp;Fuel'!F145)-BE145-BF145-BG145-BB145),9)</f>
        <v>6556.2982005140002</v>
      </c>
      <c r="BE145" s="14">
        <f>'Prices&amp;Fuel'!U145/(1-'Prices&amp;Fuel'!F145)</f>
        <v>1933.1619537275064</v>
      </c>
      <c r="BF145" s="14">
        <f>('Prices&amp;Fuel'!V145+'Prices&amp;Fuel'!X145)/(1-'Prices&amp;Fuel'!F145)</f>
        <v>3062.2107969151671</v>
      </c>
      <c r="BG145" s="14">
        <f>'Prices&amp;Fuel'!W145/(1-'Prices&amp;Fuel'!F145)</f>
        <v>1065.2956298200513</v>
      </c>
      <c r="BH145" s="25">
        <f>('Prices&amp;Fuel'!C145+'Prices&amp;Fuel'!D145)/2-0.05+('Prices&amp;Fuel'!M145+'Prices&amp;Fuel'!P145)*(1-'Prices&amp;Fuel'!F145)</f>
        <v>5.2796307640601432</v>
      </c>
      <c r="BI145" s="25"/>
      <c r="BJ145" s="25"/>
      <c r="BK145" s="25">
        <f>(((BB145+BE145)*('Prices&amp;Fuel'!B145+0.025))+(('Prices&amp;Fuel'!D145+0.025)*(BD145+BG145))+(('Prices&amp;Fuel'!C145+0.025)*(BC145+BF145))-(BI145+BJ145)*0.025)/(BB145+BC145+BD145+BE145+BF145+BG145)</f>
        <v>4.5872201092982392</v>
      </c>
      <c r="BL145" s="14">
        <f>(BB145+BC145+BD145+BE145+BF145+BG145)*BH145*'Prices&amp;Fuel'!H145</f>
        <v>3534230.9793348392</v>
      </c>
      <c r="BM145" s="14">
        <f>'Prices&amp;Fuel'!X145*('Prices&amp;Fuel'!N145+'Prices&amp;Fuel'!O145)*'Prices&amp;Fuel'!H145</f>
        <v>9438.6404139577935</v>
      </c>
      <c r="BN145" s="14">
        <f>('Prices&amp;Fuel'!U145+'Prices&amp;Fuel'!V145+'Prices&amp;Fuel'!W145)*('Prices&amp;Fuel'!L145+'Prices&amp;Fuel'!O145)*'Prices&amp;Fuel'!H145</f>
        <v>72012.818736653091</v>
      </c>
      <c r="BO145" s="14">
        <f>((BB145+BC145+BD145)*(1-'Prices&amp;Fuel'!G145))*('Prices&amp;Fuel'!M145+'Prices&amp;Fuel'!P145)*'Prices&amp;Fuel'!H145</f>
        <v>358472.93299999676</v>
      </c>
      <c r="BP145" s="14">
        <f>((BD145+BC145+BB145+BE145+BF145+BG145)*BK145*'Prices&amp;Fuel'!H145)+BM145+BN145+BO145</f>
        <v>3510649.6272695116</v>
      </c>
      <c r="BQ145" s="6">
        <f t="shared" si="161"/>
        <v>23581.352065327577</v>
      </c>
      <c r="CA145" s="6">
        <f>(AF145+AG145+AH145+AL145)*0.005*'Prices&amp;Fuel'!H145</f>
        <v>31876.606683804628</v>
      </c>
      <c r="CB145" s="6">
        <f>(B145+C145+D145+O145+P145+Q145+X145+Y145+BB145+BC145+BD145+BE145+BF145+BG145+BR145+BS145)*0.005*'Prices&amp;Fuel'!H145</f>
        <v>7237.5437017994636</v>
      </c>
      <c r="CC145" s="1">
        <f t="shared" si="167"/>
        <v>35725082.336530611</v>
      </c>
      <c r="CD145" s="1">
        <f t="shared" si="168"/>
        <v>35578696.903102815</v>
      </c>
      <c r="CE145" s="1">
        <f t="shared" si="169"/>
        <v>146385.43342779577</v>
      </c>
      <c r="CF145" s="1">
        <f>'Index Price Deals'!AR145</f>
        <v>0</v>
      </c>
      <c r="CG145" s="1">
        <f>'Index Price Deals'!AS145</f>
        <v>0</v>
      </c>
      <c r="CH145" s="1">
        <f>'Index Price Deals'!AT145</f>
        <v>0</v>
      </c>
      <c r="CI145" s="1">
        <f>'Index Price Deals'!AU145</f>
        <v>0</v>
      </c>
      <c r="CJ145" s="1">
        <f t="shared" si="164"/>
        <v>35725082.336530611</v>
      </c>
      <c r="CK145" s="1">
        <f t="shared" ref="CK145:CL164" si="176">CD145+CH145</f>
        <v>35578696.903102815</v>
      </c>
      <c r="CL145" s="1">
        <f t="shared" si="176"/>
        <v>146385.43342779577</v>
      </c>
      <c r="CM145" s="30"/>
      <c r="CN145" s="1">
        <f>Transport!U145</f>
        <v>3.1490140827372673E-9</v>
      </c>
      <c r="CQ145" s="1">
        <f>(((($B145+$C145+$D145+$O145+$P145+$Q145)*0.5)+BR145+BS145)*(0.005*'Prices&amp;Fuel'!$H145)+'Index Price Deals'!AV145)+(((BB145+BC145+BD145+BE145+BF145+BG145)*(1-'Prices&amp;Fuel'!F145))*0.005*0.5*'Prices&amp;Fuel'!H145)</f>
        <v>3572.7499999999895</v>
      </c>
      <c r="CR145" s="1">
        <f>(((($B145+$C145+$D145+$O145+$P145+$Q145)*0.5)+X145+Y145)*(0.005*'Prices&amp;Fuel'!$H145)+CA145+'Index Price Deals'!AW145)+(((BB145+BC145+BD145+BE145+BF145+BG145)*(1-'Prices&amp;Fuel'!F145))*0.005*0.5*'Prices&amp;Fuel'!H145)</f>
        <v>35449.356683804617</v>
      </c>
      <c r="CS145" s="21"/>
      <c r="CT145" s="1">
        <f>[3]Sheet1!$O165</f>
        <v>-469484.87103518361</v>
      </c>
      <c r="CU145" s="1">
        <f>'[4]Long Term Deals'!$Z144</f>
        <v>-47800.029193797323</v>
      </c>
      <c r="CV145" s="60">
        <f t="shared" si="170"/>
        <v>568070.27526917891</v>
      </c>
      <c r="DB145" s="3">
        <f>(O145+P145+Q145)*'Prices&amp;Fuel'!$H145</f>
        <v>778100</v>
      </c>
      <c r="DE145" s="3">
        <v>200000</v>
      </c>
    </row>
    <row r="146" spans="1:109" x14ac:dyDescent="0.25">
      <c r="A146" s="10">
        <f t="shared" si="175"/>
        <v>40037.749999999658</v>
      </c>
      <c r="O146" s="1">
        <v>9036</v>
      </c>
      <c r="P146" s="1">
        <v>10794</v>
      </c>
      <c r="Q146" s="1">
        <v>5270</v>
      </c>
      <c r="R146" s="11">
        <f t="shared" ref="R146:R156" si="177">R145</f>
        <v>3.7412000000000001</v>
      </c>
      <c r="S146" s="11">
        <f t="shared" ref="S146:S156" si="178">S145</f>
        <v>3.7277</v>
      </c>
      <c r="T146" s="1">
        <f>(($O146*R146)+($P146*R146)+($Q146*R146))*'Prices&amp;Fuel'!$H146</f>
        <v>2911027.72</v>
      </c>
      <c r="U146" s="1">
        <f>(($O146*S146)+($P146*S146)+($Q146*S146))*'Prices&amp;Fuel'!$H146</f>
        <v>2900523.3699999996</v>
      </c>
      <c r="V146" s="13">
        <f t="shared" si="162"/>
        <v>10504.350000000559</v>
      </c>
      <c r="AF146" s="1">
        <f>((100000)/(1-'Prices&amp;Fuel'!F146))+(25000/(1-'Prices&amp;Fuel'!G146))-AI146</f>
        <v>128534.70437017996</v>
      </c>
      <c r="AG146" s="1">
        <v>0</v>
      </c>
      <c r="AH146" s="1">
        <f>(75000/(1-'Prices&amp;Fuel'!G146))-AK146</f>
        <v>77120.822622107968</v>
      </c>
      <c r="AI146" s="1"/>
      <c r="AJ146" s="1"/>
      <c r="AK146" s="1"/>
      <c r="AL146" s="21">
        <f>ROUND((200000/(1-'Prices&amp;Fuel'!F146))-AF146-AG146-AH146,0)</f>
        <v>0</v>
      </c>
      <c r="AM146" s="1">
        <f t="shared" si="126"/>
        <v>64267</v>
      </c>
      <c r="AO146" s="1">
        <f>ROUND((75000/(1-'Prices&amp;Fuel'!G146)-AV146-AK146)/2,0)</f>
        <v>38560</v>
      </c>
      <c r="AR146" s="1">
        <f t="shared" si="174"/>
        <v>64267.704370179956</v>
      </c>
      <c r="AT146" s="13">
        <f t="shared" si="171"/>
        <v>38560.822622107968</v>
      </c>
      <c r="AU146" s="13">
        <f>AL146*AX146*'Prices&amp;Fuel'!H146</f>
        <v>0</v>
      </c>
      <c r="AW146" s="20">
        <f t="shared" si="173"/>
        <v>0.02</v>
      </c>
      <c r="AX146" s="20">
        <f t="shared" si="172"/>
        <v>1.4999999999999999E-2</v>
      </c>
      <c r="AY146" s="6">
        <f>('Prices&amp;Fuel'!H146*('Prices&amp;Fuel'!B146+AW146)*'Long Term Deals'!AF146)+('Prices&amp;Fuel'!H146*('Prices&amp;Fuel'!C146+'Long Term Deals'!AW146)*'Long Term Deals'!AG146)+(AH146*('Prices&amp;Fuel'!C146+AW146)*'Prices&amp;Fuel'!H146)+(AW146*AL146*'Prices&amp;Fuel'!H146)</f>
        <v>25588811.648656674</v>
      </c>
      <c r="AZ146" s="6">
        <f>(AP146*'Prices&amp;Fuel'!H146*'Prices&amp;Fuel'!B146)+(AQ146*'Prices&amp;Fuel'!C146*'Prices&amp;Fuel'!H146)+((AM146+AR146)*('Prices&amp;Fuel'!B146+'Long Term Deals'!AX146)*'Prices&amp;Fuel'!H146)+((AN146+AS146)*('Prices&amp;Fuel'!C146+'Long Term Deals'!AX146)*'Prices&amp;Fuel'!H146)+((AO146+AT146)*('Prices&amp;Fuel'!D146+'Long Term Deals'!AX146)*'Prices&amp;Fuel'!H146)+(AV146*'Prices&amp;Fuel'!H146*'Prices&amp;Fuel'!Q146)+AU146</f>
        <v>25437397.766908605</v>
      </c>
      <c r="BA146" s="6">
        <f t="shared" si="163"/>
        <v>151413.88174806908</v>
      </c>
      <c r="BB146" s="6">
        <f>IF('FP Corp'!T146-((BE146+BF146+BG146)*(1-'Prices&amp;Fuel'!F146))&lt;'Prices&amp;Fuel'!R146,('FP Corp'!T146-(BE146+BF146+BG146)*(1-'Prices&amp;Fuel'!F146)),'Prices&amp;Fuel'!R146)/(1-'Prices&amp;Fuel'!F146)</f>
        <v>8976.8637532133671</v>
      </c>
      <c r="BC146" s="14"/>
      <c r="BD146" s="14">
        <f>ROUND(IF('FP Corp'!T146/(1-'Prices&amp;Fuel'!F146)-BE146-BF146-BG146-BB146&gt;'Prices&amp;Fuel'!T146,'Prices&amp;Fuel'!T146,'FP Corp'!T146/(1-'Prices&amp;Fuel'!F146)-BE146-BF146-BG146-BB146),9)</f>
        <v>6556.2982005140002</v>
      </c>
      <c r="BE146" s="14">
        <f>'Prices&amp;Fuel'!U146/(1-'Prices&amp;Fuel'!F146)</f>
        <v>1933.1619537275064</v>
      </c>
      <c r="BF146" s="14">
        <f>('Prices&amp;Fuel'!V146+'Prices&amp;Fuel'!X146)/(1-'Prices&amp;Fuel'!F146)</f>
        <v>3062.2107969151671</v>
      </c>
      <c r="BG146" s="14">
        <f>'Prices&amp;Fuel'!W146/(1-'Prices&amp;Fuel'!F146)</f>
        <v>1065.2956298200513</v>
      </c>
      <c r="BH146" s="25">
        <f>('Prices&amp;Fuel'!C146+'Prices&amp;Fuel'!D146)/2-0.05+('Prices&amp;Fuel'!M146+'Prices&amp;Fuel'!P146)*(1-'Prices&amp;Fuel'!F146)</f>
        <v>4.7006776739223577</v>
      </c>
      <c r="BI146" s="25"/>
      <c r="BJ146" s="25"/>
      <c r="BK146" s="25">
        <f>(((BB146+BE146)*('Prices&amp;Fuel'!B146+0.025))+(('Prices&amp;Fuel'!D146+0.025)*(BD146+BG146))+(('Prices&amp;Fuel'!C146+0.025)*(BC146+BF146))-(BI146+BJ146)*0.025)/(BB146+BC146+BD146+BE146+BF146+BG146)</f>
        <v>4.0082670191604537</v>
      </c>
      <c r="BL146" s="14">
        <f>(BB146+BC146+BD146+BE146+BF146+BG146)*BH146*'Prices&amp;Fuel'!H146</f>
        <v>3146674.7205382367</v>
      </c>
      <c r="BM146" s="14">
        <f>'Prices&amp;Fuel'!X146*('Prices&amp;Fuel'!N146+'Prices&amp;Fuel'!O146)*'Prices&amp;Fuel'!H146</f>
        <v>9438.6404139577935</v>
      </c>
      <c r="BN146" s="14">
        <f>('Prices&amp;Fuel'!U146+'Prices&amp;Fuel'!V146+'Prices&amp;Fuel'!W146)*('Prices&amp;Fuel'!L146+'Prices&amp;Fuel'!O146)*'Prices&amp;Fuel'!H146</f>
        <v>72012.818736653091</v>
      </c>
      <c r="BO146" s="14">
        <f>((BB146+BC146+BD146)*(1-'Prices&amp;Fuel'!G146))*('Prices&amp;Fuel'!M146+'Prices&amp;Fuel'!P146)*'Prices&amp;Fuel'!H146</f>
        <v>358472.93299999676</v>
      </c>
      <c r="BP146" s="14">
        <f>((BD146+BC146+BB146+BE146+BF146+BG146)*BK146*'Prices&amp;Fuel'!H146)+BM146+BN146+BO146</f>
        <v>3123093.3684729096</v>
      </c>
      <c r="BQ146" s="6">
        <f t="shared" ref="BQ146:BQ161" si="179">BL146-BP146</f>
        <v>23581.352065327112</v>
      </c>
      <c r="CA146" s="6">
        <f>(AF146+AG146+AH146+AL146)*0.005*'Prices&amp;Fuel'!H146</f>
        <v>31876.606683804628</v>
      </c>
      <c r="CB146" s="6">
        <f>(B146+C146+D146+O146+P146+Q146+X146+Y146+BB146+BC146+BD146+BE146+BF146+BG146+BR146+BS146)*0.005*'Prices&amp;Fuel'!H146</f>
        <v>7237.5437017994636</v>
      </c>
      <c r="CC146" s="1">
        <f t="shared" si="167"/>
        <v>31646514.089194909</v>
      </c>
      <c r="CD146" s="1">
        <f t="shared" si="168"/>
        <v>31500128.65576712</v>
      </c>
      <c r="CE146" s="1">
        <f t="shared" si="169"/>
        <v>146385.43342778832</v>
      </c>
      <c r="CF146" s="1">
        <f>'Index Price Deals'!AR146</f>
        <v>0</v>
      </c>
      <c r="CG146" s="1">
        <f>'Index Price Deals'!AS146</f>
        <v>0</v>
      </c>
      <c r="CH146" s="1">
        <f>'Index Price Deals'!AT146</f>
        <v>0</v>
      </c>
      <c r="CI146" s="1">
        <f>'Index Price Deals'!AU146</f>
        <v>0</v>
      </c>
      <c r="CJ146" s="1">
        <f t="shared" si="164"/>
        <v>31646514.089194909</v>
      </c>
      <c r="CK146" s="1">
        <f t="shared" si="176"/>
        <v>31500128.65576712</v>
      </c>
      <c r="CL146" s="1">
        <f t="shared" si="176"/>
        <v>146385.43342778832</v>
      </c>
      <c r="CM146" s="30"/>
      <c r="CN146" s="1">
        <f>Transport!U146</f>
        <v>3.1490140827372673E-9</v>
      </c>
      <c r="CQ146" s="1">
        <f>(((($B146+$C146+$D146+$O146+$P146+$Q146)*0.5)+BR146+BS146)*(0.005*'Prices&amp;Fuel'!$H146)+'Index Price Deals'!AV146)+(((BB146+BC146+BD146+BE146+BF146+BG146)*(1-'Prices&amp;Fuel'!F146))*0.005*0.5*'Prices&amp;Fuel'!H146)</f>
        <v>3572.7499999999895</v>
      </c>
      <c r="CR146" s="1">
        <f>(((($B146+$C146+$D146+$O146+$P146+$Q146)*0.5)+X146+Y146)*(0.005*'Prices&amp;Fuel'!$H146)+CA146+'Index Price Deals'!AW146)+(((BB146+BC146+BD146+BE146+BF146+BG146)*(1-'Prices&amp;Fuel'!F146))*0.005*0.5*'Prices&amp;Fuel'!H146)</f>
        <v>35449.356683804617</v>
      </c>
      <c r="CS146" s="21"/>
      <c r="CT146" s="1">
        <f>[3]Sheet1!$O166</f>
        <v>-469484.87103518361</v>
      </c>
      <c r="CU146" s="1">
        <f>'[4]Long Term Deals'!$Z145</f>
        <v>-47800.029193797323</v>
      </c>
      <c r="CV146" s="60">
        <f t="shared" si="170"/>
        <v>568070.27526917146</v>
      </c>
      <c r="DB146" s="3">
        <f>(O146+P146+Q146)*'Prices&amp;Fuel'!$H146</f>
        <v>778100</v>
      </c>
      <c r="DE146" s="3">
        <v>200000</v>
      </c>
    </row>
    <row r="147" spans="1:109" x14ac:dyDescent="0.25">
      <c r="A147" s="10">
        <f t="shared" si="175"/>
        <v>40068.166666666322</v>
      </c>
      <c r="O147" s="1">
        <v>9036</v>
      </c>
      <c r="P147" s="1">
        <v>10794</v>
      </c>
      <c r="Q147" s="1">
        <v>5270</v>
      </c>
      <c r="R147" s="11">
        <f t="shared" si="177"/>
        <v>3.7412000000000001</v>
      </c>
      <c r="S147" s="11">
        <f t="shared" si="178"/>
        <v>3.7277</v>
      </c>
      <c r="T147" s="1">
        <f>(($O147*R147)+($P147*R147)+($Q147*R147))*'Prices&amp;Fuel'!$H147</f>
        <v>2817123.6</v>
      </c>
      <c r="U147" s="1">
        <f>(($O147*S147)+($P147*S147)+($Q147*S147))*'Prices&amp;Fuel'!$H147</f>
        <v>2806958.0999999996</v>
      </c>
      <c r="V147" s="13">
        <f t="shared" si="162"/>
        <v>10165.500000000466</v>
      </c>
      <c r="AF147" s="1">
        <f>((100000)/(1-'Prices&amp;Fuel'!F147))+(25000/(1-'Prices&amp;Fuel'!G147))-AI147</f>
        <v>128534.70437017996</v>
      </c>
      <c r="AG147" s="1">
        <v>0</v>
      </c>
      <c r="AH147" s="1">
        <f>(75000/(1-'Prices&amp;Fuel'!G147))-AK147</f>
        <v>77120.822622107968</v>
      </c>
      <c r="AI147" s="1"/>
      <c r="AJ147" s="1"/>
      <c r="AK147" s="1"/>
      <c r="AL147" s="21">
        <f>ROUND((200000/(1-'Prices&amp;Fuel'!F147))-AF147-AG147-AH147,0)</f>
        <v>0</v>
      </c>
      <c r="AM147" s="1">
        <f t="shared" si="126"/>
        <v>64267</v>
      </c>
      <c r="AO147" s="1">
        <f>ROUND((75000/(1-'Prices&amp;Fuel'!G147)-AV147-AK147)/2,0)</f>
        <v>38560</v>
      </c>
      <c r="AR147" s="1">
        <f t="shared" si="174"/>
        <v>64267.704370179956</v>
      </c>
      <c r="AT147" s="13">
        <f t="shared" si="171"/>
        <v>38560.822622107968</v>
      </c>
      <c r="AU147" s="13">
        <f>AL147*AX147*'Prices&amp;Fuel'!H147</f>
        <v>0</v>
      </c>
      <c r="AW147" s="20">
        <f t="shared" si="173"/>
        <v>0.02</v>
      </c>
      <c r="AX147" s="20">
        <f t="shared" si="172"/>
        <v>1.4999999999999999E-2</v>
      </c>
      <c r="AY147" s="6">
        <f>('Prices&amp;Fuel'!H147*('Prices&amp;Fuel'!B147+AW147)*'Long Term Deals'!AF147)+('Prices&amp;Fuel'!H147*('Prices&amp;Fuel'!C147+'Long Term Deals'!AW147)*'Long Term Deals'!AG147)+(AH147*('Prices&amp;Fuel'!C147+AW147)*'Prices&amp;Fuel'!H147)+(AW147*AL147*'Prices&amp;Fuel'!H147)</f>
        <v>29856698.067114182</v>
      </c>
      <c r="AZ147" s="6">
        <f>(AP147*'Prices&amp;Fuel'!H147*'Prices&amp;Fuel'!B147)+(AQ147*'Prices&amp;Fuel'!C147*'Prices&amp;Fuel'!H147)+((AM147+AR147)*('Prices&amp;Fuel'!B147+'Long Term Deals'!AX147)*'Prices&amp;Fuel'!H147)+((AN147+AS147)*('Prices&amp;Fuel'!C147+'Long Term Deals'!AX147)*'Prices&amp;Fuel'!H147)+((AO147+AT147)*('Prices&amp;Fuel'!D147+'Long Term Deals'!AX147)*'Prices&amp;Fuel'!H147)+(AV147*'Prices&amp;Fuel'!H147*'Prices&amp;Fuel'!Q147)+AU147</f>
        <v>29710168.504132178</v>
      </c>
      <c r="BA147" s="6">
        <f t="shared" si="163"/>
        <v>146529.56298200414</v>
      </c>
      <c r="BB147" s="6">
        <f>IF('FP Corp'!T147-((BE147+BF147+BG147)*(1-'Prices&amp;Fuel'!F147))&lt;'Prices&amp;Fuel'!R147,('FP Corp'!T147-(BE147+BF147+BG147)*(1-'Prices&amp;Fuel'!F147)),'Prices&amp;Fuel'!R147)/(1-'Prices&amp;Fuel'!F147)</f>
        <v>8976.8637532133671</v>
      </c>
      <c r="BC147" s="14"/>
      <c r="BD147" s="14">
        <f>ROUND(IF('FP Corp'!T147/(1-'Prices&amp;Fuel'!F147)-BE147-BF147-BG147-BB147&gt;'Prices&amp;Fuel'!T147,'Prices&amp;Fuel'!T147,'FP Corp'!T147/(1-'Prices&amp;Fuel'!F147)-BE147-BF147-BG147-BB147),9)</f>
        <v>6556.2982005140002</v>
      </c>
      <c r="BE147" s="14">
        <f>'Prices&amp;Fuel'!U147/(1-'Prices&amp;Fuel'!F147)</f>
        <v>1933.1619537275064</v>
      </c>
      <c r="BF147" s="14">
        <f>('Prices&amp;Fuel'!V147+'Prices&amp;Fuel'!X147)/(1-'Prices&amp;Fuel'!F147)</f>
        <v>3062.2107969151671</v>
      </c>
      <c r="BG147" s="14">
        <f>'Prices&amp;Fuel'!W147/(1-'Prices&amp;Fuel'!F147)</f>
        <v>1065.2956298200513</v>
      </c>
      <c r="BH147" s="25">
        <f>('Prices&amp;Fuel'!C147+'Prices&amp;Fuel'!D147)/2-0.05+('Prices&amp;Fuel'!M147+'Prices&amp;Fuel'!P147)*(1-'Prices&amp;Fuel'!F147)</f>
        <v>5.526221895044757</v>
      </c>
      <c r="BI147" s="25"/>
      <c r="BJ147" s="25"/>
      <c r="BK147" s="25">
        <f>(((BB147+BE147)*('Prices&amp;Fuel'!B147+0.025))+(('Prices&amp;Fuel'!D147+0.025)*(BD147+BG147))+(('Prices&amp;Fuel'!C147+0.025)*(BC147+BF147))-(BI147+BJ147)*0.025)/(BB147+BC147+BD147+BE147+BF147+BG147)</f>
        <v>4.8338112402828539</v>
      </c>
      <c r="BL147" s="14">
        <f>(BB147+BC147+BD147+BE147+BF147+BG147)*BH147*'Prices&amp;Fuel'!H147</f>
        <v>3579968.9397204872</v>
      </c>
      <c r="BM147" s="14">
        <f>'Prices&amp;Fuel'!X147*('Prices&amp;Fuel'!N147+'Prices&amp;Fuel'!O147)*'Prices&amp;Fuel'!H147</f>
        <v>9134.1681425398001</v>
      </c>
      <c r="BN147" s="14">
        <f>('Prices&amp;Fuel'!U147+'Prices&amp;Fuel'!V147+'Prices&amp;Fuel'!W147)*('Prices&amp;Fuel'!L147+'Prices&amp;Fuel'!O147)*'Prices&amp;Fuel'!H147</f>
        <v>69689.82458385783</v>
      </c>
      <c r="BO147" s="14">
        <f>((BB147+BC147+BD147)*(1-'Prices&amp;Fuel'!G147))*('Prices&amp;Fuel'!M147+'Prices&amp;Fuel'!P147)*'Prices&amp;Fuel'!H147</f>
        <v>346909.28999999689</v>
      </c>
      <c r="BP147" s="14">
        <f>((BD147+BC147+BB147+BE147+BF147+BG147)*BK147*'Prices&amp;Fuel'!H147)+BM147+BN147+BO147</f>
        <v>3557148.2764314623</v>
      </c>
      <c r="BQ147" s="6">
        <f t="shared" si="179"/>
        <v>22820.66328902496</v>
      </c>
      <c r="CA147" s="6">
        <f>(AF147+AG147+AH147+AL147)*0.005*'Prices&amp;Fuel'!H147</f>
        <v>30848.329048843189</v>
      </c>
      <c r="CB147" s="6">
        <f>(B147+C147+D147+O147+P147+Q147+X147+Y147+BB147+BC147+BD147+BE147+BF147+BG147+BR147+BS147)*0.005*'Prices&amp;Fuel'!H147</f>
        <v>7004.0745501285137</v>
      </c>
      <c r="CC147" s="1">
        <f t="shared" si="167"/>
        <v>36253790.606834672</v>
      </c>
      <c r="CD147" s="1">
        <f t="shared" si="168"/>
        <v>36112127.284162611</v>
      </c>
      <c r="CE147" s="1">
        <f t="shared" si="169"/>
        <v>141663.32267206162</v>
      </c>
      <c r="CF147" s="1">
        <f>'Index Price Deals'!AR147</f>
        <v>0</v>
      </c>
      <c r="CG147" s="1">
        <f>'Index Price Deals'!AS147</f>
        <v>0</v>
      </c>
      <c r="CH147" s="1">
        <f>'Index Price Deals'!AT147</f>
        <v>0</v>
      </c>
      <c r="CI147" s="1">
        <f>'Index Price Deals'!AU147</f>
        <v>0</v>
      </c>
      <c r="CJ147" s="1">
        <f t="shared" si="164"/>
        <v>36253790.606834672</v>
      </c>
      <c r="CK147" s="1">
        <f t="shared" si="176"/>
        <v>36112127.284162611</v>
      </c>
      <c r="CL147" s="1">
        <f t="shared" si="176"/>
        <v>141663.32267206162</v>
      </c>
      <c r="CM147" s="30"/>
      <c r="CN147" s="1">
        <f>Transport!U147</f>
        <v>3.0474329832941295E-9</v>
      </c>
      <c r="CQ147" s="1">
        <f>(((($B147+$C147+$D147+$O147+$P147+$Q147)*0.5)+BR147+BS147)*(0.005*'Prices&amp;Fuel'!$H147)+'Index Price Deals'!AV147)+(((BB147+BC147+BD147+BE147+BF147+BG147)*(1-'Prices&amp;Fuel'!F147))*0.005*0.5*'Prices&amp;Fuel'!H147)</f>
        <v>3457.49999999999</v>
      </c>
      <c r="CR147" s="1">
        <f>(((($B147+$C147+$D147+$O147+$P147+$Q147)*0.5)+X147+Y147)*(0.005*'Prices&amp;Fuel'!$H147)+CA147+'Index Price Deals'!AW147)+(((BB147+BC147+BD147+BE147+BF147+BG147)*(1-'Prices&amp;Fuel'!F147))*0.005*0.5*'Prices&amp;Fuel'!H147)</f>
        <v>34305.829048843181</v>
      </c>
      <c r="CS147" s="21"/>
      <c r="CT147" s="1">
        <f>[3]Sheet1!$O167</f>
        <v>-454340.19777598418</v>
      </c>
      <c r="CU147" s="1">
        <f>'[4]Long Term Deals'!$Z146</f>
        <v>-46258.092768190952</v>
      </c>
      <c r="CV147" s="60">
        <f t="shared" si="170"/>
        <v>549745.42767985188</v>
      </c>
      <c r="DB147" s="3">
        <f>(O147+P147+Q147)*'Prices&amp;Fuel'!$H147</f>
        <v>753000</v>
      </c>
      <c r="DE147" s="3">
        <v>200000</v>
      </c>
    </row>
    <row r="148" spans="1:109" x14ac:dyDescent="0.25">
      <c r="A148" s="10">
        <f t="shared" si="175"/>
        <v>40098.583333332987</v>
      </c>
      <c r="O148" s="1">
        <v>9036</v>
      </c>
      <c r="P148" s="1">
        <v>10794</v>
      </c>
      <c r="Q148" s="1">
        <v>5270</v>
      </c>
      <c r="R148" s="11">
        <f t="shared" si="177"/>
        <v>3.7412000000000001</v>
      </c>
      <c r="S148" s="11">
        <f t="shared" si="178"/>
        <v>3.7277</v>
      </c>
      <c r="T148" s="1">
        <f>(($O148*R148)+($P148*R148)+($Q148*R148))*'Prices&amp;Fuel'!$H148</f>
        <v>2911027.72</v>
      </c>
      <c r="U148" s="1">
        <f>(($O148*S148)+($P148*S148)+($Q148*S148))*'Prices&amp;Fuel'!$H148</f>
        <v>2900523.3699999996</v>
      </c>
      <c r="V148" s="13">
        <f t="shared" si="162"/>
        <v>10504.350000000559</v>
      </c>
      <c r="AF148" s="1">
        <f>(32000/(1-'Prices&amp;Fuel'!F148))+(25000/(1-'Prices&amp;Fuel'!G148))-AI148</f>
        <v>58611.825192802062</v>
      </c>
      <c r="AG148" s="1">
        <v>0</v>
      </c>
      <c r="AH148" s="1">
        <f>(75000/(1-'Prices&amp;Fuel'!G148))-AK148</f>
        <v>77120.822622107968</v>
      </c>
      <c r="AI148" s="1"/>
      <c r="AJ148" s="1"/>
      <c r="AK148" s="1"/>
      <c r="AL148" s="21">
        <f>ROUND((132000/(1-'Prices&amp;Fuel'!F148))-AF148-AG148-AH148,0)</f>
        <v>0</v>
      </c>
      <c r="AM148" s="1">
        <f t="shared" si="126"/>
        <v>29306</v>
      </c>
      <c r="AO148" s="1">
        <f>ROUND((75000/(1-'Prices&amp;Fuel'!G148)-AV148-AK148)/2,0)</f>
        <v>38560</v>
      </c>
      <c r="AR148" s="1">
        <f t="shared" si="174"/>
        <v>29305.825192802062</v>
      </c>
      <c r="AT148" s="13">
        <f t="shared" si="171"/>
        <v>38560.822622107968</v>
      </c>
      <c r="AU148" s="13">
        <f>AL148*AX148*'Prices&amp;Fuel'!H148</f>
        <v>0</v>
      </c>
      <c r="AW148" s="20">
        <f t="shared" si="173"/>
        <v>0.02</v>
      </c>
      <c r="AX148" s="20">
        <f t="shared" si="172"/>
        <v>1.4999999999999999E-2</v>
      </c>
      <c r="AY148" s="6">
        <f>('Prices&amp;Fuel'!H148*('Prices&amp;Fuel'!B148+AW148)*'Long Term Deals'!AF148)+('Prices&amp;Fuel'!H148*('Prices&amp;Fuel'!C148+'Long Term Deals'!AW148)*'Long Term Deals'!AG148)+(AH148*('Prices&amp;Fuel'!C148+AW148)*'Prices&amp;Fuel'!H148)+(AW148*AL148*'Prices&amp;Fuel'!H148)</f>
        <v>23478680.364917248</v>
      </c>
      <c r="AZ148" s="6">
        <f>(AP148*'Prices&amp;Fuel'!H148*'Prices&amp;Fuel'!B148)+(AQ148*'Prices&amp;Fuel'!C148*'Prices&amp;Fuel'!H148)+((AM148+AR148)*('Prices&amp;Fuel'!B148+'Long Term Deals'!AX148)*'Prices&amp;Fuel'!H148)+((AN148+AS148)*('Prices&amp;Fuel'!C148+'Long Term Deals'!AX148)*'Prices&amp;Fuel'!H148)+((AO148+AT148)*('Prices&amp;Fuel'!D148+'Long Term Deals'!AX148)*'Prices&amp;Fuel'!H148)+(AV148*'Prices&amp;Fuel'!H148*'Prices&amp;Fuel'!Q148)+AU148</f>
        <v>23338104.52944167</v>
      </c>
      <c r="BA148" s="6">
        <f t="shared" si="163"/>
        <v>140575.8354755789</v>
      </c>
      <c r="BB148" s="6">
        <f>IF('FP Corp'!T148-((BE148+BF148+BG148)*(1-'Prices&amp;Fuel'!F148))&lt;'Prices&amp;Fuel'!R148,('FP Corp'!T148-(BE148+BF148+BG148)*(1-'Prices&amp;Fuel'!F148)),'Prices&amp;Fuel'!R148)/(1-'Prices&amp;Fuel'!F148)</f>
        <v>8976.8637532133671</v>
      </c>
      <c r="BC148" s="14"/>
      <c r="BD148" s="14">
        <f>ROUND(IF('FP Corp'!T148/(1-'Prices&amp;Fuel'!F148)-BE148-BF148-BG148-BB148&gt;'Prices&amp;Fuel'!T148,'Prices&amp;Fuel'!T148,'FP Corp'!T148/(1-'Prices&amp;Fuel'!F148)-BE148-BF148-BG148-BB148),9)</f>
        <v>3514.6529562979999</v>
      </c>
      <c r="BE148" s="14">
        <f>'Prices&amp;Fuel'!U148/(1-'Prices&amp;Fuel'!F148)</f>
        <v>2910.025706940874</v>
      </c>
      <c r="BF148" s="14">
        <f>('Prices&amp;Fuel'!V148+'Prices&amp;Fuel'!X148)/(1-'Prices&amp;Fuel'!F148)</f>
        <v>4628.2776349614396</v>
      </c>
      <c r="BG148" s="14">
        <f>'Prices&amp;Fuel'!W148/(1-'Prices&amp;Fuel'!F148)</f>
        <v>1564.0102827763496</v>
      </c>
      <c r="BH148" s="25">
        <f>('Prices&amp;Fuel'!C148+'Prices&amp;Fuel'!D148)/2-0.05+('Prices&amp;Fuel'!M148+'Prices&amp;Fuel'!P148)*(1-'Prices&amp;Fuel'!F148)</f>
        <v>6.2552739344775228</v>
      </c>
      <c r="BI148" s="25"/>
      <c r="BJ148" s="25"/>
      <c r="BK148" s="25">
        <f>(((BB148+BE148)*('Prices&amp;Fuel'!B148+0.025))+(('Prices&amp;Fuel'!D148+0.025)*(BD148+BG148))+(('Prices&amp;Fuel'!C148+0.025)*(BC148+BF148))-(BI148+BJ148)*0.025)/(BB148+BC148+BD148+BE148+BF148+BG148)</f>
        <v>5.566037089239428</v>
      </c>
      <c r="BL148" s="14">
        <f>(BB148+BC148+BD148+BE148+BF148+BG148)*BH148*'Prices&amp;Fuel'!H148</f>
        <v>4187335.0450846581</v>
      </c>
      <c r="BM148" s="14">
        <f>'Prices&amp;Fuel'!X148*('Prices&amp;Fuel'!N148+'Prices&amp;Fuel'!O148)*'Prices&amp;Fuel'!H148</f>
        <v>13833.205057645318</v>
      </c>
      <c r="BN148" s="14">
        <f>('Prices&amp;Fuel'!U148+'Prices&amp;Fuel'!V148+'Prices&amp;Fuel'!W148)*('Prices&amp;Fuel'!L148+'Prices&amp;Fuel'!O148)*'Prices&amp;Fuel'!H148</f>
        <v>108495.99691066272</v>
      </c>
      <c r="BO148" s="14">
        <f>((BB148+BC148+BD148)*(1-'Prices&amp;Fuel'!G148))*('Prices&amp;Fuel'!M148+'Prices&amp;Fuel'!P148)*'Prices&amp;Fuel'!H148</f>
        <v>288278.11399999529</v>
      </c>
      <c r="BP148" s="14">
        <f>((BD148+BC148+BB148+BE148+BF148+BG148)*BK148*'Prices&amp;Fuel'!H148)+BM148+BN148+BO148</f>
        <v>4136561.1926725032</v>
      </c>
      <c r="BQ148" s="6">
        <f t="shared" si="179"/>
        <v>50773.852412154898</v>
      </c>
      <c r="CA148" s="6">
        <f>(AF148+AG148+AH148+AL148)*0.005*'Prices&amp;Fuel'!H148</f>
        <v>21038.560411311057</v>
      </c>
      <c r="CB148" s="6">
        <f>(B148+C148+D148+O148+P148+Q148+X148+Y148+BB148+BC148+BD148+BE148+BF148+BG148+BR148+BS148)*0.005*'Prices&amp;Fuel'!H148</f>
        <v>7237.5437017994554</v>
      </c>
      <c r="CC148" s="1">
        <f t="shared" si="167"/>
        <v>30577043.130001906</v>
      </c>
      <c r="CD148" s="1">
        <f t="shared" si="168"/>
        <v>30403465.196227282</v>
      </c>
      <c r="CE148" s="1">
        <f t="shared" si="169"/>
        <v>173577.93377462402</v>
      </c>
      <c r="CF148" s="1">
        <f>'Index Price Deals'!AR148</f>
        <v>0</v>
      </c>
      <c r="CG148" s="1">
        <f>'Index Price Deals'!AS148</f>
        <v>0</v>
      </c>
      <c r="CH148" s="1">
        <f>'Index Price Deals'!AT148</f>
        <v>0</v>
      </c>
      <c r="CI148" s="1">
        <f>'Index Price Deals'!AU148</f>
        <v>0</v>
      </c>
      <c r="CJ148" s="1">
        <f t="shared" si="164"/>
        <v>30577043.130001906</v>
      </c>
      <c r="CK148" s="1">
        <f t="shared" si="176"/>
        <v>30403465.196227282</v>
      </c>
      <c r="CL148" s="1">
        <f t="shared" si="176"/>
        <v>173577.93377462402</v>
      </c>
      <c r="CM148" s="30"/>
      <c r="CN148" s="1">
        <f>Transport!U148</f>
        <v>4.3920459575019776E-9</v>
      </c>
      <c r="CQ148" s="1">
        <f>(((($B148+$C148+$D148+$O148+$P148+$Q148)*0.5)+BR148+BS148)*(0.005*'Prices&amp;Fuel'!$H148)+'Index Price Deals'!AV148)+(((BB148+BC148+BD148+BE148+BF148+BG148)*(1-'Prices&amp;Fuel'!F148))*0.005*0.5*'Prices&amp;Fuel'!H148)</f>
        <v>3572.749999999985</v>
      </c>
      <c r="CR148" s="1">
        <f>(((($B148+$C148+$D148+$O148+$P148+$Q148)*0.5)+X148+Y148)*(0.005*'Prices&amp;Fuel'!$H148)+CA148+'Index Price Deals'!AW148)+(((BB148+BC148+BD148+BE148+BF148+BG148)*(1-'Prices&amp;Fuel'!F148))*0.005*0.5*'Prices&amp;Fuel'!H148)</f>
        <v>24611.310411311042</v>
      </c>
      <c r="CS148" s="21"/>
      <c r="CT148" s="1">
        <f>[3]Sheet1!$O168</f>
        <v>-309860.01488322119</v>
      </c>
      <c r="CU148" s="1">
        <f>'[4]Long Term Deals'!$Z147</f>
        <v>-31548.019267906231</v>
      </c>
      <c r="CV148" s="60">
        <f t="shared" si="170"/>
        <v>451889.92938993464</v>
      </c>
      <c r="DB148" s="3">
        <f>(O148+P148+Q148)*'Prices&amp;Fuel'!$H148</f>
        <v>778100</v>
      </c>
      <c r="DE148" s="3">
        <v>132000</v>
      </c>
    </row>
    <row r="149" spans="1:109" x14ac:dyDescent="0.25">
      <c r="A149" s="10">
        <f t="shared" si="175"/>
        <v>40128.999999999651</v>
      </c>
      <c r="O149" s="1">
        <v>9036</v>
      </c>
      <c r="P149" s="1">
        <v>10794</v>
      </c>
      <c r="Q149" s="1">
        <v>5270</v>
      </c>
      <c r="R149" s="11">
        <f t="shared" si="177"/>
        <v>3.7412000000000001</v>
      </c>
      <c r="S149" s="11">
        <f t="shared" si="178"/>
        <v>3.7277</v>
      </c>
      <c r="T149" s="1">
        <f>(($O149*R149)+($P149*R149)+($Q149*R149))*'Prices&amp;Fuel'!$H149</f>
        <v>2817123.6</v>
      </c>
      <c r="U149" s="1">
        <f>(($O149*S149)+($P149*S149)+($Q149*S149))*'Prices&amp;Fuel'!$H149</f>
        <v>2806958.0999999996</v>
      </c>
      <c r="V149" s="13">
        <f t="shared" ref="V149:V164" si="180">T149-U149</f>
        <v>10165.500000000466</v>
      </c>
      <c r="AF149" s="1">
        <f>(32000/(1-'Prices&amp;Fuel'!F149))+(25000/(1-'Prices&amp;Fuel'!G149))-AI149</f>
        <v>58611.825192802062</v>
      </c>
      <c r="AG149" s="1">
        <v>0</v>
      </c>
      <c r="AH149" s="1">
        <f>(75000/(1-'Prices&amp;Fuel'!G149))-AK149</f>
        <v>77120.822622107968</v>
      </c>
      <c r="AI149" s="1"/>
      <c r="AJ149" s="1"/>
      <c r="AK149" s="1"/>
      <c r="AL149" s="21">
        <f>ROUND((132000/(1-'Prices&amp;Fuel'!F149))-AF149-AG149-AH149,0)</f>
        <v>0</v>
      </c>
      <c r="AM149" s="1">
        <f t="shared" si="126"/>
        <v>29306</v>
      </c>
      <c r="AO149" s="1">
        <f>ROUND((75000/(1-'Prices&amp;Fuel'!G149)-AV149-AK149)/2,0)</f>
        <v>38560</v>
      </c>
      <c r="AR149" s="1">
        <f t="shared" si="174"/>
        <v>29305.825192802062</v>
      </c>
      <c r="AT149" s="13">
        <f t="shared" si="171"/>
        <v>38560.822622107968</v>
      </c>
      <c r="AU149" s="13">
        <f>AL149*AX149*'Prices&amp;Fuel'!H149</f>
        <v>0</v>
      </c>
      <c r="AW149" s="20">
        <f t="shared" si="173"/>
        <v>0.02</v>
      </c>
      <c r="AX149" s="20">
        <f t="shared" si="172"/>
        <v>1.4999999999999999E-2</v>
      </c>
      <c r="AY149" s="6">
        <f>('Prices&amp;Fuel'!H149*('Prices&amp;Fuel'!B149+AW149)*'Long Term Deals'!AF149)+('Prices&amp;Fuel'!H149*('Prices&amp;Fuel'!C149+'Long Term Deals'!AW149)*'Long Term Deals'!AG149)+(AH149*('Prices&amp;Fuel'!C149+AW149)*'Prices&amp;Fuel'!H149)+(AW149*AL149*'Prices&amp;Fuel'!H149)</f>
        <v>15168619.907780243</v>
      </c>
      <c r="AZ149" s="6">
        <f>(AP149*'Prices&amp;Fuel'!H149*'Prices&amp;Fuel'!B149)+(AQ149*'Prices&amp;Fuel'!C149*'Prices&amp;Fuel'!H149)+((AM149+AR149)*('Prices&amp;Fuel'!B149+'Long Term Deals'!AX149)*'Prices&amp;Fuel'!H149)+((AN149+AS149)*('Prices&amp;Fuel'!C149+'Long Term Deals'!AX149)*'Prices&amp;Fuel'!H149)+((AO149+AT149)*('Prices&amp;Fuel'!D149+'Long Term Deals'!AX149)*'Prices&amp;Fuel'!H149)+(AV149*'Prices&amp;Fuel'!H149*'Prices&amp;Fuel'!Q149)+AU149</f>
        <v>15032578.776674844</v>
      </c>
      <c r="BA149" s="6">
        <f>AY149-AZ149</f>
        <v>136041.13110539876</v>
      </c>
      <c r="BB149" s="6">
        <f>IF('FP Corp'!T149-((BE149+BF149+BG149)*(1-'Prices&amp;Fuel'!F149))&lt;'Prices&amp;Fuel'!R149,('FP Corp'!T149-(BE149+BF149+BG149)*(1-'Prices&amp;Fuel'!F149)),'Prices&amp;Fuel'!R149)/(1-'Prices&amp;Fuel'!F149)</f>
        <v>4325.9640102827761</v>
      </c>
      <c r="BC149" s="14"/>
      <c r="BD149" s="14">
        <f>ROUND(IF('FP Corp'!T149/(1-'Prices&amp;Fuel'!F149)-BE149-BF149-BG149-BB149&gt;'Prices&amp;Fuel'!T149,'Prices&amp;Fuel'!T149,'FP Corp'!T149/(1-'Prices&amp;Fuel'!F149)-BE149-BF149-BG149-BB149),9)</f>
        <v>0</v>
      </c>
      <c r="BE149" s="14">
        <f>'Prices&amp;Fuel'!U149/(1-'Prices&amp;Fuel'!F149)</f>
        <v>2635.4755784061695</v>
      </c>
      <c r="BF149" s="14">
        <f>('Prices&amp;Fuel'!V149+'Prices&amp;Fuel'!X149)/(1-'Prices&amp;Fuel'!F149)</f>
        <v>3645.2442159383031</v>
      </c>
      <c r="BG149" s="14">
        <f>'Prices&amp;Fuel'!W149/(1-'Prices&amp;Fuel'!F149)</f>
        <v>1732.6478149100255</v>
      </c>
      <c r="BH149" s="25">
        <f>('Prices&amp;Fuel'!C149+'Prices&amp;Fuel'!D149)/2-0.05+('Prices&amp;Fuel'!M149+'Prices&amp;Fuel'!P149)*(1-'Prices&amp;Fuel'!F149)</f>
        <v>4.4004797753323954</v>
      </c>
      <c r="BI149" s="25"/>
      <c r="BJ149" s="25"/>
      <c r="BK149" s="25">
        <f>(((BB149+BE149)*('Prices&amp;Fuel'!B149+0.025))+(('Prices&amp;Fuel'!D149+0.025)*(BD149+BG149))+(('Prices&amp;Fuel'!C149+0.025)*(BC149+BF149))-(BI149+BJ149)*0.025)/(BB149+BC149+BD149+BE149+BF149+BG149)</f>
        <v>3.715160191999062</v>
      </c>
      <c r="BL149" s="14">
        <f>(BB149+BC149+BD149+BE149+BF149+BG149)*BH149*'Prices&amp;Fuel'!H149</f>
        <v>1628969.3769867991</v>
      </c>
      <c r="BM149" s="14">
        <f>'Prices&amp;Fuel'!X149*('Prices&amp;Fuel'!N149+'Prices&amp;Fuel'!O149)*'Prices&amp;Fuel'!H149</f>
        <v>9134.1681425398001</v>
      </c>
      <c r="BN149" s="14">
        <f>('Prices&amp;Fuel'!U149+'Prices&amp;Fuel'!V149+'Prices&amp;Fuel'!W149)*('Prices&amp;Fuel'!L149+'Prices&amp;Fuel'!O149)*'Prices&amp;Fuel'!H149</f>
        <v>95086.289155868202</v>
      </c>
      <c r="BO149" s="14">
        <f>((BB149+BC149+BD149)*(1-'Prices&amp;Fuel'!G149))*('Prices&amp;Fuel'!M149+'Prices&amp;Fuel'!P149)*'Prices&amp;Fuel'!H149</f>
        <v>96613.75499999999</v>
      </c>
      <c r="BP149" s="14">
        <f>((BD149+BC149+BB149+BE149+BF149+BG149)*BK149*'Prices&amp;Fuel'!H149)+BM149+BN149+BO149</f>
        <v>1576112.0211618138</v>
      </c>
      <c r="BQ149" s="6">
        <f t="shared" si="179"/>
        <v>52857.355824985309</v>
      </c>
      <c r="CA149" s="6">
        <f>(AF149+AG149+AH149+AL149)*0.005*'Prices&amp;Fuel'!H149</f>
        <v>20359.897172236506</v>
      </c>
      <c r="CB149" s="6">
        <f>(B149+C149+D149+O149+P149+Q149+X149+Y149+BB149+BC149+BD149+BE149+BF149+BG149+BR149+BS149)*0.005*'Prices&amp;Fuel'!H149</f>
        <v>5615.8997429305909</v>
      </c>
      <c r="CC149" s="1">
        <f t="shared" si="167"/>
        <v>19614712.884767041</v>
      </c>
      <c r="CD149" s="1">
        <f t="shared" si="168"/>
        <v>19441624.694751825</v>
      </c>
      <c r="CE149" s="1">
        <f t="shared" si="169"/>
        <v>173088.19001521543</v>
      </c>
      <c r="CF149" s="1">
        <f>'Index Price Deals'!AR149</f>
        <v>0</v>
      </c>
      <c r="CG149" s="1">
        <f>'Index Price Deals'!AS149</f>
        <v>0</v>
      </c>
      <c r="CH149" s="1">
        <f>'Index Price Deals'!AT149</f>
        <v>0</v>
      </c>
      <c r="CI149" s="1">
        <f>'Index Price Deals'!AU149</f>
        <v>0</v>
      </c>
      <c r="CJ149" s="1">
        <f t="shared" ref="CJ149:CJ164" si="181">CC149+CF149</f>
        <v>19614712.884767041</v>
      </c>
      <c r="CK149" s="1">
        <f t="shared" si="176"/>
        <v>19441624.694751825</v>
      </c>
      <c r="CL149" s="1">
        <f t="shared" si="176"/>
        <v>173088.19001521543</v>
      </c>
      <c r="CM149" s="30"/>
      <c r="CN149" s="1">
        <f>Transport!U149</f>
        <v>0</v>
      </c>
      <c r="CQ149" s="1">
        <f>(((($B149+$C149+$D149+$O149+$P149+$Q149)*0.5)+BR149+BS149)*(0.005*'Prices&amp;Fuel'!$H149)+'Index Price Deals'!AV149)+(((BB149+BC149+BD149+BE149+BF149+BG149)*(1-'Prices&amp;Fuel'!F149))*0.005*0.5*'Prices&amp;Fuel'!H149)</f>
        <v>2782.5</v>
      </c>
      <c r="CR149" s="1">
        <f>(((($B149+$C149+$D149+$O149+$P149+$Q149)*0.5)+X149+Y149)*(0.005*'Prices&amp;Fuel'!$H149)+CA149+'Index Price Deals'!AW149)+(((BB149+BC149+BD149+BE149+BF149+BG149)*(1-'Prices&amp;Fuel'!F149))*0.005*0.5*'Prices&amp;Fuel'!H149)</f>
        <v>23142.397172236506</v>
      </c>
      <c r="CS149" s="21"/>
      <c r="CT149" s="1">
        <f>[3]Sheet1!$O169</f>
        <v>-299864.5305321496</v>
      </c>
      <c r="CU149" s="1">
        <f>'[4]Long Term Deals'!$Z148</f>
        <v>-30530.341227006029</v>
      </c>
      <c r="CV149" s="60">
        <f t="shared" si="170"/>
        <v>442422.37932035897</v>
      </c>
      <c r="DB149" s="3">
        <f>(O149+P149+Q149)*'Prices&amp;Fuel'!$H149</f>
        <v>753000</v>
      </c>
      <c r="DE149" s="3">
        <v>132000</v>
      </c>
    </row>
    <row r="150" spans="1:109" x14ac:dyDescent="0.25">
      <c r="A150" s="10">
        <f t="shared" si="175"/>
        <v>40159.416666666315</v>
      </c>
      <c r="O150" s="1">
        <v>9036</v>
      </c>
      <c r="P150" s="1">
        <v>10794</v>
      </c>
      <c r="Q150" s="1">
        <v>5270</v>
      </c>
      <c r="R150" s="11">
        <f t="shared" si="177"/>
        <v>3.7412000000000001</v>
      </c>
      <c r="S150" s="11">
        <f t="shared" si="178"/>
        <v>3.7277</v>
      </c>
      <c r="T150" s="1">
        <f>(($O150*R150)+($P150*R150)+($Q150*R150))*'Prices&amp;Fuel'!$H150</f>
        <v>2911027.72</v>
      </c>
      <c r="U150" s="1">
        <f>(($O150*S150)+($P150*S150)+($Q150*S150))*'Prices&amp;Fuel'!$H150</f>
        <v>2900523.3699999996</v>
      </c>
      <c r="V150" s="13">
        <f t="shared" si="180"/>
        <v>10504.350000000559</v>
      </c>
      <c r="AF150" s="1">
        <f>(32000/(1-'Prices&amp;Fuel'!F150))+(25000/(1-'Prices&amp;Fuel'!G150))-AI150</f>
        <v>58611.825192802062</v>
      </c>
      <c r="AG150" s="1">
        <v>0</v>
      </c>
      <c r="AH150" s="1">
        <f>(75000/(1-'Prices&amp;Fuel'!G150))-AK150</f>
        <v>77120.822622107968</v>
      </c>
      <c r="AI150" s="1"/>
      <c r="AJ150" s="1"/>
      <c r="AK150" s="1"/>
      <c r="AL150" s="21">
        <f>ROUND((132000/(1-'Prices&amp;Fuel'!F150))-AF150-AG150-AH150,0)</f>
        <v>0</v>
      </c>
      <c r="AM150" s="1">
        <f t="shared" si="126"/>
        <v>29306</v>
      </c>
      <c r="AO150" s="1">
        <f>ROUND((75000/(1-'Prices&amp;Fuel'!G150)-AV150-AK150)/2,0)</f>
        <v>38560</v>
      </c>
      <c r="AR150" s="1">
        <f t="shared" si="174"/>
        <v>29305.825192802062</v>
      </c>
      <c r="AT150" s="13">
        <f t="shared" si="171"/>
        <v>38560.822622107968</v>
      </c>
      <c r="AU150" s="13">
        <f>AL150*AX150*'Prices&amp;Fuel'!H150</f>
        <v>0</v>
      </c>
      <c r="AW150" s="20">
        <f t="shared" si="173"/>
        <v>0.02</v>
      </c>
      <c r="AX150" s="20">
        <f t="shared" si="172"/>
        <v>1.4999999999999999E-2</v>
      </c>
      <c r="AY150" s="6">
        <f>('Prices&amp;Fuel'!H150*('Prices&amp;Fuel'!B150+AW150)*'Long Term Deals'!AF150)+('Prices&amp;Fuel'!H150*('Prices&amp;Fuel'!C150+'Long Term Deals'!AW150)*'Long Term Deals'!AG150)+(AH150*('Prices&amp;Fuel'!C150+AW150)*'Prices&amp;Fuel'!H150)+(AW150*AL150*'Prices&amp;Fuel'!H150)</f>
        <v>11704352.121477537</v>
      </c>
      <c r="AZ150" s="6">
        <f>(AP150*'Prices&amp;Fuel'!H150*'Prices&amp;Fuel'!B150)+(AQ150*'Prices&amp;Fuel'!C150*'Prices&amp;Fuel'!H150)+((AM150+AR150)*('Prices&amp;Fuel'!B150+'Long Term Deals'!AX150)*'Prices&amp;Fuel'!H150)+((AN150+AS150)*('Prices&amp;Fuel'!C150+'Long Term Deals'!AX150)*'Prices&amp;Fuel'!H150)+((AO150+AT150)*('Prices&amp;Fuel'!D150+'Long Term Deals'!AX150)*'Prices&amp;Fuel'!H150)+(AV150*'Prices&amp;Fuel'!H150*'Prices&amp;Fuel'!Q150)+AU150</f>
        <v>11563776.286001958</v>
      </c>
      <c r="BA150" s="6">
        <f>AY150-AZ150</f>
        <v>140575.8354755789</v>
      </c>
      <c r="BB150" s="6">
        <f>IF('FP Corp'!T150-((BE150+BF150+BG150)*(1-'Prices&amp;Fuel'!F150))&lt;'Prices&amp;Fuel'!R150,('FP Corp'!T150-(BE150+BF150+BG150)*(1-'Prices&amp;Fuel'!F150)),'Prices&amp;Fuel'!R150)/(1-'Prices&amp;Fuel'!F150)</f>
        <v>4325.9640102827761</v>
      </c>
      <c r="BC150" s="14"/>
      <c r="BD150" s="14">
        <f>ROUND(IF('FP Corp'!T150/(1-'Prices&amp;Fuel'!F150)-BE150-BF150-BG150-BB150&gt;'Prices&amp;Fuel'!T150,'Prices&amp;Fuel'!T150,'FP Corp'!T150/(1-'Prices&amp;Fuel'!F150)-BE150-BF150-BG150-BB150),9)</f>
        <v>0</v>
      </c>
      <c r="BE150" s="14">
        <f>'Prices&amp;Fuel'!U150/(1-'Prices&amp;Fuel'!F150)</f>
        <v>2635.4755784061695</v>
      </c>
      <c r="BF150" s="14">
        <f>('Prices&amp;Fuel'!V150+'Prices&amp;Fuel'!X150)/(1-'Prices&amp;Fuel'!F150)</f>
        <v>3645.2442159383031</v>
      </c>
      <c r="BG150" s="14">
        <f>'Prices&amp;Fuel'!W150/(1-'Prices&amp;Fuel'!F150)</f>
        <v>1732.6478149100255</v>
      </c>
      <c r="BH150" s="25">
        <f>('Prices&amp;Fuel'!C150+'Prices&amp;Fuel'!D150)/2-0.05+('Prices&amp;Fuel'!M150+'Prices&amp;Fuel'!P150)*(1-'Prices&amp;Fuel'!F150)</f>
        <v>3.457000665478227</v>
      </c>
      <c r="BI150" s="25"/>
      <c r="BJ150" s="25"/>
      <c r="BK150" s="25">
        <f>(((BB150+BE150)*('Prices&amp;Fuel'!B150+0.025))+(('Prices&amp;Fuel'!D150+0.025)*(BD150+BG150))+(('Prices&amp;Fuel'!C150+0.025)*(BC150+BF150))-(BI150+BJ150)*0.025)/(BB150+BC150+BD150+BE150+BF150+BG150)</f>
        <v>2.7716810821448932</v>
      </c>
      <c r="BL150" s="14">
        <f>(BB150+BC150+BD150+BE150+BF150+BG150)*BH150*'Prices&amp;Fuel'!H150</f>
        <v>1322369.4062292033</v>
      </c>
      <c r="BM150" s="14">
        <f>'Prices&amp;Fuel'!X150*('Prices&amp;Fuel'!N150+'Prices&amp;Fuel'!O150)*'Prices&amp;Fuel'!H150</f>
        <v>9438.6404139577935</v>
      </c>
      <c r="BN150" s="14">
        <f>('Prices&amp;Fuel'!U150+'Prices&amp;Fuel'!V150+'Prices&amp;Fuel'!W150)*('Prices&amp;Fuel'!L150+'Prices&amp;Fuel'!O150)*'Prices&amp;Fuel'!H150</f>
        <v>98255.832127730479</v>
      </c>
      <c r="BO150" s="14">
        <f>((BB150+BC150+BD150)*(1-'Prices&amp;Fuel'!G150))*('Prices&amp;Fuel'!M150+'Prices&amp;Fuel'!P150)*'Prices&amp;Fuel'!H150</f>
        <v>99834.213499999998</v>
      </c>
      <c r="BP150" s="14">
        <f>((BD150+BC150+BB150+BE150+BF150+BG150)*BK150*'Prices&amp;Fuel'!H150)+BM150+BN150+BO150</f>
        <v>1267750.1385433851</v>
      </c>
      <c r="BQ150" s="6">
        <f t="shared" si="179"/>
        <v>54619.267685818253</v>
      </c>
      <c r="CA150" s="6">
        <f>(AF150+AG150+AH150+AL150)*0.005*'Prices&amp;Fuel'!H150</f>
        <v>21038.560411311057</v>
      </c>
      <c r="CB150" s="6">
        <f>(B150+C150+D150+O150+P150+Q150+X150+Y150+BB150+BC150+BD150+BE150+BF150+BG150+BR150+BS150)*0.005*'Prices&amp;Fuel'!H150</f>
        <v>5803.0964010282778</v>
      </c>
      <c r="CC150" s="1">
        <f t="shared" ref="CC150:CC165" si="182">K150+T150+AB150+AY150+BL150+BX150</f>
        <v>15937749.247706741</v>
      </c>
      <c r="CD150" s="1">
        <f t="shared" ref="CD150:CD165" si="183">L150+U150+AC150+AZ150+BP150+BY150+CA150+CB150</f>
        <v>15758891.451357681</v>
      </c>
      <c r="CE150" s="1">
        <f t="shared" ref="CE150:CE165" si="184">CC150-CD150</f>
        <v>178857.79634905979</v>
      </c>
      <c r="CF150" s="1">
        <f>'Index Price Deals'!AR150</f>
        <v>0</v>
      </c>
      <c r="CG150" s="1">
        <f>'Index Price Deals'!AS150</f>
        <v>0</v>
      </c>
      <c r="CH150" s="1">
        <f>'Index Price Deals'!AT150</f>
        <v>0</v>
      </c>
      <c r="CI150" s="1">
        <f>'Index Price Deals'!AU150</f>
        <v>0</v>
      </c>
      <c r="CJ150" s="1">
        <f t="shared" si="181"/>
        <v>15937749.247706741</v>
      </c>
      <c r="CK150" s="1">
        <f t="shared" si="176"/>
        <v>15758891.451357681</v>
      </c>
      <c r="CL150" s="1">
        <f t="shared" si="176"/>
        <v>178857.79634905979</v>
      </c>
      <c r="CM150" s="1">
        <f>SUM(CL139:CL150)</f>
        <v>1922374.707661489</v>
      </c>
      <c r="CN150" s="1">
        <f>Transport!U150</f>
        <v>0</v>
      </c>
      <c r="CQ150" s="1">
        <f>(((($B150+$C150+$D150+$O150+$P150+$Q150)*0.5)+BR150+BS150)*(0.005*'Prices&amp;Fuel'!$H150)+'Index Price Deals'!AV150)+(((BB150+BC150+BD150+BE150+BF150+BG150)*(1-'Prices&amp;Fuel'!F150))*0.005*0.5*'Prices&amp;Fuel'!H150)</f>
        <v>2875.25</v>
      </c>
      <c r="CR150" s="1">
        <f>(((($B150+$C150+$D150+$O150+$P150+$Q150)*0.5)+X150+Y150)*(0.005*'Prices&amp;Fuel'!$H150)+CA150+'Index Price Deals'!AW150)+(((BB150+BC150+BD150+BE150+BF150+BG150)*(1-'Prices&amp;Fuel'!F150))*0.005*0.5*'Prices&amp;Fuel'!H150)</f>
        <v>23913.810411311057</v>
      </c>
      <c r="CS150" s="21"/>
      <c r="CT150" s="1">
        <f>[3]Sheet1!$O170</f>
        <v>-309860.01488322119</v>
      </c>
      <c r="CU150" s="1">
        <f>'[4]Long Term Deals'!$Z149</f>
        <v>-31548.019267906231</v>
      </c>
      <c r="CV150" s="60">
        <f t="shared" si="170"/>
        <v>457169.79196437472</v>
      </c>
      <c r="DB150" s="3">
        <f>(O150+P150+Q150)*'Prices&amp;Fuel'!$H150</f>
        <v>778100</v>
      </c>
      <c r="DE150" s="3">
        <v>132000</v>
      </c>
    </row>
    <row r="151" spans="1:109" x14ac:dyDescent="0.25">
      <c r="A151" s="10">
        <f t="shared" si="175"/>
        <v>40189.833333332979</v>
      </c>
      <c r="O151" s="1">
        <v>9036</v>
      </c>
      <c r="P151" s="1">
        <v>10794</v>
      </c>
      <c r="Q151" s="1">
        <v>5270</v>
      </c>
      <c r="R151" s="11">
        <f t="shared" si="177"/>
        <v>3.7412000000000001</v>
      </c>
      <c r="S151" s="11">
        <f t="shared" si="178"/>
        <v>3.7277</v>
      </c>
      <c r="T151" s="1">
        <f>(($O151*R151)+($P151*R151)+($Q151*R151))*'Prices&amp;Fuel'!$H151</f>
        <v>2911027.72</v>
      </c>
      <c r="U151" s="1">
        <f>(($O151*S151)+($P151*S151)+($Q151*S151))*'Prices&amp;Fuel'!$H151</f>
        <v>2900523.3699999996</v>
      </c>
      <c r="V151" s="13">
        <f t="shared" si="180"/>
        <v>10504.350000000559</v>
      </c>
      <c r="AF151" s="1">
        <f>(32000/(1-'Prices&amp;Fuel'!F151))+(25000/(1-'Prices&amp;Fuel'!G151))-AI151</f>
        <v>58611.825192802062</v>
      </c>
      <c r="AG151" s="1">
        <v>0</v>
      </c>
      <c r="AH151" s="1">
        <f>(75000/(1-'Prices&amp;Fuel'!G151))-AK151</f>
        <v>77120.822622107968</v>
      </c>
      <c r="AI151" s="1"/>
      <c r="AJ151" s="1"/>
      <c r="AK151" s="1"/>
      <c r="AL151" s="21">
        <f>ROUND((132000/(1-'Prices&amp;Fuel'!F151))-AF151-AG151-AH151,0)</f>
        <v>0</v>
      </c>
      <c r="AM151" s="1">
        <f t="shared" si="126"/>
        <v>29306</v>
      </c>
      <c r="AO151" s="1">
        <f>ROUND((75000/(1-'Prices&amp;Fuel'!G151)-AV151-AK151)/2,0)</f>
        <v>38560</v>
      </c>
      <c r="AR151" s="1">
        <f t="shared" si="174"/>
        <v>29305.825192802062</v>
      </c>
      <c r="AT151" s="13">
        <f t="shared" si="171"/>
        <v>38560.822622107968</v>
      </c>
      <c r="AU151" s="13">
        <f>AL151*AX151*'Prices&amp;Fuel'!H151</f>
        <v>0</v>
      </c>
      <c r="AW151" s="20">
        <v>0.02</v>
      </c>
      <c r="AX151" s="20">
        <f t="shared" si="172"/>
        <v>1.4999999999999999E-2</v>
      </c>
      <c r="AY151" s="6">
        <f>('Prices&amp;Fuel'!H151*('Prices&amp;Fuel'!B151+AW151)*'Long Term Deals'!AF151)+('Prices&amp;Fuel'!H151*('Prices&amp;Fuel'!C151+'Long Term Deals'!AW151)*'Long Term Deals'!AG151)+(AH151*('Prices&amp;Fuel'!C151+AW151)*'Prices&amp;Fuel'!H151)+(AW151*AL151*'Prices&amp;Fuel'!H151)</f>
        <v>10318049.02982657</v>
      </c>
      <c r="AZ151" s="6">
        <f>(AP151*'Prices&amp;Fuel'!H151*'Prices&amp;Fuel'!B151)+(AQ151*'Prices&amp;Fuel'!C151*'Prices&amp;Fuel'!H151)+((AM151+AR151)*('Prices&amp;Fuel'!B151+'Long Term Deals'!AX151)*'Prices&amp;Fuel'!H151)+((AN151+AS151)*('Prices&amp;Fuel'!C151+'Long Term Deals'!AX151)*'Prices&amp;Fuel'!H151)+((AO151+AT151)*('Prices&amp;Fuel'!D151+'Long Term Deals'!AX151)*'Prices&amp;Fuel'!H151)+(AV151*'Prices&amp;Fuel'!H151*'Prices&amp;Fuel'!Q151)+AU151</f>
        <v>10177473.194350991</v>
      </c>
      <c r="BA151" s="6">
        <f>AY151-AZ151</f>
        <v>140575.8354755789</v>
      </c>
      <c r="BB151" s="6">
        <f>IF('FP Corp'!T151-((BE151+BF151+BG151)*(1-'Prices&amp;Fuel'!F151))&lt;'Prices&amp;Fuel'!R151,('FP Corp'!T151-(BE151+BF151+BG151)*(1-'Prices&amp;Fuel'!F151)),'Prices&amp;Fuel'!R151)/(1-'Prices&amp;Fuel'!F151)</f>
        <v>4325.9640102827761</v>
      </c>
      <c r="BC151" s="14"/>
      <c r="BD151" s="14">
        <f>ROUND(IF('FP Corp'!T151/(1-'Prices&amp;Fuel'!F151)-BE151-BF151-BG151-BB151&gt;'Prices&amp;Fuel'!T151,'Prices&amp;Fuel'!T151,'FP Corp'!T151/(1-'Prices&amp;Fuel'!F151)-BE151-BF151-BG151-BB151),9)</f>
        <v>0</v>
      </c>
      <c r="BE151" s="14">
        <f>'Prices&amp;Fuel'!U151/(1-'Prices&amp;Fuel'!F151)</f>
        <v>2635.4755784061695</v>
      </c>
      <c r="BF151" s="14">
        <f>('Prices&amp;Fuel'!V151+'Prices&amp;Fuel'!X151)/(1-'Prices&amp;Fuel'!F151)</f>
        <v>3645.2442159383031</v>
      </c>
      <c r="BG151" s="14">
        <f>'Prices&amp;Fuel'!W151/(1-'Prices&amp;Fuel'!F151)</f>
        <v>1732.6478149100255</v>
      </c>
      <c r="BH151" s="25">
        <f>('Prices&amp;Fuel'!C151+'Prices&amp;Fuel'!D151)/2-0.05+('Prices&amp;Fuel'!M151+'Prices&amp;Fuel'!P151)*(1-'Prices&amp;Fuel'!F151)</f>
        <v>3.127533471775743</v>
      </c>
      <c r="BI151" s="25"/>
      <c r="BJ151" s="25"/>
      <c r="BK151" s="25">
        <f>(((BB151+BE151)*('Prices&amp;Fuel'!B151+0.025))+(('Prices&amp;Fuel'!D151+0.025)*(BD151+BG151))+(('Prices&amp;Fuel'!C151+0.025)*(BC151+BF151))-(BI151+BJ151)*0.025)/(BB151+BC151+BD151+BE151+BF151+BG151)</f>
        <v>2.4422138884424092</v>
      </c>
      <c r="BL151" s="14">
        <f>(BB151+BC151+BD151+BE151+BF151+BG151)*BH151*'Prices&amp;Fuel'!H151</f>
        <v>1196341.8524427519</v>
      </c>
      <c r="BM151" s="14">
        <f>'Prices&amp;Fuel'!X151*('Prices&amp;Fuel'!N151+'Prices&amp;Fuel'!O151)*'Prices&amp;Fuel'!H151</f>
        <v>9438.6404139577935</v>
      </c>
      <c r="BN151" s="14">
        <f>('Prices&amp;Fuel'!U151+'Prices&amp;Fuel'!V151+'Prices&amp;Fuel'!W151)*('Prices&amp;Fuel'!L151+'Prices&amp;Fuel'!O151)*'Prices&amp;Fuel'!H151</f>
        <v>98255.832127730479</v>
      </c>
      <c r="BO151" s="14">
        <f>((BB151+BC151+BD151)*(1-'Prices&amp;Fuel'!G151))*('Prices&amp;Fuel'!M151+'Prices&amp;Fuel'!P151)*'Prices&amp;Fuel'!H151</f>
        <v>99834.213499999998</v>
      </c>
      <c r="BP151" s="14">
        <f>((BD151+BC151+BB151+BE151+BF151+BG151)*BK151*'Prices&amp;Fuel'!H151)+BM151+BN151+BO151</f>
        <v>1141722.5847569336</v>
      </c>
      <c r="BQ151" s="6">
        <f t="shared" si="179"/>
        <v>54619.267685818253</v>
      </c>
      <c r="CA151" s="6">
        <f>(AF151+AG151+AH151+AL151)*0.005*'Prices&amp;Fuel'!H151</f>
        <v>21038.560411311057</v>
      </c>
      <c r="CB151" s="6">
        <f>(B151+C151+D151+O151+P151+Q151+X151+Y151+BB151+BC151+BD151+BE151+BF151+BG151+BR151+BS151)*0.005*'Prices&amp;Fuel'!H151</f>
        <v>5803.0964010282778</v>
      </c>
      <c r="CC151" s="1">
        <f t="shared" si="182"/>
        <v>14425418.602269324</v>
      </c>
      <c r="CD151" s="1">
        <f t="shared" si="183"/>
        <v>14246560.805920264</v>
      </c>
      <c r="CE151" s="1">
        <f t="shared" si="184"/>
        <v>178857.79634905979</v>
      </c>
      <c r="CF151" s="1">
        <f>'Index Price Deals'!AR151</f>
        <v>0</v>
      </c>
      <c r="CG151" s="1">
        <f>'Index Price Deals'!AS151</f>
        <v>0</v>
      </c>
      <c r="CH151" s="1">
        <f>'Index Price Deals'!AT151</f>
        <v>0</v>
      </c>
      <c r="CI151" s="1">
        <f>'Index Price Deals'!AU151</f>
        <v>0</v>
      </c>
      <c r="CJ151" s="1">
        <f t="shared" si="181"/>
        <v>14425418.602269324</v>
      </c>
      <c r="CK151" s="1">
        <f t="shared" si="176"/>
        <v>14246560.805920264</v>
      </c>
      <c r="CL151" s="1">
        <f t="shared" si="176"/>
        <v>178857.79634905979</v>
      </c>
      <c r="CM151" s="30"/>
      <c r="CN151" s="1">
        <f>Transport!U151</f>
        <v>0</v>
      </c>
      <c r="CQ151" s="1">
        <f>(((($B151+$C151+$D151+$O151+$P151+$Q151)*0.5)+BR151+BS151)*(0.005*'Prices&amp;Fuel'!$H151)+'Index Price Deals'!AV151)+(((BB151+BC151+BD151+BE151+BF151+BG151)*(1-'Prices&amp;Fuel'!F151))*0.005*0.5*'Prices&amp;Fuel'!H151)</f>
        <v>2875.25</v>
      </c>
      <c r="CR151" s="1">
        <f>(((($B151+$C151+$D151+$O151+$P151+$Q151)*0.5)+X151+Y151)*(0.005*'Prices&amp;Fuel'!$H151)+CA151+'Index Price Deals'!AW151)+(((BB151+BC151+BD151+BE151+BF151+BG151)*(1-'Prices&amp;Fuel'!F151))*0.005*0.5*'Prices&amp;Fuel'!H151)</f>
        <v>23913.810411311057</v>
      </c>
      <c r="CS151" s="21"/>
      <c r="CT151" s="1">
        <f>[3]Sheet1!$O172</f>
        <v>-309860.01488322119</v>
      </c>
      <c r="CU151" s="1">
        <f>'[4]Long Term Deals'!$Z150</f>
        <v>-31548.019267906231</v>
      </c>
      <c r="CV151" s="60">
        <f t="shared" si="170"/>
        <v>457169.79196437472</v>
      </c>
      <c r="DB151" s="3">
        <f>(O151+P151+Q151)*'Prices&amp;Fuel'!$H151</f>
        <v>778100</v>
      </c>
      <c r="DE151" s="3">
        <v>132000</v>
      </c>
    </row>
    <row r="152" spans="1:109" x14ac:dyDescent="0.25">
      <c r="A152" s="10">
        <f t="shared" si="175"/>
        <v>40220.249999999643</v>
      </c>
      <c r="O152" s="1">
        <v>9036</v>
      </c>
      <c r="P152" s="1">
        <v>10794</v>
      </c>
      <c r="Q152" s="1">
        <v>5270</v>
      </c>
      <c r="R152" s="11">
        <f t="shared" si="177"/>
        <v>3.7412000000000001</v>
      </c>
      <c r="S152" s="11">
        <f t="shared" si="178"/>
        <v>3.7277</v>
      </c>
      <c r="T152" s="1">
        <f>(($O152*R152)+($P152*R152)+($Q152*R152))*'Prices&amp;Fuel'!$H152</f>
        <v>2629315.3600000003</v>
      </c>
      <c r="U152" s="1">
        <f>(($O152*S152)+($P152*S152)+($Q152*S152))*'Prices&amp;Fuel'!$H152</f>
        <v>2619827.5599999996</v>
      </c>
      <c r="V152" s="13">
        <f t="shared" si="180"/>
        <v>9487.8000000007451</v>
      </c>
      <c r="AF152" s="1">
        <f>(32000/(1-'Prices&amp;Fuel'!F152))+(25000/(1-'Prices&amp;Fuel'!G152))-AI152</f>
        <v>58611.825192802062</v>
      </c>
      <c r="AG152" s="1">
        <v>0</v>
      </c>
      <c r="AH152" s="1">
        <f>(75000/(1-'Prices&amp;Fuel'!G152))-AK152</f>
        <v>77120.822622107968</v>
      </c>
      <c r="AI152" s="1"/>
      <c r="AJ152" s="1"/>
      <c r="AK152" s="1"/>
      <c r="AL152" s="21">
        <f>ROUND((132000/(1-'Prices&amp;Fuel'!F152))-AF152-AG152-AH152,0)</f>
        <v>0</v>
      </c>
      <c r="AM152" s="1">
        <f t="shared" si="126"/>
        <v>29306</v>
      </c>
      <c r="AO152" s="1">
        <f>ROUND((75000/(1-'Prices&amp;Fuel'!G152)-AV152-AK152)/2,0)</f>
        <v>38560</v>
      </c>
      <c r="AR152" s="1">
        <f t="shared" si="174"/>
        <v>29305.825192802062</v>
      </c>
      <c r="AT152" s="13">
        <f t="shared" si="171"/>
        <v>38560.822622107968</v>
      </c>
      <c r="AU152" s="13">
        <f>AL152*AX152*'Prices&amp;Fuel'!H152</f>
        <v>0</v>
      </c>
      <c r="AW152" s="20">
        <f>AW151</f>
        <v>0.02</v>
      </c>
      <c r="AX152" s="20">
        <f t="shared" si="172"/>
        <v>1.4999999999999999E-2</v>
      </c>
      <c r="AY152" s="6">
        <f>('Prices&amp;Fuel'!H152*('Prices&amp;Fuel'!B152+AW152)*'Long Term Deals'!AF152)+('Prices&amp;Fuel'!H152*('Prices&amp;Fuel'!C152+'Long Term Deals'!AW152)*'Long Term Deals'!AG152)+(AH152*('Prices&amp;Fuel'!C152+AW152)*'Prices&amp;Fuel'!H152)+(AW152*AL152*'Prices&amp;Fuel'!H152)</f>
        <v>10430689.455386646</v>
      </c>
      <c r="AZ152" s="6">
        <f>(AP152*'Prices&amp;Fuel'!H152*'Prices&amp;Fuel'!B152)+(AQ152*'Prices&amp;Fuel'!C152*'Prices&amp;Fuel'!H152)+((AM152+AR152)*('Prices&amp;Fuel'!B152+'Long Term Deals'!AX152)*'Prices&amp;Fuel'!H152)+((AN152+AS152)*('Prices&amp;Fuel'!C152+'Long Term Deals'!AX152)*'Prices&amp;Fuel'!H152)+((AO152+AT152)*('Prices&amp;Fuel'!D152+'Long Term Deals'!AX152)*'Prices&amp;Fuel'!H152)+(AV152*'Prices&amp;Fuel'!H152*'Prices&amp;Fuel'!Q152)+AU152</f>
        <v>10303717.733021609</v>
      </c>
      <c r="BA152" s="6">
        <f>AY152-AZ152</f>
        <v>126971.72236503661</v>
      </c>
      <c r="BB152" s="6">
        <f>IF('FP Corp'!T152-((BE152+BF152+BG152)*(1-'Prices&amp;Fuel'!F152))&lt;'Prices&amp;Fuel'!R152,('FP Corp'!T152-(BE152+BF152+BG152)*(1-'Prices&amp;Fuel'!F152)),'Prices&amp;Fuel'!R152)/(1-'Prices&amp;Fuel'!F152)</f>
        <v>4325.9640102827761</v>
      </c>
      <c r="BC152" s="14"/>
      <c r="BD152" s="14">
        <f>ROUND(IF('FP Corp'!T152/(1-'Prices&amp;Fuel'!F152)-BE152-BF152-BG152-BB152&gt;'Prices&amp;Fuel'!T152,'Prices&amp;Fuel'!T152,'FP Corp'!T152/(1-'Prices&amp;Fuel'!F152)-BE152-BF152-BG152-BB152),9)</f>
        <v>0</v>
      </c>
      <c r="BE152" s="14">
        <f>'Prices&amp;Fuel'!U152/(1-'Prices&amp;Fuel'!F152)</f>
        <v>2635.4755784061695</v>
      </c>
      <c r="BF152" s="14">
        <f>('Prices&amp;Fuel'!V152+'Prices&amp;Fuel'!X152)/(1-'Prices&amp;Fuel'!F152)</f>
        <v>3645.2442159383031</v>
      </c>
      <c r="BG152" s="14">
        <f>'Prices&amp;Fuel'!W152/(1-'Prices&amp;Fuel'!F152)</f>
        <v>1732.6478149100255</v>
      </c>
      <c r="BH152" s="25">
        <f>('Prices&amp;Fuel'!C152+'Prices&amp;Fuel'!D152)/2-0.05+('Prices&amp;Fuel'!M152+'Prices&amp;Fuel'!P152)*(1-'Prices&amp;Fuel'!F152)</f>
        <v>3.4199047822953235</v>
      </c>
      <c r="BI152" s="25"/>
      <c r="BJ152" s="25"/>
      <c r="BK152" s="25">
        <f>(((BB152+BE152)*('Prices&amp;Fuel'!B152+0.025))+(('Prices&amp;Fuel'!D152+0.025)*(BD152+BG152))+(('Prices&amp;Fuel'!C152+0.025)*(BC152+BF152))-(BI152+BJ152)*0.025)/(BB152+BC152+BD152+BE152+BF152+BG152)</f>
        <v>2.7345851989619896</v>
      </c>
      <c r="BL152" s="14">
        <f>(BB152+BC152+BD152+BE152+BF152+BG152)*BH152*'Prices&amp;Fuel'!H152</f>
        <v>1181581.4980475358</v>
      </c>
      <c r="BM152" s="14">
        <f>'Prices&amp;Fuel'!X152*('Prices&amp;Fuel'!N152+'Prices&amp;Fuel'!O152)*'Prices&amp;Fuel'!H152</f>
        <v>8525.2235997038133</v>
      </c>
      <c r="BN152" s="14">
        <f>('Prices&amp;Fuel'!U152+'Prices&amp;Fuel'!V152+'Prices&amp;Fuel'!W152)*('Prices&amp;Fuel'!L152+'Prices&amp;Fuel'!O152)*'Prices&amp;Fuel'!H152</f>
        <v>88747.203212143664</v>
      </c>
      <c r="BO152" s="14">
        <f>((BB152+BC152+BD152)*(1-'Prices&amp;Fuel'!G152))*('Prices&amp;Fuel'!M152+'Prices&amp;Fuel'!P152)*'Prices&amp;Fuel'!H152</f>
        <v>90172.837999999989</v>
      </c>
      <c r="BP152" s="14">
        <f>((BD152+BC152+BB152+BE152+BF152+BG152)*BK152*'Prices&amp;Fuel'!H152)+BM152+BN152+BO152</f>
        <v>1132247.9659442161</v>
      </c>
      <c r="BQ152" s="6">
        <f t="shared" si="179"/>
        <v>49333.532103319652</v>
      </c>
      <c r="CA152" s="6">
        <f>(AF152+AG152+AH152+AL152)*0.005*'Prices&amp;Fuel'!H152</f>
        <v>19002.570694087408</v>
      </c>
      <c r="CB152" s="6">
        <f>(B152+C152+D152+O152+P152+Q152+X152+Y152+BB152+BC152+BD152+BE152+BF152+BG152+BR152+BS152)*0.005*'Prices&amp;Fuel'!H152</f>
        <v>5241.5064267352182</v>
      </c>
      <c r="CC152" s="1">
        <f t="shared" si="182"/>
        <v>14241586.313434182</v>
      </c>
      <c r="CD152" s="1">
        <f t="shared" si="183"/>
        <v>14080037.336086646</v>
      </c>
      <c r="CE152" s="1">
        <f t="shared" si="184"/>
        <v>161548.97734753601</v>
      </c>
      <c r="CF152" s="1">
        <f>'Index Price Deals'!AR152</f>
        <v>0</v>
      </c>
      <c r="CG152" s="1">
        <f>'Index Price Deals'!AS152</f>
        <v>0</v>
      </c>
      <c r="CH152" s="1">
        <f>'Index Price Deals'!AT152</f>
        <v>0</v>
      </c>
      <c r="CI152" s="1">
        <f>'Index Price Deals'!AU152</f>
        <v>0</v>
      </c>
      <c r="CJ152" s="1">
        <f t="shared" si="181"/>
        <v>14241586.313434182</v>
      </c>
      <c r="CK152" s="1">
        <f t="shared" si="176"/>
        <v>14080037.336086646</v>
      </c>
      <c r="CL152" s="1">
        <f t="shared" si="176"/>
        <v>161548.97734753601</v>
      </c>
      <c r="CM152" s="30"/>
      <c r="CN152" s="1">
        <f>Transport!U152</f>
        <v>0</v>
      </c>
      <c r="CQ152" s="1">
        <f>(((($B152+$C152+$D152+$O152+$P152+$Q152)*0.5)+BR152+BS152)*(0.005*'Prices&amp;Fuel'!$H152)+'Index Price Deals'!AV152)+(((BB152+BC152+BD152+BE152+BF152+BG152)*(1-'Prices&amp;Fuel'!F152))*0.005*0.5*'Prices&amp;Fuel'!H152)</f>
        <v>2597</v>
      </c>
      <c r="CR152" s="1">
        <f>(((($B152+$C152+$D152+$O152+$P152+$Q152)*0.5)+X152+Y152)*(0.005*'Prices&amp;Fuel'!$H152)+CA152+'Index Price Deals'!AW152)+(((BB152+BC152+BD152+BE152+BF152+BG152)*(1-'Prices&amp;Fuel'!F152))*0.005*0.5*'Prices&amp;Fuel'!H152)</f>
        <v>21599.570694087408</v>
      </c>
      <c r="CS152" s="21"/>
      <c r="CT152" s="1">
        <f>[3]Sheet1!$O173</f>
        <v>-279873.56183000625</v>
      </c>
      <c r="CU152" s="1">
        <f>'[4]Long Term Deals'!$Z151</f>
        <v>-28494.985145205632</v>
      </c>
      <c r="CV152" s="60">
        <f t="shared" si="170"/>
        <v>412927.55403233663</v>
      </c>
      <c r="DB152" s="3">
        <f>(O152+P152+Q152)*'Prices&amp;Fuel'!$H152</f>
        <v>702800</v>
      </c>
      <c r="DE152" s="3">
        <v>132000</v>
      </c>
    </row>
    <row r="153" spans="1:109" x14ac:dyDescent="0.25">
      <c r="A153" s="10">
        <f t="shared" si="175"/>
        <v>40250.666666666308</v>
      </c>
      <c r="O153" s="1">
        <v>9036</v>
      </c>
      <c r="P153" s="1">
        <v>10794</v>
      </c>
      <c r="Q153" s="1">
        <v>5270</v>
      </c>
      <c r="R153" s="11">
        <f t="shared" si="177"/>
        <v>3.7412000000000001</v>
      </c>
      <c r="S153" s="11">
        <f t="shared" si="178"/>
        <v>3.7277</v>
      </c>
      <c r="T153" s="1">
        <f>(($O153*R153)+($P153*R153)+($Q153*R153))*'Prices&amp;Fuel'!$H153</f>
        <v>2911027.72</v>
      </c>
      <c r="U153" s="1">
        <f>(($O153*S153)+($P153*S153)+($Q153*S153))*'Prices&amp;Fuel'!$H153</f>
        <v>2900523.3699999996</v>
      </c>
      <c r="V153" s="13">
        <f t="shared" si="180"/>
        <v>10504.350000000559</v>
      </c>
      <c r="AF153" s="1"/>
      <c r="AY153" s="13"/>
      <c r="AZ153" s="13"/>
      <c r="BA153" s="13"/>
      <c r="BB153" s="6">
        <f>IF('FP Corp'!T153-((BE153+BF153+BG153)*(1-'Prices&amp;Fuel'!F153))&lt;'Prices&amp;Fuel'!R153,('FP Corp'!T153-(BE153+BF153+BG153)*(1-'Prices&amp;Fuel'!F153)),'Prices&amp;Fuel'!R153)/(1-'Prices&amp;Fuel'!F153)</f>
        <v>4325.9640102827761</v>
      </c>
      <c r="BC153" s="14"/>
      <c r="BD153" s="14">
        <f>ROUND(IF('FP Corp'!T153/(1-'Prices&amp;Fuel'!F153)-BE153-BF153-BG153-BB153&gt;'Prices&amp;Fuel'!T153,'Prices&amp;Fuel'!T153,'FP Corp'!T153/(1-'Prices&amp;Fuel'!F153)-BE153-BF153-BG153-BB153),9)</f>
        <v>0</v>
      </c>
      <c r="BE153" s="14">
        <f>'Prices&amp;Fuel'!U153/(1-'Prices&amp;Fuel'!F153)</f>
        <v>2635.4755784061695</v>
      </c>
      <c r="BF153" s="14">
        <f>('Prices&amp;Fuel'!V153+'Prices&amp;Fuel'!X153)/(1-'Prices&amp;Fuel'!F153)</f>
        <v>3645.2442159383031</v>
      </c>
      <c r="BG153" s="14">
        <f>'Prices&amp;Fuel'!W153/(1-'Prices&amp;Fuel'!F153)</f>
        <v>1732.6478149100255</v>
      </c>
      <c r="BH153" s="25">
        <f>('Prices&amp;Fuel'!C153+'Prices&amp;Fuel'!D153)/2-0.05+('Prices&amp;Fuel'!M153+'Prices&amp;Fuel'!P153)*(1-'Prices&amp;Fuel'!F153)</f>
        <v>3.4199047822953235</v>
      </c>
      <c r="BI153" s="25"/>
      <c r="BJ153" s="25"/>
      <c r="BK153" s="25">
        <f>(((BB153+BE153)*('Prices&amp;Fuel'!B153+0.025))+(('Prices&amp;Fuel'!D153+0.025)*(BD153+BG153))+(('Prices&amp;Fuel'!C153+0.025)*(BC153+BF153))-(BI153+BJ153)*0.025)/(BB153+BC153+BD153+BE153+BF153+BG153)</f>
        <v>2.7345851989619896</v>
      </c>
      <c r="BL153" s="14">
        <f>(BB153+BC153+BD153+BE153+BF153+BG153)*BH153*'Prices&amp;Fuel'!H153</f>
        <v>1308179.515695486</v>
      </c>
      <c r="BM153" s="14">
        <f>'Prices&amp;Fuel'!X153*('Prices&amp;Fuel'!N153+'Prices&amp;Fuel'!O153)*'Prices&amp;Fuel'!H153</f>
        <v>9438.6404139577935</v>
      </c>
      <c r="BN153" s="14">
        <f>('Prices&amp;Fuel'!U153+'Prices&amp;Fuel'!V153+'Prices&amp;Fuel'!W153)*('Prices&amp;Fuel'!L153+'Prices&amp;Fuel'!O153)*'Prices&amp;Fuel'!H153</f>
        <v>98255.832127730479</v>
      </c>
      <c r="BO153" s="14">
        <f>((BB153+BC153+BD153)*(1-'Prices&amp;Fuel'!G153))*('Prices&amp;Fuel'!M153+'Prices&amp;Fuel'!P153)*'Prices&amp;Fuel'!H153</f>
        <v>99834.213499999998</v>
      </c>
      <c r="BP153" s="14">
        <f>((BD153+BC153+BB153+BE153+BF153+BG153)*BK153*'Prices&amp;Fuel'!H153)+BM153+BN153+BO153</f>
        <v>1253560.2480096677</v>
      </c>
      <c r="BQ153" s="6">
        <f t="shared" si="179"/>
        <v>54619.267685818253</v>
      </c>
      <c r="CA153" s="6">
        <f>(AF153+AG153+AH153+AL153)*0.005*'Prices&amp;Fuel'!H153</f>
        <v>0</v>
      </c>
      <c r="CB153" s="6">
        <f>(B153+C153+D153+O153+P153+Q153+X153+Y153+BB153+BC153+BD153+BE153+BF153+BG153+BR153+BS153)*0.005*'Prices&amp;Fuel'!H153</f>
        <v>5803.0964010282778</v>
      </c>
      <c r="CC153" s="1">
        <f t="shared" si="182"/>
        <v>4219207.235695486</v>
      </c>
      <c r="CD153" s="1">
        <f t="shared" si="183"/>
        <v>4159886.7144106957</v>
      </c>
      <c r="CE153" s="1">
        <f t="shared" si="184"/>
        <v>59320.521284790244</v>
      </c>
      <c r="CF153" s="1">
        <f>'Index Price Deals'!AR153</f>
        <v>0</v>
      </c>
      <c r="CG153" s="1">
        <f>'Index Price Deals'!AS153</f>
        <v>0</v>
      </c>
      <c r="CH153" s="1">
        <f>'Index Price Deals'!AT153</f>
        <v>0</v>
      </c>
      <c r="CI153" s="1">
        <f>'Index Price Deals'!AU153</f>
        <v>0</v>
      </c>
      <c r="CJ153" s="1">
        <f t="shared" si="181"/>
        <v>4219207.235695486</v>
      </c>
      <c r="CK153" s="1">
        <f t="shared" si="176"/>
        <v>4159886.7144106957</v>
      </c>
      <c r="CL153" s="1">
        <f t="shared" si="176"/>
        <v>59320.521284790244</v>
      </c>
      <c r="CM153" s="30"/>
      <c r="CN153" s="1">
        <f>Transport!U153</f>
        <v>0</v>
      </c>
      <c r="CQ153" s="1">
        <f>(((($B153+$C153+$D153+$O153+$P153+$Q153)*0.5)+BR153+BS153)*(0.005*'Prices&amp;Fuel'!$H153)+'Index Price Deals'!AV153)+(((BB153+BC153+BD153+BE153+BF153+BG153)*(1-'Prices&amp;Fuel'!F153))*0.005*0.5*'Prices&amp;Fuel'!H153)</f>
        <v>2875.25</v>
      </c>
      <c r="CR153" s="1">
        <f>(((($B153+$C153+$D153+$O153+$P153+$Q153)*0.5)+X153+Y153)*(0.005*'Prices&amp;Fuel'!$H153)+CA153+'Index Price Deals'!AW153)+(((BB153+BC153+BD153+BE153+BF153+BG153)*(1-'Prices&amp;Fuel'!F153))*0.005*0.5*'Prices&amp;Fuel'!H153)</f>
        <v>2875.25</v>
      </c>
      <c r="CS153" s="21"/>
      <c r="CT153" s="1"/>
      <c r="CU153" s="1"/>
      <c r="CV153" s="60">
        <f t="shared" si="170"/>
        <v>59320.521284790244</v>
      </c>
      <c r="DB153" s="3">
        <f>(O153+P153+Q153)*'Prices&amp;Fuel'!$H153</f>
        <v>778100</v>
      </c>
      <c r="DE153" s="3">
        <v>132000</v>
      </c>
    </row>
    <row r="154" spans="1:109" x14ac:dyDescent="0.25">
      <c r="A154" s="10">
        <f t="shared" si="175"/>
        <v>40281.083333332972</v>
      </c>
      <c r="O154" s="1">
        <v>9036</v>
      </c>
      <c r="P154" s="1">
        <v>10794</v>
      </c>
      <c r="Q154" s="1">
        <v>5270</v>
      </c>
      <c r="R154" s="11">
        <f t="shared" si="177"/>
        <v>3.7412000000000001</v>
      </c>
      <c r="S154" s="11">
        <f t="shared" si="178"/>
        <v>3.7277</v>
      </c>
      <c r="T154" s="1">
        <f>(($O154*R154)+($P154*R154)+($Q154*R154))*'Prices&amp;Fuel'!$H154</f>
        <v>2817123.6</v>
      </c>
      <c r="U154" s="1">
        <f>(($O154*S154)+($P154*S154)+($Q154*S154))*'Prices&amp;Fuel'!$H154</f>
        <v>2806958.0999999996</v>
      </c>
      <c r="V154" s="13">
        <f t="shared" si="180"/>
        <v>10165.500000000466</v>
      </c>
      <c r="BB154" s="6">
        <f>IF('FP Corp'!T154-((BE154+BF154+BG154)*(1-'Prices&amp;Fuel'!F154))&lt;'Prices&amp;Fuel'!R154,('FP Corp'!T154-(BE154+BF154+BG154)*(1-'Prices&amp;Fuel'!F154)),'Prices&amp;Fuel'!R154)/(1-'Prices&amp;Fuel'!F154)</f>
        <v>6278.6632390745499</v>
      </c>
      <c r="BC154" s="14"/>
      <c r="BD154" s="14">
        <f>ROUND(IF('FP Corp'!T154/(1-'Prices&amp;Fuel'!F154)-BE154-BF154-BG154-BB154&gt;'Prices&amp;Fuel'!T154,'Prices&amp;Fuel'!T154,'FP Corp'!T154/(1-'Prices&amp;Fuel'!F154)-BE154-BF154-BG154-BB154),9)</f>
        <v>0</v>
      </c>
      <c r="BE154" s="14">
        <f>'Prices&amp;Fuel'!U154/(1-'Prices&amp;Fuel'!F154)</f>
        <v>1933.1619537275064</v>
      </c>
      <c r="BF154" s="14">
        <f>('Prices&amp;Fuel'!V154+'Prices&amp;Fuel'!X154)/(1-'Prices&amp;Fuel'!F154)</f>
        <v>2833.9331619537274</v>
      </c>
      <c r="BG154" s="14">
        <f>'Prices&amp;Fuel'!W154/(1-'Prices&amp;Fuel'!F154)</f>
        <v>1293.5732647814909</v>
      </c>
      <c r="BH154" s="25">
        <f>('Prices&amp;Fuel'!C154+'Prices&amp;Fuel'!D154)/2-0.05+('Prices&amp;Fuel'!M154+'Prices&amp;Fuel'!P154)*(1-'Prices&amp;Fuel'!F154)</f>
        <v>3.7122760928149061</v>
      </c>
      <c r="BI154" s="25"/>
      <c r="BJ154" s="25"/>
      <c r="BK154" s="25">
        <f>(((BB154+BE154)*('Prices&amp;Fuel'!B154+0.025))+(('Prices&amp;Fuel'!D154+0.025)*(BD154+BG154))+(('Prices&amp;Fuel'!C154+0.025)*(BC154+BF154))-(BI154+BJ154)*0.025)/(BB154+BC154+BD154+BE154+BF154+BG154)</f>
        <v>3.022655676148239</v>
      </c>
      <c r="BL154" s="14">
        <f>(BB154+BC154+BD154+BE154+BF154+BG154)*BH154*'Prices&amp;Fuel'!H154</f>
        <v>1374210.1731756979</v>
      </c>
      <c r="BM154" s="14">
        <f>'Prices&amp;Fuel'!X154*('Prices&amp;Fuel'!N154+'Prices&amp;Fuel'!O154)*'Prices&amp;Fuel'!H154</f>
        <v>9134.1681425398001</v>
      </c>
      <c r="BN154" s="14">
        <f>('Prices&amp;Fuel'!U154+'Prices&amp;Fuel'!V154+'Prices&amp;Fuel'!W154)*('Prices&amp;Fuel'!L154+'Prices&amp;Fuel'!O154)*'Prices&amp;Fuel'!H154</f>
        <v>69689.82458385783</v>
      </c>
      <c r="BO154" s="14">
        <f>((BB154+BC154+BD154)*(1-'Prices&amp;Fuel'!G154))*('Prices&amp;Fuel'!M154+'Prices&amp;Fuel'!P154)*'Prices&amp;Fuel'!H154</f>
        <v>140224.29</v>
      </c>
      <c r="BP154" s="14">
        <f>((BD154+BC154+BB154+BE154+BF154+BG154)*BK154*'Prices&amp;Fuel'!H154)+BM154+BN154+BO154</f>
        <v>1337974.8055164914</v>
      </c>
      <c r="BQ154" s="6">
        <f t="shared" si="179"/>
        <v>36235.367659206502</v>
      </c>
      <c r="CA154" s="6">
        <f>(AF154+AG154+AH154+AL154)*0.005*'Prices&amp;Fuel'!H154</f>
        <v>0</v>
      </c>
      <c r="CB154" s="6">
        <f>(B154+C154+D154+O154+P154+Q154+X154+Y154+BB154+BC154+BD154+BE154+BF154+BG154+BR154+BS154)*0.005*'Prices&amp;Fuel'!H154</f>
        <v>5615.89974293059</v>
      </c>
      <c r="CC154" s="1">
        <f t="shared" si="182"/>
        <v>4191333.7731756978</v>
      </c>
      <c r="CD154" s="1">
        <f t="shared" si="183"/>
        <v>4150548.8052594219</v>
      </c>
      <c r="CE154" s="1">
        <f t="shared" si="184"/>
        <v>40784.96791627584</v>
      </c>
      <c r="CF154" s="1">
        <f>'Index Price Deals'!AR154</f>
        <v>0</v>
      </c>
      <c r="CG154" s="1">
        <f>'Index Price Deals'!AS154</f>
        <v>0</v>
      </c>
      <c r="CH154" s="1">
        <f>'Index Price Deals'!AT154</f>
        <v>0</v>
      </c>
      <c r="CI154" s="1">
        <f>'Index Price Deals'!AU154</f>
        <v>0</v>
      </c>
      <c r="CJ154" s="1">
        <f t="shared" si="181"/>
        <v>4191333.7731756978</v>
      </c>
      <c r="CK154" s="1">
        <f t="shared" si="176"/>
        <v>4150548.8052594219</v>
      </c>
      <c r="CL154" s="1">
        <f t="shared" si="176"/>
        <v>40784.96791627584</v>
      </c>
      <c r="CM154" s="30"/>
      <c r="CN154" s="1">
        <f>Transport!U154</f>
        <v>0</v>
      </c>
      <c r="CQ154" s="1">
        <f>(((($B154+$C154+$D154+$O154+$P154+$Q154)*0.5)+BR154+BS154)*(0.005*'Prices&amp;Fuel'!$H154)+'Index Price Deals'!AV154)+(((BB154+BC154+BD154+BE154+BF154+BG154)*(1-'Prices&amp;Fuel'!F154))*0.005*0.5*'Prices&amp;Fuel'!H154)</f>
        <v>2782.5</v>
      </c>
      <c r="CR154" s="1">
        <f>(((($B154+$C154+$D154+$O154+$P154+$Q154)*0.5)+X154+Y154)*(0.005*'Prices&amp;Fuel'!$H154)+CA154+'Index Price Deals'!AW154)+(((BB154+BC154+BD154+BE154+BF154+BG154)*(1-'Prices&amp;Fuel'!F154))*0.005*0.5*'Prices&amp;Fuel'!H154)</f>
        <v>2782.5</v>
      </c>
      <c r="CS154" s="21"/>
      <c r="CT154" s="1"/>
      <c r="CU154" s="1"/>
      <c r="CV154" s="60">
        <f t="shared" si="170"/>
        <v>40784.96791627584</v>
      </c>
      <c r="DB154" s="3">
        <f>(O154+P154+Q154)*'Prices&amp;Fuel'!$H154</f>
        <v>753000</v>
      </c>
      <c r="DE154" s="3">
        <v>132000</v>
      </c>
    </row>
    <row r="155" spans="1:109" x14ac:dyDescent="0.25">
      <c r="A155" s="10">
        <f t="shared" si="175"/>
        <v>40311.499999999636</v>
      </c>
      <c r="O155" s="1">
        <v>9036</v>
      </c>
      <c r="P155" s="1">
        <v>10794</v>
      </c>
      <c r="Q155" s="1">
        <v>5270</v>
      </c>
      <c r="R155" s="11">
        <f t="shared" si="177"/>
        <v>3.7412000000000001</v>
      </c>
      <c r="S155" s="11">
        <f t="shared" si="178"/>
        <v>3.7277</v>
      </c>
      <c r="T155" s="1">
        <f>(($O155*R155)+($P155*R155)+($Q155*R155))*'Prices&amp;Fuel'!$H155</f>
        <v>2911027.72</v>
      </c>
      <c r="U155" s="1">
        <f>(($O155*S155)+($P155*S155)+($Q155*S155))*'Prices&amp;Fuel'!$H155</f>
        <v>2900523.3699999996</v>
      </c>
      <c r="V155" s="13">
        <f t="shared" si="180"/>
        <v>10504.350000000559</v>
      </c>
      <c r="BB155" s="6">
        <f>IF('FP Corp'!T155-((BE155+BF155+BG155)*(1-'Prices&amp;Fuel'!F155))&lt;'Prices&amp;Fuel'!R155,('FP Corp'!T155-(BE155+BF155+BG155)*(1-'Prices&amp;Fuel'!F155)),'Prices&amp;Fuel'!R155)/(1-'Prices&amp;Fuel'!F155)</f>
        <v>8976.8637532133671</v>
      </c>
      <c r="BC155" s="14"/>
      <c r="BD155" s="14">
        <f>ROUND(IF('FP Corp'!T155/(1-'Prices&amp;Fuel'!F155)-BE155-BF155-BG155-BB155&gt;'Prices&amp;Fuel'!T155,'Prices&amp;Fuel'!T155,'FP Corp'!T155/(1-'Prices&amp;Fuel'!F155)-BE155-BF155-BG155-BB155),9)</f>
        <v>6556.2982005140002</v>
      </c>
      <c r="BE155" s="14">
        <f>'Prices&amp;Fuel'!U155/(1-'Prices&amp;Fuel'!F155)</f>
        <v>1933.1619537275064</v>
      </c>
      <c r="BF155" s="14">
        <f>('Prices&amp;Fuel'!V155+'Prices&amp;Fuel'!X155)/(1-'Prices&amp;Fuel'!F155)</f>
        <v>3062.2107969151671</v>
      </c>
      <c r="BG155" s="14">
        <f>'Prices&amp;Fuel'!W155/(1-'Prices&amp;Fuel'!F155)</f>
        <v>1065.2956298200513</v>
      </c>
      <c r="BH155" s="25">
        <f>('Prices&amp;Fuel'!C155+'Prices&amp;Fuel'!D155)/2-0.05+('Prices&amp;Fuel'!M155+'Prices&amp;Fuel'!P155)*(1-'Prices&amp;Fuel'!F155)</f>
        <v>3.9180188668842417</v>
      </c>
      <c r="BI155" s="25"/>
      <c r="BJ155" s="25"/>
      <c r="BK155" s="25">
        <f>(((BB155+BE155)*('Prices&amp;Fuel'!B155+0.025))+(('Prices&amp;Fuel'!D155+0.025)*(BD155+BG155))+(('Prices&amp;Fuel'!C155+0.025)*(BC155+BF155))-(BI155+BJ155)*0.025)/(BB155+BC155+BD155+BE155+BF155+BG155)</f>
        <v>3.2256082121223368</v>
      </c>
      <c r="BL155" s="14">
        <f>(BB155+BC155+BD155+BE155+BF155+BG155)*BH155*'Prices&amp;Fuel'!H155</f>
        <v>2622756.0743872747</v>
      </c>
      <c r="BM155" s="14">
        <f>'Prices&amp;Fuel'!X155*('Prices&amp;Fuel'!N155+'Prices&amp;Fuel'!O155)*'Prices&amp;Fuel'!H155</f>
        <v>9438.6404139577935</v>
      </c>
      <c r="BN155" s="14">
        <f>('Prices&amp;Fuel'!U155+'Prices&amp;Fuel'!V155+'Prices&amp;Fuel'!W155)*('Prices&amp;Fuel'!L155+'Prices&amp;Fuel'!O155)*'Prices&amp;Fuel'!H155</f>
        <v>72012.818736653091</v>
      </c>
      <c r="BO155" s="14">
        <f>((BB155+BC155+BD155)*(1-'Prices&amp;Fuel'!G155))*('Prices&amp;Fuel'!M155+'Prices&amp;Fuel'!P155)*'Prices&amp;Fuel'!H155</f>
        <v>358472.93299999676</v>
      </c>
      <c r="BP155" s="14">
        <f>((BD155+BC155+BB155+BE155+BF155+BG155)*BK155*'Prices&amp;Fuel'!H155)+BM155+BN155+BO155</f>
        <v>2599174.7223219471</v>
      </c>
      <c r="BQ155" s="6">
        <f t="shared" si="179"/>
        <v>23581.352065327577</v>
      </c>
      <c r="CA155" s="6">
        <f>(AF155+AG155+AH155+AL155)*0.005*'Prices&amp;Fuel'!H155</f>
        <v>0</v>
      </c>
      <c r="CB155" s="6">
        <f>(B155+C155+D155+O155+P155+Q155+X155+Y155+BB155+BC155+BD155+BE155+BF155+BG155+BR155+BS155)*0.005*'Prices&amp;Fuel'!H155</f>
        <v>7237.5437017994636</v>
      </c>
      <c r="CC155" s="1">
        <f t="shared" si="182"/>
        <v>5533783.7943872754</v>
      </c>
      <c r="CD155" s="1">
        <f t="shared" si="183"/>
        <v>5506935.6360237468</v>
      </c>
      <c r="CE155" s="1">
        <f t="shared" si="184"/>
        <v>26848.15836352855</v>
      </c>
      <c r="CF155" s="1">
        <f>'Index Price Deals'!AR155</f>
        <v>0</v>
      </c>
      <c r="CG155" s="1">
        <f>'Index Price Deals'!AS155</f>
        <v>0</v>
      </c>
      <c r="CH155" s="1">
        <f>'Index Price Deals'!AT155</f>
        <v>0</v>
      </c>
      <c r="CI155" s="1">
        <f>'Index Price Deals'!AU155</f>
        <v>0</v>
      </c>
      <c r="CJ155" s="1">
        <f t="shared" si="181"/>
        <v>5533783.7943872754</v>
      </c>
      <c r="CK155" s="1">
        <f t="shared" si="176"/>
        <v>5506935.6360237468</v>
      </c>
      <c r="CL155" s="1">
        <f t="shared" si="176"/>
        <v>26848.15836352855</v>
      </c>
      <c r="CM155" s="30"/>
      <c r="CN155" s="1">
        <f>Transport!U155</f>
        <v>3.1490140827372673E-9</v>
      </c>
      <c r="CQ155" s="1">
        <f>(((($B155+$C155+$D155+$O155+$P155+$Q155)*0.5)+BR155+BS155)*(0.005*'Prices&amp;Fuel'!$H155)+'Index Price Deals'!AV155)+(((BB155+BC155+BD155+BE155+BF155+BG155)*(1-'Prices&amp;Fuel'!F155))*0.005*0.5*'Prices&amp;Fuel'!H155)</f>
        <v>3572.7499999999895</v>
      </c>
      <c r="CR155" s="1">
        <f>(((($B155+$C155+$D155+$O155+$P155+$Q155)*0.5)+X155+Y155)*(0.005*'Prices&amp;Fuel'!$H155)+CA155+'Index Price Deals'!AW155)+(((BB155+BC155+BD155+BE155+BF155+BG155)*(1-'Prices&amp;Fuel'!F155))*0.005*0.5*'Prices&amp;Fuel'!H155)</f>
        <v>3572.7499999999895</v>
      </c>
      <c r="CS155" s="21"/>
      <c r="CT155" s="1"/>
      <c r="CU155" s="1"/>
      <c r="CV155" s="60">
        <f t="shared" si="170"/>
        <v>26848.158363525399</v>
      </c>
      <c r="DB155" s="3">
        <f>(O155+P155+Q155)*'Prices&amp;Fuel'!$H155</f>
        <v>778100</v>
      </c>
      <c r="DE155" s="3">
        <v>200000</v>
      </c>
    </row>
    <row r="156" spans="1:109" x14ac:dyDescent="0.25">
      <c r="A156" s="10">
        <f t="shared" si="175"/>
        <v>40341.9166666663</v>
      </c>
      <c r="O156" s="1">
        <v>9036</v>
      </c>
      <c r="P156" s="1">
        <v>10794</v>
      </c>
      <c r="Q156" s="1">
        <v>5270</v>
      </c>
      <c r="R156" s="11">
        <f t="shared" si="177"/>
        <v>3.7412000000000001</v>
      </c>
      <c r="S156" s="11">
        <f t="shared" si="178"/>
        <v>3.7277</v>
      </c>
      <c r="T156" s="1">
        <f>(($O156*R156)+($P156*R156)+($Q156*R156))*'Prices&amp;Fuel'!$H156</f>
        <v>2817123.6</v>
      </c>
      <c r="U156" s="1">
        <f>(($O156*S156)+($P156*S156)+($Q156*S156))*'Prices&amp;Fuel'!$H156</f>
        <v>2806958.0999999996</v>
      </c>
      <c r="V156" s="13">
        <f t="shared" si="180"/>
        <v>10165.500000000466</v>
      </c>
      <c r="BB156" s="6">
        <f>IF('FP Corp'!T156-((BE156+BF156+BG156)*(1-'Prices&amp;Fuel'!F156))&lt;'Prices&amp;Fuel'!R156,('FP Corp'!T156-(BE156+BF156+BG156)*(1-'Prices&amp;Fuel'!F156)),'Prices&amp;Fuel'!R156)/(1-'Prices&amp;Fuel'!F156)</f>
        <v>8976.8637532133671</v>
      </c>
      <c r="BC156" s="14"/>
      <c r="BD156" s="14">
        <f>ROUND(IF('FP Corp'!T156/(1-'Prices&amp;Fuel'!F156)-BE156-BF156-BG156-BB156&gt;'Prices&amp;Fuel'!T156,'Prices&amp;Fuel'!T156,'FP Corp'!T156/(1-'Prices&amp;Fuel'!F156)-BE156-BF156-BG156-BB156),9)</f>
        <v>6556.2982005140002</v>
      </c>
      <c r="BE156" s="14">
        <f>'Prices&amp;Fuel'!U156/(1-'Prices&amp;Fuel'!F156)</f>
        <v>1933.1619537275064</v>
      </c>
      <c r="BF156" s="14">
        <f>('Prices&amp;Fuel'!V156+'Prices&amp;Fuel'!X156)/(1-'Prices&amp;Fuel'!F156)</f>
        <v>3062.2107969151671</v>
      </c>
      <c r="BG156" s="14">
        <f>'Prices&amp;Fuel'!W156/(1-'Prices&amp;Fuel'!F156)</f>
        <v>1065.2956298200513</v>
      </c>
      <c r="BH156" s="25">
        <f>('Prices&amp;Fuel'!C156+'Prices&amp;Fuel'!D156)/2-0.05+('Prices&amp;Fuel'!M156+'Prices&amp;Fuel'!P156)*(1-'Prices&amp;Fuel'!F156)</f>
        <v>5.3365611512570252</v>
      </c>
      <c r="BI156" s="25"/>
      <c r="BJ156" s="25"/>
      <c r="BK156" s="25">
        <f>(((BB156+BE156)*('Prices&amp;Fuel'!B156+0.025))+(('Prices&amp;Fuel'!D156+0.025)*(BD156+BG156))+(('Prices&amp;Fuel'!C156+0.025)*(BC156+BF156))-(BI156+BJ156)*0.025)/(BB156+BC156+BD156+BE156+BF156+BG156)</f>
        <v>4.6441504964951221</v>
      </c>
      <c r="BL156" s="14">
        <f>(BB156+BC156+BD156+BE156+BF156+BG156)*BH156*'Prices&amp;Fuel'!H156</f>
        <v>3457103.8820482302</v>
      </c>
      <c r="BM156" s="14">
        <f>'Prices&amp;Fuel'!X156*('Prices&amp;Fuel'!N156+'Prices&amp;Fuel'!O156)*'Prices&amp;Fuel'!H156</f>
        <v>9134.1681425398001</v>
      </c>
      <c r="BN156" s="14">
        <f>('Prices&amp;Fuel'!U156+'Prices&amp;Fuel'!V156+'Prices&amp;Fuel'!W156)*('Prices&amp;Fuel'!L156+'Prices&amp;Fuel'!O156)*'Prices&amp;Fuel'!H156</f>
        <v>69689.82458385783</v>
      </c>
      <c r="BO156" s="14">
        <f>((BB156+BC156+BD156)*(1-'Prices&amp;Fuel'!G156))*('Prices&amp;Fuel'!M156+'Prices&amp;Fuel'!P156)*'Prices&amp;Fuel'!H156</f>
        <v>346909.28999999689</v>
      </c>
      <c r="BP156" s="14">
        <f>((BD156+BC156+BB156+BE156+BF156+BG156)*BK156*'Prices&amp;Fuel'!H156)+BM156+BN156+BO156</f>
        <v>3434283.2187592047</v>
      </c>
      <c r="BQ156" s="6">
        <f t="shared" si="179"/>
        <v>22820.663289025426</v>
      </c>
      <c r="CA156" s="6">
        <f>(AF156+AG156+AH156+AL156)*0.005*'Prices&amp;Fuel'!H156</f>
        <v>0</v>
      </c>
      <c r="CB156" s="6">
        <f>(B156+C156+D156+O156+P156+Q156+X156+Y156+BB156+BC156+BD156+BE156+BF156+BG156+BR156+BS156)*0.005*'Prices&amp;Fuel'!H156</f>
        <v>7004.0745501285137</v>
      </c>
      <c r="CC156" s="1">
        <f t="shared" si="182"/>
        <v>6274227.4820482302</v>
      </c>
      <c r="CD156" s="1">
        <f t="shared" si="183"/>
        <v>6248245.3933093334</v>
      </c>
      <c r="CE156" s="1">
        <f t="shared" si="184"/>
        <v>25982.088738896884</v>
      </c>
      <c r="CF156" s="1">
        <f>'Index Price Deals'!AR156</f>
        <v>0</v>
      </c>
      <c r="CG156" s="1">
        <f>'Index Price Deals'!AS156</f>
        <v>0</v>
      </c>
      <c r="CH156" s="1">
        <f>'Index Price Deals'!AT156</f>
        <v>0</v>
      </c>
      <c r="CI156" s="1">
        <f>'Index Price Deals'!AU156</f>
        <v>0</v>
      </c>
      <c r="CJ156" s="1">
        <f t="shared" si="181"/>
        <v>6274227.4820482302</v>
      </c>
      <c r="CK156" s="1">
        <f t="shared" si="176"/>
        <v>6248245.3933093334</v>
      </c>
      <c r="CL156" s="1">
        <f t="shared" si="176"/>
        <v>25982.088738896884</v>
      </c>
      <c r="CM156" s="30"/>
      <c r="CN156" s="1">
        <f>Transport!U156</f>
        <v>3.0474329832941295E-9</v>
      </c>
      <c r="CQ156" s="1">
        <f>(((($B156+$C156+$D156+$O156+$P156+$Q156)*0.5)+BR156+BS156)*(0.005*'Prices&amp;Fuel'!$H156)+'Index Price Deals'!AV156)+(((BB156+BC156+BD156+BE156+BF156+BG156)*(1-'Prices&amp;Fuel'!F156))*0.005*0.5*'Prices&amp;Fuel'!H156)</f>
        <v>3457.49999999999</v>
      </c>
      <c r="CR156" s="1">
        <f>(((($B156+$C156+$D156+$O156+$P156+$Q156)*0.5)+X156+Y156)*(0.005*'Prices&amp;Fuel'!$H156)+CA156+'Index Price Deals'!AW156)+(((BB156+BC156+BD156+BE156+BF156+BG156)*(1-'Prices&amp;Fuel'!F156))*0.005*0.5*'Prices&amp;Fuel'!H156)</f>
        <v>3457.49999999999</v>
      </c>
      <c r="CS156" s="21"/>
      <c r="CU156" s="1"/>
      <c r="CV156" s="60">
        <f t="shared" si="170"/>
        <v>25982.088738893835</v>
      </c>
      <c r="DB156" s="3">
        <f>(O156+P156+Q156)*'Prices&amp;Fuel'!$H156</f>
        <v>753000</v>
      </c>
      <c r="DE156" s="3">
        <v>200000</v>
      </c>
    </row>
    <row r="157" spans="1:109" x14ac:dyDescent="0.25">
      <c r="A157" s="10">
        <f t="shared" si="175"/>
        <v>40372.333333332965</v>
      </c>
      <c r="O157" s="1">
        <v>9036</v>
      </c>
      <c r="P157" s="1">
        <v>10794</v>
      </c>
      <c r="Q157" s="1">
        <v>5270</v>
      </c>
      <c r="R157" s="11">
        <f>ROUND(3.075*1.04*1.04*1.04*1.04*1.04*1.04,4)</f>
        <v>3.8908999999999998</v>
      </c>
      <c r="S157" s="11">
        <f>R157-ROUND(0.01*1.02*1.02*1.02*1.02*1.02*1.02*1.02*1.02*1.02*1.02*1.02*1.02*1.02*1.02*1.02*1.02,4)</f>
        <v>3.8771999999999998</v>
      </c>
      <c r="T157" s="1">
        <f>(($O157*R157)+($P157*R157)+($Q157*R157))*'Prices&amp;Fuel'!$H157</f>
        <v>3027509.29</v>
      </c>
      <c r="U157" s="1">
        <f>(($O157*S157)+($P157*S157)+($Q157*S157))*'Prices&amp;Fuel'!$H157</f>
        <v>3016849.3199999994</v>
      </c>
      <c r="V157" s="13">
        <f t="shared" si="180"/>
        <v>10659.970000000671</v>
      </c>
      <c r="BB157" s="6">
        <f>IF('FP Corp'!T157-((BE157+BF157+BG157)*(1-'Prices&amp;Fuel'!F157))&lt;'Prices&amp;Fuel'!R157,('FP Corp'!T157-(BE157+BF157+BG157)*(1-'Prices&amp;Fuel'!F157)),'Prices&amp;Fuel'!R157)/(1-'Prices&amp;Fuel'!F157)</f>
        <v>8976.8637532133671</v>
      </c>
      <c r="BC157" s="14"/>
      <c r="BD157" s="14">
        <f>ROUND(IF('FP Corp'!T157/(1-'Prices&amp;Fuel'!F157)-BE157-BF157-BG157-BB157&gt;'Prices&amp;Fuel'!T157,'Prices&amp;Fuel'!T157,'FP Corp'!T157/(1-'Prices&amp;Fuel'!F157)-BE157-BF157-BG157-BB157),9)</f>
        <v>6556.2982005140002</v>
      </c>
      <c r="BE157" s="14">
        <f>'Prices&amp;Fuel'!U157/(1-'Prices&amp;Fuel'!F157)</f>
        <v>1933.1619537275064</v>
      </c>
      <c r="BF157" s="14">
        <f>('Prices&amp;Fuel'!V157+'Prices&amp;Fuel'!X157)/(1-'Prices&amp;Fuel'!F157)</f>
        <v>3062.2107969151671</v>
      </c>
      <c r="BG157" s="14">
        <f>'Prices&amp;Fuel'!W157/(1-'Prices&amp;Fuel'!F157)</f>
        <v>1065.2956298200513</v>
      </c>
      <c r="BH157" s="25">
        <f>('Prices&amp;Fuel'!C157+'Prices&amp;Fuel'!D157)/2-0.05+('Prices&amp;Fuel'!M157+'Prices&amp;Fuel'!P157)*(1-'Prices&amp;Fuel'!F157)</f>
        <v>5.3257325842007459</v>
      </c>
      <c r="BI157" s="25"/>
      <c r="BJ157" s="25"/>
      <c r="BK157" s="25">
        <f>(((BB157+BE157)*('Prices&amp;Fuel'!B157+0.025))+(('Prices&amp;Fuel'!D157+0.025)*(BD157+BG157))+(('Prices&amp;Fuel'!C157+0.025)*(BC157+BF157))-(BI157+BJ157)*0.025)/(BB157+BC157+BD157+BE157+BF157+BG157)</f>
        <v>4.633321929438841</v>
      </c>
      <c r="BL157" s="14">
        <f>(BB157+BC157+BD157+BE157+BF157+BG157)*BH157*'Prices&amp;Fuel'!H157</f>
        <v>3565091.940683458</v>
      </c>
      <c r="BM157" s="14">
        <f>'Prices&amp;Fuel'!X157*('Prices&amp;Fuel'!N157+'Prices&amp;Fuel'!O157)*'Prices&amp;Fuel'!H157</f>
        <v>9438.6404139577935</v>
      </c>
      <c r="BN157" s="14">
        <f>('Prices&amp;Fuel'!U157+'Prices&amp;Fuel'!V157+'Prices&amp;Fuel'!W157)*('Prices&amp;Fuel'!L157+'Prices&amp;Fuel'!O157)*'Prices&amp;Fuel'!H157</f>
        <v>72012.818736653091</v>
      </c>
      <c r="BO157" s="14">
        <f>((BB157+BC157+BD157)*(1-'Prices&amp;Fuel'!G157))*('Prices&amp;Fuel'!M157+'Prices&amp;Fuel'!P157)*'Prices&amp;Fuel'!H157</f>
        <v>358472.93299999676</v>
      </c>
      <c r="BP157" s="14">
        <f>((BD157+BC157+BB157+BE157+BF157+BG157)*BK157*'Prices&amp;Fuel'!H157)+BM157+BN157+BO157</f>
        <v>3541510.5886181304</v>
      </c>
      <c r="BQ157" s="6">
        <f t="shared" si="179"/>
        <v>23581.352065327577</v>
      </c>
      <c r="CA157" s="6">
        <f>(AF157+AG157+AH157+AL157)*0.005*'Prices&amp;Fuel'!H157</f>
        <v>0</v>
      </c>
      <c r="CB157" s="6">
        <f>(B157+C157+D157+O157+P157+Q157+X157+Y157+BB157+BC157+BD157+BE157+BF157+BG157+BR157+BS157)*0.005*'Prices&amp;Fuel'!H157</f>
        <v>7237.5437017994636</v>
      </c>
      <c r="CC157" s="1">
        <f t="shared" si="182"/>
        <v>6592601.230683458</v>
      </c>
      <c r="CD157" s="1">
        <f t="shared" si="183"/>
        <v>6565597.4523199294</v>
      </c>
      <c r="CE157" s="1">
        <f t="shared" si="184"/>
        <v>27003.778363528661</v>
      </c>
      <c r="CF157" s="1">
        <f>'Index Price Deals'!AR157</f>
        <v>0</v>
      </c>
      <c r="CG157" s="1">
        <f>'Index Price Deals'!AS157</f>
        <v>0</v>
      </c>
      <c r="CH157" s="1">
        <f>'Index Price Deals'!AT157</f>
        <v>0</v>
      </c>
      <c r="CI157" s="1">
        <f>'Index Price Deals'!AU157</f>
        <v>0</v>
      </c>
      <c r="CJ157" s="1">
        <f t="shared" si="181"/>
        <v>6592601.230683458</v>
      </c>
      <c r="CK157" s="1">
        <f t="shared" si="176"/>
        <v>6565597.4523199294</v>
      </c>
      <c r="CL157" s="1">
        <f t="shared" si="176"/>
        <v>27003.778363528661</v>
      </c>
      <c r="CM157" s="30"/>
      <c r="CN157" s="1">
        <f>Transport!U157</f>
        <v>3.1490140827372673E-9</v>
      </c>
      <c r="CQ157" s="1">
        <f>(((($B157+$C157+$D157+$O157+$P157+$Q157)*0.5)+BR157+BS157)*(0.005*'Prices&amp;Fuel'!$H157)+'Index Price Deals'!AV157)+(((BB157+BC157+BD157+BE157+BF157+BG157)*(1-'Prices&amp;Fuel'!F157))*0.005*0.5*'Prices&amp;Fuel'!H157)</f>
        <v>3572.7499999999895</v>
      </c>
      <c r="CR157" s="1">
        <f>(((($B157+$C157+$D157+$O157+$P157+$Q157)*0.5)+X157+Y157)*(0.005*'Prices&amp;Fuel'!$H157)+CA157+'Index Price Deals'!AW157)+(((BB157+BC157+BD157+BE157+BF157+BG157)*(1-'Prices&amp;Fuel'!F157))*0.005*0.5*'Prices&amp;Fuel'!H157)</f>
        <v>3572.7499999999895</v>
      </c>
      <c r="CS157" s="21"/>
      <c r="CU157" s="1"/>
      <c r="CV157" s="60">
        <f t="shared" si="170"/>
        <v>27003.778363525511</v>
      </c>
      <c r="DB157" s="3">
        <f>(O157+P157+Q157)*'Prices&amp;Fuel'!$H157</f>
        <v>778100</v>
      </c>
      <c r="DE157" s="3">
        <v>200000</v>
      </c>
    </row>
    <row r="158" spans="1:109" x14ac:dyDescent="0.25">
      <c r="A158" s="10">
        <f t="shared" si="175"/>
        <v>40402.749999999629</v>
      </c>
      <c r="O158" s="1">
        <v>9036</v>
      </c>
      <c r="P158" s="1">
        <v>10794</v>
      </c>
      <c r="Q158" s="1">
        <v>5270</v>
      </c>
      <c r="R158" s="11">
        <f t="shared" ref="R158:R168" si="185">R157</f>
        <v>3.8908999999999998</v>
      </c>
      <c r="S158" s="11">
        <f t="shared" ref="S158:S168" si="186">S157</f>
        <v>3.8771999999999998</v>
      </c>
      <c r="T158" s="1">
        <f>(($O158*R158)+($P158*R158)+($Q158*R158))*'Prices&amp;Fuel'!$H158</f>
        <v>3027509.29</v>
      </c>
      <c r="U158" s="1">
        <f>(($O158*S158)+($P158*S158)+($Q158*S158))*'Prices&amp;Fuel'!$H158</f>
        <v>3016849.3199999994</v>
      </c>
      <c r="V158" s="13">
        <f t="shared" si="180"/>
        <v>10659.970000000671</v>
      </c>
      <c r="BB158" s="6">
        <f>IF('FP Corp'!T158-((BE158+BF158+BG158)*(1-'Prices&amp;Fuel'!F158))&lt;'Prices&amp;Fuel'!R158,('FP Corp'!T158-(BE158+BF158+BG158)*(1-'Prices&amp;Fuel'!F158)),'Prices&amp;Fuel'!R158)/(1-'Prices&amp;Fuel'!F158)</f>
        <v>8976.8637532133671</v>
      </c>
      <c r="BC158" s="14"/>
      <c r="BD158" s="14">
        <f>ROUND(IF('FP Corp'!T158/(1-'Prices&amp;Fuel'!F158)-BE158-BF158-BG158-BB158&gt;'Prices&amp;Fuel'!T158,'Prices&amp;Fuel'!T158,'FP Corp'!T158/(1-'Prices&amp;Fuel'!F158)-BE158-BF158-BG158-BB158),9)</f>
        <v>6556.2982005140002</v>
      </c>
      <c r="BE158" s="14">
        <f>'Prices&amp;Fuel'!U158/(1-'Prices&amp;Fuel'!F158)</f>
        <v>1933.1619537275064</v>
      </c>
      <c r="BF158" s="14">
        <f>('Prices&amp;Fuel'!V158+'Prices&amp;Fuel'!X158)/(1-'Prices&amp;Fuel'!F158)</f>
        <v>3062.2107969151671</v>
      </c>
      <c r="BG158" s="14">
        <f>'Prices&amp;Fuel'!W158/(1-'Prices&amp;Fuel'!F158)</f>
        <v>1065.2956298200513</v>
      </c>
      <c r="BH158" s="25">
        <f>('Prices&amp;Fuel'!C158+'Prices&amp;Fuel'!D158)/2-0.05+('Prices&amp;Fuel'!M158+'Prices&amp;Fuel'!P158)*(1-'Prices&amp;Fuel'!F158)</f>
        <v>4.7409899631615824</v>
      </c>
      <c r="BI158" s="25"/>
      <c r="BJ158" s="25"/>
      <c r="BK158" s="25">
        <f>(((BB158+BE158)*('Prices&amp;Fuel'!B158+0.025))+(('Prices&amp;Fuel'!D158+0.025)*(BD158+BG158))+(('Prices&amp;Fuel'!C158+0.025)*(BC158+BF158))-(BI158+BJ158)*0.025)/(BB158+BC158+BD158+BE158+BF158+BG158)</f>
        <v>4.0485793083996775</v>
      </c>
      <c r="BL158" s="14">
        <f>(BB158+BC158+BD158+BE158+BF158+BG158)*BH158*'Prices&amp;Fuel'!H158</f>
        <v>3173660.1192988893</v>
      </c>
      <c r="BM158" s="14">
        <f>'Prices&amp;Fuel'!X158*('Prices&amp;Fuel'!N158+'Prices&amp;Fuel'!O158)*'Prices&amp;Fuel'!H158</f>
        <v>9438.6404139577935</v>
      </c>
      <c r="BN158" s="14">
        <f>('Prices&amp;Fuel'!U158+'Prices&amp;Fuel'!V158+'Prices&amp;Fuel'!W158)*('Prices&amp;Fuel'!L158+'Prices&amp;Fuel'!O158)*'Prices&amp;Fuel'!H158</f>
        <v>72012.818736653091</v>
      </c>
      <c r="BO158" s="14">
        <f>((BB158+BC158+BD158)*(1-'Prices&amp;Fuel'!G158))*('Prices&amp;Fuel'!M158+'Prices&amp;Fuel'!P158)*'Prices&amp;Fuel'!H158</f>
        <v>358472.93299999676</v>
      </c>
      <c r="BP158" s="14">
        <f>((BD158+BC158+BB158+BE158+BF158+BG158)*BK158*'Prices&amp;Fuel'!H158)+BM158+BN158+BO158</f>
        <v>3150078.7672335617</v>
      </c>
      <c r="BQ158" s="6">
        <f t="shared" si="179"/>
        <v>23581.352065327577</v>
      </c>
      <c r="CA158" s="6">
        <f>(AF158+AG158+AH158+AL158)*0.005*'Prices&amp;Fuel'!H158</f>
        <v>0</v>
      </c>
      <c r="CB158" s="6">
        <f>(B158+C158+D158+O158+P158+Q158+X158+Y158+BB158+BC158+BD158+BE158+BF158+BG158+BR158+BS158)*0.005*'Prices&amp;Fuel'!H158</f>
        <v>7237.5437017994636</v>
      </c>
      <c r="CC158" s="1">
        <f t="shared" si="182"/>
        <v>6201169.4092988893</v>
      </c>
      <c r="CD158" s="1">
        <f t="shared" si="183"/>
        <v>6174165.6309353607</v>
      </c>
      <c r="CE158" s="1">
        <f t="shared" si="184"/>
        <v>27003.778363528661</v>
      </c>
      <c r="CF158" s="1">
        <f>'Index Price Deals'!AR158</f>
        <v>0</v>
      </c>
      <c r="CG158" s="1">
        <f>'Index Price Deals'!AS158</f>
        <v>0</v>
      </c>
      <c r="CH158" s="1">
        <f>'Index Price Deals'!AT158</f>
        <v>0</v>
      </c>
      <c r="CI158" s="1">
        <f>'Index Price Deals'!AU158</f>
        <v>0</v>
      </c>
      <c r="CJ158" s="1">
        <f t="shared" si="181"/>
        <v>6201169.4092988893</v>
      </c>
      <c r="CK158" s="1">
        <f t="shared" si="176"/>
        <v>6174165.6309353607</v>
      </c>
      <c r="CL158" s="1">
        <f t="shared" si="176"/>
        <v>27003.778363528661</v>
      </c>
      <c r="CM158" s="30"/>
      <c r="CN158" s="1">
        <f>Transport!U158</f>
        <v>3.1490140827372673E-9</v>
      </c>
      <c r="CP158" s="13"/>
      <c r="CQ158" s="1">
        <f>(((($B158+$C158+$D158+$O158+$P158+$Q158)*0.5)+BR158+BS158)*(0.005*'Prices&amp;Fuel'!$H158)+'Index Price Deals'!AV158)+(((BB158+BC158+BD158+BE158+BF158+BG158)*(1-'Prices&amp;Fuel'!F158))*0.005*0.5*'Prices&amp;Fuel'!H158)</f>
        <v>3572.7499999999895</v>
      </c>
      <c r="CR158" s="1">
        <f>(((($B158+$C158+$D158+$O158+$P158+$Q158)*0.5)+X158+Y158)*(0.005*'Prices&amp;Fuel'!$H158)+CA158+'Index Price Deals'!AW158)+(((BB158+BC158+BD158+BE158+BF158+BG158)*(1-'Prices&amp;Fuel'!F158))*0.005*0.5*'Prices&amp;Fuel'!H158)</f>
        <v>3572.7499999999895</v>
      </c>
      <c r="CS158" s="21"/>
      <c r="CU158" s="1"/>
      <c r="CV158" s="60">
        <f t="shared" si="170"/>
        <v>27003.778363525511</v>
      </c>
      <c r="DB158" s="3">
        <f>(O158+P158+Q158)*'Prices&amp;Fuel'!$H158</f>
        <v>778100</v>
      </c>
      <c r="DE158" s="3">
        <v>200000</v>
      </c>
    </row>
    <row r="159" spans="1:109" x14ac:dyDescent="0.25">
      <c r="A159" s="10">
        <f t="shared" si="175"/>
        <v>40433.166666666293</v>
      </c>
      <c r="O159" s="1">
        <v>9036</v>
      </c>
      <c r="P159" s="1">
        <v>10794</v>
      </c>
      <c r="Q159" s="1">
        <v>5270</v>
      </c>
      <c r="R159" s="11">
        <f t="shared" si="185"/>
        <v>3.8908999999999998</v>
      </c>
      <c r="S159" s="11">
        <f t="shared" si="186"/>
        <v>3.8771999999999998</v>
      </c>
      <c r="T159" s="1">
        <f>(($O159*R159)+($P159*R159)+($Q159*R159))*'Prices&amp;Fuel'!$H159</f>
        <v>2929847.6999999997</v>
      </c>
      <c r="U159" s="1">
        <f>(($O159*S159)+($P159*S159)+($Q159*S159))*'Prices&amp;Fuel'!$H159</f>
        <v>2919531.5999999996</v>
      </c>
      <c r="V159" s="13">
        <f t="shared" si="180"/>
        <v>10316.100000000093</v>
      </c>
      <c r="BB159" s="6">
        <f>IF('FP Corp'!T159-((BE159+BF159+BG159)*(1-'Prices&amp;Fuel'!F159))&lt;'Prices&amp;Fuel'!R159,('FP Corp'!T159-(BE159+BF159+BG159)*(1-'Prices&amp;Fuel'!F159)),'Prices&amp;Fuel'!R159)/(1-'Prices&amp;Fuel'!F159)</f>
        <v>8976.8637532133671</v>
      </c>
      <c r="BC159" s="14"/>
      <c r="BD159" s="14">
        <f>ROUND(IF('FP Corp'!T159/(1-'Prices&amp;Fuel'!F159)-BE159-BF159-BG159-BB159&gt;'Prices&amp;Fuel'!T159,'Prices&amp;Fuel'!T159,'FP Corp'!T159/(1-'Prices&amp;Fuel'!F159)-BE159-BF159-BG159-BB159),9)</f>
        <v>6556.2982005140002</v>
      </c>
      <c r="BE159" s="14">
        <f>'Prices&amp;Fuel'!U159/(1-'Prices&amp;Fuel'!F159)</f>
        <v>1933.1619537275064</v>
      </c>
      <c r="BF159" s="14">
        <f>('Prices&amp;Fuel'!V159+'Prices&amp;Fuel'!X159)/(1-'Prices&amp;Fuel'!F159)</f>
        <v>3062.2107969151671</v>
      </c>
      <c r="BG159" s="14">
        <f>'Prices&amp;Fuel'!W159/(1-'Prices&amp;Fuel'!F159)</f>
        <v>1065.2956298200513</v>
      </c>
      <c r="BH159" s="25">
        <f>('Prices&amp;Fuel'!C159+'Prices&amp;Fuel'!D159)/2-0.05+('Prices&amp;Fuel'!M159+'Prices&amp;Fuel'!P159)*(1-'Prices&amp;Fuel'!F159)</f>
        <v>5.5747896264952059</v>
      </c>
      <c r="BI159" s="25"/>
      <c r="BJ159" s="25"/>
      <c r="BK159" s="25">
        <f>(((BB159+BE159)*('Prices&amp;Fuel'!B159+0.025))+(('Prices&amp;Fuel'!D159+0.025)*(BD159+BG159))+(('Prices&amp;Fuel'!C159+0.025)*(BC159+BF159))-(BI159+BJ159)*0.025)/(BB159+BC159+BD159+BE159+BF159+BG159)</f>
        <v>4.882378971733301</v>
      </c>
      <c r="BL159" s="14">
        <f>(BB159+BC159+BD159+BE159+BF159+BG159)*BH159*'Prices&amp;Fuel'!H159</f>
        <v>3611431.8403002126</v>
      </c>
      <c r="BM159" s="14">
        <f>'Prices&amp;Fuel'!X159*('Prices&amp;Fuel'!N159+'Prices&amp;Fuel'!O159)*'Prices&amp;Fuel'!H159</f>
        <v>9134.1681425398001</v>
      </c>
      <c r="BN159" s="14">
        <f>('Prices&amp;Fuel'!U159+'Prices&amp;Fuel'!V159+'Prices&amp;Fuel'!W159)*('Prices&amp;Fuel'!L159+'Prices&amp;Fuel'!O159)*'Prices&amp;Fuel'!H159</f>
        <v>69689.82458385783</v>
      </c>
      <c r="BO159" s="14">
        <f>((BB159+BC159+BD159)*(1-'Prices&amp;Fuel'!G159))*('Prices&amp;Fuel'!M159+'Prices&amp;Fuel'!P159)*'Prices&amp;Fuel'!H159</f>
        <v>346909.28999999689</v>
      </c>
      <c r="BP159" s="14">
        <f>((BD159+BC159+BB159+BE159+BF159+BG159)*BK159*'Prices&amp;Fuel'!H159)+BM159+BN159+BO159</f>
        <v>3588611.1770111858</v>
      </c>
      <c r="BQ159" s="6">
        <f t="shared" si="179"/>
        <v>22820.663289026823</v>
      </c>
      <c r="CA159" s="6">
        <f>(AF159+AG159+AH159+AL159)*0.005*'Prices&amp;Fuel'!H159</f>
        <v>0</v>
      </c>
      <c r="CB159" s="6">
        <f>(B159+C159+D159+O159+P159+Q159+X159+Y159+BB159+BC159+BD159+BE159+BF159+BG159+BR159+BS159)*0.005*'Prices&amp;Fuel'!H159</f>
        <v>7004.0745501285137</v>
      </c>
      <c r="CC159" s="1">
        <f t="shared" si="182"/>
        <v>6541279.5403002128</v>
      </c>
      <c r="CD159" s="1">
        <f t="shared" si="183"/>
        <v>6515146.8515613144</v>
      </c>
      <c r="CE159" s="1">
        <f t="shared" si="184"/>
        <v>26132.688738898374</v>
      </c>
      <c r="CF159" s="1">
        <f>'Index Price Deals'!AR159</f>
        <v>0</v>
      </c>
      <c r="CG159" s="1">
        <f>'Index Price Deals'!AS159</f>
        <v>0</v>
      </c>
      <c r="CH159" s="1">
        <f>'Index Price Deals'!AT159</f>
        <v>0</v>
      </c>
      <c r="CI159" s="1">
        <f>'Index Price Deals'!AU159</f>
        <v>0</v>
      </c>
      <c r="CJ159" s="1">
        <f t="shared" si="181"/>
        <v>6541279.5403002128</v>
      </c>
      <c r="CK159" s="1">
        <f t="shared" si="176"/>
        <v>6515146.8515613144</v>
      </c>
      <c r="CL159" s="1">
        <f t="shared" si="176"/>
        <v>26132.688738898374</v>
      </c>
      <c r="CN159" s="1">
        <f>Transport!U159</f>
        <v>3.0474329832941295E-9</v>
      </c>
      <c r="CQ159" s="1">
        <f>(((($B159+$C159+$D159+$O159+$P159+$Q159)*0.5)+BR159+BS159)*(0.005*'Prices&amp;Fuel'!$H159)+'Index Price Deals'!AV159)+(((BB159+BC159+BD159+BE159+BF159+BG159)*(1-'Prices&amp;Fuel'!F159))*0.005*0.5*'Prices&amp;Fuel'!H159)</f>
        <v>3457.49999999999</v>
      </c>
      <c r="CR159" s="1">
        <f>(((($B159+$C159+$D159+$O159+$P159+$Q159)*0.5)+X159+Y159)*(0.005*'Prices&amp;Fuel'!$H159)+CA159+'Index Price Deals'!AW159)+(((BB159+BC159+BD159+BE159+BF159+BG159)*(1-'Prices&amp;Fuel'!F159))*0.005*0.5*'Prices&amp;Fuel'!H159)</f>
        <v>3457.49999999999</v>
      </c>
      <c r="CS159" s="21"/>
      <c r="CU159" s="1"/>
      <c r="CV159" s="60">
        <f t="shared" si="170"/>
        <v>26132.688738895326</v>
      </c>
      <c r="DB159" s="3">
        <f>(O159+P159+Q159)*'Prices&amp;Fuel'!$H159</f>
        <v>753000</v>
      </c>
      <c r="DE159" s="3">
        <v>200000</v>
      </c>
    </row>
    <row r="160" spans="1:109" x14ac:dyDescent="0.25">
      <c r="A160" s="10">
        <f t="shared" si="175"/>
        <v>40463.583333332957</v>
      </c>
      <c r="O160" s="1">
        <v>9036</v>
      </c>
      <c r="P160" s="1">
        <v>10794</v>
      </c>
      <c r="Q160" s="1">
        <v>5270</v>
      </c>
      <c r="R160" s="11">
        <f t="shared" si="185"/>
        <v>3.8908999999999998</v>
      </c>
      <c r="S160" s="11">
        <f t="shared" si="186"/>
        <v>3.8771999999999998</v>
      </c>
      <c r="T160" s="1">
        <f>(($O160*R160)+($P160*R160)+($Q160*R160))*'Prices&amp;Fuel'!$H160</f>
        <v>3027509.29</v>
      </c>
      <c r="U160" s="1">
        <f>(($O160*S160)+($P160*S160)+($Q160*S160))*'Prices&amp;Fuel'!$H160</f>
        <v>3016849.3199999994</v>
      </c>
      <c r="V160" s="13">
        <f t="shared" si="180"/>
        <v>10659.970000000671</v>
      </c>
      <c r="BB160" s="6">
        <f>IF('FP Corp'!T160-((BE160+BF160+BG160)*(1-'Prices&amp;Fuel'!F160))&lt;'Prices&amp;Fuel'!R160,('FP Corp'!T160-(BE160+BF160+BG160)*(1-'Prices&amp;Fuel'!F160)),'Prices&amp;Fuel'!R160)/(1-'Prices&amp;Fuel'!F160)</f>
        <v>8976.8637532133671</v>
      </c>
      <c r="BC160" s="14"/>
      <c r="BD160" s="14">
        <f>ROUND(IF('FP Corp'!T160/(1-'Prices&amp;Fuel'!F160)-BE160-BF160-BG160-BB160&gt;'Prices&amp;Fuel'!T160,'Prices&amp;Fuel'!T160,'FP Corp'!T160/(1-'Prices&amp;Fuel'!F160)-BE160-BF160-BG160-BB160),9)</f>
        <v>3514.6529562979999</v>
      </c>
      <c r="BE160" s="14">
        <f>'Prices&amp;Fuel'!U160/(1-'Prices&amp;Fuel'!F160)</f>
        <v>2910.025706940874</v>
      </c>
      <c r="BF160" s="14">
        <f>('Prices&amp;Fuel'!V160+'Prices&amp;Fuel'!X160)/(1-'Prices&amp;Fuel'!F160)</f>
        <v>4628.2776349614396</v>
      </c>
      <c r="BG160" s="14">
        <f>'Prices&amp;Fuel'!W160/(1-'Prices&amp;Fuel'!F160)</f>
        <v>1564.0102827763496</v>
      </c>
      <c r="BH160" s="25">
        <f>('Prices&amp;Fuel'!C160+'Prices&amp;Fuel'!D160)/2-0.05+('Prices&amp;Fuel'!M160+'Prices&amp;Fuel'!P160)*(1-'Prices&amp;Fuel'!F160)</f>
        <v>6.3111321863222978</v>
      </c>
      <c r="BI160" s="25"/>
      <c r="BJ160" s="25"/>
      <c r="BK160" s="25">
        <f>(((BB160+BE160)*('Prices&amp;Fuel'!B160+0.025))+(('Prices&amp;Fuel'!D160+0.025)*(BD160+BG160))+(('Prices&amp;Fuel'!C160+0.025)*(BC160+BF160))-(BI160+BJ160)*0.025)/(BB160+BC160+BD160+BE160+BF160+BG160)</f>
        <v>5.621895341084203</v>
      </c>
      <c r="BL160" s="14">
        <f>(BB160+BC160+BD160+BE160+BF160+BG160)*BH160*'Prices&amp;Fuel'!H160</f>
        <v>4224727.0470907744</v>
      </c>
      <c r="BM160" s="14">
        <f>'Prices&amp;Fuel'!X160*('Prices&amp;Fuel'!N160+'Prices&amp;Fuel'!O160)*'Prices&amp;Fuel'!H160</f>
        <v>13833.205057645318</v>
      </c>
      <c r="BN160" s="14">
        <f>('Prices&amp;Fuel'!U160+'Prices&amp;Fuel'!V160+'Prices&amp;Fuel'!W160)*('Prices&amp;Fuel'!L160+'Prices&amp;Fuel'!O160)*'Prices&amp;Fuel'!H160</f>
        <v>108495.99691066272</v>
      </c>
      <c r="BO160" s="14">
        <f>((BB160+BC160+BD160)*(1-'Prices&amp;Fuel'!G160))*('Prices&amp;Fuel'!M160+'Prices&amp;Fuel'!P160)*'Prices&amp;Fuel'!H160</f>
        <v>288278.11399999529</v>
      </c>
      <c r="BP160" s="14">
        <f>((BD160+BC160+BB160+BE160+BF160+BG160)*BK160*'Prices&amp;Fuel'!H160)+BM160+BN160+BO160</f>
        <v>4173953.1946786195</v>
      </c>
      <c r="BQ160" s="6">
        <f t="shared" si="179"/>
        <v>50773.852412154898</v>
      </c>
      <c r="CA160" s="6">
        <f>(AF160+AG160+AH160+AL160)*0.005*'Prices&amp;Fuel'!H160</f>
        <v>0</v>
      </c>
      <c r="CB160" s="6">
        <f>(B160+C160+D160+O160+P160+Q160+X160+Y160+BB160+BC160+BD160+BE160+BF160+BG160+BR160+BS160)*0.005*'Prices&amp;Fuel'!H160</f>
        <v>7237.5437017994554</v>
      </c>
      <c r="CC160" s="1">
        <f t="shared" si="182"/>
        <v>7252236.3370907744</v>
      </c>
      <c r="CD160" s="1">
        <f t="shared" si="183"/>
        <v>7198040.0583804185</v>
      </c>
      <c r="CE160" s="1">
        <f t="shared" si="184"/>
        <v>54196.278710355982</v>
      </c>
      <c r="CF160" s="1">
        <f>'Index Price Deals'!AR160</f>
        <v>0</v>
      </c>
      <c r="CG160" s="1">
        <f>'Index Price Deals'!AS160</f>
        <v>0</v>
      </c>
      <c r="CH160" s="1">
        <f>'Index Price Deals'!AT160</f>
        <v>0</v>
      </c>
      <c r="CI160" s="1">
        <f>'Index Price Deals'!AU160</f>
        <v>0</v>
      </c>
      <c r="CJ160" s="1">
        <f t="shared" si="181"/>
        <v>7252236.3370907744</v>
      </c>
      <c r="CK160" s="1">
        <f t="shared" si="176"/>
        <v>7198040.0583804185</v>
      </c>
      <c r="CL160" s="1">
        <f t="shared" si="176"/>
        <v>54196.278710355982</v>
      </c>
      <c r="CN160" s="1">
        <f>Transport!U160</f>
        <v>4.3920459575019776E-9</v>
      </c>
      <c r="CQ160" s="1">
        <f>(((($B160+$C160+$D160+$O160+$P160+$Q160)*0.5)+BR160+BS160)*(0.005*'Prices&amp;Fuel'!$H160)+'Index Price Deals'!AV160)+(((BB160+BC160+BD160+BE160+BF160+BG160)*(1-'Prices&amp;Fuel'!F160))*0.005*0.5*'Prices&amp;Fuel'!H160)</f>
        <v>3572.749999999985</v>
      </c>
      <c r="CR160" s="1">
        <f>(((($B160+$C160+$D160+$O160+$P160+$Q160)*0.5)+X160+Y160)*(0.005*'Prices&amp;Fuel'!$H160)+CA160+'Index Price Deals'!AW160)+(((BB160+BC160+BD160+BE160+BF160+BG160)*(1-'Prices&amp;Fuel'!F160))*0.005*0.5*'Prices&amp;Fuel'!H160)</f>
        <v>3572.749999999985</v>
      </c>
      <c r="CS160" s="21"/>
      <c r="CU160" s="1"/>
      <c r="CV160" s="60">
        <f t="shared" si="170"/>
        <v>54196.278710351588</v>
      </c>
      <c r="DB160" s="3">
        <f>(O160+P160+Q160)*'Prices&amp;Fuel'!$H160</f>
        <v>778100</v>
      </c>
      <c r="DE160" s="3">
        <v>132000</v>
      </c>
    </row>
    <row r="161" spans="1:109" x14ac:dyDescent="0.25">
      <c r="A161" s="10">
        <f t="shared" ref="A161:A176" si="187">+A160+365/12</f>
        <v>40493.999999999622</v>
      </c>
      <c r="O161" s="1">
        <v>9036</v>
      </c>
      <c r="P161" s="1">
        <v>10794</v>
      </c>
      <c r="Q161" s="1">
        <v>5270</v>
      </c>
      <c r="R161" s="11">
        <f t="shared" si="185"/>
        <v>3.8908999999999998</v>
      </c>
      <c r="S161" s="11">
        <f t="shared" si="186"/>
        <v>3.8771999999999998</v>
      </c>
      <c r="T161" s="1">
        <f>(($O161*R161)+($P161*R161)+($Q161*R161))*'Prices&amp;Fuel'!$H161</f>
        <v>2929847.6999999997</v>
      </c>
      <c r="U161" s="1">
        <f>(($O161*S161)+($P161*S161)+($Q161*S161))*'Prices&amp;Fuel'!$H161</f>
        <v>2919531.5999999996</v>
      </c>
      <c r="V161" s="13">
        <f t="shared" si="180"/>
        <v>10316.100000000093</v>
      </c>
      <c r="BB161" s="6">
        <f>IF('FP Corp'!T161-((BE161+BF161+BG161)*(1-'Prices&amp;Fuel'!F161))&lt;'Prices&amp;Fuel'!R161,('FP Corp'!T161-(BE161+BF161+BG161)*(1-'Prices&amp;Fuel'!F161)),'Prices&amp;Fuel'!R161)/(1-'Prices&amp;Fuel'!F161)</f>
        <v>4325.9640102827761</v>
      </c>
      <c r="BC161" s="14"/>
      <c r="BD161" s="14">
        <f>ROUND(IF('FP Corp'!T161/(1-'Prices&amp;Fuel'!F161)-BE161-BF161-BG161-BB161&gt;'Prices&amp;Fuel'!T161,'Prices&amp;Fuel'!T161,'FP Corp'!T161/(1-'Prices&amp;Fuel'!F161)-BE161-BF161-BG161-BB161),9)</f>
        <v>0</v>
      </c>
      <c r="BE161" s="14">
        <f>'Prices&amp;Fuel'!U161/(1-'Prices&amp;Fuel'!F161)</f>
        <v>2635.4755784061695</v>
      </c>
      <c r="BF161" s="14">
        <f>('Prices&amp;Fuel'!V161+'Prices&amp;Fuel'!X161)/(1-'Prices&amp;Fuel'!F161)</f>
        <v>3645.2442159383031</v>
      </c>
      <c r="BG161" s="14">
        <f>'Prices&amp;Fuel'!W161/(1-'Prices&amp;Fuel'!F161)</f>
        <v>1732.6478149100255</v>
      </c>
      <c r="BH161" s="25">
        <f>('Prices&amp;Fuel'!C161+'Prices&amp;Fuel'!D161)/2-0.05+('Prices&amp;Fuel'!M161+'Prices&amp;Fuel'!P161)*(1-'Prices&amp;Fuel'!F161)</f>
        <v>4.4377900855857195</v>
      </c>
      <c r="BI161" s="25"/>
      <c r="BJ161" s="25"/>
      <c r="BK161" s="25">
        <f>(((BB161+BE161)*('Prices&amp;Fuel'!B161+0.025))+(('Prices&amp;Fuel'!D161+0.025)*(BD161+BG161))+(('Prices&amp;Fuel'!C161+0.025)*(BC161+BF161))-(BI161+BJ161)*0.025)/(BB161+BC161+BD161+BE161+BF161+BG161)</f>
        <v>3.7524705022523865</v>
      </c>
      <c r="BL161" s="14">
        <f>(BB161+BC161+BD161+BE161+BF161+BG161)*BH161*'Prices&amp;Fuel'!H161</f>
        <v>1642780.9057181068</v>
      </c>
      <c r="BM161" s="14">
        <f>'Prices&amp;Fuel'!X161*('Prices&amp;Fuel'!N161+'Prices&amp;Fuel'!O161)*'Prices&amp;Fuel'!H161</f>
        <v>9134.1681425398001</v>
      </c>
      <c r="BN161" s="14">
        <f>('Prices&amp;Fuel'!U161+'Prices&amp;Fuel'!V161+'Prices&amp;Fuel'!W161)*('Prices&amp;Fuel'!L161+'Prices&amp;Fuel'!O161)*'Prices&amp;Fuel'!H161</f>
        <v>95086.289155868202</v>
      </c>
      <c r="BO161" s="14">
        <f>((BB161+BC161+BD161)*(1-'Prices&amp;Fuel'!G161))*('Prices&amp;Fuel'!M161+'Prices&amp;Fuel'!P161)*'Prices&amp;Fuel'!H161</f>
        <v>96613.75499999999</v>
      </c>
      <c r="BP161" s="14">
        <f>((BD161+BC161+BB161+BE161+BF161+BG161)*BK161*'Prices&amp;Fuel'!H161)+BM161+BN161+BO161</f>
        <v>1589923.5498931215</v>
      </c>
      <c r="BQ161" s="6">
        <f t="shared" si="179"/>
        <v>52857.355824985309</v>
      </c>
      <c r="CA161" s="6">
        <f>(AF161+AG161+AH161+AL161)*0.005*'Prices&amp;Fuel'!H161</f>
        <v>0</v>
      </c>
      <c r="CB161" s="6">
        <f>(B161+C161+D161+O161+P161+Q161+X161+Y161+BB161+BC161+BD161+BE161+BF161+BG161+BR161+BS161)*0.005*'Prices&amp;Fuel'!H161</f>
        <v>5615.8997429305909</v>
      </c>
      <c r="CC161" s="1">
        <f t="shared" si="182"/>
        <v>4572628.605718106</v>
      </c>
      <c r="CD161" s="1">
        <f t="shared" si="183"/>
        <v>4515071.0496360511</v>
      </c>
      <c r="CE161" s="1">
        <f t="shared" si="184"/>
        <v>57557.556082054973</v>
      </c>
      <c r="CF161" s="1">
        <f>'Index Price Deals'!AR161</f>
        <v>0</v>
      </c>
      <c r="CG161" s="1">
        <f>'Index Price Deals'!AS161</f>
        <v>0</v>
      </c>
      <c r="CH161" s="1">
        <f>'Index Price Deals'!AT161</f>
        <v>0</v>
      </c>
      <c r="CI161" s="1">
        <f>'Index Price Deals'!AU161</f>
        <v>0</v>
      </c>
      <c r="CJ161" s="1">
        <f t="shared" si="181"/>
        <v>4572628.605718106</v>
      </c>
      <c r="CK161" s="1">
        <f t="shared" si="176"/>
        <v>4515071.0496360511</v>
      </c>
      <c r="CL161" s="1">
        <f t="shared" si="176"/>
        <v>57557.556082054973</v>
      </c>
      <c r="CN161" s="1">
        <f>Transport!U161</f>
        <v>0</v>
      </c>
      <c r="CQ161" s="1">
        <f>(((($B161+$C161+$D161+$O161+$P161+$Q161)*0.5)+BR161+BS161)*(0.005*'Prices&amp;Fuel'!$H161)+'Index Price Deals'!AV161)+(((BB161+BC161+BD161+BE161+BF161+BG161)*(1-'Prices&amp;Fuel'!F161))*0.005*0.5*'Prices&amp;Fuel'!H161)</f>
        <v>2782.5</v>
      </c>
      <c r="CR161" s="1">
        <f>(((($B161+$C161+$D161+$O161+$P161+$Q161)*0.5)+X161+Y161)*(0.005*'Prices&amp;Fuel'!$H161)+CA161+'Index Price Deals'!AW161)+(((BB161+BC161+BD161+BE161+BF161+BG161)*(1-'Prices&amp;Fuel'!F161))*0.005*0.5*'Prices&amp;Fuel'!H161)</f>
        <v>2782.5</v>
      </c>
      <c r="CS161" s="21"/>
      <c r="CU161" s="1"/>
      <c r="CV161" s="60">
        <f t="shared" si="170"/>
        <v>57557.556082054973</v>
      </c>
      <c r="DB161" s="3">
        <f>(O161+P161+Q161)*'Prices&amp;Fuel'!$H161</f>
        <v>753000</v>
      </c>
      <c r="DE161" s="3">
        <v>132000</v>
      </c>
    </row>
    <row r="162" spans="1:109" x14ac:dyDescent="0.25">
      <c r="A162" s="10">
        <f t="shared" si="187"/>
        <v>40524.416666666286</v>
      </c>
      <c r="O162" s="1">
        <v>9036</v>
      </c>
      <c r="P162" s="1">
        <v>10794</v>
      </c>
      <c r="Q162" s="1">
        <v>5270</v>
      </c>
      <c r="R162" s="11">
        <f t="shared" si="185"/>
        <v>3.8908999999999998</v>
      </c>
      <c r="S162" s="11">
        <f t="shared" si="186"/>
        <v>3.8771999999999998</v>
      </c>
      <c r="T162" s="1">
        <f>(($O162*R162)+($P162*R162)+($Q162*R162))*'Prices&amp;Fuel'!$H162</f>
        <v>3027509.29</v>
      </c>
      <c r="U162" s="1">
        <f>(($O162*S162)+($P162*S162)+($Q162*S162))*'Prices&amp;Fuel'!$H162</f>
        <v>3016849.3199999994</v>
      </c>
      <c r="V162" s="13">
        <f t="shared" si="180"/>
        <v>10659.970000000671</v>
      </c>
      <c r="BB162" s="6">
        <f>IF('FP Corp'!T162-((BE162+BF162+BG162)*(1-'Prices&amp;Fuel'!F162))&lt;'Prices&amp;Fuel'!R162,('FP Corp'!T162-(BE162+BF162+BG162)*(1-'Prices&amp;Fuel'!F162)),'Prices&amp;Fuel'!R162)/(1-'Prices&amp;Fuel'!F162)</f>
        <v>4325.9640102827761</v>
      </c>
      <c r="BC162" s="14"/>
      <c r="BD162" s="14">
        <f>ROUND(IF('FP Corp'!T162/(1-'Prices&amp;Fuel'!F162)-BE162-BF162-BG162-BB162&gt;'Prices&amp;Fuel'!T162,'Prices&amp;Fuel'!T162,'FP Corp'!T162/(1-'Prices&amp;Fuel'!F162)-BE162-BF162-BG162-BB162),9)</f>
        <v>0</v>
      </c>
      <c r="BE162" s="14">
        <f>'Prices&amp;Fuel'!U162/(1-'Prices&amp;Fuel'!F162)</f>
        <v>2635.4755784061695</v>
      </c>
      <c r="BF162" s="14">
        <f>('Prices&amp;Fuel'!V162+'Prices&amp;Fuel'!X162)/(1-'Prices&amp;Fuel'!F162)</f>
        <v>3645.2442159383031</v>
      </c>
      <c r="BG162" s="14">
        <f>'Prices&amp;Fuel'!W162/(1-'Prices&amp;Fuel'!F162)</f>
        <v>1732.6478149100255</v>
      </c>
      <c r="BH162" s="25">
        <f>('Prices&amp;Fuel'!C162+'Prices&amp;Fuel'!D162)/2-0.05+('Prices&amp;Fuel'!M162+'Prices&amp;Fuel'!P162)*(1-'Prices&amp;Fuel'!F162)</f>
        <v>3.4848761846330092</v>
      </c>
      <c r="BI162" s="25"/>
      <c r="BJ162" s="25"/>
      <c r="BK162" s="25">
        <f>(((BB162+BE162)*('Prices&amp;Fuel'!B162+0.025))+(('Prices&amp;Fuel'!D162+0.025)*(BD162+BG162))+(('Prices&amp;Fuel'!C162+0.025)*(BC162+BF162))-(BI162+BJ162)*0.025)/(BB162+BC162+BD162+BE162+BF162+BG162)</f>
        <v>2.7995566012996758</v>
      </c>
      <c r="BL162" s="14">
        <f>(BB162+BC162+BD162+BE162+BF162+BG162)*BH162*'Prices&amp;Fuel'!H162</f>
        <v>1333032.3297516496</v>
      </c>
      <c r="BM162" s="14">
        <f>'Prices&amp;Fuel'!X162*('Prices&amp;Fuel'!N162+'Prices&amp;Fuel'!O162)*'Prices&amp;Fuel'!H162</f>
        <v>9438.6404139577935</v>
      </c>
      <c r="BN162" s="14">
        <f>('Prices&amp;Fuel'!U162+'Prices&amp;Fuel'!V162+'Prices&amp;Fuel'!W162)*('Prices&amp;Fuel'!L162+'Prices&amp;Fuel'!O162)*'Prices&amp;Fuel'!H162</f>
        <v>98255.832127730479</v>
      </c>
      <c r="BO162" s="14">
        <f>((BB162+BC162+BD162)*(1-'Prices&amp;Fuel'!G162))*('Prices&amp;Fuel'!M162+'Prices&amp;Fuel'!P162)*'Prices&amp;Fuel'!H162</f>
        <v>99834.213499999998</v>
      </c>
      <c r="BP162" s="14">
        <f>((BD162+BC162+BB162+BE162+BF162+BG162)*BK162*'Prices&amp;Fuel'!H162)+BM162+BN162+BO162</f>
        <v>1278413.0620658319</v>
      </c>
      <c r="BQ162" s="6">
        <f t="shared" ref="BQ162:BQ177" si="188">BL162-BP162</f>
        <v>54619.267685817787</v>
      </c>
      <c r="CA162" s="6">
        <f>(AF162+AG162+AH162+AL162)*0.005*'Prices&amp;Fuel'!H162</f>
        <v>0</v>
      </c>
      <c r="CB162" s="6">
        <f>(B162+C162+D162+O162+P162+Q162+X162+Y162+BB162+BC162+BD162+BE162+BF162+BG162+BR162+BS162)*0.005*'Prices&amp;Fuel'!H162</f>
        <v>5803.0964010282778</v>
      </c>
      <c r="CC162" s="1">
        <f t="shared" si="182"/>
        <v>4360541.6197516499</v>
      </c>
      <c r="CD162" s="1">
        <f t="shared" si="183"/>
        <v>4301065.4784668591</v>
      </c>
      <c r="CE162" s="1">
        <f t="shared" si="184"/>
        <v>59476.141284790821</v>
      </c>
      <c r="CF162" s="1">
        <f>'Index Price Deals'!AR162</f>
        <v>0</v>
      </c>
      <c r="CG162" s="1">
        <f>'Index Price Deals'!AS162</f>
        <v>0</v>
      </c>
      <c r="CH162" s="1">
        <f>'Index Price Deals'!AT162</f>
        <v>0</v>
      </c>
      <c r="CI162" s="1">
        <f>'Index Price Deals'!AU162</f>
        <v>0</v>
      </c>
      <c r="CJ162" s="1">
        <f t="shared" si="181"/>
        <v>4360541.6197516499</v>
      </c>
      <c r="CK162" s="1">
        <f t="shared" si="176"/>
        <v>4301065.4784668591</v>
      </c>
      <c r="CL162" s="1">
        <f t="shared" si="176"/>
        <v>59476.141284790821</v>
      </c>
      <c r="CM162" s="1">
        <f>SUM(CL151:CL162)</f>
        <v>744712.73154324479</v>
      </c>
      <c r="CN162" s="1">
        <f>Transport!U162</f>
        <v>0</v>
      </c>
      <c r="CQ162" s="1">
        <f>(((($B162+$C162+$D162+$O162+$P162+$Q162)*0.5)+BR162+BS162)*(0.005*'Prices&amp;Fuel'!$H162)+'Index Price Deals'!AV162)+(((BB162+BC162+BD162+BE162+BF162+BG162)*(1-'Prices&amp;Fuel'!F162))*0.005*0.5*'Prices&amp;Fuel'!H162)</f>
        <v>2875.25</v>
      </c>
      <c r="CR162" s="1">
        <f>(((($B162+$C162+$D162+$O162+$P162+$Q162)*0.5)+X162+Y162)*(0.005*'Prices&amp;Fuel'!$H162)+CA162+'Index Price Deals'!AW162)+(((BB162+BC162+BD162+BE162+BF162+BG162)*(1-'Prices&amp;Fuel'!F162))*0.005*0.5*'Prices&amp;Fuel'!H162)</f>
        <v>2875.25</v>
      </c>
      <c r="CS162" s="21"/>
      <c r="CU162" s="1"/>
      <c r="CV162" s="60">
        <f t="shared" si="170"/>
        <v>59476.141284790821</v>
      </c>
      <c r="DB162" s="3">
        <f>(O162+P162+Q162)*'Prices&amp;Fuel'!$H162</f>
        <v>778100</v>
      </c>
      <c r="DE162" s="3">
        <v>132000</v>
      </c>
    </row>
    <row r="163" spans="1:109" x14ac:dyDescent="0.25">
      <c r="A163" s="10">
        <f t="shared" si="187"/>
        <v>40554.83333333295</v>
      </c>
      <c r="O163" s="1">
        <v>9036</v>
      </c>
      <c r="P163" s="1">
        <v>10794</v>
      </c>
      <c r="Q163" s="1">
        <v>5270</v>
      </c>
      <c r="R163" s="11">
        <f t="shared" si="185"/>
        <v>3.8908999999999998</v>
      </c>
      <c r="S163" s="11">
        <f t="shared" si="186"/>
        <v>3.8771999999999998</v>
      </c>
      <c r="T163" s="1">
        <f>(($O163*R163)+($P163*R163)+($Q163*R163))*'Prices&amp;Fuel'!$H163</f>
        <v>3027509.29</v>
      </c>
      <c r="U163" s="1">
        <f>(($O163*S163)+($P163*S163)+($Q163*S163))*'Prices&amp;Fuel'!$H163</f>
        <v>3016849.3199999994</v>
      </c>
      <c r="V163" s="13">
        <f t="shared" si="180"/>
        <v>10659.970000000671</v>
      </c>
      <c r="BB163" s="6">
        <f>IF('FP Corp'!T163-((BE163+BF163+BG163)*(1-'Prices&amp;Fuel'!F163))&lt;'Prices&amp;Fuel'!R163,('FP Corp'!T163-(BE163+BF163+BG163)*(1-'Prices&amp;Fuel'!F163)),'Prices&amp;Fuel'!R163)/(1-'Prices&amp;Fuel'!F163)</f>
        <v>4325.9640102827761</v>
      </c>
      <c r="BC163" s="14"/>
      <c r="BD163" s="14">
        <f>ROUND(IF('FP Corp'!T163/(1-'Prices&amp;Fuel'!F163)-BE163-BF163-BG163-BB163&gt;'Prices&amp;Fuel'!T163,'Prices&amp;Fuel'!T163,'FP Corp'!T163/(1-'Prices&amp;Fuel'!F163)-BE163-BF163-BG163-BB163),9)</f>
        <v>0</v>
      </c>
      <c r="BE163" s="14">
        <f>'Prices&amp;Fuel'!U163/(1-'Prices&amp;Fuel'!F163)</f>
        <v>2635.4755784061695</v>
      </c>
      <c r="BF163" s="14">
        <f>('Prices&amp;Fuel'!V163+'Prices&amp;Fuel'!X163)/(1-'Prices&amp;Fuel'!F163)</f>
        <v>3645.2442159383031</v>
      </c>
      <c r="BG163" s="14">
        <f>'Prices&amp;Fuel'!W163/(1-'Prices&amp;Fuel'!F163)</f>
        <v>1732.6478149100255</v>
      </c>
      <c r="BH163" s="25">
        <f>('Prices&amp;Fuel'!C163+'Prices&amp;Fuel'!D163)/2-0.05+('Prices&amp;Fuel'!M163+'Prices&amp;Fuel'!P163)*(1-'Prices&amp;Fuel'!F163)</f>
        <v>3.1521143189935006</v>
      </c>
      <c r="BI163" s="25"/>
      <c r="BJ163" s="25"/>
      <c r="BK163" s="25">
        <f>(((BB163+BE163)*('Prices&amp;Fuel'!B163+0.025))+(('Prices&amp;Fuel'!D163+0.025)*(BD163+BG163))+(('Prices&amp;Fuel'!C163+0.025)*(BC163+BF163))-(BI163+BJ163)*0.025)/(BB163+BC163+BD163+BE163+BF163+BG163)</f>
        <v>2.4667947356601667</v>
      </c>
      <c r="BL163" s="14">
        <f>(BB163+BC163+BD163+BE163+BF163+BG163)*BH163*'Prices&amp;Fuel'!H163</f>
        <v>1205744.5004273336</v>
      </c>
      <c r="BM163" s="14">
        <f>'Prices&amp;Fuel'!X163*('Prices&amp;Fuel'!N163+'Prices&amp;Fuel'!O163)*'Prices&amp;Fuel'!H163</f>
        <v>9438.6404139577935</v>
      </c>
      <c r="BN163" s="14">
        <f>('Prices&amp;Fuel'!U163+'Prices&amp;Fuel'!V163+'Prices&amp;Fuel'!W163)*('Prices&amp;Fuel'!L163+'Prices&amp;Fuel'!O163)*'Prices&amp;Fuel'!H163</f>
        <v>98255.832127730479</v>
      </c>
      <c r="BO163" s="14">
        <f>((BB163+BC163+BD163)*(1-'Prices&amp;Fuel'!G163))*('Prices&amp;Fuel'!M163+'Prices&amp;Fuel'!P163)*'Prices&amp;Fuel'!H163</f>
        <v>99834.213499999998</v>
      </c>
      <c r="BP163" s="14">
        <f>((BD163+BC163+BB163+BE163+BF163+BG163)*BK163*'Prices&amp;Fuel'!H163)+BM163+BN163+BO163</f>
        <v>1151125.2327415154</v>
      </c>
      <c r="BQ163" s="6">
        <f t="shared" si="188"/>
        <v>54619.267685818253</v>
      </c>
      <c r="CA163" s="6">
        <f>(AF163+AG163+AH163+AL163)*0.005*'Prices&amp;Fuel'!H163</f>
        <v>0</v>
      </c>
      <c r="CB163" s="6">
        <f>(B163+C163+D163+O163+P163+Q163+X163+Y163+BB163+BC163+BD163+BE163+BF163+BG163+BR163+BS163)*0.005*'Prices&amp;Fuel'!H163</f>
        <v>5803.0964010282778</v>
      </c>
      <c r="CC163" s="1">
        <f t="shared" si="182"/>
        <v>4233253.7904273337</v>
      </c>
      <c r="CD163" s="1">
        <f t="shared" si="183"/>
        <v>4173777.6491425429</v>
      </c>
      <c r="CE163" s="1">
        <f t="shared" si="184"/>
        <v>59476.141284790821</v>
      </c>
      <c r="CF163" s="1">
        <f>'Index Price Deals'!AR163</f>
        <v>0</v>
      </c>
      <c r="CG163" s="1">
        <f>'Index Price Deals'!AS163</f>
        <v>0</v>
      </c>
      <c r="CH163" s="1">
        <f>'Index Price Deals'!AT163</f>
        <v>0</v>
      </c>
      <c r="CI163" s="1"/>
      <c r="CJ163" s="1">
        <f t="shared" si="181"/>
        <v>4233253.7904273337</v>
      </c>
      <c r="CK163" s="1">
        <f t="shared" si="176"/>
        <v>4173777.6491425429</v>
      </c>
      <c r="CL163" s="1">
        <f t="shared" si="176"/>
        <v>59476.141284790821</v>
      </c>
      <c r="CN163" s="1">
        <f>Transport!U163</f>
        <v>0</v>
      </c>
      <c r="CQ163" s="1">
        <f>(((($B163+$C163+$D163+$O163+$P163+$Q163)*0.5)+BR163+BS163)*(0.005*'Prices&amp;Fuel'!$H163)+'Index Price Deals'!AV163)+(((BB163+BC163+BD163+BE163+BF163+BG163)*(1-'Prices&amp;Fuel'!F163))*0.005*0.5*'Prices&amp;Fuel'!H163)</f>
        <v>2875.25</v>
      </c>
      <c r="CR163" s="1">
        <f>(((($B163+$C163+$D163+$O163+$P163+$Q163)*0.5)+X163+Y163)*(0.005*'Prices&amp;Fuel'!$H163)+CA163+'Index Price Deals'!AW163)+(((BB163+BC163+BD163+BE163+BF163+BG163)*(1-'Prices&amp;Fuel'!F163))*0.005*0.5*'Prices&amp;Fuel'!H163)</f>
        <v>2875.25</v>
      </c>
      <c r="CS163" s="21"/>
      <c r="CU163" s="1"/>
      <c r="CV163" s="60">
        <f t="shared" si="170"/>
        <v>59476.141284790821</v>
      </c>
      <c r="DB163" s="3">
        <f>(O163+P163+Q163)*'Prices&amp;Fuel'!$H163</f>
        <v>778100</v>
      </c>
      <c r="DE163" s="3">
        <v>132000</v>
      </c>
    </row>
    <row r="164" spans="1:109" x14ac:dyDescent="0.25">
      <c r="A164" s="10">
        <f t="shared" si="187"/>
        <v>40585.249999999614</v>
      </c>
      <c r="O164" s="1">
        <v>9036</v>
      </c>
      <c r="P164" s="1">
        <v>10794</v>
      </c>
      <c r="Q164" s="1">
        <v>5270</v>
      </c>
      <c r="R164" s="11">
        <f t="shared" si="185"/>
        <v>3.8908999999999998</v>
      </c>
      <c r="S164" s="11">
        <f t="shared" si="186"/>
        <v>3.8771999999999998</v>
      </c>
      <c r="T164" s="1">
        <f>(($O164*R164)+($P164*R164)+($Q164*R164))*'Prices&amp;Fuel'!$H164</f>
        <v>2734524.52</v>
      </c>
      <c r="U164" s="1">
        <f>(($O164*S164)+($P164*S164)+($Q164*S164))*'Prices&amp;Fuel'!$H164</f>
        <v>2724896.1599999997</v>
      </c>
      <c r="V164" s="13">
        <f t="shared" si="180"/>
        <v>9628.3600000003353</v>
      </c>
      <c r="BB164" s="6">
        <f>IF('FP Corp'!T164-((BE164+BF164+BG164)*(1-'Prices&amp;Fuel'!F164))&lt;'Prices&amp;Fuel'!R164,('FP Corp'!T164-(BE164+BF164+BG164)*(1-'Prices&amp;Fuel'!F164)),'Prices&amp;Fuel'!R164)/(1-'Prices&amp;Fuel'!F164)</f>
        <v>4325.9640102827761</v>
      </c>
      <c r="BC164" s="14"/>
      <c r="BD164" s="14">
        <f>ROUND(IF('FP Corp'!T164/(1-'Prices&amp;Fuel'!F164)-BE164-BF164-BG164-BB164&gt;'Prices&amp;Fuel'!T164,'Prices&amp;Fuel'!T164,'FP Corp'!T164/(1-'Prices&amp;Fuel'!F164)-BE164-BF164-BG164-BB164),9)</f>
        <v>0</v>
      </c>
      <c r="BE164" s="14">
        <f>'Prices&amp;Fuel'!U164/(1-'Prices&amp;Fuel'!F164)</f>
        <v>2635.4755784061695</v>
      </c>
      <c r="BF164" s="14">
        <f>('Prices&amp;Fuel'!V164+'Prices&amp;Fuel'!X164)/(1-'Prices&amp;Fuel'!F164)</f>
        <v>3645.2442159383031</v>
      </c>
      <c r="BG164" s="14">
        <f>'Prices&amp;Fuel'!W164/(1-'Prices&amp;Fuel'!F164)</f>
        <v>1732.6478149100255</v>
      </c>
      <c r="BH164" s="25">
        <f>('Prices&amp;Fuel'!C164+'Prices&amp;Fuel'!D164)/2-0.05+('Prices&amp;Fuel'!M164+'Prices&amp;Fuel'!P164)*(1-'Prices&amp;Fuel'!F164)</f>
        <v>3.4474093426182768</v>
      </c>
      <c r="BI164" s="25"/>
      <c r="BJ164" s="25"/>
      <c r="BK164" s="25">
        <f>(((BB164+BE164)*('Prices&amp;Fuel'!B164+0.025))+(('Prices&amp;Fuel'!D164+0.025)*(BD164+BG164))+(('Prices&amp;Fuel'!C164+0.025)*(BC164+BF164))-(BI164+BJ164)*0.025)/(BB164+BC164+BD164+BE164+BF164+BG164)</f>
        <v>2.7620897592849429</v>
      </c>
      <c r="BL164" s="14">
        <f>(BB164+BC164+BD164+BE164+BF164+BG164)*BH164*'Prices&amp;Fuel'!H164</f>
        <v>1191084.3589920213</v>
      </c>
      <c r="BM164" s="14">
        <f>'Prices&amp;Fuel'!X164*('Prices&amp;Fuel'!N164+'Prices&amp;Fuel'!O164)*'Prices&amp;Fuel'!H164</f>
        <v>8525.2235997038133</v>
      </c>
      <c r="BN164" s="14">
        <f>('Prices&amp;Fuel'!U164+'Prices&amp;Fuel'!V164+'Prices&amp;Fuel'!W164)*('Prices&amp;Fuel'!L164+'Prices&amp;Fuel'!O164)*'Prices&amp;Fuel'!H164</f>
        <v>88747.203212143664</v>
      </c>
      <c r="BO164" s="14">
        <f>((BB164+BC164+BD164)*(1-'Prices&amp;Fuel'!G164))*('Prices&amp;Fuel'!M164+'Prices&amp;Fuel'!P164)*'Prices&amp;Fuel'!H164</f>
        <v>90172.837999999989</v>
      </c>
      <c r="BP164" s="14">
        <f>((BD164+BC164+BB164+BE164+BF164+BG164)*BK164*'Prices&amp;Fuel'!H164)+BM164+BN164+BO164</f>
        <v>1141750.8268887016</v>
      </c>
      <c r="BQ164" s="6">
        <f t="shared" si="188"/>
        <v>49333.532103319652</v>
      </c>
      <c r="CA164" s="6">
        <f>(AF164+AG164+AH164+AL164)*0.005*'Prices&amp;Fuel'!H164</f>
        <v>0</v>
      </c>
      <c r="CB164" s="6">
        <f>(B164+C164+D164+O164+P164+Q164+X164+Y164+BB164+BC164+BD164+BE164+BF164+BG164+BR164+BS164)*0.005*'Prices&amp;Fuel'!H164</f>
        <v>5241.5064267352182</v>
      </c>
      <c r="CC164" s="1">
        <f t="shared" si="182"/>
        <v>3925608.8789920211</v>
      </c>
      <c r="CD164" s="1">
        <f t="shared" si="183"/>
        <v>3871888.4933154364</v>
      </c>
      <c r="CE164" s="1">
        <f t="shared" si="184"/>
        <v>53720.385676584672</v>
      </c>
      <c r="CJ164" s="1">
        <f t="shared" si="181"/>
        <v>3925608.8789920211</v>
      </c>
      <c r="CK164" s="1">
        <f t="shared" si="176"/>
        <v>3871888.4933154364</v>
      </c>
      <c r="CL164" s="1">
        <f t="shared" si="176"/>
        <v>53720.385676584672</v>
      </c>
      <c r="CN164" s="1">
        <f>Transport!U164</f>
        <v>0</v>
      </c>
      <c r="CQ164" s="1">
        <f>(((($B164+$C164+$D164+$O164+$P164+$Q164)*0.5)+BR164+BS164)*(0.005*'Prices&amp;Fuel'!$H164)+'Index Price Deals'!AV164)+(((BB164+BC164+BD164+BE164+BF164+BG164)*(1-'Prices&amp;Fuel'!F164))*0.005*0.5*'Prices&amp;Fuel'!H164)</f>
        <v>2597</v>
      </c>
      <c r="CR164" s="1">
        <f>(((($B164+$C164+$D164+$O164+$P164+$Q164)*0.5)+X164+Y164)*(0.005*'Prices&amp;Fuel'!$H164)+CA164+'Index Price Deals'!AW164)+(((BB164+BC164+BD164+BE164+BF164+BG164)*(1-'Prices&amp;Fuel'!F164))*0.005*0.5*'Prices&amp;Fuel'!H164)</f>
        <v>2597</v>
      </c>
      <c r="CS164" s="21"/>
      <c r="CU164" s="1"/>
      <c r="CV164" s="60">
        <f t="shared" si="170"/>
        <v>53720.385676584672</v>
      </c>
      <c r="DB164" s="3">
        <f>(O164+P164+Q164)*'Prices&amp;Fuel'!$H164</f>
        <v>702800</v>
      </c>
      <c r="DE164" s="3">
        <v>132000</v>
      </c>
    </row>
    <row r="165" spans="1:109" x14ac:dyDescent="0.25">
      <c r="A165" s="10">
        <f t="shared" si="187"/>
        <v>40615.666666666279</v>
      </c>
      <c r="O165" s="1">
        <v>9036</v>
      </c>
      <c r="P165" s="1">
        <v>10794</v>
      </c>
      <c r="Q165" s="1">
        <v>5270</v>
      </c>
      <c r="R165" s="11">
        <f t="shared" si="185"/>
        <v>3.8908999999999998</v>
      </c>
      <c r="S165" s="11">
        <f t="shared" si="186"/>
        <v>3.8771999999999998</v>
      </c>
      <c r="T165" s="1">
        <f>(($O165*R165)+($P165*R165)+($Q165*R165))*'Prices&amp;Fuel'!$H165</f>
        <v>3027509.29</v>
      </c>
      <c r="U165" s="1">
        <f>(($O165*S165)+($P165*S165)+($Q165*S165))*'Prices&amp;Fuel'!$H165</f>
        <v>3016849.3199999994</v>
      </c>
      <c r="V165" s="13">
        <f t="shared" ref="V165:V180" si="189">T165-U165</f>
        <v>10659.970000000671</v>
      </c>
      <c r="BB165" s="6">
        <f>IF('FP Corp'!T165-((BE165+BF165+BG165)*(1-'Prices&amp;Fuel'!F165))&lt;'Prices&amp;Fuel'!R165,('FP Corp'!T165-(BE165+BF165+BG165)*(1-'Prices&amp;Fuel'!F165)),'Prices&amp;Fuel'!R165)/(1-'Prices&amp;Fuel'!F165)</f>
        <v>4325.9640102827761</v>
      </c>
      <c r="BC165" s="14"/>
      <c r="BD165" s="14">
        <f>ROUND(IF('FP Corp'!T165/(1-'Prices&amp;Fuel'!F165)-BE165-BF165-BG165-BB165&gt;'Prices&amp;Fuel'!T165,'Prices&amp;Fuel'!T165,'FP Corp'!T165/(1-'Prices&amp;Fuel'!F165)-BE165-BF165-BG165-BB165),9)</f>
        <v>0</v>
      </c>
      <c r="BE165" s="14">
        <f>'Prices&amp;Fuel'!U165/(1-'Prices&amp;Fuel'!F165)</f>
        <v>2635.4755784061695</v>
      </c>
      <c r="BF165" s="14">
        <f>('Prices&amp;Fuel'!V165+'Prices&amp;Fuel'!X165)/(1-'Prices&amp;Fuel'!F165)</f>
        <v>3645.2442159383031</v>
      </c>
      <c r="BG165" s="14">
        <f>'Prices&amp;Fuel'!W165/(1-'Prices&amp;Fuel'!F165)</f>
        <v>1732.6478149100255</v>
      </c>
      <c r="BH165" s="25">
        <f>('Prices&amp;Fuel'!C165+'Prices&amp;Fuel'!D165)/2-0.05+('Prices&amp;Fuel'!M165+'Prices&amp;Fuel'!P165)*(1-'Prices&amp;Fuel'!F165)</f>
        <v>3.4474093426182768</v>
      </c>
      <c r="BI165" s="25"/>
      <c r="BJ165" s="25"/>
      <c r="BK165" s="25">
        <f>(((BB165+BE165)*('Prices&amp;Fuel'!B165+0.025))+(('Prices&amp;Fuel'!D165+0.025)*(BD165+BG165))+(('Prices&amp;Fuel'!C165+0.025)*(BC165+BF165))-(BI165+BJ165)*0.025)/(BB165+BC165+BD165+BE165+BF165+BG165)</f>
        <v>2.7620897592849429</v>
      </c>
      <c r="BL165" s="14">
        <f>(BB165+BC165+BD165+BE165+BF165+BG165)*BH165*'Prices&amp;Fuel'!H165</f>
        <v>1318700.5403125952</v>
      </c>
      <c r="BM165" s="14">
        <f>'Prices&amp;Fuel'!X165*('Prices&amp;Fuel'!N165+'Prices&amp;Fuel'!O165)*'Prices&amp;Fuel'!H165</f>
        <v>9438.6404139577935</v>
      </c>
      <c r="BN165" s="14">
        <f>('Prices&amp;Fuel'!U165+'Prices&amp;Fuel'!V165+'Prices&amp;Fuel'!W165)*('Prices&amp;Fuel'!L165+'Prices&amp;Fuel'!O165)*'Prices&amp;Fuel'!H165</f>
        <v>98255.832127730479</v>
      </c>
      <c r="BO165" s="14">
        <f>((BB165+BC165+BD165)*(1-'Prices&amp;Fuel'!G165))*('Prices&amp;Fuel'!M165+'Prices&amp;Fuel'!P165)*'Prices&amp;Fuel'!H165</f>
        <v>99834.213499999998</v>
      </c>
      <c r="BP165" s="14">
        <f>((BD165+BC165+BB165+BE165+BF165+BG165)*BK165*'Prices&amp;Fuel'!H165)+BM165+BN165+BO165</f>
        <v>1264081.2726267772</v>
      </c>
      <c r="BQ165" s="6">
        <f t="shared" si="188"/>
        <v>54619.26768581802</v>
      </c>
      <c r="CA165" s="6">
        <f>(AF165+AG165+AH165+AL165)*0.005*'Prices&amp;Fuel'!H165</f>
        <v>0</v>
      </c>
      <c r="CB165" s="6">
        <f>(B165+C165+D165+O165+P165+Q165+X165+Y165+BB165+BC165+BD165+BE165+BF165+BG165+BR165+BS165)*0.005*'Prices&amp;Fuel'!H165</f>
        <v>5803.0964010282778</v>
      </c>
      <c r="CC165" s="1">
        <f t="shared" si="182"/>
        <v>4346209.8303125948</v>
      </c>
      <c r="CD165" s="1">
        <f t="shared" si="183"/>
        <v>4286733.6890278049</v>
      </c>
      <c r="CE165" s="1">
        <f t="shared" si="184"/>
        <v>59476.14128478989</v>
      </c>
      <c r="CJ165" s="1">
        <f t="shared" ref="CJ165:CJ180" si="190">CC165+CF165</f>
        <v>4346209.8303125948</v>
      </c>
      <c r="CK165" s="1">
        <f t="shared" ref="CK165:CL184" si="191">CD165+CH165</f>
        <v>4286733.6890278049</v>
      </c>
      <c r="CL165" s="1">
        <f t="shared" si="191"/>
        <v>59476.14128478989</v>
      </c>
      <c r="CN165" s="1">
        <f>Transport!U165</f>
        <v>0</v>
      </c>
      <c r="CQ165" s="1">
        <f>(((($B165+$C165+$D165+$O165+$P165+$Q165)*0.5)+BR165+BS165)*(0.005*'Prices&amp;Fuel'!$H165)+'Index Price Deals'!AV165)+(((BB165+BC165+BD165+BE165+BF165+BG165)*(1-'Prices&amp;Fuel'!F165))*0.005*0.5*'Prices&amp;Fuel'!H165)</f>
        <v>2875.25</v>
      </c>
      <c r="CR165" s="1">
        <f>(((($B165+$C165+$D165+$O165+$P165+$Q165)*0.5)+X165+Y165)*(0.005*'Prices&amp;Fuel'!$H165)+CA165+'Index Price Deals'!AW165)+(((BB165+BC165+BD165+BE165+BF165+BG165)*(1-'Prices&amp;Fuel'!F165))*0.005*0.5*'Prices&amp;Fuel'!H165)</f>
        <v>2875.25</v>
      </c>
      <c r="CS165" s="21"/>
      <c r="CU165" s="1"/>
      <c r="CV165" s="60">
        <f t="shared" si="170"/>
        <v>59476.14128478989</v>
      </c>
      <c r="DB165" s="3">
        <f>(O165+P165+Q165)*'Prices&amp;Fuel'!$H165</f>
        <v>778100</v>
      </c>
      <c r="DE165" s="3">
        <v>132000</v>
      </c>
    </row>
    <row r="166" spans="1:109" x14ac:dyDescent="0.25">
      <c r="A166" s="10">
        <f t="shared" si="187"/>
        <v>40646.083333332943</v>
      </c>
      <c r="O166" s="1">
        <v>9036</v>
      </c>
      <c r="P166" s="1">
        <v>10794</v>
      </c>
      <c r="Q166" s="1">
        <v>5270</v>
      </c>
      <c r="R166" s="11">
        <f t="shared" si="185"/>
        <v>3.8908999999999998</v>
      </c>
      <c r="S166" s="11">
        <f t="shared" si="186"/>
        <v>3.8771999999999998</v>
      </c>
      <c r="T166" s="1">
        <f>(($O166*R166)+($P166*R166)+($Q166*R166))*'Prices&amp;Fuel'!$H166</f>
        <v>2929847.6999999997</v>
      </c>
      <c r="U166" s="1">
        <f>(($O166*S166)+($P166*S166)+($Q166*S166))*'Prices&amp;Fuel'!$H166</f>
        <v>2919531.5999999996</v>
      </c>
      <c r="V166" s="13">
        <f t="shared" si="189"/>
        <v>10316.100000000093</v>
      </c>
      <c r="BB166" s="6">
        <f>IF('FP Corp'!T166-((BE166+BF166+BG166)*(1-'Prices&amp;Fuel'!F166))&lt;'Prices&amp;Fuel'!R166,('FP Corp'!T166-(BE166+BF166+BG166)*(1-'Prices&amp;Fuel'!F166)),'Prices&amp;Fuel'!R166)/(1-'Prices&amp;Fuel'!F166)</f>
        <v>6278.6632390745499</v>
      </c>
      <c r="BC166" s="14"/>
      <c r="BD166" s="14">
        <f>ROUND(IF('FP Corp'!T166/(1-'Prices&amp;Fuel'!F166)-BE166-BF166-BG166-BB166&gt;'Prices&amp;Fuel'!T166,'Prices&amp;Fuel'!T166,'FP Corp'!T166/(1-'Prices&amp;Fuel'!F166)-BE166-BF166-BG166-BB166),9)</f>
        <v>0</v>
      </c>
      <c r="BE166" s="14">
        <f>'Prices&amp;Fuel'!U166/(1-'Prices&amp;Fuel'!F166)</f>
        <v>1933.1619537275064</v>
      </c>
      <c r="BF166" s="14">
        <f>('Prices&amp;Fuel'!V166+'Prices&amp;Fuel'!X166)/(1-'Prices&amp;Fuel'!F166)</f>
        <v>2833.9331619537274</v>
      </c>
      <c r="BG166" s="14">
        <f>'Prices&amp;Fuel'!W166/(1-'Prices&amp;Fuel'!F166)</f>
        <v>1293.5732647814909</v>
      </c>
      <c r="BH166" s="25">
        <f>('Prices&amp;Fuel'!C166+'Prices&amp;Fuel'!D166)/2-0.05+('Prices&amp;Fuel'!M166+'Prices&amp;Fuel'!P166)*(1-'Prices&amp;Fuel'!F166)</f>
        <v>3.7427043662430552</v>
      </c>
      <c r="BI166" s="25"/>
      <c r="BJ166" s="25"/>
      <c r="BK166" s="25">
        <f>(((BB166+BE166)*('Prices&amp;Fuel'!B166+0.025))+(('Prices&amp;Fuel'!D166+0.025)*(BD166+BG166))+(('Prices&amp;Fuel'!C166+0.025)*(BC166+BF166))-(BI166+BJ166)*0.025)/(BB166+BC166+BD166+BE166+BF166+BG166)</f>
        <v>3.0530839495763877</v>
      </c>
      <c r="BL166" s="14">
        <f>(BB166+BC166+BD166+BE166+BF166+BG166)*BH166*'Prices&amp;Fuel'!H166</f>
        <v>1385474.1098688946</v>
      </c>
      <c r="BM166" s="14">
        <f>'Prices&amp;Fuel'!X166*('Prices&amp;Fuel'!N166+'Prices&amp;Fuel'!O166)*'Prices&amp;Fuel'!H166</f>
        <v>9134.1681425398001</v>
      </c>
      <c r="BN166" s="14">
        <f>('Prices&amp;Fuel'!U166+'Prices&amp;Fuel'!V166+'Prices&amp;Fuel'!W166)*('Prices&amp;Fuel'!L166+'Prices&amp;Fuel'!O166)*'Prices&amp;Fuel'!H166</f>
        <v>69689.82458385783</v>
      </c>
      <c r="BO166" s="14">
        <f>((BB166+BC166+BD166)*(1-'Prices&amp;Fuel'!G166))*('Prices&amp;Fuel'!M166+'Prices&amp;Fuel'!P166)*'Prices&amp;Fuel'!H166</f>
        <v>140224.29</v>
      </c>
      <c r="BP166" s="14">
        <f>((BD166+BC166+BB166+BE166+BF166+BG166)*BK166*'Prices&amp;Fuel'!H166)+BM166+BN166+BO166</f>
        <v>1349238.7422096878</v>
      </c>
      <c r="BQ166" s="6">
        <f t="shared" si="188"/>
        <v>36235.367659206735</v>
      </c>
      <c r="CA166" s="6">
        <f>(AF166+AG166+AH166+AL166)*0.005*'Prices&amp;Fuel'!H166</f>
        <v>0</v>
      </c>
      <c r="CB166" s="6">
        <f>(B166+C166+D166+O166+P166+Q166+X166+Y166+BB166+BC166+BD166+BE166+BF166+BG166+BR166+BS166)*0.005*'Prices&amp;Fuel'!H166</f>
        <v>5615.89974293059</v>
      </c>
      <c r="CC166" s="1">
        <f t="shared" ref="CC166:CC181" si="192">K166+T166+AB166+AY166+BL166+BX166</f>
        <v>4315321.8098688945</v>
      </c>
      <c r="CD166" s="1">
        <f t="shared" ref="CD166:CD181" si="193">L166+U166+AC166+AZ166+BP166+BY166+CA166+CB166</f>
        <v>4274386.2419526177</v>
      </c>
      <c r="CE166" s="1">
        <f t="shared" ref="CE166:CE181" si="194">CC166-CD166</f>
        <v>40935.567916276865</v>
      </c>
      <c r="CJ166" s="1">
        <f t="shared" si="190"/>
        <v>4315321.8098688945</v>
      </c>
      <c r="CK166" s="1">
        <f t="shared" si="191"/>
        <v>4274386.2419526177</v>
      </c>
      <c r="CL166" s="1">
        <f t="shared" si="191"/>
        <v>40935.567916276865</v>
      </c>
      <c r="CN166" s="1">
        <f>Transport!U166</f>
        <v>0</v>
      </c>
      <c r="CQ166" s="1">
        <f>(((($B166+$C166+$D166+$O166+$P166+$Q166)*0.5)+BR166+BS166)*(0.005*'Prices&amp;Fuel'!$H166)+'Index Price Deals'!AV166)+(((BB166+BC166+BD166+BE166+BF166+BG166)*(1-'Prices&amp;Fuel'!F166))*0.005*0.5*'Prices&amp;Fuel'!H166)</f>
        <v>2782.5</v>
      </c>
      <c r="CR166" s="1">
        <f>(((($B166+$C166+$D166+$O166+$P166+$Q166)*0.5)+X166+Y166)*(0.005*'Prices&amp;Fuel'!$H166)+CA166+'Index Price Deals'!AW166)+(((BB166+BC166+BD166+BE166+BF166+BG166)*(1-'Prices&amp;Fuel'!F166))*0.005*0.5*'Prices&amp;Fuel'!H166)</f>
        <v>2782.5</v>
      </c>
      <c r="CS166" s="21"/>
      <c r="CU166" s="1"/>
      <c r="CV166" s="60">
        <f t="shared" si="170"/>
        <v>40935.567916276865</v>
      </c>
      <c r="DB166" s="3">
        <f>(O166+P166+Q166)*'Prices&amp;Fuel'!$H166</f>
        <v>753000</v>
      </c>
      <c r="DE166" s="3">
        <v>132000</v>
      </c>
    </row>
    <row r="167" spans="1:109" x14ac:dyDescent="0.25">
      <c r="A167" s="10">
        <f t="shared" si="187"/>
        <v>40676.499999999607</v>
      </c>
      <c r="O167" s="1">
        <v>9036</v>
      </c>
      <c r="P167" s="1">
        <v>10794</v>
      </c>
      <c r="Q167" s="1">
        <v>5270</v>
      </c>
      <c r="R167" s="11">
        <f t="shared" si="185"/>
        <v>3.8908999999999998</v>
      </c>
      <c r="S167" s="11">
        <f t="shared" si="186"/>
        <v>3.8771999999999998</v>
      </c>
      <c r="T167" s="1">
        <f>(($O167*R167)+($P167*R167)+($Q167*R167))*'Prices&amp;Fuel'!$H167</f>
        <v>3027509.29</v>
      </c>
      <c r="U167" s="1">
        <f>(($O167*S167)+($P167*S167)+($Q167*S167))*'Prices&amp;Fuel'!$H167</f>
        <v>3016849.3199999994</v>
      </c>
      <c r="V167" s="13">
        <f t="shared" si="189"/>
        <v>10659.970000000671</v>
      </c>
      <c r="BB167" s="6">
        <f>IF('FP Corp'!T167-((BE167+BF167+BG167)*(1-'Prices&amp;Fuel'!F167))&lt;'Prices&amp;Fuel'!R167,('FP Corp'!T167-(BE167+BF167+BG167)*(1-'Prices&amp;Fuel'!F167)),'Prices&amp;Fuel'!R167)/(1-'Prices&amp;Fuel'!F167)</f>
        <v>8976.8637532133671</v>
      </c>
      <c r="BC167" s="14"/>
      <c r="BD167" s="14">
        <f>ROUND(IF('FP Corp'!T167/(1-'Prices&amp;Fuel'!F167)-BE167-BF167-BG167-BB167&gt;'Prices&amp;Fuel'!T167,'Prices&amp;Fuel'!T167,'FP Corp'!T167/(1-'Prices&amp;Fuel'!F167)-BE167-BF167-BG167-BB167),9)</f>
        <v>6556.2982005140002</v>
      </c>
      <c r="BE167" s="14">
        <f>'Prices&amp;Fuel'!U167/(1-'Prices&amp;Fuel'!F167)</f>
        <v>1933.1619537275064</v>
      </c>
      <c r="BF167" s="14">
        <f>('Prices&amp;Fuel'!V167+'Prices&amp;Fuel'!X167)/(1-'Prices&amp;Fuel'!F167)</f>
        <v>3062.2107969151671</v>
      </c>
      <c r="BG167" s="14">
        <f>'Prices&amp;Fuel'!W167/(1-'Prices&amp;Fuel'!F167)</f>
        <v>1065.2956298200513</v>
      </c>
      <c r="BH167" s="25">
        <f>('Prices&amp;Fuel'!C167+'Prices&amp;Fuel'!D167)/2-0.05+('Prices&amp;Fuel'!M167+'Prices&amp;Fuel'!P167)*(1-'Prices&amp;Fuel'!F167)</f>
        <v>3.9505045680530841</v>
      </c>
      <c r="BI167" s="25"/>
      <c r="BJ167" s="25"/>
      <c r="BK167" s="25">
        <f>(((BB167+BE167)*('Prices&amp;Fuel'!B167+0.025))+(('Prices&amp;Fuel'!D167+0.025)*(BD167+BG167))+(('Prices&amp;Fuel'!C167+0.025)*(BC167+BF167))-(BI167+BJ167)*0.025)/(BB167+BC167+BD167+BE167+BF167+BG167)</f>
        <v>3.2580939132911793</v>
      </c>
      <c r="BL167" s="14">
        <f>(BB167+BC167+BD167+BE167+BF167+BG167)*BH167*'Prices&amp;Fuel'!H167</f>
        <v>2644502.2866864176</v>
      </c>
      <c r="BM167" s="14">
        <f>'Prices&amp;Fuel'!X167*('Prices&amp;Fuel'!N167+'Prices&amp;Fuel'!O167)*'Prices&amp;Fuel'!H167</f>
        <v>9438.6404139577935</v>
      </c>
      <c r="BN167" s="14">
        <f>('Prices&amp;Fuel'!U167+'Prices&amp;Fuel'!V167+'Prices&amp;Fuel'!W167)*('Prices&amp;Fuel'!L167+'Prices&amp;Fuel'!O167)*'Prices&amp;Fuel'!H167</f>
        <v>72012.818736653091</v>
      </c>
      <c r="BO167" s="14">
        <f>((BB167+BC167+BD167)*(1-'Prices&amp;Fuel'!G167))*('Prices&amp;Fuel'!M167+'Prices&amp;Fuel'!P167)*'Prices&amp;Fuel'!H167</f>
        <v>358472.93299999676</v>
      </c>
      <c r="BP167" s="14">
        <f>((BD167+BC167+BB167+BE167+BF167+BG167)*BK167*'Prices&amp;Fuel'!H167)+BM167+BN167+BO167</f>
        <v>2620920.9346210901</v>
      </c>
      <c r="BQ167" s="6">
        <f t="shared" si="188"/>
        <v>23581.352065327577</v>
      </c>
      <c r="CA167" s="6">
        <f>(AF167+AG167+AH167+AL167)*0.005*'Prices&amp;Fuel'!H167</f>
        <v>0</v>
      </c>
      <c r="CB167" s="6">
        <f>(B167+C167+D167+O167+P167+Q167+X167+Y167+BB167+BC167+BD167+BE167+BF167+BG167+BR167+BS167)*0.005*'Prices&amp;Fuel'!H167</f>
        <v>7237.5437017994636</v>
      </c>
      <c r="CC167" s="1">
        <f t="shared" si="192"/>
        <v>5672011.5766864177</v>
      </c>
      <c r="CD167" s="1">
        <f t="shared" si="193"/>
        <v>5645007.798322889</v>
      </c>
      <c r="CE167" s="1">
        <f t="shared" si="194"/>
        <v>27003.778363528661</v>
      </c>
      <c r="CJ167" s="1">
        <f t="shared" si="190"/>
        <v>5672011.5766864177</v>
      </c>
      <c r="CK167" s="1">
        <f t="shared" si="191"/>
        <v>5645007.798322889</v>
      </c>
      <c r="CL167" s="1">
        <f t="shared" si="191"/>
        <v>27003.778363528661</v>
      </c>
      <c r="CN167" s="1">
        <f>Transport!U167</f>
        <v>3.1490140827372673E-9</v>
      </c>
      <c r="CQ167" s="1">
        <f>(((($B167+$C167+$D167+$O167+$P167+$Q167)*0.5)+BR167+BS167)*(0.005*'Prices&amp;Fuel'!$H167)+'Index Price Deals'!AV167)+(((BB167+BC167+BD167+BE167+BF167+BG167)*(1-'Prices&amp;Fuel'!F167))*0.005*0.5*'Prices&amp;Fuel'!H167)</f>
        <v>3572.7499999999895</v>
      </c>
      <c r="CR167" s="1">
        <f>(((($B167+$C167+$D167+$O167+$P167+$Q167)*0.5)+X167+Y167)*(0.005*'Prices&amp;Fuel'!$H167)+CA167+'Index Price Deals'!AW167)+(((BB167+BC167+BD167+BE167+BF167+BG167)*(1-'Prices&amp;Fuel'!F167))*0.005*0.5*'Prices&amp;Fuel'!H167)</f>
        <v>3572.7499999999895</v>
      </c>
      <c r="CS167" s="21"/>
      <c r="CV167" s="60">
        <f t="shared" si="170"/>
        <v>27003.778363525511</v>
      </c>
      <c r="DB167" s="3">
        <f>(O167+P167+Q167)*'Prices&amp;Fuel'!$H167</f>
        <v>778100</v>
      </c>
      <c r="DE167" s="3">
        <v>200000</v>
      </c>
    </row>
    <row r="168" spans="1:109" x14ac:dyDescent="0.25">
      <c r="A168" s="10">
        <f t="shared" si="187"/>
        <v>40706.916666666271</v>
      </c>
      <c r="O168" s="1">
        <v>9036</v>
      </c>
      <c r="P168" s="1">
        <v>10794</v>
      </c>
      <c r="Q168" s="1">
        <v>5270</v>
      </c>
      <c r="R168" s="11">
        <f t="shared" si="185"/>
        <v>3.8908999999999998</v>
      </c>
      <c r="S168" s="11">
        <f t="shared" si="186"/>
        <v>3.8771999999999998</v>
      </c>
      <c r="T168" s="1">
        <f>(($O168*R168)+($P168*R168)+($Q168*R168))*'Prices&amp;Fuel'!$H168</f>
        <v>2929847.6999999997</v>
      </c>
      <c r="U168" s="1">
        <f>(($O168*S168)+($P168*S168)+($Q168*S168))*'Prices&amp;Fuel'!$H168</f>
        <v>2919531.5999999996</v>
      </c>
      <c r="V168" s="13">
        <f t="shared" si="189"/>
        <v>10316.100000000093</v>
      </c>
      <c r="BB168" s="6">
        <f>IF('FP Corp'!T168-((BE168+BF168+BG168)*(1-'Prices&amp;Fuel'!F168))&lt;'Prices&amp;Fuel'!R168,('FP Corp'!T168-(BE168+BF168+BG168)*(1-'Prices&amp;Fuel'!F168)),'Prices&amp;Fuel'!R168)/(1-'Prices&amp;Fuel'!F168)</f>
        <v>8976.8637532133671</v>
      </c>
      <c r="BC168" s="14"/>
      <c r="BD168" s="14">
        <f>ROUND(IF('FP Corp'!T168/(1-'Prices&amp;Fuel'!F168)-BE168-BF168-BG168-BB168&gt;'Prices&amp;Fuel'!T168,'Prices&amp;Fuel'!T168,'FP Corp'!T168/(1-'Prices&amp;Fuel'!F168)-BE168-BF168-BG168-BB168),9)</f>
        <v>6556.2982005140002</v>
      </c>
      <c r="BE168" s="14">
        <f>'Prices&amp;Fuel'!U168/(1-'Prices&amp;Fuel'!F168)</f>
        <v>1933.1619537275064</v>
      </c>
      <c r="BF168" s="14">
        <f>('Prices&amp;Fuel'!V168+'Prices&amp;Fuel'!X168)/(1-'Prices&amp;Fuel'!F168)</f>
        <v>3062.2107969151671</v>
      </c>
      <c r="BG168" s="14">
        <f>'Prices&amp;Fuel'!W168/(1-'Prices&amp;Fuel'!F168)</f>
        <v>1065.2956298200513</v>
      </c>
      <c r="BH168" s="25">
        <f>('Prices&amp;Fuel'!C168+'Prices&amp;Fuel'!D168)/2-0.05+('Prices&amp;Fuel'!M168+'Prices&amp;Fuel'!P168)*(1-'Prices&amp;Fuel'!F168)</f>
        <v>5.383232275269596</v>
      </c>
      <c r="BI168" s="25"/>
      <c r="BJ168" s="25"/>
      <c r="BK168" s="25">
        <f>(((BB168+BE168)*('Prices&amp;Fuel'!B168+0.025))+(('Prices&amp;Fuel'!D168+0.025)*(BD168+BG168))+(('Prices&amp;Fuel'!C168+0.025)*(BC168+BF168))-(BI168+BJ168)*0.025)/(BB168+BC168+BD168+BE168+BF168+BG168)</f>
        <v>4.6908216205076911</v>
      </c>
      <c r="BL168" s="14">
        <f>(BB168+BC168+BD168+BE168+BF168+BG168)*BH168*'Prices&amp;Fuel'!H168</f>
        <v>3487338.1320512323</v>
      </c>
      <c r="BM168" s="14">
        <f>'Prices&amp;Fuel'!X168*('Prices&amp;Fuel'!N168+'Prices&amp;Fuel'!O168)*'Prices&amp;Fuel'!H168</f>
        <v>9134.1681425398001</v>
      </c>
      <c r="BN168" s="14">
        <f>('Prices&amp;Fuel'!U168+'Prices&amp;Fuel'!V168+'Prices&amp;Fuel'!W168)*('Prices&amp;Fuel'!L168+'Prices&amp;Fuel'!O168)*'Prices&amp;Fuel'!H168</f>
        <v>69689.82458385783</v>
      </c>
      <c r="BO168" s="14">
        <f>((BB168+BC168+BD168)*(1-'Prices&amp;Fuel'!G168))*('Prices&amp;Fuel'!M168+'Prices&amp;Fuel'!P168)*'Prices&amp;Fuel'!H168</f>
        <v>346909.28999999689</v>
      </c>
      <c r="BP168" s="14">
        <f>((BD168+BC168+BB168+BE168+BF168+BG168)*BK168*'Prices&amp;Fuel'!H168)+BM168+BN168+BO168</f>
        <v>3464517.4687622054</v>
      </c>
      <c r="BQ168" s="6">
        <f t="shared" si="188"/>
        <v>22820.663289026823</v>
      </c>
      <c r="CA168" s="6">
        <f>(AF168+AG168+AH168+AL168)*0.005*'Prices&amp;Fuel'!H168</f>
        <v>0</v>
      </c>
      <c r="CB168" s="6">
        <f>(B168+C168+D168+O168+P168+Q168+X168+Y168+BB168+BC168+BD168+BE168+BF168+BG168+BR168+BS168)*0.005*'Prices&amp;Fuel'!H168</f>
        <v>7004.0745501285137</v>
      </c>
      <c r="CC168" s="1">
        <f t="shared" si="192"/>
        <v>6417185.8320512325</v>
      </c>
      <c r="CD168" s="1">
        <f t="shared" si="193"/>
        <v>6391053.1433123341</v>
      </c>
      <c r="CE168" s="1">
        <f t="shared" si="194"/>
        <v>26132.688738898374</v>
      </c>
      <c r="CJ168" s="1">
        <f t="shared" si="190"/>
        <v>6417185.8320512325</v>
      </c>
      <c r="CK168" s="1">
        <f t="shared" si="191"/>
        <v>6391053.1433123341</v>
      </c>
      <c r="CL168" s="1">
        <f t="shared" si="191"/>
        <v>26132.688738898374</v>
      </c>
      <c r="CN168" s="1">
        <f>Transport!U168</f>
        <v>3.0474329832941295E-9</v>
      </c>
      <c r="CQ168" s="1">
        <f>(((($B168+$C168+$D168+$O168+$P168+$Q168)*0.5)+BR168+BS168)*(0.005*'Prices&amp;Fuel'!$H168)+'Index Price Deals'!AV168)+(((BB168+BC168+BD168+BE168+BF168+BG168)*(1-'Prices&amp;Fuel'!F168))*0.005*0.5*'Prices&amp;Fuel'!H168)</f>
        <v>3457.49999999999</v>
      </c>
      <c r="CR168" s="1">
        <f>(((($B168+$C168+$D168+$O168+$P168+$Q168)*0.5)+X168+Y168)*(0.005*'Prices&amp;Fuel'!$H168)+CA168+'Index Price Deals'!AW168)+(((BB168+BC168+BD168+BE168+BF168+BG168)*(1-'Prices&amp;Fuel'!F168))*0.005*0.5*'Prices&amp;Fuel'!H168)</f>
        <v>3457.49999999999</v>
      </c>
      <c r="CS168" s="21"/>
      <c r="CV168" s="60">
        <f t="shared" si="170"/>
        <v>26132.688738895326</v>
      </c>
      <c r="DB168" s="3">
        <f>(O168+P168+Q168)*'Prices&amp;Fuel'!$H168</f>
        <v>753000</v>
      </c>
      <c r="DE168" s="3">
        <v>200000</v>
      </c>
    </row>
    <row r="169" spans="1:109" x14ac:dyDescent="0.25">
      <c r="A169" s="10">
        <f t="shared" si="187"/>
        <v>40737.333333332936</v>
      </c>
      <c r="O169" s="1">
        <v>9036</v>
      </c>
      <c r="P169" s="1">
        <v>10794</v>
      </c>
      <c r="Q169" s="1">
        <v>5270</v>
      </c>
      <c r="R169" s="11">
        <f>ROUND(3.075*1.04*1.04*1.04*1.04*1.04*1.04*1.04,4)</f>
        <v>4.0465</v>
      </c>
      <c r="S169" s="11">
        <f>R169-ROUND(0.01*1.02*1.02*1.02*1.02*1.02*1.02*1.02*1.02*1.02*1.02*1.02*1.02*1.02*1.02*1.02*1.02*1.02,4)</f>
        <v>4.0324999999999998</v>
      </c>
      <c r="T169" s="1">
        <f>(($O169*R169)+($P169*R169)+($Q169*R169))*'Prices&amp;Fuel'!$H169</f>
        <v>3148581.65</v>
      </c>
      <c r="U169" s="1">
        <f>(($O169*S169)+($P169*S169)+($Q169*S169))*'Prices&amp;Fuel'!$H169</f>
        <v>3137688.25</v>
      </c>
      <c r="V169" s="13">
        <f t="shared" si="189"/>
        <v>10893.399999999907</v>
      </c>
      <c r="BB169" s="6">
        <f>IF('FP Corp'!T169-((BE169+BF169+BG169)*(1-'Prices&amp;Fuel'!F169))&lt;'Prices&amp;Fuel'!R169,('FP Corp'!T169-(BE169+BF169+BG169)*(1-'Prices&amp;Fuel'!F169)),'Prices&amp;Fuel'!R169)/(1-'Prices&amp;Fuel'!F169)</f>
        <v>8976.8637532133671</v>
      </c>
      <c r="BC169" s="14"/>
      <c r="BD169" s="14">
        <f>ROUND(IF('FP Corp'!T169/(1-'Prices&amp;Fuel'!F169)-BE169-BF169-BG169-BB169&gt;'Prices&amp;Fuel'!T169,'Prices&amp;Fuel'!T169,'FP Corp'!T169/(1-'Prices&amp;Fuel'!F169)-BE169-BF169-BG169-BB169),9)</f>
        <v>6556.2982005140002</v>
      </c>
      <c r="BE169" s="14">
        <f>'Prices&amp;Fuel'!U169/(1-'Prices&amp;Fuel'!F169)</f>
        <v>1933.1619537275064</v>
      </c>
      <c r="BF169" s="14">
        <f>('Prices&amp;Fuel'!V169+'Prices&amp;Fuel'!X169)/(1-'Prices&amp;Fuel'!F169)</f>
        <v>3062.2107969151671</v>
      </c>
      <c r="BG169" s="14">
        <f>'Prices&amp;Fuel'!W169/(1-'Prices&amp;Fuel'!F169)</f>
        <v>1065.2956298200513</v>
      </c>
      <c r="BH169" s="25">
        <f>('Prices&amp;Fuel'!C169+'Prices&amp;Fuel'!D169)/2-0.05+('Prices&amp;Fuel'!M169+'Prices&amp;Fuel'!P169)*(1-'Prices&amp;Fuel'!F169)</f>
        <v>5.3722954225427531</v>
      </c>
      <c r="BI169" s="25"/>
      <c r="BJ169" s="25"/>
      <c r="BK169" s="25">
        <f>(((BB169+BE169)*('Prices&amp;Fuel'!B169+0.025))+(('Prices&amp;Fuel'!D169+0.025)*(BD169+BG169))+(('Prices&amp;Fuel'!C169+0.025)*(BC169+BF169))-(BI169+BJ169)*0.025)/(BB169+BC169+BD169+BE169+BF169+BG169)</f>
        <v>4.6798847677808491</v>
      </c>
      <c r="BL169" s="14">
        <f>(BB169+BC169+BD169+BE169+BF169+BG169)*BH169*'Prices&amp;Fuel'!H169</f>
        <v>3596261.511645562</v>
      </c>
      <c r="BM169" s="14">
        <f>'Prices&amp;Fuel'!X169*('Prices&amp;Fuel'!N169+'Prices&amp;Fuel'!O169)*'Prices&amp;Fuel'!H169</f>
        <v>9438.6404139577935</v>
      </c>
      <c r="BN169" s="14">
        <f>('Prices&amp;Fuel'!U169+'Prices&amp;Fuel'!V169+'Prices&amp;Fuel'!W169)*('Prices&amp;Fuel'!L169+'Prices&amp;Fuel'!O169)*'Prices&amp;Fuel'!H169</f>
        <v>72012.818736653091</v>
      </c>
      <c r="BO169" s="14">
        <f>((BB169+BC169+BD169)*(1-'Prices&amp;Fuel'!G169))*('Prices&amp;Fuel'!M169+'Prices&amp;Fuel'!P169)*'Prices&amp;Fuel'!H169</f>
        <v>358472.93299999676</v>
      </c>
      <c r="BP169" s="14">
        <f>((BD169+BC169+BB169+BE169+BF169+BG169)*BK169*'Prices&amp;Fuel'!H169)+BM169+BN169+BO169</f>
        <v>3572680.1595802354</v>
      </c>
      <c r="BQ169" s="6">
        <f t="shared" si="188"/>
        <v>23581.352065326646</v>
      </c>
      <c r="CA169" s="6">
        <f>(AF169+AG169+AH169+AL169)*0.005*'Prices&amp;Fuel'!H169</f>
        <v>0</v>
      </c>
      <c r="CB169" s="6">
        <f>(B169+C169+D169+O169+P169+Q169+X169+Y169+BB169+BC169+BD169+BE169+BF169+BG169+BR169+BS169)*0.005*'Prices&amp;Fuel'!H169</f>
        <v>7237.5437017994636</v>
      </c>
      <c r="CC169" s="1">
        <f t="shared" si="192"/>
        <v>6744843.1616455615</v>
      </c>
      <c r="CD169" s="1">
        <f t="shared" si="193"/>
        <v>6717605.953282035</v>
      </c>
      <c r="CE169" s="1">
        <f t="shared" si="194"/>
        <v>27237.208363526501</v>
      </c>
      <c r="CJ169" s="1">
        <f t="shared" si="190"/>
        <v>6744843.1616455615</v>
      </c>
      <c r="CK169" s="1">
        <f t="shared" si="191"/>
        <v>6717605.953282035</v>
      </c>
      <c r="CL169" s="1">
        <f t="shared" si="191"/>
        <v>27237.208363526501</v>
      </c>
      <c r="CN169" s="1">
        <f>Transport!U169</f>
        <v>3.1490140827372673E-9</v>
      </c>
      <c r="CQ169" s="1">
        <f>(((($B169+$C169+$D169+$O169+$P169+$Q169)*0.5)+BR169+BS169)*(0.005*'Prices&amp;Fuel'!$H169)+'Index Price Deals'!AV169)+(((BB169+BC169+BD169+BE169+BF169+BG169)*(1-'Prices&amp;Fuel'!F169))*0.005*0.5*'Prices&amp;Fuel'!H169)</f>
        <v>3572.7499999999895</v>
      </c>
      <c r="CR169" s="1">
        <f>(((($B169+$C169+$D169+$O169+$P169+$Q169)*0.5)+X169+Y169)*(0.005*'Prices&amp;Fuel'!$H169)+CA169+'Index Price Deals'!AW169)+(((BB169+BC169+BD169+BE169+BF169+BG169)*(1-'Prices&amp;Fuel'!F169))*0.005*0.5*'Prices&amp;Fuel'!H169)</f>
        <v>3572.7499999999895</v>
      </c>
      <c r="CS169" s="21"/>
      <c r="CV169" s="60">
        <f t="shared" si="170"/>
        <v>27237.20836352335</v>
      </c>
      <c r="DB169" s="3">
        <f>(O169+P169+Q169)*'Prices&amp;Fuel'!$H169</f>
        <v>778100</v>
      </c>
      <c r="DE169" s="3">
        <v>200000</v>
      </c>
    </row>
    <row r="170" spans="1:109" x14ac:dyDescent="0.25">
      <c r="A170" s="10">
        <f t="shared" si="187"/>
        <v>40767.7499999996</v>
      </c>
      <c r="O170" s="1">
        <v>9036</v>
      </c>
      <c r="P170" s="1">
        <v>10794</v>
      </c>
      <c r="Q170" s="1">
        <v>5270</v>
      </c>
      <c r="R170" s="11">
        <f t="shared" ref="R170:R180" si="195">R169</f>
        <v>4.0465</v>
      </c>
      <c r="S170" s="11">
        <f t="shared" ref="S170:S180" si="196">S169</f>
        <v>4.0324999999999998</v>
      </c>
      <c r="T170" s="1">
        <f>(($O170*R170)+($P170*R170)+($Q170*R170))*'Prices&amp;Fuel'!$H170</f>
        <v>3148581.65</v>
      </c>
      <c r="U170" s="1">
        <f>(($O170*S170)+($P170*S170)+($Q170*S170))*'Prices&amp;Fuel'!$H170</f>
        <v>3137688.25</v>
      </c>
      <c r="V170" s="13">
        <f t="shared" si="189"/>
        <v>10893.399999999907</v>
      </c>
      <c r="BB170" s="6">
        <f>IF('FP Corp'!T170-((BE170+BF170+BG170)*(1-'Prices&amp;Fuel'!F170))&lt;'Prices&amp;Fuel'!R170,('FP Corp'!T170-(BE170+BF170+BG170)*(1-'Prices&amp;Fuel'!F170)),'Prices&amp;Fuel'!R170)/(1-'Prices&amp;Fuel'!F170)</f>
        <v>8976.8637532133671</v>
      </c>
      <c r="BC170" s="14"/>
      <c r="BD170" s="14">
        <f>ROUND(IF('FP Corp'!T170/(1-'Prices&amp;Fuel'!F170)-BE170-BF170-BG170-BB170&gt;'Prices&amp;Fuel'!T170,'Prices&amp;Fuel'!T170,'FP Corp'!T170/(1-'Prices&amp;Fuel'!F170)-BE170-BF170-BG170-BB170),9)</f>
        <v>6556.2982005140002</v>
      </c>
      <c r="BE170" s="14">
        <f>'Prices&amp;Fuel'!U170/(1-'Prices&amp;Fuel'!F170)</f>
        <v>1933.1619537275064</v>
      </c>
      <c r="BF170" s="14">
        <f>('Prices&amp;Fuel'!V170+'Prices&amp;Fuel'!X170)/(1-'Prices&amp;Fuel'!F170)</f>
        <v>3062.2107969151671</v>
      </c>
      <c r="BG170" s="14">
        <f>'Prices&amp;Fuel'!W170/(1-'Prices&amp;Fuel'!F170)</f>
        <v>1065.2956298200513</v>
      </c>
      <c r="BH170" s="25">
        <f>('Prices&amp;Fuel'!C170+'Prices&amp;Fuel'!D170)/2-0.05+('Prices&amp;Fuel'!M170+'Prices&amp;Fuel'!P170)*(1-'Prices&amp;Fuel'!F170)</f>
        <v>4.7817053752931971</v>
      </c>
      <c r="BI170" s="25"/>
      <c r="BJ170" s="25"/>
      <c r="BK170" s="25">
        <f>(((BB170+BE170)*('Prices&amp;Fuel'!B170+0.025))+(('Prices&amp;Fuel'!D170+0.025)*(BD170+BG170))+(('Prices&amp;Fuel'!C170+0.025)*(BC170+BF170))-(BI170+BJ170)*0.025)/(BB170+BC170+BD170+BE170+BF170+BG170)</f>
        <v>4.0892947205312931</v>
      </c>
      <c r="BL170" s="14">
        <f>(BB170+BC170+BD170+BE170+BF170+BG170)*BH170*'Prices&amp;Fuel'!H170</f>
        <v>3200915.3720471477</v>
      </c>
      <c r="BM170" s="14">
        <f>'Prices&amp;Fuel'!X170*('Prices&amp;Fuel'!N170+'Prices&amp;Fuel'!O170)*'Prices&amp;Fuel'!H170</f>
        <v>9438.6404139577935</v>
      </c>
      <c r="BN170" s="14">
        <f>('Prices&amp;Fuel'!U170+'Prices&amp;Fuel'!V170+'Prices&amp;Fuel'!W170)*('Prices&amp;Fuel'!L170+'Prices&amp;Fuel'!O170)*'Prices&amp;Fuel'!H170</f>
        <v>72012.818736653091</v>
      </c>
      <c r="BO170" s="14">
        <f>((BB170+BC170+BD170)*(1-'Prices&amp;Fuel'!G170))*('Prices&amp;Fuel'!M170+'Prices&amp;Fuel'!P170)*'Prices&amp;Fuel'!H170</f>
        <v>358472.93299999676</v>
      </c>
      <c r="BP170" s="14">
        <f>((BD170+BC170+BB170+BE170+BF170+BG170)*BK170*'Prices&amp;Fuel'!H170)+BM170+BN170+BO170</f>
        <v>3177334.0199818206</v>
      </c>
      <c r="BQ170" s="6">
        <f t="shared" si="188"/>
        <v>23581.352065327112</v>
      </c>
      <c r="CA170" s="6">
        <f>(AF170+AG170+AH170+AL170)*0.005*'Prices&amp;Fuel'!H170</f>
        <v>0</v>
      </c>
      <c r="CB170" s="6">
        <f>(B170+C170+D170+O170+P170+Q170+X170+Y170+BB170+BC170+BD170+BE170+BF170+BG170+BR170+BS170)*0.005*'Prices&amp;Fuel'!H170</f>
        <v>7237.5437017994636</v>
      </c>
      <c r="CC170" s="1">
        <f t="shared" si="192"/>
        <v>6349497.0220471472</v>
      </c>
      <c r="CD170" s="1">
        <f t="shared" si="193"/>
        <v>6322259.8136836197</v>
      </c>
      <c r="CE170" s="1">
        <f t="shared" si="194"/>
        <v>27237.208363527432</v>
      </c>
      <c r="CJ170" s="1">
        <f t="shared" si="190"/>
        <v>6349497.0220471472</v>
      </c>
      <c r="CK170" s="1">
        <f t="shared" si="191"/>
        <v>6322259.8136836197</v>
      </c>
      <c r="CL170" s="1">
        <f t="shared" si="191"/>
        <v>27237.208363527432</v>
      </c>
      <c r="CN170" s="1">
        <f>Transport!U170</f>
        <v>3.1490140827372673E-9</v>
      </c>
      <c r="CQ170" s="1">
        <f>(((($B170+$C170+$D170+$O170+$P170+$Q170)*0.5)+BR170+BS170)*(0.005*'Prices&amp;Fuel'!$H170)+'Index Price Deals'!AV170)+(((BB170+BC170+BD170+BE170+BF170+BG170)*(1-'Prices&amp;Fuel'!F170))*0.005*0.5*'Prices&amp;Fuel'!H170)</f>
        <v>3572.7499999999895</v>
      </c>
      <c r="CR170" s="1">
        <f>(((($B170+$C170+$D170+$O170+$P170+$Q170)*0.5)+X170+Y170)*(0.005*'Prices&amp;Fuel'!$H170)+CA170+'Index Price Deals'!AW170)+(((BB170+BC170+BD170+BE170+BF170+BG170)*(1-'Prices&amp;Fuel'!F170))*0.005*0.5*'Prices&amp;Fuel'!H170)</f>
        <v>3572.7499999999895</v>
      </c>
      <c r="CS170" s="21"/>
      <c r="CV170" s="60">
        <f t="shared" si="170"/>
        <v>27237.208363524282</v>
      </c>
      <c r="DB170" s="3">
        <f>(O170+P170+Q170)*'Prices&amp;Fuel'!$H170</f>
        <v>778100</v>
      </c>
      <c r="DE170" s="3">
        <v>200000</v>
      </c>
    </row>
    <row r="171" spans="1:109" x14ac:dyDescent="0.25">
      <c r="A171" s="10">
        <f t="shared" si="187"/>
        <v>40798.166666666264</v>
      </c>
      <c r="O171" s="1">
        <v>9036</v>
      </c>
      <c r="P171" s="1">
        <v>10794</v>
      </c>
      <c r="Q171" s="1">
        <v>5270</v>
      </c>
      <c r="R171" s="11">
        <f t="shared" si="195"/>
        <v>4.0465</v>
      </c>
      <c r="S171" s="11">
        <f t="shared" si="196"/>
        <v>4.0324999999999998</v>
      </c>
      <c r="T171" s="1">
        <f>(($O171*R171)+($P171*R171)+($Q171*R171))*'Prices&amp;Fuel'!$H171</f>
        <v>3047014.5</v>
      </c>
      <c r="U171" s="1">
        <f>(($O171*S171)+($P171*S171)+($Q171*S171))*'Prices&amp;Fuel'!$H171</f>
        <v>3036472.5</v>
      </c>
      <c r="V171" s="13">
        <f t="shared" si="189"/>
        <v>10542</v>
      </c>
      <c r="BB171" s="6">
        <f>IF('FP Corp'!T171-((BE171+BF171+BG171)*(1-'Prices&amp;Fuel'!F171))&lt;'Prices&amp;Fuel'!R171,('FP Corp'!T171-(BE171+BF171+BG171)*(1-'Prices&amp;Fuel'!F171)),'Prices&amp;Fuel'!R171)/(1-'Prices&amp;Fuel'!F171)</f>
        <v>8976.8637532133671</v>
      </c>
      <c r="BC171" s="14"/>
      <c r="BD171" s="14">
        <f>ROUND(IF('FP Corp'!T171/(1-'Prices&amp;Fuel'!F171)-BE171-BF171-BG171-BB171&gt;'Prices&amp;Fuel'!T171,'Prices&amp;Fuel'!T171,'FP Corp'!T171/(1-'Prices&amp;Fuel'!F171)-BE171-BF171-BG171-BB171),9)</f>
        <v>6556.2982005140002</v>
      </c>
      <c r="BE171" s="14">
        <f>'Prices&amp;Fuel'!U171/(1-'Prices&amp;Fuel'!F171)</f>
        <v>1933.1619537275064</v>
      </c>
      <c r="BF171" s="14">
        <f>('Prices&amp;Fuel'!V171+'Prices&amp;Fuel'!X171)/(1-'Prices&amp;Fuel'!F171)</f>
        <v>3062.2107969151671</v>
      </c>
      <c r="BG171" s="14">
        <f>'Prices&amp;Fuel'!W171/(1-'Prices&amp;Fuel'!F171)</f>
        <v>1065.2956298200513</v>
      </c>
      <c r="BH171" s="25">
        <f>('Prices&amp;Fuel'!C171+'Prices&amp;Fuel'!D171)/2-0.05+('Prices&amp;Fuel'!M171+'Prices&amp;Fuel'!P171)*(1-'Prices&amp;Fuel'!F171)</f>
        <v>5.6238430352601574</v>
      </c>
      <c r="BI171" s="25"/>
      <c r="BJ171" s="25"/>
      <c r="BK171" s="25">
        <f>(((BB171+BE171)*('Prices&amp;Fuel'!B171+0.025))+(('Prices&amp;Fuel'!D171+0.025)*(BD171+BG171))+(('Prices&amp;Fuel'!C171+0.025)*(BC171+BF171))-(BI171+BJ171)*0.025)/(BB171+BC171+BD171+BE171+BF171+BG171)</f>
        <v>4.9314323804982534</v>
      </c>
      <c r="BL171" s="14">
        <f>(BB171+BC171+BD171+BE171+BF171+BG171)*BH171*'Prices&amp;Fuel'!H171</f>
        <v>3643209.3698857338</v>
      </c>
      <c r="BM171" s="14">
        <f>'Prices&amp;Fuel'!X171*('Prices&amp;Fuel'!N171+'Prices&amp;Fuel'!O171)*'Prices&amp;Fuel'!H171</f>
        <v>9134.1681425398001</v>
      </c>
      <c r="BN171" s="14">
        <f>('Prices&amp;Fuel'!U171+'Prices&amp;Fuel'!V171+'Prices&amp;Fuel'!W171)*('Prices&amp;Fuel'!L171+'Prices&amp;Fuel'!O171)*'Prices&amp;Fuel'!H171</f>
        <v>69689.82458385783</v>
      </c>
      <c r="BO171" s="14">
        <f>((BB171+BC171+BD171)*(1-'Prices&amp;Fuel'!G171))*('Prices&amp;Fuel'!M171+'Prices&amp;Fuel'!P171)*'Prices&amp;Fuel'!H171</f>
        <v>346909.28999999689</v>
      </c>
      <c r="BP171" s="14">
        <f>((BD171+BC171+BB171+BE171+BF171+BG171)*BK171*'Prices&amp;Fuel'!H171)+BM171+BN171+BO171</f>
        <v>3620388.7065967075</v>
      </c>
      <c r="BQ171" s="6">
        <f t="shared" si="188"/>
        <v>22820.663289026357</v>
      </c>
      <c r="CA171" s="6">
        <f>(AF171+AG171+AH171+AL171)*0.005*'Prices&amp;Fuel'!H171</f>
        <v>0</v>
      </c>
      <c r="CB171" s="6">
        <f>(B171+C171+D171+O171+P171+Q171+X171+Y171+BB171+BC171+BD171+BE171+BF171+BG171+BR171+BS171)*0.005*'Prices&amp;Fuel'!H171</f>
        <v>7004.0745501285137</v>
      </c>
      <c r="CC171" s="1">
        <f t="shared" si="192"/>
        <v>6690223.8698857334</v>
      </c>
      <c r="CD171" s="1">
        <f t="shared" si="193"/>
        <v>6663865.2811468365</v>
      </c>
      <c r="CE171" s="1">
        <f t="shared" si="194"/>
        <v>26358.588738896884</v>
      </c>
      <c r="CJ171" s="1">
        <f t="shared" si="190"/>
        <v>6690223.8698857334</v>
      </c>
      <c r="CK171" s="1">
        <f t="shared" si="191"/>
        <v>6663865.2811468365</v>
      </c>
      <c r="CL171" s="1">
        <f t="shared" si="191"/>
        <v>26358.588738896884</v>
      </c>
      <c r="CN171" s="1">
        <f>Transport!U171</f>
        <v>3.0474329832941295E-9</v>
      </c>
      <c r="CQ171" s="1">
        <f>(((($B171+$C171+$D171+$O171+$P171+$Q171)*0.5)+BR171+BS171)*(0.005*'Prices&amp;Fuel'!$H171)+'Index Price Deals'!AV171)+(((BB171+BC171+BD171+BE171+BF171+BG171)*(1-'Prices&amp;Fuel'!F171))*0.005*0.5*'Prices&amp;Fuel'!H171)</f>
        <v>3457.49999999999</v>
      </c>
      <c r="CR171" s="1">
        <f>(((($B171+$C171+$D171+$O171+$P171+$Q171)*0.5)+X171+Y171)*(0.005*'Prices&amp;Fuel'!$H171)+CA171+'Index Price Deals'!AW171)+(((BB171+BC171+BD171+BE171+BF171+BG171)*(1-'Prices&amp;Fuel'!F171))*0.005*0.5*'Prices&amp;Fuel'!H171)</f>
        <v>3457.49999999999</v>
      </c>
      <c r="CS171" s="21"/>
      <c r="CV171" s="60">
        <f t="shared" si="170"/>
        <v>26358.588738893835</v>
      </c>
      <c r="DB171" s="3">
        <f>(O171+P171+Q171)*'Prices&amp;Fuel'!$H171</f>
        <v>753000</v>
      </c>
      <c r="DE171" s="3">
        <v>200000</v>
      </c>
    </row>
    <row r="172" spans="1:109" x14ac:dyDescent="0.25">
      <c r="A172" s="10">
        <f t="shared" si="187"/>
        <v>40828.583333332928</v>
      </c>
      <c r="O172" s="1">
        <v>9036</v>
      </c>
      <c r="P172" s="1">
        <v>10794</v>
      </c>
      <c r="Q172" s="1">
        <v>5270</v>
      </c>
      <c r="R172" s="11">
        <f t="shared" si="195"/>
        <v>4.0465</v>
      </c>
      <c r="S172" s="11">
        <f t="shared" si="196"/>
        <v>4.0324999999999998</v>
      </c>
      <c r="T172" s="1">
        <f>(($O172*R172)+($P172*R172)+($Q172*R172))*'Prices&amp;Fuel'!$H172</f>
        <v>3148581.65</v>
      </c>
      <c r="U172" s="1">
        <f>(($O172*S172)+($P172*S172)+($Q172*S172))*'Prices&amp;Fuel'!$H172</f>
        <v>3137688.25</v>
      </c>
      <c r="V172" s="13">
        <f t="shared" si="189"/>
        <v>10893.399999999907</v>
      </c>
      <c r="BB172" s="6">
        <f>IF('FP Corp'!T172-((BE172+BF172+BG172)*(1-'Prices&amp;Fuel'!F172))&lt;'Prices&amp;Fuel'!R172,('FP Corp'!T172-(BE172+BF172+BG172)*(1-'Prices&amp;Fuel'!F172)),'Prices&amp;Fuel'!R172)/(1-'Prices&amp;Fuel'!F172)</f>
        <v>8976.8637532133671</v>
      </c>
      <c r="BC172" s="14"/>
      <c r="BD172" s="14">
        <f>ROUND(IF('FP Corp'!T172/(1-'Prices&amp;Fuel'!F172)-BE172-BF172-BG172-BB172&gt;'Prices&amp;Fuel'!T172,'Prices&amp;Fuel'!T172,'FP Corp'!T172/(1-'Prices&amp;Fuel'!F172)-BE172-BF172-BG172-BB172),9)</f>
        <v>3514.6529562979999</v>
      </c>
      <c r="BE172" s="14">
        <f>'Prices&amp;Fuel'!U172/(1-'Prices&amp;Fuel'!F172)</f>
        <v>2910.025706940874</v>
      </c>
      <c r="BF172" s="14">
        <f>('Prices&amp;Fuel'!V172+'Prices&amp;Fuel'!X172)/(1-'Prices&amp;Fuel'!F172)</f>
        <v>4628.2776349614396</v>
      </c>
      <c r="BG172" s="14">
        <f>'Prices&amp;Fuel'!W172/(1-'Prices&amp;Fuel'!F172)</f>
        <v>1564.0102827763496</v>
      </c>
      <c r="BH172" s="25">
        <f>('Prices&amp;Fuel'!C172+'Prices&amp;Fuel'!D172)/2-0.05+('Prices&amp;Fuel'!M172+'Prices&amp;Fuel'!P172)*(1-'Prices&amp;Fuel'!F172)</f>
        <v>6.3675490206855221</v>
      </c>
      <c r="BI172" s="25"/>
      <c r="BJ172" s="25"/>
      <c r="BK172" s="25">
        <f>(((BB172+BE172)*('Prices&amp;Fuel'!B172+0.025))+(('Prices&amp;Fuel'!D172+0.025)*(BD172+BG172))+(('Prices&amp;Fuel'!C172+0.025)*(BC172+BF172))-(BI172+BJ172)*0.025)/(BB172+BC172+BD172+BE172+BF172+BG172)</f>
        <v>5.6783121754474264</v>
      </c>
      <c r="BL172" s="14">
        <f>(BB172+BC172+BD172+BE172+BF172+BG172)*BH172*'Prices&amp;Fuel'!H172</f>
        <v>4262492.9691169523</v>
      </c>
      <c r="BM172" s="14">
        <f>'Prices&amp;Fuel'!X172*('Prices&amp;Fuel'!N172+'Prices&amp;Fuel'!O172)*'Prices&amp;Fuel'!H172</f>
        <v>13833.205057645318</v>
      </c>
      <c r="BN172" s="14">
        <f>('Prices&amp;Fuel'!U172+'Prices&amp;Fuel'!V172+'Prices&amp;Fuel'!W172)*('Prices&amp;Fuel'!L172+'Prices&amp;Fuel'!O172)*'Prices&amp;Fuel'!H172</f>
        <v>108495.99691066272</v>
      </c>
      <c r="BO172" s="14">
        <f>((BB172+BC172+BD172)*(1-'Prices&amp;Fuel'!G172))*('Prices&amp;Fuel'!M172+'Prices&amp;Fuel'!P172)*'Prices&amp;Fuel'!H172</f>
        <v>288278.11399999529</v>
      </c>
      <c r="BP172" s="14">
        <f>((BD172+BC172+BB172+BE172+BF172+BG172)*BK172*'Prices&amp;Fuel'!H172)+BM172+BN172+BO172</f>
        <v>4211719.1167047974</v>
      </c>
      <c r="BQ172" s="6">
        <f t="shared" si="188"/>
        <v>50773.852412154898</v>
      </c>
      <c r="CA172" s="6">
        <f>(AF172+AG172+AH172+AL172)*0.005*'Prices&amp;Fuel'!H172</f>
        <v>0</v>
      </c>
      <c r="CB172" s="6">
        <f>(B172+C172+D172+O172+P172+Q172+X172+Y172+BB172+BC172+BD172+BE172+BF172+BG172+BR172+BS172)*0.005*'Prices&amp;Fuel'!H172</f>
        <v>7237.5437017994554</v>
      </c>
      <c r="CC172" s="1">
        <f t="shared" si="192"/>
        <v>7411074.6191169526</v>
      </c>
      <c r="CD172" s="1">
        <f t="shared" si="193"/>
        <v>7356644.910406597</v>
      </c>
      <c r="CE172" s="1">
        <f t="shared" si="194"/>
        <v>54429.708710355684</v>
      </c>
      <c r="CJ172" s="1">
        <f t="shared" si="190"/>
        <v>7411074.6191169526</v>
      </c>
      <c r="CK172" s="1">
        <f t="shared" si="191"/>
        <v>7356644.910406597</v>
      </c>
      <c r="CL172" s="1">
        <f t="shared" si="191"/>
        <v>54429.708710355684</v>
      </c>
      <c r="CN172" s="1">
        <f>Transport!U172</f>
        <v>4.3920459575019776E-9</v>
      </c>
      <c r="CQ172" s="1">
        <f>(((($B172+$C172+$D172+$O172+$P172+$Q172)*0.5)+BR172+BS172)*(0.005*'Prices&amp;Fuel'!$H172)+'Index Price Deals'!AV172)+(((BB172+BC172+BD172+BE172+BF172+BG172)*(1-'Prices&amp;Fuel'!F172))*0.005*0.5*'Prices&amp;Fuel'!H172)</f>
        <v>3572.749999999985</v>
      </c>
      <c r="CR172" s="1">
        <f>(((($B172+$C172+$D172+$O172+$P172+$Q172)*0.5)+X172+Y172)*(0.005*'Prices&amp;Fuel'!$H172)+CA172+'Index Price Deals'!AW172)+(((BB172+BC172+BD172+BE172+BF172+BG172)*(1-'Prices&amp;Fuel'!F172))*0.005*0.5*'Prices&amp;Fuel'!H172)</f>
        <v>3572.749999999985</v>
      </c>
      <c r="CS172" s="21"/>
      <c r="CV172" s="60">
        <f t="shared" si="170"/>
        <v>54429.708710351289</v>
      </c>
      <c r="DB172" s="3">
        <f>(O172+P172+Q172)*'Prices&amp;Fuel'!$H172</f>
        <v>778100</v>
      </c>
      <c r="DE172" s="3">
        <v>132000</v>
      </c>
    </row>
    <row r="173" spans="1:109" x14ac:dyDescent="0.25">
      <c r="A173" s="10">
        <f t="shared" si="187"/>
        <v>40858.999999999593</v>
      </c>
      <c r="O173" s="1">
        <v>9036</v>
      </c>
      <c r="P173" s="1">
        <v>10794</v>
      </c>
      <c r="Q173" s="1">
        <v>5270</v>
      </c>
      <c r="R173" s="11">
        <f t="shared" si="195"/>
        <v>4.0465</v>
      </c>
      <c r="S173" s="11">
        <f t="shared" si="196"/>
        <v>4.0324999999999998</v>
      </c>
      <c r="T173" s="1">
        <f>(($O173*R173)+($P173*R173)+($Q173*R173))*'Prices&amp;Fuel'!$H173</f>
        <v>3047014.5</v>
      </c>
      <c r="U173" s="1">
        <f>(($O173*S173)+($P173*S173)+($Q173*S173))*'Prices&amp;Fuel'!$H173</f>
        <v>3036472.5</v>
      </c>
      <c r="V173" s="13">
        <f t="shared" si="189"/>
        <v>10542</v>
      </c>
      <c r="BB173" s="6">
        <f>IF('FP Corp'!T173-((BE173+BF173+BG173)*(1-'Prices&amp;Fuel'!F173))&lt;'Prices&amp;Fuel'!R173,('FP Corp'!T173-(BE173+BF173+BG173)*(1-'Prices&amp;Fuel'!F173)),'Prices&amp;Fuel'!R173)/(1-'Prices&amp;Fuel'!F173)</f>
        <v>4325.9640102827761</v>
      </c>
      <c r="BC173" s="14"/>
      <c r="BD173" s="14">
        <f>ROUND(IF('FP Corp'!T173/(1-'Prices&amp;Fuel'!F173)-BE173-BF173-BG173-BB173&gt;'Prices&amp;Fuel'!T173,'Prices&amp;Fuel'!T173,'FP Corp'!T173/(1-'Prices&amp;Fuel'!F173)-BE173-BF173-BG173-BB173),9)</f>
        <v>0</v>
      </c>
      <c r="BE173" s="14">
        <f>'Prices&amp;Fuel'!U173/(1-'Prices&amp;Fuel'!F173)</f>
        <v>2635.4755784061695</v>
      </c>
      <c r="BF173" s="14">
        <f>('Prices&amp;Fuel'!V173+'Prices&amp;Fuel'!X173)/(1-'Prices&amp;Fuel'!F173)</f>
        <v>3645.2442159383031</v>
      </c>
      <c r="BG173" s="14">
        <f>'Prices&amp;Fuel'!W173/(1-'Prices&amp;Fuel'!F173)</f>
        <v>1732.6478149100255</v>
      </c>
      <c r="BH173" s="25">
        <f>('Prices&amp;Fuel'!C173+'Prices&amp;Fuel'!D173)/2-0.05+('Prices&amp;Fuel'!M173+'Prices&amp;Fuel'!P173)*(1-'Prices&amp;Fuel'!F173)</f>
        <v>4.475473498941577</v>
      </c>
      <c r="BI173" s="25"/>
      <c r="BJ173" s="25"/>
      <c r="BK173" s="25">
        <f>(((BB173+BE173)*('Prices&amp;Fuel'!B173+0.025))+(('Prices&amp;Fuel'!D173+0.025)*(BD173+BG173))+(('Prices&amp;Fuel'!C173+0.025)*(BC173+BF173))-(BI173+BJ173)*0.025)/(BB173+BC173+BD173+BE173+BF173+BG173)</f>
        <v>3.7901539156082427</v>
      </c>
      <c r="BL173" s="14">
        <f>(BB173+BC173+BD173+BE173+BF173+BG173)*BH173*'Prices&amp;Fuel'!H173</f>
        <v>1656730.5497367275</v>
      </c>
      <c r="BM173" s="14">
        <f>'Prices&amp;Fuel'!X173*('Prices&amp;Fuel'!N173+'Prices&amp;Fuel'!O173)*'Prices&amp;Fuel'!H173</f>
        <v>9134.1681425398001</v>
      </c>
      <c r="BN173" s="14">
        <f>('Prices&amp;Fuel'!U173+'Prices&amp;Fuel'!V173+'Prices&amp;Fuel'!W173)*('Prices&amp;Fuel'!L173+'Prices&amp;Fuel'!O173)*'Prices&amp;Fuel'!H173</f>
        <v>95086.289155868202</v>
      </c>
      <c r="BO173" s="14">
        <f>((BB173+BC173+BD173)*(1-'Prices&amp;Fuel'!G173))*('Prices&amp;Fuel'!M173+'Prices&amp;Fuel'!P173)*'Prices&amp;Fuel'!H173</f>
        <v>96613.75499999999</v>
      </c>
      <c r="BP173" s="14">
        <f>((BD173+BC173+BB173+BE173+BF173+BG173)*BK173*'Prices&amp;Fuel'!H173)+BM173+BN173+BO173</f>
        <v>1603873.1939117417</v>
      </c>
      <c r="BQ173" s="6">
        <f t="shared" si="188"/>
        <v>52857.355824985774</v>
      </c>
      <c r="CA173" s="6">
        <f>(AF173+AG173+AH173+AL173)*0.005*'Prices&amp;Fuel'!H173</f>
        <v>0</v>
      </c>
      <c r="CB173" s="6">
        <f>(B173+C173+D173+O173+P173+Q173+X173+Y173+BB173+BC173+BD173+BE173+BF173+BG173+BR173+BS173)*0.005*'Prices&amp;Fuel'!H173</f>
        <v>5615.8997429305909</v>
      </c>
      <c r="CC173" s="1">
        <f t="shared" si="192"/>
        <v>4703745.049736727</v>
      </c>
      <c r="CD173" s="1">
        <f t="shared" si="193"/>
        <v>4645961.5936546717</v>
      </c>
      <c r="CE173" s="1">
        <f t="shared" si="194"/>
        <v>57783.456082055345</v>
      </c>
      <c r="CJ173" s="1">
        <f t="shared" si="190"/>
        <v>4703745.049736727</v>
      </c>
      <c r="CK173" s="1">
        <f t="shared" si="191"/>
        <v>4645961.5936546717</v>
      </c>
      <c r="CL173" s="1">
        <f t="shared" si="191"/>
        <v>57783.456082055345</v>
      </c>
      <c r="CN173" s="1">
        <f>Transport!U173</f>
        <v>0</v>
      </c>
      <c r="CQ173" s="1">
        <f>(((($B173+$C173+$D173+$O173+$P173+$Q173)*0.5)+BR173+BS173)*(0.005*'Prices&amp;Fuel'!$H173)+'Index Price Deals'!AV173)+(((BB173+BC173+BD173+BE173+BF173+BG173)*(1-'Prices&amp;Fuel'!F173))*0.005*0.5*'Prices&amp;Fuel'!H173)</f>
        <v>2782.5</v>
      </c>
      <c r="CR173" s="1">
        <f>(((($B173+$C173+$D173+$O173+$P173+$Q173)*0.5)+X173+Y173)*(0.005*'Prices&amp;Fuel'!$H173)+CA173+'Index Price Deals'!AW173)+(((BB173+BC173+BD173+BE173+BF173+BG173)*(1-'Prices&amp;Fuel'!F173))*0.005*0.5*'Prices&amp;Fuel'!H173)</f>
        <v>2782.5</v>
      </c>
      <c r="CS173" s="21"/>
      <c r="CV173" s="60">
        <f t="shared" si="170"/>
        <v>57783.456082055345</v>
      </c>
      <c r="DB173" s="3">
        <f>(O173+P173+Q173)*'Prices&amp;Fuel'!$H173</f>
        <v>753000</v>
      </c>
      <c r="DE173" s="3">
        <v>132000</v>
      </c>
    </row>
    <row r="174" spans="1:109" x14ac:dyDescent="0.25">
      <c r="A174" s="10">
        <f t="shared" si="187"/>
        <v>40889.416666666257</v>
      </c>
      <c r="O174" s="1">
        <v>9036</v>
      </c>
      <c r="P174" s="1">
        <v>10794</v>
      </c>
      <c r="Q174" s="1">
        <v>5270</v>
      </c>
      <c r="R174" s="11">
        <f t="shared" si="195"/>
        <v>4.0465</v>
      </c>
      <c r="S174" s="11">
        <f t="shared" si="196"/>
        <v>4.0324999999999998</v>
      </c>
      <c r="T174" s="1">
        <f>(($O174*R174)+($P174*R174)+($Q174*R174))*'Prices&amp;Fuel'!$H174</f>
        <v>3148581.65</v>
      </c>
      <c r="U174" s="1">
        <f>(($O174*S174)+($P174*S174)+($Q174*S174))*'Prices&amp;Fuel'!$H174</f>
        <v>3137688.25</v>
      </c>
      <c r="V174" s="13">
        <f t="shared" si="189"/>
        <v>10893.399999999907</v>
      </c>
      <c r="BB174" s="6">
        <f>IF('FP Corp'!T174-((BE174+BF174+BG174)*(1-'Prices&amp;Fuel'!F174))&lt;'Prices&amp;Fuel'!R174,('FP Corp'!T174-(BE174+BF174+BG174)*(1-'Prices&amp;Fuel'!F174)),'Prices&amp;Fuel'!R174)/(1-'Prices&amp;Fuel'!F174)</f>
        <v>4325.9640102827761</v>
      </c>
      <c r="BC174" s="14"/>
      <c r="BD174" s="14">
        <f>ROUND(IF('FP Corp'!T174/(1-'Prices&amp;Fuel'!F174)-BE174-BF174-BG174-BB174&gt;'Prices&amp;Fuel'!T174,'Prices&amp;Fuel'!T174,'FP Corp'!T174/(1-'Prices&amp;Fuel'!F174)-BE174-BF174-BG174-BB174),9)</f>
        <v>0</v>
      </c>
      <c r="BE174" s="14">
        <f>'Prices&amp;Fuel'!U174/(1-'Prices&amp;Fuel'!F174)</f>
        <v>2635.4755784061695</v>
      </c>
      <c r="BF174" s="14">
        <f>('Prices&amp;Fuel'!V174+'Prices&amp;Fuel'!X174)/(1-'Prices&amp;Fuel'!F174)</f>
        <v>3645.2442159383031</v>
      </c>
      <c r="BG174" s="14">
        <f>'Prices&amp;Fuel'!W174/(1-'Prices&amp;Fuel'!F174)</f>
        <v>1732.6478149100255</v>
      </c>
      <c r="BH174" s="25">
        <f>('Prices&amp;Fuel'!C174+'Prices&amp;Fuel'!D174)/2-0.05+('Prices&amp;Fuel'!M174+'Prices&amp;Fuel'!P174)*(1-'Prices&amp;Fuel'!F174)</f>
        <v>3.5130304589793395</v>
      </c>
      <c r="BI174" s="25"/>
      <c r="BJ174" s="25"/>
      <c r="BK174" s="25">
        <f>(((BB174+BE174)*('Prices&amp;Fuel'!B174+0.025))+(('Prices&amp;Fuel'!D174+0.025)*(BD174+BG174))+(('Prices&amp;Fuel'!C174+0.025)*(BC174+BF174))-(BI174+BJ174)*0.025)/(BB174+BC174+BD174+BE174+BF174+BG174)</f>
        <v>2.8277108756460057</v>
      </c>
      <c r="BL174" s="14">
        <f>(BB174+BC174+BD174+BE174+BF174+BG174)*BH174*'Prices&amp;Fuel'!H174</f>
        <v>1343801.8825093203</v>
      </c>
      <c r="BM174" s="14">
        <f>'Prices&amp;Fuel'!X174*('Prices&amp;Fuel'!N174+'Prices&amp;Fuel'!O174)*'Prices&amp;Fuel'!H174</f>
        <v>9438.6404139577935</v>
      </c>
      <c r="BN174" s="14">
        <f>('Prices&amp;Fuel'!U174+'Prices&amp;Fuel'!V174+'Prices&amp;Fuel'!W174)*('Prices&amp;Fuel'!L174+'Prices&amp;Fuel'!O174)*'Prices&amp;Fuel'!H174</f>
        <v>98255.832127730479</v>
      </c>
      <c r="BO174" s="14">
        <f>((BB174+BC174+BD174)*(1-'Prices&amp;Fuel'!G174))*('Prices&amp;Fuel'!M174+'Prices&amp;Fuel'!P174)*'Prices&amp;Fuel'!H174</f>
        <v>99834.213499999998</v>
      </c>
      <c r="BP174" s="14">
        <f>((BD174+BC174+BB174+BE174+BF174+BG174)*BK174*'Prices&amp;Fuel'!H174)+BM174+BN174+BO174</f>
        <v>1289182.614823502</v>
      </c>
      <c r="BQ174" s="6">
        <f t="shared" si="188"/>
        <v>54619.267685818253</v>
      </c>
      <c r="CA174" s="6">
        <f>(AF174+AG174+AH174+AL174)*0.005*'Prices&amp;Fuel'!H174</f>
        <v>0</v>
      </c>
      <c r="CB174" s="6">
        <f>(B174+C174+D174+O174+P174+Q174+X174+Y174+BB174+BC174+BD174+BE174+BF174+BG174+BR174+BS174)*0.005*'Prices&amp;Fuel'!H174</f>
        <v>5803.0964010282778</v>
      </c>
      <c r="CC174" s="1">
        <f t="shared" si="192"/>
        <v>4492383.5325093204</v>
      </c>
      <c r="CD174" s="1">
        <f t="shared" si="193"/>
        <v>4432673.9612245299</v>
      </c>
      <c r="CE174" s="1">
        <f t="shared" si="194"/>
        <v>59709.571284790523</v>
      </c>
      <c r="CJ174" s="1">
        <f t="shared" si="190"/>
        <v>4492383.5325093204</v>
      </c>
      <c r="CK174" s="1">
        <f t="shared" si="191"/>
        <v>4432673.9612245299</v>
      </c>
      <c r="CL174" s="1">
        <f t="shared" si="191"/>
        <v>59709.571284790523</v>
      </c>
      <c r="CM174" s="1">
        <f>SUM(CL163:CL174)</f>
        <v>519500.44480802165</v>
      </c>
      <c r="CN174" s="1">
        <f>Transport!U174</f>
        <v>0</v>
      </c>
      <c r="CQ174" s="1">
        <f>(((($B174+$C174+$D174+$O174+$P174+$Q174)*0.5)+BR174+BS174)*(0.005*'Prices&amp;Fuel'!$H174)+'Index Price Deals'!AV174)+(((BB174+BC174+BD174+BE174+BF174+BG174)*(1-'Prices&amp;Fuel'!F174))*0.005*0.5*'Prices&amp;Fuel'!H174)</f>
        <v>2875.25</v>
      </c>
      <c r="CR174" s="1">
        <f>(((($B174+$C174+$D174+$O174+$P174+$Q174)*0.5)+X174+Y174)*(0.005*'Prices&amp;Fuel'!$H174)+CA174+'Index Price Deals'!AW174)+(((BB174+BC174+BD174+BE174+BF174+BG174)*(1-'Prices&amp;Fuel'!F174))*0.005*0.5*'Prices&amp;Fuel'!H174)</f>
        <v>2875.25</v>
      </c>
      <c r="CS174" s="21"/>
      <c r="CV174" s="60">
        <f t="shared" si="170"/>
        <v>59709.571284790523</v>
      </c>
      <c r="DB174" s="3">
        <f>(O174+P174+Q174)*'Prices&amp;Fuel'!$H174</f>
        <v>778100</v>
      </c>
      <c r="DE174" s="3">
        <v>132000</v>
      </c>
    </row>
    <row r="175" spans="1:109" x14ac:dyDescent="0.25">
      <c r="A175" s="10">
        <f t="shared" si="187"/>
        <v>40919.833333332921</v>
      </c>
      <c r="O175" s="1">
        <v>9036</v>
      </c>
      <c r="P175" s="1">
        <v>10794</v>
      </c>
      <c r="Q175" s="1">
        <v>5270</v>
      </c>
      <c r="R175" s="11">
        <f t="shared" si="195"/>
        <v>4.0465</v>
      </c>
      <c r="S175" s="11">
        <f t="shared" si="196"/>
        <v>4.0324999999999998</v>
      </c>
      <c r="T175" s="1">
        <f>(($O175*R175)+($P175*R175)+($Q175*R175))*'Prices&amp;Fuel'!$H175</f>
        <v>3148581.65</v>
      </c>
      <c r="U175" s="1">
        <f>(($O175*S175)+($P175*S175)+($Q175*S175))*'Prices&amp;Fuel'!$H175</f>
        <v>3137688.25</v>
      </c>
      <c r="V175" s="13">
        <f t="shared" si="189"/>
        <v>10893.399999999907</v>
      </c>
      <c r="BB175" s="6">
        <f>IF('FP Corp'!T175-((BE175+BF175+BG175)*(1-'Prices&amp;Fuel'!F175))&lt;'Prices&amp;Fuel'!R175,('FP Corp'!T175-(BE175+BF175+BG175)*(1-'Prices&amp;Fuel'!F175)),'Prices&amp;Fuel'!R175)/(1-'Prices&amp;Fuel'!F175)</f>
        <v>4325.9640102827761</v>
      </c>
      <c r="BC175" s="14"/>
      <c r="BD175" s="14">
        <f>ROUND(IF('FP Corp'!T175/(1-'Prices&amp;Fuel'!F175)-BE175-BF175-BG175-BB175&gt;'Prices&amp;Fuel'!T175,'Prices&amp;Fuel'!T175,'FP Corp'!T175/(1-'Prices&amp;Fuel'!F175)-BE175-BF175-BG175-BB175),9)</f>
        <v>0</v>
      </c>
      <c r="BE175" s="14">
        <f>'Prices&amp;Fuel'!U175/(1-'Prices&amp;Fuel'!F175)</f>
        <v>2635.4755784061695</v>
      </c>
      <c r="BF175" s="14">
        <f>('Prices&amp;Fuel'!V175+'Prices&amp;Fuel'!X175)/(1-'Prices&amp;Fuel'!F175)</f>
        <v>3645.2442159383031</v>
      </c>
      <c r="BG175" s="14">
        <f>'Prices&amp;Fuel'!W175/(1-'Prices&amp;Fuel'!F175)</f>
        <v>1732.6478149100255</v>
      </c>
      <c r="BH175" s="25">
        <f>('Prices&amp;Fuel'!C175+'Prices&amp;Fuel'!D175)/2-0.05+('Prices&amp;Fuel'!M175+'Prices&amp;Fuel'!P175)*(1-'Prices&amp;Fuel'!F175)</f>
        <v>3.1769409746834354</v>
      </c>
      <c r="BI175" s="25"/>
      <c r="BJ175" s="25"/>
      <c r="BK175" s="25">
        <f>(((BB175+BE175)*('Prices&amp;Fuel'!B175+0.025))+(('Prices&amp;Fuel'!D175+0.025)*(BD175+BG175))+(('Prices&amp;Fuel'!C175+0.025)*(BC175+BF175))-(BI175+BJ175)*0.025)/(BB175+BC175+BD175+BE175+BF175+BG175)</f>
        <v>2.4916213913501015</v>
      </c>
      <c r="BL175" s="14">
        <f>(BB175+BC175+BD175+BE175+BF175+BG175)*BH175*'Prices&amp;Fuel'!H175</f>
        <v>1215241.1748917613</v>
      </c>
      <c r="BM175" s="14">
        <f>'Prices&amp;Fuel'!X175*('Prices&amp;Fuel'!N175+'Prices&amp;Fuel'!O175)*'Prices&amp;Fuel'!H175</f>
        <v>9415.6112109141941</v>
      </c>
      <c r="BN175" s="14">
        <f>('Prices&amp;Fuel'!U175+'Prices&amp;Fuel'!V175+'Prices&amp;Fuel'!W175)*('Prices&amp;Fuel'!L175+'Prices&amp;Fuel'!O175)*'Prices&amp;Fuel'!H175</f>
        <v>98016.099135578203</v>
      </c>
      <c r="BO175" s="14">
        <f>((BB175+BC175+BD175)*(1-'Prices&amp;Fuel'!G175))*('Prices&amp;Fuel'!M175+'Prices&amp;Fuel'!P175)*'Prices&amp;Fuel'!H175</f>
        <v>99834.213499999998</v>
      </c>
      <c r="BP175" s="14">
        <f>((BD175+BC175+BB175+BE175+BF175+BG175)*BK175*'Prices&amp;Fuel'!H175)+BM175+BN175+BO175</f>
        <v>1160359.1450107472</v>
      </c>
      <c r="BQ175" s="6">
        <f t="shared" si="188"/>
        <v>54882.029881014023</v>
      </c>
      <c r="CA175" s="6">
        <f>(AF175+AG175+AH175+AL175)*0.005*'Prices&amp;Fuel'!H175</f>
        <v>0</v>
      </c>
      <c r="CB175" s="6">
        <f>(B175+C175+D175+O175+P175+Q175+X175+Y175+BB175+BC175+BD175+BE175+BF175+BG175+BR175+BS175)*0.005*'Prices&amp;Fuel'!H175</f>
        <v>5803.0964010282778</v>
      </c>
      <c r="CC175" s="1">
        <f t="shared" si="192"/>
        <v>4363822.8248917609</v>
      </c>
      <c r="CD175" s="1">
        <f t="shared" si="193"/>
        <v>4303850.4914117754</v>
      </c>
      <c r="CE175" s="1">
        <f t="shared" si="194"/>
        <v>59972.333479985595</v>
      </c>
      <c r="CJ175" s="1">
        <f t="shared" si="190"/>
        <v>4363822.8248917609</v>
      </c>
      <c r="CK175" s="1">
        <f t="shared" si="191"/>
        <v>4303850.4914117754</v>
      </c>
      <c r="CL175" s="1">
        <f t="shared" si="191"/>
        <v>59972.333479985595</v>
      </c>
      <c r="CN175" s="1">
        <f>Transport!U175</f>
        <v>0</v>
      </c>
      <c r="CQ175" s="1">
        <f>(((($B175+$C175+$D175+$O175+$P175+$Q175)*0.5)+BR175+BS175)*(0.005*'Prices&amp;Fuel'!$H175)+'Index Price Deals'!AV175)+(((BB175+BC175+BD175+BE175+BF175+BG175)*(1-'Prices&amp;Fuel'!F175))*0.005*0.5*'Prices&amp;Fuel'!H175)</f>
        <v>2875.25</v>
      </c>
      <c r="CR175" s="1">
        <f>(((($B175+$C175+$D175+$O175+$P175+$Q175)*0.5)+X175+Y175)*(0.005*'Prices&amp;Fuel'!$H175)+CA175+'Index Price Deals'!AW175)+(((BB175+BC175+BD175+BE175+BF175+BG175)*(1-'Prices&amp;Fuel'!F175))*0.005*0.5*'Prices&amp;Fuel'!H175)</f>
        <v>2875.25</v>
      </c>
      <c r="CS175" s="21"/>
      <c r="CV175" s="60">
        <f t="shared" si="170"/>
        <v>59972.333479985595</v>
      </c>
      <c r="DB175" s="3">
        <f>(O175+P175+Q175)*'Prices&amp;Fuel'!$H175</f>
        <v>778100</v>
      </c>
      <c r="DE175" s="3">
        <v>132000</v>
      </c>
    </row>
    <row r="176" spans="1:109" x14ac:dyDescent="0.25">
      <c r="A176" s="10">
        <f t="shared" si="187"/>
        <v>40950.249999999585</v>
      </c>
      <c r="O176" s="1">
        <v>9036</v>
      </c>
      <c r="P176" s="1">
        <v>10794</v>
      </c>
      <c r="Q176" s="1">
        <v>5270</v>
      </c>
      <c r="R176" s="11">
        <f t="shared" si="195"/>
        <v>4.0465</v>
      </c>
      <c r="S176" s="11">
        <f t="shared" si="196"/>
        <v>4.0324999999999998</v>
      </c>
      <c r="T176" s="1">
        <f>(($O176*R176)+($P176*R176)+($Q176*R176))*'Prices&amp;Fuel'!$H176</f>
        <v>2945447.3499999996</v>
      </c>
      <c r="U176" s="1">
        <f>(($O176*S176)+($P176*S176)+($Q176*S176))*'Prices&amp;Fuel'!$H176</f>
        <v>2935256.75</v>
      </c>
      <c r="V176" s="13">
        <f t="shared" si="189"/>
        <v>10190.599999999627</v>
      </c>
      <c r="BB176" s="6">
        <f>IF('FP Corp'!T176-((BE176+BF176+BG176)*(1-'Prices&amp;Fuel'!F176))&lt;'Prices&amp;Fuel'!R176,('FP Corp'!T176-(BE176+BF176+BG176)*(1-'Prices&amp;Fuel'!F176)),'Prices&amp;Fuel'!R176)/(1-'Prices&amp;Fuel'!F176)</f>
        <v>4325.9640102827761</v>
      </c>
      <c r="BC176" s="14"/>
      <c r="BD176" s="14">
        <f>ROUND(IF('FP Corp'!T176/(1-'Prices&amp;Fuel'!F176)-BE176-BF176-BG176-BB176&gt;'Prices&amp;Fuel'!T176,'Prices&amp;Fuel'!T176,'FP Corp'!T176/(1-'Prices&amp;Fuel'!F176)-BE176-BF176-BG176-BB176),9)</f>
        <v>0</v>
      </c>
      <c r="BE176" s="14">
        <f>'Prices&amp;Fuel'!U176/(1-'Prices&amp;Fuel'!F176)</f>
        <v>2635.4755784061695</v>
      </c>
      <c r="BF176" s="14">
        <f>('Prices&amp;Fuel'!V176+'Prices&amp;Fuel'!X176)/(1-'Prices&amp;Fuel'!F176)</f>
        <v>3645.2442159383031</v>
      </c>
      <c r="BG176" s="14">
        <f>'Prices&amp;Fuel'!W176/(1-'Prices&amp;Fuel'!F176)</f>
        <v>1732.6478149100255</v>
      </c>
      <c r="BH176" s="25">
        <f>('Prices&amp;Fuel'!C176+'Prices&amp;Fuel'!D176)/2-0.05+('Prices&amp;Fuel'!M176+'Prices&amp;Fuel'!P176)*(1-'Prices&amp;Fuel'!F176)</f>
        <v>3.4751889485444596</v>
      </c>
      <c r="BI176" s="25"/>
      <c r="BJ176" s="25"/>
      <c r="BK176" s="25">
        <f>(((BB176+BE176)*('Prices&amp;Fuel'!B176+0.025))+(('Prices&amp;Fuel'!D176+0.025)*(BD176+BG176))+(('Prices&amp;Fuel'!C176+0.025)*(BC176+BF176))-(BI176+BJ176)*0.025)/(BB176+BC176+BD176+BE176+BF176+BG176)</f>
        <v>2.7898693652111257</v>
      </c>
      <c r="BL176" s="14">
        <f>(BB176+BC176+BD176+BE176+BF176+BG176)*BH176*'Prices&amp;Fuel'!H176</f>
        <v>1243563.7574225932</v>
      </c>
      <c r="BM176" s="14">
        <f>'Prices&amp;Fuel'!X176*('Prices&amp;Fuel'!N176+'Prices&amp;Fuel'!O176)*'Prices&amp;Fuel'!H176</f>
        <v>8808.1524231132789</v>
      </c>
      <c r="BN176" s="14">
        <f>('Prices&amp;Fuel'!U176+'Prices&amp;Fuel'!V176+'Prices&amp;Fuel'!W176)*('Prices&amp;Fuel'!L176+'Prices&amp;Fuel'!O176)*'Prices&amp;Fuel'!H176</f>
        <v>91692.479836508646</v>
      </c>
      <c r="BO176" s="14">
        <f>((BB176+BC176+BD176)*(1-'Prices&amp;Fuel'!G176))*('Prices&amp;Fuel'!M176+'Prices&amp;Fuel'!P176)*'Prices&amp;Fuel'!H176</f>
        <v>93393.296499999997</v>
      </c>
      <c r="BP176" s="14">
        <f>((BD176+BC176+BB176+BE176+BF176+BG176)*BK176*'Prices&amp;Fuel'!H176)+BM176+BN176+BO176</f>
        <v>1192222.5036629348</v>
      </c>
      <c r="BQ176" s="6">
        <f t="shared" si="188"/>
        <v>51341.25375965843</v>
      </c>
      <c r="CA176" s="6">
        <f>(AF176+AG176+AH176+AL176)*0.005*'Prices&amp;Fuel'!H176</f>
        <v>0</v>
      </c>
      <c r="CB176" s="6">
        <f>(B176+C176+D176+O176+P176+Q176+X176+Y176+BB176+BC176+BD176+BE176+BF176+BG176+BR176+BS176)*0.005*'Prices&amp;Fuel'!H176</f>
        <v>5428.703084832905</v>
      </c>
      <c r="CC176" s="1">
        <f t="shared" si="192"/>
        <v>4189011.107422593</v>
      </c>
      <c r="CD176" s="1">
        <f t="shared" si="193"/>
        <v>4132907.9567477675</v>
      </c>
      <c r="CE176" s="1">
        <f t="shared" si="194"/>
        <v>56103.150674825534</v>
      </c>
      <c r="CJ176" s="1">
        <f t="shared" si="190"/>
        <v>4189011.107422593</v>
      </c>
      <c r="CK176" s="1">
        <f t="shared" si="191"/>
        <v>4132907.9567477675</v>
      </c>
      <c r="CL176" s="1">
        <f t="shared" si="191"/>
        <v>56103.150674825534</v>
      </c>
      <c r="CN176" s="1">
        <f>Transport!U176</f>
        <v>0</v>
      </c>
      <c r="CQ176" s="1">
        <f>(((($B176+$C176+$D176+$O176+$P176+$Q176)*0.5)+BR176+BS176)*(0.005*'Prices&amp;Fuel'!$H176)+'Index Price Deals'!AV176)+(((BB176+BC176+BD176+BE176+BF176+BG176)*(1-'Prices&amp;Fuel'!F176))*0.005*0.5*'Prices&amp;Fuel'!H176)</f>
        <v>2689.7499999999995</v>
      </c>
      <c r="CR176" s="1">
        <f>(((($B176+$C176+$D176+$O176+$P176+$Q176)*0.5)+X176+Y176)*(0.005*'Prices&amp;Fuel'!$H176)+CA176+'Index Price Deals'!AW176)+(((BB176+BC176+BD176+BE176+BF176+BG176)*(1-'Prices&amp;Fuel'!F176))*0.005*0.5*'Prices&amp;Fuel'!H176)</f>
        <v>2689.7499999999995</v>
      </c>
      <c r="CS176" s="21"/>
      <c r="CV176" s="60">
        <f t="shared" si="170"/>
        <v>56103.150674825534</v>
      </c>
      <c r="DB176" s="3">
        <f>(O176+P176+Q176)*'Prices&amp;Fuel'!$H176</f>
        <v>727900</v>
      </c>
      <c r="DE176" s="3">
        <v>132000</v>
      </c>
    </row>
    <row r="177" spans="1:106" x14ac:dyDescent="0.25">
      <c r="A177" s="10">
        <f t="shared" ref="A177:A192" si="197">+A176+365/12</f>
        <v>40980.66666666625</v>
      </c>
      <c r="O177" s="1">
        <v>9036</v>
      </c>
      <c r="P177" s="1">
        <v>10794</v>
      </c>
      <c r="Q177" s="1">
        <v>5270</v>
      </c>
      <c r="R177" s="11">
        <f t="shared" si="195"/>
        <v>4.0465</v>
      </c>
      <c r="S177" s="11">
        <f t="shared" si="196"/>
        <v>4.0324999999999998</v>
      </c>
      <c r="T177" s="1">
        <f>(($O177*R177)+($P177*R177)+($Q177*R177))*'Prices&amp;Fuel'!$H177</f>
        <v>3148581.65</v>
      </c>
      <c r="U177" s="1">
        <f>(($O177*S177)+($P177*S177)+($Q177*S177))*'Prices&amp;Fuel'!$H177</f>
        <v>3137688.25</v>
      </c>
      <c r="V177" s="13">
        <f t="shared" si="189"/>
        <v>10893.399999999907</v>
      </c>
      <c r="BB177" s="6">
        <f>IF('FP Corp'!T177-((BE177+BF177+BG177)*(1-'Prices&amp;Fuel'!F177))&lt;'Prices&amp;Fuel'!R177,('FP Corp'!T177-(BE177+BF177+BG177)*(1-'Prices&amp;Fuel'!F177)),'Prices&amp;Fuel'!R177)/(1-'Prices&amp;Fuel'!F177)</f>
        <v>4325.9640102827761</v>
      </c>
      <c r="BC177" s="14"/>
      <c r="BD177" s="14">
        <f>ROUND(IF('FP Corp'!T177/(1-'Prices&amp;Fuel'!F177)-BE177-BF177-BG177-BB177&gt;'Prices&amp;Fuel'!T177,'Prices&amp;Fuel'!T177,'FP Corp'!T177/(1-'Prices&amp;Fuel'!F177)-BE177-BF177-BG177-BB177),9)</f>
        <v>0</v>
      </c>
      <c r="BE177" s="14">
        <f>'Prices&amp;Fuel'!U177/(1-'Prices&amp;Fuel'!F177)</f>
        <v>2635.4755784061695</v>
      </c>
      <c r="BF177" s="14">
        <f>('Prices&amp;Fuel'!V177+'Prices&amp;Fuel'!X177)/(1-'Prices&amp;Fuel'!F177)</f>
        <v>3645.2442159383031</v>
      </c>
      <c r="BG177" s="14">
        <f>'Prices&amp;Fuel'!W177/(1-'Prices&amp;Fuel'!F177)</f>
        <v>1732.6478149100255</v>
      </c>
      <c r="BH177" s="25">
        <f>('Prices&amp;Fuel'!C177+'Prices&amp;Fuel'!D177)/2-0.05+('Prices&amp;Fuel'!M177+'Prices&amp;Fuel'!P177)*(1-'Prices&amp;Fuel'!F177)</f>
        <v>3.4751889485444596</v>
      </c>
      <c r="BI177" s="25"/>
      <c r="BJ177" s="25"/>
      <c r="BK177" s="25">
        <f>(((BB177+BE177)*('Prices&amp;Fuel'!B177+0.025))+(('Prices&amp;Fuel'!D177+0.025)*(BD177+BG177))+(('Prices&amp;Fuel'!C177+0.025)*(BC177+BF177))-(BI177+BJ177)*0.025)/(BB177+BC177+BD177+BE177+BF177+BG177)</f>
        <v>2.7898693652111257</v>
      </c>
      <c r="BL177" s="14">
        <f>(BB177+BC177+BD177+BE177+BF177+BG177)*BH177*'Prices&amp;Fuel'!H177</f>
        <v>1329326.7751758755</v>
      </c>
      <c r="BM177" s="14">
        <f>'Prices&amp;Fuel'!X177*('Prices&amp;Fuel'!N177+'Prices&amp;Fuel'!O177)*'Prices&amp;Fuel'!H177</f>
        <v>9415.6112109141941</v>
      </c>
      <c r="BN177" s="14">
        <f>('Prices&amp;Fuel'!U177+'Prices&amp;Fuel'!V177+'Prices&amp;Fuel'!W177)*('Prices&amp;Fuel'!L177+'Prices&amp;Fuel'!O177)*'Prices&amp;Fuel'!H177</f>
        <v>98016.099135578203</v>
      </c>
      <c r="BO177" s="14">
        <f>((BB177+BC177+BD177)*(1-'Prices&amp;Fuel'!G177))*('Prices&amp;Fuel'!M177+'Prices&amp;Fuel'!P177)*'Prices&amp;Fuel'!H177</f>
        <v>99834.213499999998</v>
      </c>
      <c r="BP177" s="14">
        <f>((BD177+BC177+BB177+BE177+BF177+BG177)*BK177*'Prices&amp;Fuel'!H177)+BM177+BN177+BO177</f>
        <v>1274444.7452948613</v>
      </c>
      <c r="BQ177" s="6">
        <f t="shared" si="188"/>
        <v>54882.029881014256</v>
      </c>
      <c r="CA177" s="6">
        <f>(AF177+AG177+AH177+AL177)*0.005*'Prices&amp;Fuel'!H177</f>
        <v>0</v>
      </c>
      <c r="CB177" s="6">
        <f>(B177+C177+D177+O177+P177+Q177+X177+Y177+BB177+BC177+BD177+BE177+BF177+BG177+BR177+BS177)*0.005*'Prices&amp;Fuel'!H177</f>
        <v>5803.0964010282778</v>
      </c>
      <c r="CC177" s="1">
        <f t="shared" si="192"/>
        <v>4477908.4251758754</v>
      </c>
      <c r="CD177" s="1">
        <f t="shared" si="193"/>
        <v>4417936.0916958898</v>
      </c>
      <c r="CE177" s="1">
        <f t="shared" si="194"/>
        <v>59972.333479985595</v>
      </c>
      <c r="CJ177" s="1">
        <f t="shared" si="190"/>
        <v>4477908.4251758754</v>
      </c>
      <c r="CK177" s="1">
        <f t="shared" si="191"/>
        <v>4417936.0916958898</v>
      </c>
      <c r="CL177" s="1">
        <f t="shared" si="191"/>
        <v>59972.333479985595</v>
      </c>
      <c r="CN177" s="1">
        <f>Transport!U177</f>
        <v>0</v>
      </c>
      <c r="CQ177" s="1">
        <f>(((($B177+$C177+$D177+$O177+$P177+$Q177)*0.5)+BR177+BS177)*(0.005*'Prices&amp;Fuel'!$H177)+'Index Price Deals'!AV177)+(((BB177+BC177+BD177+BE177+BF177+BG177)*(1-'Prices&amp;Fuel'!F177))*0.005*0.5*'Prices&amp;Fuel'!H177)</f>
        <v>2875.25</v>
      </c>
      <c r="CR177" s="1">
        <f>(((($B177+$C177+$D177+$O177+$P177+$Q177)*0.5)+X177+Y177)*(0.005*'Prices&amp;Fuel'!$H177)+CA177+'Index Price Deals'!AW177)+(((BB177+BC177+BD177+BE177+BF177+BG177)*(1-'Prices&amp;Fuel'!F177))*0.005*0.5*'Prices&amp;Fuel'!H177)</f>
        <v>2875.25</v>
      </c>
      <c r="CS177" s="21"/>
      <c r="CV177" s="60">
        <f t="shared" si="170"/>
        <v>59972.333479985595</v>
      </c>
      <c r="DB177" s="3">
        <f>(O177+P177+Q177)*'Prices&amp;Fuel'!$H177</f>
        <v>778100</v>
      </c>
    </row>
    <row r="178" spans="1:106" x14ac:dyDescent="0.25">
      <c r="A178" s="10">
        <f t="shared" si="197"/>
        <v>41011.083333332914</v>
      </c>
      <c r="O178" s="1">
        <v>9036</v>
      </c>
      <c r="P178" s="1">
        <v>10794</v>
      </c>
      <c r="Q178" s="1">
        <v>5270</v>
      </c>
      <c r="R178" s="11">
        <f t="shared" si="195"/>
        <v>4.0465</v>
      </c>
      <c r="S178" s="11">
        <f t="shared" si="196"/>
        <v>4.0324999999999998</v>
      </c>
      <c r="T178" s="1">
        <f>(($O178*R178)+($P178*R178)+($Q178*R178))*'Prices&amp;Fuel'!$H178</f>
        <v>3047014.5</v>
      </c>
      <c r="U178" s="1">
        <f>(($O178*S178)+($P178*S178)+($Q178*S178))*'Prices&amp;Fuel'!$H178</f>
        <v>3036472.5</v>
      </c>
      <c r="V178" s="13">
        <f t="shared" si="189"/>
        <v>10542</v>
      </c>
      <c r="BB178" s="6">
        <f>IF('FP Corp'!T178-((BE178+BF178+BG178)*(1-'Prices&amp;Fuel'!F178))&lt;'Prices&amp;Fuel'!R178,('FP Corp'!T178-(BE178+BF178+BG178)*(1-'Prices&amp;Fuel'!F178)),'Prices&amp;Fuel'!R178)/(1-'Prices&amp;Fuel'!F178)</f>
        <v>6278.6632390745499</v>
      </c>
      <c r="BC178" s="14"/>
      <c r="BD178" s="14">
        <f>ROUND(IF('FP Corp'!T178/(1-'Prices&amp;Fuel'!F178)-BE178-BF178-BG178-BB178&gt;'Prices&amp;Fuel'!T178,'Prices&amp;Fuel'!T178,'FP Corp'!T178/(1-'Prices&amp;Fuel'!F178)-BE178-BF178-BG178-BB178),9)</f>
        <v>0</v>
      </c>
      <c r="BE178" s="14">
        <f>'Prices&amp;Fuel'!U178/(1-'Prices&amp;Fuel'!F178)</f>
        <v>1933.1619537275064</v>
      </c>
      <c r="BF178" s="14">
        <f>('Prices&amp;Fuel'!V178+'Prices&amp;Fuel'!X178)/(1-'Prices&amp;Fuel'!F178)</f>
        <v>2833.9331619537274</v>
      </c>
      <c r="BG178" s="14">
        <f>'Prices&amp;Fuel'!W178/(1-'Prices&amp;Fuel'!F178)</f>
        <v>1293.5732647814909</v>
      </c>
      <c r="BH178" s="25">
        <f>('Prices&amp;Fuel'!C178+'Prices&amp;Fuel'!D178)/2-0.05+('Prices&amp;Fuel'!M178+'Prices&amp;Fuel'!P178)*(1-'Prices&amp;Fuel'!F178)</f>
        <v>3.773436922405486</v>
      </c>
      <c r="BI178" s="25"/>
      <c r="BJ178" s="25"/>
      <c r="BK178" s="25">
        <f>(((BB178+BE178)*('Prices&amp;Fuel'!B178+0.025))+(('Prices&amp;Fuel'!D178+0.025)*(BD178+BG178))+(('Prices&amp;Fuel'!C178+0.025)*(BC178+BF178))-(BI178+BJ178)*0.025)/(BB178+BC178+BD178+BE178+BF178+BG178)</f>
        <v>3.0838165057388189</v>
      </c>
      <c r="BL178" s="14">
        <f>(BB178+BC178+BD178+BE178+BF178+BG178)*BH178*'Prices&amp;Fuel'!H178</f>
        <v>1396850.6859290232</v>
      </c>
      <c r="BM178" s="14">
        <f>'Prices&amp;Fuel'!X178*('Prices&amp;Fuel'!N178+'Prices&amp;Fuel'!O178)*'Prices&amp;Fuel'!H178</f>
        <v>9111.8818170137365</v>
      </c>
      <c r="BN178" s="14">
        <f>('Prices&amp;Fuel'!U178+'Prices&amp;Fuel'!V178+'Prices&amp;Fuel'!W178)*('Prices&amp;Fuel'!L178+'Prices&amp;Fuel'!O178)*'Prices&amp;Fuel'!H178</f>
        <v>69519.789382809045</v>
      </c>
      <c r="BO178" s="14">
        <f>((BB178+BC178+BD178)*(1-'Prices&amp;Fuel'!G178))*('Prices&amp;Fuel'!M178+'Prices&amp;Fuel'!P178)*'Prices&amp;Fuel'!H178</f>
        <v>140224.29</v>
      </c>
      <c r="BP178" s="14">
        <f>((BD178+BC178+BB178+BE178+BF178+BG178)*BK178*'Prices&amp;Fuel'!H178)+BM178+BN178+BO178</f>
        <v>1360422.9967432416</v>
      </c>
      <c r="BQ178" s="6">
        <f t="shared" ref="BQ178:BQ193" si="198">BL178-BP178</f>
        <v>36427.689185781637</v>
      </c>
      <c r="CA178" s="6">
        <f>(AF178+AG178+AH178+AL178)*0.005*'Prices&amp;Fuel'!H178</f>
        <v>0</v>
      </c>
      <c r="CB178" s="6">
        <f>(B178+C178+D178+O178+P178+Q178+X178+Y178+BB178+BC178+BD178+BE178+BF178+BG178+BR178+BS178)*0.005*'Prices&amp;Fuel'!H178</f>
        <v>5615.89974293059</v>
      </c>
      <c r="CC178" s="1">
        <f t="shared" si="192"/>
        <v>4443865.1859290227</v>
      </c>
      <c r="CD178" s="1">
        <f t="shared" si="193"/>
        <v>4402511.3964861715</v>
      </c>
      <c r="CE178" s="1">
        <f t="shared" si="194"/>
        <v>41353.789442851208</v>
      </c>
      <c r="CJ178" s="1">
        <f t="shared" si="190"/>
        <v>4443865.1859290227</v>
      </c>
      <c r="CK178" s="1">
        <f t="shared" si="191"/>
        <v>4402511.3964861715</v>
      </c>
      <c r="CL178" s="1">
        <f t="shared" si="191"/>
        <v>41353.789442851208</v>
      </c>
      <c r="CN178" s="1">
        <f>Transport!U178</f>
        <v>0</v>
      </c>
      <c r="CQ178" s="1">
        <f>(((($B178+$C178+$D178+$O178+$P178+$Q178)*0.5)+BR178+BS178)*(0.005*'Prices&amp;Fuel'!$H178)+'Index Price Deals'!AV178)+(((BB178+BC178+BD178+BE178+BF178+BG178)*(1-'Prices&amp;Fuel'!F178))*0.005*0.5*'Prices&amp;Fuel'!H178)</f>
        <v>2782.5</v>
      </c>
      <c r="CR178" s="1">
        <f>(((($B178+$C178+$D178+$O178+$P178+$Q178)*0.5)+X178+Y178)*(0.005*'Prices&amp;Fuel'!$H178)+CA178+'Index Price Deals'!AW178)+(((BB178+BC178+BD178+BE178+BF178+BG178)*(1-'Prices&amp;Fuel'!F178))*0.005*0.5*'Prices&amp;Fuel'!H178)</f>
        <v>2782.5</v>
      </c>
      <c r="CS178" s="21"/>
      <c r="CV178" s="60">
        <f t="shared" si="170"/>
        <v>41353.789442851208</v>
      </c>
      <c r="DB178" s="3">
        <f>(O178+P178+Q178)*'Prices&amp;Fuel'!$H178</f>
        <v>753000</v>
      </c>
    </row>
    <row r="179" spans="1:106" x14ac:dyDescent="0.25">
      <c r="A179" s="10">
        <f t="shared" si="197"/>
        <v>41041.499999999578</v>
      </c>
      <c r="O179" s="1">
        <v>9036</v>
      </c>
      <c r="P179" s="1">
        <v>10794</v>
      </c>
      <c r="Q179" s="1">
        <v>5270</v>
      </c>
      <c r="R179" s="11">
        <f t="shared" si="195"/>
        <v>4.0465</v>
      </c>
      <c r="S179" s="11">
        <f t="shared" si="196"/>
        <v>4.0324999999999998</v>
      </c>
      <c r="T179" s="1">
        <f>(($O179*R179)+($P179*R179)+($Q179*R179))*'Prices&amp;Fuel'!$H179</f>
        <v>3148581.65</v>
      </c>
      <c r="U179" s="1">
        <f>(($O179*S179)+($P179*S179)+($Q179*S179))*'Prices&amp;Fuel'!$H179</f>
        <v>3137688.25</v>
      </c>
      <c r="V179" s="13">
        <f t="shared" si="189"/>
        <v>10893.399999999907</v>
      </c>
      <c r="BB179" s="6">
        <f>IF('FP Corp'!T179-((BE179+BF179+BG179)*(1-'Prices&amp;Fuel'!F179))&lt;'Prices&amp;Fuel'!R179,('FP Corp'!T179-(BE179+BF179+BG179)*(1-'Prices&amp;Fuel'!F179)),'Prices&amp;Fuel'!R179)/(1-'Prices&amp;Fuel'!F179)</f>
        <v>8976.8637532133671</v>
      </c>
      <c r="BC179" s="14"/>
      <c r="BD179" s="14">
        <f>ROUND(IF('FP Corp'!T179/(1-'Prices&amp;Fuel'!F179)-BE179-BF179-BG179-BB179&gt;'Prices&amp;Fuel'!T179,'Prices&amp;Fuel'!T179,'FP Corp'!T179/(1-'Prices&amp;Fuel'!F179)-BE179-BF179-BG179-BB179),9)</f>
        <v>6556.2982005140002</v>
      </c>
      <c r="BE179" s="14">
        <f>'Prices&amp;Fuel'!U179/(1-'Prices&amp;Fuel'!F179)</f>
        <v>1933.1619537275064</v>
      </c>
      <c r="BF179" s="14">
        <f>('Prices&amp;Fuel'!V179+'Prices&amp;Fuel'!X179)/(1-'Prices&amp;Fuel'!F179)</f>
        <v>3062.2107969151671</v>
      </c>
      <c r="BG179" s="14">
        <f>'Prices&amp;Fuel'!W179/(1-'Prices&amp;Fuel'!F179)</f>
        <v>1065.2956298200513</v>
      </c>
      <c r="BH179" s="25">
        <f>('Prices&amp;Fuel'!C179+'Prices&amp;Fuel'!D179)/2-0.05+('Prices&amp;Fuel'!M179+'Prices&amp;Fuel'!P179)*(1-'Prices&amp;Fuel'!F179)</f>
        <v>3.9833151262336148</v>
      </c>
      <c r="BI179" s="25"/>
      <c r="BJ179" s="25"/>
      <c r="BK179" s="25">
        <f>(((BB179+BE179)*('Prices&amp;Fuel'!B179+0.025))+(('Prices&amp;Fuel'!D179+0.025)*(BD179+BG179))+(('Prices&amp;Fuel'!C179+0.025)*(BC179+BF179))-(BI179+BJ179)*0.025)/(BB179+BC179+BD179+BE179+BF179+BG179)</f>
        <v>3.2909044714717095</v>
      </c>
      <c r="BL179" s="14">
        <f>(BB179+BC179+BD179+BE179+BF179+BG179)*BH179*'Prices&amp;Fuel'!H179</f>
        <v>2666465.9611085514</v>
      </c>
      <c r="BM179" s="14">
        <f>'Prices&amp;Fuel'!X179*('Prices&amp;Fuel'!N179+'Prices&amp;Fuel'!O179)*'Prices&amp;Fuel'!H179</f>
        <v>9415.6112109141941</v>
      </c>
      <c r="BN179" s="14">
        <f>('Prices&amp;Fuel'!U179+'Prices&amp;Fuel'!V179+'Prices&amp;Fuel'!W179)*('Prices&amp;Fuel'!L179+'Prices&amp;Fuel'!O179)*'Prices&amp;Fuel'!H179</f>
        <v>71837.115695569344</v>
      </c>
      <c r="BO179" s="14">
        <f>((BB179+BC179+BD179)*(1-'Prices&amp;Fuel'!G179))*('Prices&amp;Fuel'!M179+'Prices&amp;Fuel'!P179)*'Prices&amp;Fuel'!H179</f>
        <v>358472.93299999676</v>
      </c>
      <c r="BP179" s="14">
        <f>((BD179+BC179+BB179+BE179+BF179+BG179)*BK179*'Prices&amp;Fuel'!H179)+BM179+BN179+BO179</f>
        <v>2642685.8767990964</v>
      </c>
      <c r="BQ179" s="6">
        <f t="shared" si="198"/>
        <v>23780.084309455007</v>
      </c>
      <c r="CA179" s="6">
        <f>(AF179+AG179+AH179+AL179)*0.005*'Prices&amp;Fuel'!H179</f>
        <v>0</v>
      </c>
      <c r="CB179" s="6">
        <f>(B179+C179+D179+O179+P179+Q179+X179+Y179+BB179+BC179+BD179+BE179+BF179+BG179+BR179+BS179)*0.005*'Prices&amp;Fuel'!H179</f>
        <v>7237.5437017994636</v>
      </c>
      <c r="CC179" s="1">
        <f t="shared" si="192"/>
        <v>5815047.6111085508</v>
      </c>
      <c r="CD179" s="1">
        <f t="shared" si="193"/>
        <v>5787611.6705008959</v>
      </c>
      <c r="CE179" s="1">
        <f t="shared" si="194"/>
        <v>27435.940607654862</v>
      </c>
      <c r="CJ179" s="1">
        <f t="shared" si="190"/>
        <v>5815047.6111085508</v>
      </c>
      <c r="CK179" s="1">
        <f t="shared" si="191"/>
        <v>5787611.6705008959</v>
      </c>
      <c r="CL179" s="1">
        <f t="shared" si="191"/>
        <v>27435.940607654862</v>
      </c>
      <c r="CN179" s="1">
        <f>Transport!U179</f>
        <v>3.1490140827372673E-9</v>
      </c>
      <c r="CQ179" s="1">
        <f>(((($B179+$C179+$D179+$O179+$P179+$Q179)*0.5)+BR179+BS179)*(0.005*'Prices&amp;Fuel'!$H179)+'Index Price Deals'!AV179)+(((BB179+BC179+BD179+BE179+BF179+BG179)*(1-'Prices&amp;Fuel'!F179))*0.005*0.5*'Prices&amp;Fuel'!H179)</f>
        <v>3572.7499999999895</v>
      </c>
      <c r="CR179" s="1">
        <f>(((($B179+$C179+$D179+$O179+$P179+$Q179)*0.5)+X179+Y179)*(0.005*'Prices&amp;Fuel'!$H179)+CA179+'Index Price Deals'!AW179)+(((BB179+BC179+BD179+BE179+BF179+BG179)*(1-'Prices&amp;Fuel'!F179))*0.005*0.5*'Prices&amp;Fuel'!H179)</f>
        <v>3572.7499999999895</v>
      </c>
      <c r="CS179" s="21"/>
      <c r="CV179" s="60">
        <f t="shared" si="170"/>
        <v>27435.940607651712</v>
      </c>
      <c r="DB179" s="3">
        <f>(O179+P179+Q179)*'Prices&amp;Fuel'!$H179</f>
        <v>778100</v>
      </c>
    </row>
    <row r="180" spans="1:106" x14ac:dyDescent="0.25">
      <c r="A180" s="10">
        <f t="shared" si="197"/>
        <v>41071.916666666242</v>
      </c>
      <c r="O180" s="1">
        <v>9036</v>
      </c>
      <c r="P180" s="1">
        <v>10794</v>
      </c>
      <c r="Q180" s="1">
        <v>5270</v>
      </c>
      <c r="R180" s="11">
        <f t="shared" si="195"/>
        <v>4.0465</v>
      </c>
      <c r="S180" s="11">
        <f t="shared" si="196"/>
        <v>4.0324999999999998</v>
      </c>
      <c r="T180" s="1">
        <f>(($O180*R180)+($P180*R180)+($Q180*R180))*'Prices&amp;Fuel'!$H180</f>
        <v>3047014.5</v>
      </c>
      <c r="U180" s="1">
        <f>(($O180*S180)+($P180*S180)+($Q180*S180))*'Prices&amp;Fuel'!$H180</f>
        <v>3036472.5</v>
      </c>
      <c r="V180" s="13">
        <f t="shared" si="189"/>
        <v>10542</v>
      </c>
      <c r="BB180" s="6">
        <f>IF('FP Corp'!T180-((BE180+BF180+BG180)*(1-'Prices&amp;Fuel'!F180))&lt;'Prices&amp;Fuel'!R180,('FP Corp'!T180-(BE180+BF180+BG180)*(1-'Prices&amp;Fuel'!F180)),'Prices&amp;Fuel'!R180)/(1-'Prices&amp;Fuel'!F180)</f>
        <v>8976.8637532133671</v>
      </c>
      <c r="BC180" s="14"/>
      <c r="BD180" s="14">
        <f>ROUND(IF('FP Corp'!T180/(1-'Prices&amp;Fuel'!F180)-BE180-BF180-BG180-BB180&gt;'Prices&amp;Fuel'!T180,'Prices&amp;Fuel'!T180,'FP Corp'!T180/(1-'Prices&amp;Fuel'!F180)-BE180-BF180-BG180-BB180),9)</f>
        <v>6556.2982005140002</v>
      </c>
      <c r="BE180" s="14">
        <f>'Prices&amp;Fuel'!U180/(1-'Prices&amp;Fuel'!F180)</f>
        <v>1933.1619537275064</v>
      </c>
      <c r="BF180" s="14">
        <f>('Prices&amp;Fuel'!V180+'Prices&amp;Fuel'!X180)/(1-'Prices&amp;Fuel'!F180)</f>
        <v>3062.2107969151671</v>
      </c>
      <c r="BG180" s="14">
        <f>'Prices&amp;Fuel'!W180/(1-'Prices&amp;Fuel'!F180)</f>
        <v>1065.2956298200513</v>
      </c>
      <c r="BH180" s="25">
        <f>('Prices&amp;Fuel'!C180+'Prices&amp;Fuel'!D180)/2-0.05+('Prices&amp;Fuel'!M180+'Prices&amp;Fuel'!P180)*(1-'Prices&amp;Fuel'!F180)</f>
        <v>5.4303701105222908</v>
      </c>
      <c r="BI180" s="25"/>
      <c r="BJ180" s="25"/>
      <c r="BK180" s="25">
        <f>(((BB180+BE180)*('Prices&amp;Fuel'!B180+0.025))+(('Prices&amp;Fuel'!D180+0.025)*(BD180+BG180))+(('Prices&amp;Fuel'!C180+0.025)*(BC180+BF180))-(BI180+BJ180)*0.025)/(BB180+BC180+BD180+BE180+BF180+BG180)</f>
        <v>4.7379594557603877</v>
      </c>
      <c r="BL180" s="14">
        <f>(BB180+BC180+BD180+BE180+BF180+BG180)*BH180*'Prices&amp;Fuel'!H180</f>
        <v>3517874.7245542631</v>
      </c>
      <c r="BM180" s="14">
        <f>'Prices&amp;Fuel'!X180*('Prices&amp;Fuel'!N180+'Prices&amp;Fuel'!O180)*'Prices&amp;Fuel'!H180</f>
        <v>9111.8818170137365</v>
      </c>
      <c r="BN180" s="14">
        <f>('Prices&amp;Fuel'!U180+'Prices&amp;Fuel'!V180+'Prices&amp;Fuel'!W180)*('Prices&amp;Fuel'!L180+'Prices&amp;Fuel'!O180)*'Prices&amp;Fuel'!H180</f>
        <v>69519.789382809045</v>
      </c>
      <c r="BO180" s="14">
        <f>((BB180+BC180+BD180)*(1-'Prices&amp;Fuel'!G180))*('Prices&amp;Fuel'!M180+'Prices&amp;Fuel'!P180)*'Prices&amp;Fuel'!H180</f>
        <v>346909.28999999689</v>
      </c>
      <c r="BP180" s="14">
        <f>((BD180+BC180+BB180+BE180+BF180+BG180)*BK180*'Prices&amp;Fuel'!H180)+BM180+BN180+BO180</f>
        <v>3494861.7397386623</v>
      </c>
      <c r="BQ180" s="6">
        <f t="shared" si="198"/>
        <v>23012.984815600794</v>
      </c>
      <c r="CA180" s="6">
        <f>(AF180+AG180+AH180+AL180)*0.005*'Prices&amp;Fuel'!H180</f>
        <v>0</v>
      </c>
      <c r="CB180" s="6">
        <f>(B180+C180+D180+O180+P180+Q180+X180+Y180+BB180+BC180+BD180+BE180+BF180+BG180+BR180+BS180)*0.005*'Prices&amp;Fuel'!H180</f>
        <v>7004.0745501285137</v>
      </c>
      <c r="CC180" s="1">
        <f t="shared" si="192"/>
        <v>6564889.2245542631</v>
      </c>
      <c r="CD180" s="1">
        <f t="shared" si="193"/>
        <v>6538338.3142887903</v>
      </c>
      <c r="CE180" s="1">
        <f t="shared" si="194"/>
        <v>26550.910265472718</v>
      </c>
      <c r="CJ180" s="1">
        <f t="shared" si="190"/>
        <v>6564889.2245542631</v>
      </c>
      <c r="CK180" s="1">
        <f t="shared" si="191"/>
        <v>6538338.3142887903</v>
      </c>
      <c r="CL180" s="1">
        <f t="shared" si="191"/>
        <v>26550.910265472718</v>
      </c>
      <c r="CN180" s="1">
        <f>Transport!U180</f>
        <v>3.0474329832941295E-9</v>
      </c>
      <c r="CQ180" s="1">
        <f>(((($B180+$C180+$D180+$O180+$P180+$Q180)*0.5)+BR180+BS180)*(0.005*'Prices&amp;Fuel'!$H180)+'Index Price Deals'!AV180)+(((BB180+BC180+BD180+BE180+BF180+BG180)*(1-'Prices&amp;Fuel'!F180))*0.005*0.5*'Prices&amp;Fuel'!H180)</f>
        <v>3457.49999999999</v>
      </c>
      <c r="CR180" s="1">
        <f>(((($B180+$C180+$D180+$O180+$P180+$Q180)*0.5)+X180+Y180)*(0.005*'Prices&amp;Fuel'!$H180)+CA180+'Index Price Deals'!AW180)+(((BB180+BC180+BD180+BE180+BF180+BG180)*(1-'Prices&amp;Fuel'!F180))*0.005*0.5*'Prices&amp;Fuel'!H180)</f>
        <v>3457.49999999999</v>
      </c>
      <c r="CS180" s="21"/>
      <c r="CV180" s="60">
        <f t="shared" si="170"/>
        <v>26550.910265469669</v>
      </c>
      <c r="DB180" s="3">
        <f>(O180+P180+Q180)*'Prices&amp;Fuel'!$H180</f>
        <v>753000</v>
      </c>
    </row>
    <row r="181" spans="1:106" x14ac:dyDescent="0.25">
      <c r="A181" s="10">
        <f t="shared" si="197"/>
        <v>41102.333333332906</v>
      </c>
      <c r="V181" s="21"/>
      <c r="BB181" s="6">
        <f>IF('FP Corp'!T181-((BE181+BF181+BG181)*(1-'Prices&amp;Fuel'!F181))&lt;'Prices&amp;Fuel'!R181,('FP Corp'!T181-(BE181+BF181+BG181)*(1-'Prices&amp;Fuel'!F181)),'Prices&amp;Fuel'!R181)/(1-'Prices&amp;Fuel'!F181)</f>
        <v>8976.8637532133671</v>
      </c>
      <c r="BC181" s="14"/>
      <c r="BD181" s="14">
        <f>ROUND(IF('FP Corp'!T181/(1-'Prices&amp;Fuel'!F181)-BE181-BF181-BG181-BB181&gt;'Prices&amp;Fuel'!T181,'Prices&amp;Fuel'!T181,'FP Corp'!T181/(1-'Prices&amp;Fuel'!F181)-BE181-BF181-BG181-BB181),9)</f>
        <v>6556.2982005140002</v>
      </c>
      <c r="BE181" s="14">
        <f>'Prices&amp;Fuel'!U181/(1-'Prices&amp;Fuel'!F181)</f>
        <v>1933.1619537275064</v>
      </c>
      <c r="BF181" s="14">
        <f>('Prices&amp;Fuel'!V181+'Prices&amp;Fuel'!X181)/(1-'Prices&amp;Fuel'!F181)</f>
        <v>3062.2107969151671</v>
      </c>
      <c r="BG181" s="14">
        <f>'Prices&amp;Fuel'!W181/(1-'Prices&amp;Fuel'!F181)</f>
        <v>1065.2956298200513</v>
      </c>
      <c r="BH181" s="25">
        <f>('Prices&amp;Fuel'!C181+'Prices&amp;Fuel'!D181)/2-0.05+('Prices&amp;Fuel'!M181+'Prices&amp;Fuel'!P181)*(1-'Prices&amp;Fuel'!F181)</f>
        <v>5.4193238892681803</v>
      </c>
      <c r="BI181" s="25"/>
      <c r="BJ181" s="25"/>
      <c r="BK181" s="25">
        <f>(((BB181+BE181)*('Prices&amp;Fuel'!B181+0.025))+(('Prices&amp;Fuel'!D181+0.025)*(BD181+BG181))+(('Prices&amp;Fuel'!C181+0.025)*(BC181+BF181))-(BI181+BJ181)*0.025)/(BB181+BC181+BD181+BE181+BF181+BG181)</f>
        <v>4.7269132345062754</v>
      </c>
      <c r="BL181" s="14">
        <f>(BB181+BC181+BD181+BE181+BF181+BG181)*BH181*'Prices&amp;Fuel'!H181</f>
        <v>3627742.7783172876</v>
      </c>
      <c r="BM181" s="14">
        <f>'Prices&amp;Fuel'!X181*('Prices&amp;Fuel'!N181+'Prices&amp;Fuel'!O181)*'Prices&amp;Fuel'!H181</f>
        <v>9415.6112109141941</v>
      </c>
      <c r="BN181" s="14">
        <f>('Prices&amp;Fuel'!U181+'Prices&amp;Fuel'!V181+'Prices&amp;Fuel'!W181)*('Prices&amp;Fuel'!L181+'Prices&amp;Fuel'!O181)*'Prices&amp;Fuel'!H181</f>
        <v>71837.115695569344</v>
      </c>
      <c r="BO181" s="14">
        <f>((BB181+BC181+BD181)*(1-'Prices&amp;Fuel'!G181))*('Prices&amp;Fuel'!M181+'Prices&amp;Fuel'!P181)*'Prices&amp;Fuel'!H181</f>
        <v>358472.93299999676</v>
      </c>
      <c r="BP181" s="14">
        <f>((BD181+BC181+BB181+BE181+BF181+BG181)*BK181*'Prices&amp;Fuel'!H181)+BM181+BN181+BO181</f>
        <v>3603962.694007833</v>
      </c>
      <c r="BQ181" s="6">
        <f t="shared" si="198"/>
        <v>23780.084309454542</v>
      </c>
      <c r="CA181" s="6">
        <f>(AF181+AG181+AH181+AL181)*0.005*'Prices&amp;Fuel'!H181</f>
        <v>0</v>
      </c>
      <c r="CB181" s="6">
        <f>(B181+C181+D181+O181+P181+Q181+X181+Y181+BB181+BC181+BD181+BE181+BF181+BG181+BR181+BS181)*0.005*'Prices&amp;Fuel'!H181</f>
        <v>3347.0437017994641</v>
      </c>
      <c r="CC181" s="1">
        <f t="shared" si="192"/>
        <v>3627742.7783172876</v>
      </c>
      <c r="CD181" s="1">
        <f t="shared" si="193"/>
        <v>3607309.7377096326</v>
      </c>
      <c r="CE181" s="1">
        <f t="shared" si="194"/>
        <v>20433.040607654955</v>
      </c>
      <c r="CJ181" s="1">
        <f t="shared" ref="CJ181:CJ195" si="199">CC181+CF181</f>
        <v>3627742.7783172876</v>
      </c>
      <c r="CK181" s="1">
        <f t="shared" si="191"/>
        <v>3607309.7377096326</v>
      </c>
      <c r="CL181" s="1">
        <f t="shared" si="191"/>
        <v>20433.040607654955</v>
      </c>
      <c r="CN181" s="1">
        <f>Transport!U181</f>
        <v>3.1490140827372673E-9</v>
      </c>
      <c r="CQ181" s="1">
        <f>(((($B181+$C181+$D181+$O181+$P181+$Q181)*0.5)+BR181+BS181)*(0.005*'Prices&amp;Fuel'!$H181)+'Index Price Deals'!AV181)+(((BB181+BC181+BD181+BE181+BF181+BG181)*(1-'Prices&amp;Fuel'!F181))*0.005*0.5*'Prices&amp;Fuel'!H181)</f>
        <v>1627.4999999999895</v>
      </c>
      <c r="CR181" s="1">
        <f>(((($B181+$C181+$D181+$O181+$P181+$Q181)*0.5)+X181+Y181)*(0.005*'Prices&amp;Fuel'!$H181)+CA181+'Index Price Deals'!AW181)+(((BB181+BC181+BD181+BE181+BF181+BG181)*(1-'Prices&amp;Fuel'!F181))*0.005*0.5*'Prices&amp;Fuel'!H181)</f>
        <v>1627.4999999999895</v>
      </c>
      <c r="CS181" s="21"/>
      <c r="CV181" s="60">
        <f t="shared" si="170"/>
        <v>20433.040607651805</v>
      </c>
    </row>
    <row r="182" spans="1:106" x14ac:dyDescent="0.25">
      <c r="A182" s="10">
        <f t="shared" si="197"/>
        <v>41132.749999999571</v>
      </c>
      <c r="BB182" s="6">
        <f>IF('FP Corp'!T182-((BE182+BF182+BG182)*(1-'Prices&amp;Fuel'!F182))&lt;'Prices&amp;Fuel'!R182,('FP Corp'!T182-(BE182+BF182+BG182)*(1-'Prices&amp;Fuel'!F182)),'Prices&amp;Fuel'!R182)/(1-'Prices&amp;Fuel'!F182)</f>
        <v>8976.8637532133671</v>
      </c>
      <c r="BC182" s="14"/>
      <c r="BD182" s="14">
        <f>ROUND(IF('FP Corp'!T182/(1-'Prices&amp;Fuel'!F182)-BE182-BF182-BG182-BB182&gt;'Prices&amp;Fuel'!T182,'Prices&amp;Fuel'!T182,'FP Corp'!T182/(1-'Prices&amp;Fuel'!F182)-BE182-BF182-BG182-BB182),9)</f>
        <v>6556.2982005140002</v>
      </c>
      <c r="BE182" s="14">
        <f>'Prices&amp;Fuel'!U182/(1-'Prices&amp;Fuel'!F182)</f>
        <v>1933.1619537275064</v>
      </c>
      <c r="BF182" s="14">
        <f>('Prices&amp;Fuel'!V182+'Prices&amp;Fuel'!X182)/(1-'Prices&amp;Fuel'!F182)</f>
        <v>3062.2107969151671</v>
      </c>
      <c r="BG182" s="14">
        <f>'Prices&amp;Fuel'!W182/(1-'Prices&amp;Fuel'!F182)</f>
        <v>1065.2956298200513</v>
      </c>
      <c r="BH182" s="25">
        <f>('Prices&amp;Fuel'!C182+'Prices&amp;Fuel'!D182)/2-0.05+('Prices&amp;Fuel'!M182+'Prices&amp;Fuel'!P182)*(1-'Prices&amp;Fuel'!F182)</f>
        <v>4.8228279415461293</v>
      </c>
      <c r="BI182" s="25"/>
      <c r="BJ182" s="25"/>
      <c r="BK182" s="25">
        <f>(((BB182+BE182)*('Prices&amp;Fuel'!B182+0.025))+(('Prices&amp;Fuel'!D182+0.025)*(BD182+BG182))+(('Prices&amp;Fuel'!C182+0.025)*(BC182+BF182))-(BI182+BJ182)*0.025)/(BB182+BC182+BD182+BE182+BF182+BG182)</f>
        <v>4.1304172867842253</v>
      </c>
      <c r="BL182" s="14">
        <f>(BB182+BC182+BD182+BE182+BF182+BG182)*BH182*'Prices&amp;Fuel'!H182</f>
        <v>3228443.1773228892</v>
      </c>
      <c r="BM182" s="14">
        <f>'Prices&amp;Fuel'!X182*('Prices&amp;Fuel'!N182+'Prices&amp;Fuel'!O182)*'Prices&amp;Fuel'!H182</f>
        <v>9415.6112109141941</v>
      </c>
      <c r="BN182" s="14">
        <f>('Prices&amp;Fuel'!U182+'Prices&amp;Fuel'!V182+'Prices&amp;Fuel'!W182)*('Prices&amp;Fuel'!L182+'Prices&amp;Fuel'!O182)*'Prices&amp;Fuel'!H182</f>
        <v>71837.115695569344</v>
      </c>
      <c r="BO182" s="14">
        <f>((BB182+BC182+BD182)*(1-'Prices&amp;Fuel'!G182))*('Prices&amp;Fuel'!M182+'Prices&amp;Fuel'!P182)*'Prices&amp;Fuel'!H182</f>
        <v>358472.93299999676</v>
      </c>
      <c r="BP182" s="14">
        <f>((BD182+BC182+BB182+BE182+BF182+BG182)*BK182*'Prices&amp;Fuel'!H182)+BM182+BN182+BO182</f>
        <v>3204663.0930134347</v>
      </c>
      <c r="BQ182" s="6">
        <f t="shared" si="198"/>
        <v>23780.084309454542</v>
      </c>
      <c r="CA182" s="6">
        <f>(AF182+AG182+AH182+AL182)*0.005*'Prices&amp;Fuel'!H182</f>
        <v>0</v>
      </c>
      <c r="CB182" s="6">
        <f>(B182+C182+D182+O182+P182+Q182+X182+Y182+BB182+BC182+BD182+BE182+BF182+BG182+BR182+BS182)*0.005*'Prices&amp;Fuel'!H182</f>
        <v>3347.0437017994641</v>
      </c>
      <c r="CC182" s="1">
        <f t="shared" ref="CC182:CC195" si="200">K182+T182+AB182+AY182+BL182+BX182</f>
        <v>3228443.1773228892</v>
      </c>
      <c r="CD182" s="1">
        <f t="shared" ref="CD182:CD195" si="201">L182+U182+AC182+AZ182+BP182+BY182+CA182+CB182</f>
        <v>3208010.1367152343</v>
      </c>
      <c r="CE182" s="1">
        <f t="shared" ref="CE182:CE195" si="202">CC182-CD182</f>
        <v>20433.040607654955</v>
      </c>
      <c r="CJ182" s="1">
        <f t="shared" si="199"/>
        <v>3228443.1773228892</v>
      </c>
      <c r="CK182" s="1">
        <f t="shared" si="191"/>
        <v>3208010.1367152343</v>
      </c>
      <c r="CL182" s="1">
        <f t="shared" si="191"/>
        <v>20433.040607654955</v>
      </c>
      <c r="CN182" s="1">
        <f>Transport!U182</f>
        <v>3.1490140827372673E-9</v>
      </c>
      <c r="CQ182" s="1">
        <f>(((($B182+$C182+$D182+$O182+$P182+$Q182)*0.5)+BR182+BS182)*(0.005*'Prices&amp;Fuel'!$H182)+'Index Price Deals'!AV182)+(((BB182+BC182+BD182+BE182+BF182+BG182)*(1-'Prices&amp;Fuel'!F182))*0.005*0.5*'Prices&amp;Fuel'!H182)</f>
        <v>1627.4999999999895</v>
      </c>
      <c r="CR182" s="1">
        <f>(((($B182+$C182+$D182+$O182+$P182+$Q182)*0.5)+X182+Y182)*(0.005*'Prices&amp;Fuel'!$H182)+CA182+'Index Price Deals'!AW182)+(((BB182+BC182+BD182+BE182+BF182+BG182)*(1-'Prices&amp;Fuel'!F182))*0.005*0.5*'Prices&amp;Fuel'!H182)</f>
        <v>1627.4999999999895</v>
      </c>
      <c r="CS182" s="21"/>
      <c r="CV182" s="60">
        <f t="shared" si="170"/>
        <v>20433.040607651805</v>
      </c>
    </row>
    <row r="183" spans="1:106" x14ac:dyDescent="0.25">
      <c r="A183" s="10">
        <f t="shared" si="197"/>
        <v>41163.166666666235</v>
      </c>
      <c r="BB183" s="6">
        <f>IF('FP Corp'!T183-((BE183+BF183+BG183)*(1-'Prices&amp;Fuel'!F183))&lt;'Prices&amp;Fuel'!R183,('FP Corp'!T183-(BE183+BF183+BG183)*(1-'Prices&amp;Fuel'!F183)),'Prices&amp;Fuel'!R183)/(1-'Prices&amp;Fuel'!F183)</f>
        <v>8976.8637532133671</v>
      </c>
      <c r="BC183" s="14"/>
      <c r="BD183" s="14">
        <f>ROUND(IF('FP Corp'!T183/(1-'Prices&amp;Fuel'!F183)-BE183-BF183-BG183-BB183&gt;'Prices&amp;Fuel'!T183,'Prices&amp;Fuel'!T183,'FP Corp'!T183/(1-'Prices&amp;Fuel'!F183)-BE183-BF183-BG183-BB183),9)</f>
        <v>6556.2982005140002</v>
      </c>
      <c r="BE183" s="14">
        <f>'Prices&amp;Fuel'!U183/(1-'Prices&amp;Fuel'!F183)</f>
        <v>1933.1619537275064</v>
      </c>
      <c r="BF183" s="14">
        <f>('Prices&amp;Fuel'!V183+'Prices&amp;Fuel'!X183)/(1-'Prices&amp;Fuel'!F183)</f>
        <v>3062.2107969151671</v>
      </c>
      <c r="BG183" s="14">
        <f>'Prices&amp;Fuel'!W183/(1-'Prices&amp;Fuel'!F183)</f>
        <v>1065.2956298200513</v>
      </c>
      <c r="BH183" s="25">
        <f>('Prices&amp;Fuel'!C183+'Prices&amp;Fuel'!D183)/2-0.05+('Prices&amp;Fuel'!M183+'Prices&amp;Fuel'!P183)*(1-'Prices&amp;Fuel'!F183)</f>
        <v>5.6733869781127586</v>
      </c>
      <c r="BI183" s="25"/>
      <c r="BJ183" s="25"/>
      <c r="BK183" s="25">
        <f>(((BB183+BE183)*('Prices&amp;Fuel'!B183+0.025))+(('Prices&amp;Fuel'!D183+0.025)*(BD183+BG183))+(('Prices&amp;Fuel'!C183+0.025)*(BC183+BF183))-(BI183+BJ183)*0.025)/(BB183+BC183+BD183+BE183+BF183+BG183)</f>
        <v>4.9809763233508546</v>
      </c>
      <c r="BL183" s="14">
        <f>(BB183+BC183+BD183+BE183+BF183+BG183)*BH183*'Prices&amp;Fuel'!H183</f>
        <v>3675304.6747671105</v>
      </c>
      <c r="BM183" s="14">
        <f>'Prices&amp;Fuel'!X183*('Prices&amp;Fuel'!N183+'Prices&amp;Fuel'!O183)*'Prices&amp;Fuel'!H183</f>
        <v>9111.8818170137365</v>
      </c>
      <c r="BN183" s="14">
        <f>('Prices&amp;Fuel'!U183+'Prices&amp;Fuel'!V183+'Prices&amp;Fuel'!W183)*('Prices&amp;Fuel'!L183+'Prices&amp;Fuel'!O183)*'Prices&amp;Fuel'!H183</f>
        <v>69519.789382809045</v>
      </c>
      <c r="BO183" s="14">
        <f>((BB183+BC183+BD183)*(1-'Prices&amp;Fuel'!G183))*('Prices&amp;Fuel'!M183+'Prices&amp;Fuel'!P183)*'Prices&amp;Fuel'!H183</f>
        <v>346909.28999999689</v>
      </c>
      <c r="BP183" s="14">
        <f>((BD183+BC183+BB183+BE183+BF183+BG183)*BK183*'Prices&amp;Fuel'!H183)+BM183+BN183+BO183</f>
        <v>3652291.6899515088</v>
      </c>
      <c r="BQ183" s="6">
        <f t="shared" si="198"/>
        <v>23012.984815601725</v>
      </c>
      <c r="CA183" s="6">
        <f>(AF183+AG183+AH183+AL183)*0.005*'Prices&amp;Fuel'!H183</f>
        <v>0</v>
      </c>
      <c r="CB183" s="6">
        <f>(B183+C183+D183+O183+P183+Q183+X183+Y183+BB183+BC183+BD183+BE183+BF183+BG183+BR183+BS183)*0.005*'Prices&amp;Fuel'!H183</f>
        <v>3239.0745501285137</v>
      </c>
      <c r="CC183" s="1">
        <f t="shared" si="200"/>
        <v>3675304.6747671105</v>
      </c>
      <c r="CD183" s="1">
        <f t="shared" si="201"/>
        <v>3655530.7645016373</v>
      </c>
      <c r="CE183" s="1">
        <f t="shared" si="202"/>
        <v>19773.910265473183</v>
      </c>
      <c r="CJ183" s="1">
        <f t="shared" si="199"/>
        <v>3675304.6747671105</v>
      </c>
      <c r="CK183" s="1">
        <f t="shared" si="191"/>
        <v>3655530.7645016373</v>
      </c>
      <c r="CL183" s="1">
        <f t="shared" si="191"/>
        <v>19773.910265473183</v>
      </c>
      <c r="CN183" s="1">
        <f>Transport!U183</f>
        <v>3.0474329832941295E-9</v>
      </c>
      <c r="CQ183" s="1">
        <f>(((($B183+$C183+$D183+$O183+$P183+$Q183)*0.5)+BR183+BS183)*(0.005*'Prices&amp;Fuel'!$H183)+'Index Price Deals'!AV183)+(((BB183+BC183+BD183+BE183+BF183+BG183)*(1-'Prices&amp;Fuel'!F183))*0.005*0.5*'Prices&amp;Fuel'!H183)</f>
        <v>1574.9999999999898</v>
      </c>
      <c r="CR183" s="1">
        <f>(((($B183+$C183+$D183+$O183+$P183+$Q183)*0.5)+X183+Y183)*(0.005*'Prices&amp;Fuel'!$H183)+CA183+'Index Price Deals'!AW183)+(((BB183+BC183+BD183+BE183+BF183+BG183)*(1-'Prices&amp;Fuel'!F183))*0.005*0.5*'Prices&amp;Fuel'!H183)</f>
        <v>1574.9999999999898</v>
      </c>
      <c r="CS183" s="21"/>
      <c r="CV183" s="60">
        <f t="shared" si="170"/>
        <v>19773.910265470135</v>
      </c>
    </row>
    <row r="184" spans="1:106" x14ac:dyDescent="0.25">
      <c r="A184" s="10">
        <f t="shared" si="197"/>
        <v>41193.583333332899</v>
      </c>
      <c r="BB184" s="6">
        <f>IF('FP Corp'!T184-((BE184+BF184+BG184)*(1-'Prices&amp;Fuel'!F184))&lt;'Prices&amp;Fuel'!R184,('FP Corp'!T184-(BE184+BF184+BG184)*(1-'Prices&amp;Fuel'!F184)),'Prices&amp;Fuel'!R184)/(1-'Prices&amp;Fuel'!F184)</f>
        <v>8976.8637532133671</v>
      </c>
      <c r="BC184" s="14"/>
      <c r="BD184" s="14">
        <f>ROUND(IF('FP Corp'!T184/(1-'Prices&amp;Fuel'!F184)-BE184-BF184-BG184-BB184&gt;'Prices&amp;Fuel'!T184,'Prices&amp;Fuel'!T184,'FP Corp'!T184/(1-'Prices&amp;Fuel'!F184)-BE184-BF184-BG184-BB184),9)</f>
        <v>3514.6529562979999</v>
      </c>
      <c r="BE184" s="14">
        <f>'Prices&amp;Fuel'!U184/(1-'Prices&amp;Fuel'!F184)</f>
        <v>2910.025706940874</v>
      </c>
      <c r="BF184" s="14">
        <f>('Prices&amp;Fuel'!V184+'Prices&amp;Fuel'!X184)/(1-'Prices&amp;Fuel'!F184)</f>
        <v>4628.2776349614396</v>
      </c>
      <c r="BG184" s="14">
        <f>'Prices&amp;Fuel'!W184/(1-'Prices&amp;Fuel'!F184)</f>
        <v>1564.0102827763496</v>
      </c>
      <c r="BH184" s="25">
        <f>('Prices&amp;Fuel'!C184+'Prices&amp;Fuel'!D184)/2-0.05+('Prices&amp;Fuel'!M184+'Prices&amp;Fuel'!P184)*(1-'Prices&amp;Fuel'!F184)</f>
        <v>6.4245300233923777</v>
      </c>
      <c r="BI184" s="25"/>
      <c r="BJ184" s="25"/>
      <c r="BK184" s="25">
        <f>(((BB184+BE184)*('Prices&amp;Fuel'!B184+0.025))+(('Prices&amp;Fuel'!D184+0.025)*(BD184+BG184))+(('Prices&amp;Fuel'!C184+0.025)*(BC184+BF184))-(BI184+BJ184)*0.025)/(BB184+BC184+BD184+BE184+BF184+BG184)</f>
        <v>5.7352931781542829</v>
      </c>
      <c r="BL184" s="14">
        <f>(BB184+BC184+BD184+BE184+BF184+BG184)*BH184*'Prices&amp;Fuel'!H184</f>
        <v>4300636.5503633926</v>
      </c>
      <c r="BM184" s="14">
        <f>'Prices&amp;Fuel'!X184*('Prices&amp;Fuel'!N184+'Prices&amp;Fuel'!O184)*'Prices&amp;Fuel'!H184</f>
        <v>13799.453619509673</v>
      </c>
      <c r="BN184" s="14">
        <f>('Prices&amp;Fuel'!U184+'Prices&amp;Fuel'!V184+'Prices&amp;Fuel'!W184)*('Prices&amp;Fuel'!L184+'Prices&amp;Fuel'!O184)*'Prices&amp;Fuel'!H184</f>
        <v>108231.27908768276</v>
      </c>
      <c r="BO184" s="14">
        <f>((BB184+BC184+BD184)*(1-'Prices&amp;Fuel'!G184))*('Prices&amp;Fuel'!M184+'Prices&amp;Fuel'!P184)*'Prices&amp;Fuel'!H184</f>
        <v>288278.11399999529</v>
      </c>
      <c r="BP184" s="14">
        <f>((BD184+BC184+BB184+BE184+BF184+BG184)*BK184*'Prices&amp;Fuel'!H184)+BM184+BN184+BO184</f>
        <v>4249564.2286901213</v>
      </c>
      <c r="BQ184" s="6">
        <f t="shared" si="198"/>
        <v>51072.321673271246</v>
      </c>
      <c r="CA184" s="6">
        <f>(AF184+AG184+AH184+AL184)*0.005*'Prices&amp;Fuel'!H184</f>
        <v>0</v>
      </c>
      <c r="CB184" s="6">
        <f>(B184+C184+D184+O184+P184+Q184+X184+Y184+BB184+BC184+BD184+BE184+BF184+BG184+BR184+BS184)*0.005*'Prices&amp;Fuel'!H184</f>
        <v>3347.0437017994554</v>
      </c>
      <c r="CC184" s="1">
        <f t="shared" si="200"/>
        <v>4300636.5503633926</v>
      </c>
      <c r="CD184" s="1">
        <f t="shared" si="201"/>
        <v>4252911.2723919209</v>
      </c>
      <c r="CE184" s="1">
        <f t="shared" si="202"/>
        <v>47725.27797147166</v>
      </c>
      <c r="CJ184" s="1">
        <f t="shared" si="199"/>
        <v>4300636.5503633926</v>
      </c>
      <c r="CK184" s="1">
        <f t="shared" si="191"/>
        <v>4252911.2723919209</v>
      </c>
      <c r="CL184" s="1">
        <f t="shared" si="191"/>
        <v>47725.27797147166</v>
      </c>
      <c r="CN184" s="1">
        <f>Transport!U184</f>
        <v>4.3920459575019776E-9</v>
      </c>
      <c r="CQ184" s="1">
        <f>(((($B184+$C184+$D184+$O184+$P184+$Q184)*0.5)+BR184+BS184)*(0.005*'Prices&amp;Fuel'!$H184)+'Index Price Deals'!AV184)+(((BB184+BC184+BD184+BE184+BF184+BG184)*(1-'Prices&amp;Fuel'!F184))*0.005*0.5*'Prices&amp;Fuel'!H184)</f>
        <v>1627.499999999985</v>
      </c>
      <c r="CR184" s="1">
        <f>(((($B184+$C184+$D184+$O184+$P184+$Q184)*0.5)+X184+Y184)*(0.005*'Prices&amp;Fuel'!$H184)+CA184+'Index Price Deals'!AW184)+(((BB184+BC184+BD184+BE184+BF184+BG184)*(1-'Prices&amp;Fuel'!F184))*0.005*0.5*'Prices&amp;Fuel'!H184)</f>
        <v>1627.499999999985</v>
      </c>
      <c r="CS184" s="21"/>
      <c r="CV184" s="60">
        <f t="shared" si="170"/>
        <v>47725.277971467265</v>
      </c>
    </row>
    <row r="185" spans="1:106" x14ac:dyDescent="0.25">
      <c r="A185" s="10">
        <f t="shared" si="197"/>
        <v>41223.999999999563</v>
      </c>
      <c r="BB185" s="6">
        <f>IF('FP Corp'!T185-((BE185+BF185+BG185)*(1-'Prices&amp;Fuel'!F185))&lt;'Prices&amp;Fuel'!R185,('FP Corp'!T185-(BE185+BF185+BG185)*(1-'Prices&amp;Fuel'!F185)),'Prices&amp;Fuel'!R185)/(1-'Prices&amp;Fuel'!F185)</f>
        <v>4325.9640102827761</v>
      </c>
      <c r="BC185" s="14"/>
      <c r="BD185" s="14">
        <f>ROUND(IF('FP Corp'!T185/(1-'Prices&amp;Fuel'!F185)-BE185-BF185-BG185-BB185&gt;'Prices&amp;Fuel'!T185,'Prices&amp;Fuel'!T185,'FP Corp'!T185/(1-'Prices&amp;Fuel'!F185)-BE185-BF185-BG185-BB185),9)</f>
        <v>0</v>
      </c>
      <c r="BE185" s="14">
        <f>'Prices&amp;Fuel'!U185/(1-'Prices&amp;Fuel'!F185)</f>
        <v>2635.4755784061695</v>
      </c>
      <c r="BF185" s="14">
        <f>('Prices&amp;Fuel'!V185+'Prices&amp;Fuel'!X185)/(1-'Prices&amp;Fuel'!F185)</f>
        <v>3645.2442159383031</v>
      </c>
      <c r="BG185" s="14">
        <f>'Prices&amp;Fuel'!W185/(1-'Prices&amp;Fuel'!F185)</f>
        <v>1732.6478149100255</v>
      </c>
      <c r="BH185" s="25">
        <f>('Prices&amp;Fuel'!C185+'Prices&amp;Fuel'!D185)/2-0.05+('Prices&amp;Fuel'!M185+'Prices&amp;Fuel'!P185)*(1-'Prices&amp;Fuel'!F185)</f>
        <v>4.5135337464309924</v>
      </c>
      <c r="BI185" s="25"/>
      <c r="BJ185" s="25"/>
      <c r="BK185" s="25">
        <f>(((BB185+BE185)*('Prices&amp;Fuel'!B185+0.025))+(('Prices&amp;Fuel'!D185+0.025)*(BD185+BG185))+(('Prices&amp;Fuel'!C185+0.025)*(BC185+BF185))-(BI185+BJ185)*0.025)/(BB185+BC185+BD185+BE185+BF185+BG185)</f>
        <v>3.8282141630976594</v>
      </c>
      <c r="BL185" s="14">
        <f>(BB185+BC185+BD185+BE185+BF185+BG185)*BH185*'Prices&amp;Fuel'!H185</f>
        <v>1670819.6901955344</v>
      </c>
      <c r="BM185" s="14">
        <f>'Prices&amp;Fuel'!X185*('Prices&amp;Fuel'!N185+'Prices&amp;Fuel'!O185)*'Prices&amp;Fuel'!H185</f>
        <v>9111.8818170137365</v>
      </c>
      <c r="BN185" s="14">
        <f>('Prices&amp;Fuel'!U185+'Prices&amp;Fuel'!V185+'Prices&amp;Fuel'!W185)*('Prices&amp;Fuel'!L185+'Prices&amp;Fuel'!O185)*'Prices&amp;Fuel'!H185</f>
        <v>94854.289486043432</v>
      </c>
      <c r="BO185" s="14">
        <f>((BB185+BC185+BD185)*(1-'Prices&amp;Fuel'!G185))*('Prices&amp;Fuel'!M185+'Prices&amp;Fuel'!P185)*'Prices&amp;Fuel'!H185</f>
        <v>96613.75499999999</v>
      </c>
      <c r="BP185" s="14">
        <f>((BD185+BC185+BB185+BE185+BF185+BG185)*BK185*'Prices&amp;Fuel'!H185)+BM185+BN185+BO185</f>
        <v>1617708.0483751982</v>
      </c>
      <c r="BQ185" s="6">
        <f t="shared" si="198"/>
        <v>53111.641820336226</v>
      </c>
      <c r="CA185" s="6">
        <f>(AF185+AG185+AH185+AL185)*0.005*'Prices&amp;Fuel'!H185</f>
        <v>0</v>
      </c>
      <c r="CB185" s="6">
        <f>(B185+C185+D185+O185+P185+Q185+X185+Y185+BB185+BC185+BD185+BE185+BF185+BG185+BR185+BS185)*0.005*'Prices&amp;Fuel'!H185</f>
        <v>1850.8997429305909</v>
      </c>
      <c r="CC185" s="1">
        <f t="shared" si="200"/>
        <v>1670819.6901955344</v>
      </c>
      <c r="CD185" s="1">
        <f t="shared" si="201"/>
        <v>1619558.9481181288</v>
      </c>
      <c r="CE185" s="1">
        <f t="shared" si="202"/>
        <v>51260.742077405564</v>
      </c>
      <c r="CJ185" s="1">
        <f t="shared" si="199"/>
        <v>1670819.6901955344</v>
      </c>
      <c r="CK185" s="1">
        <f t="shared" ref="CK185:CL195" si="203">CD185+CH185</f>
        <v>1619558.9481181288</v>
      </c>
      <c r="CL185" s="1">
        <f t="shared" si="203"/>
        <v>51260.742077405564</v>
      </c>
      <c r="CN185" s="1">
        <f>Transport!U185</f>
        <v>0</v>
      </c>
      <c r="CQ185" s="1">
        <f>(((($B185+$C185+$D185+$O185+$P185+$Q185)*0.5)+BR185+BS185)*(0.005*'Prices&amp;Fuel'!$H185)+'Index Price Deals'!AV185)+(((BB185+BC185+BD185+BE185+BF185+BG185)*(1-'Prices&amp;Fuel'!F185))*0.005*0.5*'Prices&amp;Fuel'!H185)</f>
        <v>899.99999999999989</v>
      </c>
      <c r="CR185" s="1">
        <f>(((($B185+$C185+$D185+$O185+$P185+$Q185)*0.5)+X185+Y185)*(0.005*'Prices&amp;Fuel'!$H185)+CA185+'Index Price Deals'!AW185)+(((BB185+BC185+BD185+BE185+BF185+BG185)*(1-'Prices&amp;Fuel'!F185))*0.005*0.5*'Prices&amp;Fuel'!H185)</f>
        <v>899.99999999999989</v>
      </c>
      <c r="CS185" s="21"/>
      <c r="CV185" s="60">
        <f t="shared" si="170"/>
        <v>51260.742077405564</v>
      </c>
    </row>
    <row r="186" spans="1:106" x14ac:dyDescent="0.25">
      <c r="A186" s="10">
        <f t="shared" si="197"/>
        <v>41254.416666666228</v>
      </c>
      <c r="BB186" s="6">
        <f>IF('FP Corp'!T186-((BE186+BF186+BG186)*(1-'Prices&amp;Fuel'!F186))&lt;'Prices&amp;Fuel'!R186,('FP Corp'!T186-(BE186+BF186+BG186)*(1-'Prices&amp;Fuel'!F186)),'Prices&amp;Fuel'!R186)/(1-'Prices&amp;Fuel'!F186)</f>
        <v>4325.9640102827761</v>
      </c>
      <c r="BC186" s="14"/>
      <c r="BD186" s="14">
        <f>ROUND(IF('FP Corp'!T186/(1-'Prices&amp;Fuel'!F186)-BE186-BF186-BG186-BB186&gt;'Prices&amp;Fuel'!T186,'Prices&amp;Fuel'!T186,'FP Corp'!T186/(1-'Prices&amp;Fuel'!F186)-BE186-BF186-BG186-BB186),9)</f>
        <v>0</v>
      </c>
      <c r="BE186" s="14">
        <f>'Prices&amp;Fuel'!U186/(1-'Prices&amp;Fuel'!F186)</f>
        <v>2635.4755784061695</v>
      </c>
      <c r="BF186" s="14">
        <f>('Prices&amp;Fuel'!V186+'Prices&amp;Fuel'!X186)/(1-'Prices&amp;Fuel'!F186)</f>
        <v>3645.2442159383031</v>
      </c>
      <c r="BG186" s="14">
        <f>'Prices&amp;Fuel'!W186/(1-'Prices&amp;Fuel'!F186)</f>
        <v>1732.6478149100255</v>
      </c>
      <c r="BH186" s="25">
        <f>('Prices&amp;Fuel'!C186+'Prices&amp;Fuel'!D186)/2-0.05+('Prices&amp;Fuel'!M186+'Prices&amp;Fuel'!P186)*(1-'Prices&amp;Fuel'!F186)</f>
        <v>3.5414662760691331</v>
      </c>
      <c r="BI186" s="25"/>
      <c r="BJ186" s="25"/>
      <c r="BK186" s="25">
        <f>(((BB186+BE186)*('Prices&amp;Fuel'!B186+0.025))+(('Prices&amp;Fuel'!D186+0.025)*(BD186+BG186))+(('Prices&amp;Fuel'!C186+0.025)*(BC186+BF186))-(BI186+BJ186)*0.025)/(BB186+BC186+BD186+BE186+BF186+BG186)</f>
        <v>2.8561466927357997</v>
      </c>
      <c r="BL186" s="14">
        <f>(BB186+BC186+BD186+BE186+BF186+BG186)*BH186*'Prices&amp;Fuel'!H186</f>
        <v>1354679.130794568</v>
      </c>
      <c r="BM186" s="14">
        <f>'Prices&amp;Fuel'!X186*('Prices&amp;Fuel'!N186+'Prices&amp;Fuel'!O186)*'Prices&amp;Fuel'!H186</f>
        <v>9415.6112109141941</v>
      </c>
      <c r="BN186" s="14">
        <f>('Prices&amp;Fuel'!U186+'Prices&amp;Fuel'!V186+'Prices&amp;Fuel'!W186)*('Prices&amp;Fuel'!L186+'Prices&amp;Fuel'!O186)*'Prices&amp;Fuel'!H186</f>
        <v>98016.099135578203</v>
      </c>
      <c r="BO186" s="14">
        <f>((BB186+BC186+BD186)*(1-'Prices&amp;Fuel'!G186))*('Prices&amp;Fuel'!M186+'Prices&amp;Fuel'!P186)*'Prices&amp;Fuel'!H186</f>
        <v>99834.213499999998</v>
      </c>
      <c r="BP186" s="14">
        <f>((BD186+BC186+BB186+BE186+BF186+BG186)*BK186*'Prices&amp;Fuel'!H186)+BM186+BN186+BO186</f>
        <v>1299797.1009135537</v>
      </c>
      <c r="BQ186" s="6">
        <f t="shared" si="198"/>
        <v>54882.029881014256</v>
      </c>
      <c r="CA186" s="6">
        <f>(AF186+AG186+AH186+AL186)*0.005*'Prices&amp;Fuel'!H186</f>
        <v>0</v>
      </c>
      <c r="CB186" s="6">
        <f>(B186+C186+D186+O186+P186+Q186+X186+Y186+BB186+BC186+BD186+BE186+BF186+BG186+BR186+BS186)*0.005*'Prices&amp;Fuel'!H186</f>
        <v>1912.5964010282773</v>
      </c>
      <c r="CC186" s="1">
        <f t="shared" si="200"/>
        <v>1354679.130794568</v>
      </c>
      <c r="CD186" s="1">
        <f t="shared" si="201"/>
        <v>1301709.6973145821</v>
      </c>
      <c r="CE186" s="1">
        <f t="shared" si="202"/>
        <v>52969.433479985921</v>
      </c>
      <c r="CJ186" s="1">
        <f t="shared" si="199"/>
        <v>1354679.130794568</v>
      </c>
      <c r="CK186" s="1">
        <f t="shared" si="203"/>
        <v>1301709.6973145821</v>
      </c>
      <c r="CL186" s="1">
        <f t="shared" si="203"/>
        <v>52969.433479985921</v>
      </c>
      <c r="CM186" s="1">
        <f>SUM(CL175:CL186)</f>
        <v>483983.90296042175</v>
      </c>
      <c r="CN186" s="1">
        <f>Transport!U186</f>
        <v>0</v>
      </c>
      <c r="CQ186" s="1">
        <f>(((($B186+$C186+$D186+$O186+$P186+$Q186)*0.5)+BR186+BS186)*(0.005*'Prices&amp;Fuel'!$H186)+'Index Price Deals'!AV186)+(((BB186+BC186+BD186+BE186+BF186+BG186)*(1-'Prices&amp;Fuel'!F186))*0.005*0.5*'Prices&amp;Fuel'!H186)</f>
        <v>929.99999999999989</v>
      </c>
      <c r="CR186" s="1">
        <f>(((($B186+$C186+$D186+$O186+$P186+$Q186)*0.5)+X186+Y186)*(0.005*'Prices&amp;Fuel'!$H186)+CA186+'Index Price Deals'!AW186)+(((BB186+BC186+BD186+BE186+BF186+BG186)*(1-'Prices&amp;Fuel'!F186))*0.005*0.5*'Prices&amp;Fuel'!H186)</f>
        <v>929.99999999999989</v>
      </c>
      <c r="CS186" s="21"/>
      <c r="CV186" s="60">
        <f t="shared" si="170"/>
        <v>52969.433479985921</v>
      </c>
    </row>
    <row r="187" spans="1:106" x14ac:dyDescent="0.25">
      <c r="A187" s="10">
        <f t="shared" si="197"/>
        <v>41284.833333332892</v>
      </c>
      <c r="BB187" s="6">
        <f>IF('FP Corp'!T187-((BE187+BF187+BG187)*(1-'Prices&amp;Fuel'!F187))&lt;'Prices&amp;Fuel'!R187,('FP Corp'!T187-(BE187+BF187+BG187)*(1-'Prices&amp;Fuel'!F187)),'Prices&amp;Fuel'!R187)/(1-'Prices&amp;Fuel'!F187)</f>
        <v>4325.9640102827761</v>
      </c>
      <c r="BC187" s="14"/>
      <c r="BD187" s="14">
        <f>ROUND(IF('FP Corp'!T187/(1-'Prices&amp;Fuel'!F187)-BE187-BF187-BG187-BB187&gt;'Prices&amp;Fuel'!T187,'Prices&amp;Fuel'!T187,'FP Corp'!T187/(1-'Prices&amp;Fuel'!F187)-BE187-BF187-BG187-BB187),9)</f>
        <v>0</v>
      </c>
      <c r="BE187" s="14">
        <f>'Prices&amp;Fuel'!U187/(1-'Prices&amp;Fuel'!F187)</f>
        <v>2635.4755784061695</v>
      </c>
      <c r="BF187" s="14">
        <f>('Prices&amp;Fuel'!V187+'Prices&amp;Fuel'!X187)/(1-'Prices&amp;Fuel'!F187)</f>
        <v>3645.2442159383031</v>
      </c>
      <c r="BG187" s="14">
        <f>'Prices&amp;Fuel'!W187/(1-'Prices&amp;Fuel'!F187)</f>
        <v>1732.6478149100255</v>
      </c>
      <c r="BH187" s="25">
        <f>('Prices&amp;Fuel'!C187+'Prices&amp;Fuel'!D187)/2-0.05+('Prices&amp;Fuel'!M187+'Prices&amp;Fuel'!P187)*(1-'Prices&amp;Fuel'!F187)</f>
        <v>3.2020158969302699</v>
      </c>
      <c r="BI187" s="25"/>
      <c r="BJ187" s="25"/>
      <c r="BK187" s="25">
        <f>(((BB187+BE187)*('Prices&amp;Fuel'!B187+0.025))+(('Prices&amp;Fuel'!D187+0.025)*(BD187+BG187))+(('Prices&amp;Fuel'!C187+0.025)*(BC187+BF187))-(BI187+BJ187)*0.025)/(BB187+BC187+BD187+BE187+BF187+BG187)</f>
        <v>2.5166963135969365</v>
      </c>
      <c r="BL187" s="14">
        <f>(BB187+BC187+BD187+BE187+BF187+BG187)*BH187*'Prices&amp;Fuel'!H187</f>
        <v>1224832.8161008332</v>
      </c>
      <c r="BM187" s="14">
        <f>'Prices&amp;Fuel'!X187*('Prices&amp;Fuel'!N187+'Prices&amp;Fuel'!O187)*'Prices&amp;Fuel'!H187</f>
        <v>9438.6404139577935</v>
      </c>
      <c r="BN187" s="14">
        <f>('Prices&amp;Fuel'!U187+'Prices&amp;Fuel'!V187+'Prices&amp;Fuel'!W187)*('Prices&amp;Fuel'!L187+'Prices&amp;Fuel'!O187)*'Prices&amp;Fuel'!H187</f>
        <v>98255.832127730479</v>
      </c>
      <c r="BO187" s="14">
        <f>((BB187+BC187+BD187)*(1-'Prices&amp;Fuel'!G187))*('Prices&amp;Fuel'!M187+'Prices&amp;Fuel'!P187)*'Prices&amp;Fuel'!H187</f>
        <v>99834.213499999998</v>
      </c>
      <c r="BP187" s="14">
        <f>((BD187+BC187+BB187+BE187+BF187+BG187)*BK187*'Prices&amp;Fuel'!H187)+BM187+BN187+BO187</f>
        <v>1170213.548415015</v>
      </c>
      <c r="BQ187" s="6">
        <f t="shared" si="198"/>
        <v>54619.267685818253</v>
      </c>
      <c r="CA187" s="6">
        <f>(AF187+AG187+AH187+AL187)*0.005*'Prices&amp;Fuel'!H187</f>
        <v>0</v>
      </c>
      <c r="CB187" s="6">
        <f>(B187+C187+D187+O187+P187+Q187+X187+Y187+BB187+BC187+BD187+BE187+BF187+BG187+BR187+BS187)*0.005*'Prices&amp;Fuel'!H187</f>
        <v>1912.5964010282773</v>
      </c>
      <c r="CC187" s="1">
        <f t="shared" si="200"/>
        <v>1224832.8161008332</v>
      </c>
      <c r="CD187" s="1">
        <f t="shared" si="201"/>
        <v>1172126.1448160433</v>
      </c>
      <c r="CE187" s="1">
        <f t="shared" si="202"/>
        <v>52706.671284789918</v>
      </c>
      <c r="CJ187" s="1">
        <f t="shared" si="199"/>
        <v>1224832.8161008332</v>
      </c>
      <c r="CK187" s="1">
        <f t="shared" si="203"/>
        <v>1172126.1448160433</v>
      </c>
      <c r="CL187" s="1">
        <f t="shared" si="203"/>
        <v>52706.671284789918</v>
      </c>
      <c r="CN187" s="1">
        <f>Transport!U187</f>
        <v>0</v>
      </c>
      <c r="CQ187" s="1">
        <f>(((($B187+$C187+$D187+$O187+$P187+$Q187)*0.5)+BR187+BS187)*(0.005*'Prices&amp;Fuel'!$H187)+'Index Price Deals'!AV187)+(((BB187+BC187+BD187+BE187+BF187+BG187)*(1-'Prices&amp;Fuel'!F187))*0.005*0.5*'Prices&amp;Fuel'!H187)</f>
        <v>929.99999999999989</v>
      </c>
      <c r="CR187" s="1">
        <f>(((($B187+$C187+$D187+$O187+$P187+$Q187)*0.5)+X187+Y187)*(0.005*'Prices&amp;Fuel'!$H187)+CA187+'Index Price Deals'!AW187)+(((BB187+BC187+BD187+BE187+BF187+BG187)*(1-'Prices&amp;Fuel'!F187))*0.005*0.5*'Prices&amp;Fuel'!H187)</f>
        <v>929.99999999999989</v>
      </c>
      <c r="CS187" s="21"/>
      <c r="CV187" s="60">
        <f t="shared" si="170"/>
        <v>52706.671284789918</v>
      </c>
    </row>
    <row r="188" spans="1:106" x14ac:dyDescent="0.25">
      <c r="A188" s="10">
        <f t="shared" si="197"/>
        <v>41315.249999999556</v>
      </c>
      <c r="BB188" s="6">
        <f>IF('FP Corp'!T188-((BE188+BF188+BG188)*(1-'Prices&amp;Fuel'!F188))&lt;'Prices&amp;Fuel'!R188,('FP Corp'!T188-(BE188+BF188+BG188)*(1-'Prices&amp;Fuel'!F188)),'Prices&amp;Fuel'!R188)/(1-'Prices&amp;Fuel'!F188)</f>
        <v>4325.9640102827761</v>
      </c>
      <c r="BC188" s="14"/>
      <c r="BD188" s="14">
        <f>ROUND(IF('FP Corp'!T188/(1-'Prices&amp;Fuel'!F188)-BE188-BF188-BG188-BB188&gt;'Prices&amp;Fuel'!T188,'Prices&amp;Fuel'!T188,'FP Corp'!T188/(1-'Prices&amp;Fuel'!F188)-BE188-BF188-BG188-BB188),9)</f>
        <v>0</v>
      </c>
      <c r="BE188" s="14">
        <f>'Prices&amp;Fuel'!U188/(1-'Prices&amp;Fuel'!F188)</f>
        <v>2635.4755784061695</v>
      </c>
      <c r="BF188" s="14">
        <f>('Prices&amp;Fuel'!V188+'Prices&amp;Fuel'!X188)/(1-'Prices&amp;Fuel'!F188)</f>
        <v>3645.2442159383031</v>
      </c>
      <c r="BG188" s="14">
        <f>'Prices&amp;Fuel'!W188/(1-'Prices&amp;Fuel'!F188)</f>
        <v>1732.6478149100255</v>
      </c>
      <c r="BH188" s="25">
        <f>('Prices&amp;Fuel'!C188+'Prices&amp;Fuel'!D188)/2-0.05+('Prices&amp;Fuel'!M188+'Prices&amp;Fuel'!P188)*(1-'Prices&amp;Fuel'!F188)</f>
        <v>3.5032463505299041</v>
      </c>
      <c r="BI188" s="25"/>
      <c r="BJ188" s="25"/>
      <c r="BK188" s="25">
        <f>(((BB188+BE188)*('Prices&amp;Fuel'!B188+0.025))+(('Prices&amp;Fuel'!D188+0.025)*(BD188+BG188))+(('Prices&amp;Fuel'!C188+0.025)*(BC188+BF188))-(BI188+BJ188)*0.025)/(BB188+BC188+BD188+BE188+BF188+BG188)</f>
        <v>2.8179267671965702</v>
      </c>
      <c r="BL188" s="14">
        <f>(BB188+BC188+BD188+BE188+BF188+BG188)*BH188*'Prices&amp;Fuel'!H188</f>
        <v>1210376.1169954217</v>
      </c>
      <c r="BM188" s="14">
        <f>'Prices&amp;Fuel'!X188*('Prices&amp;Fuel'!N188+'Prices&amp;Fuel'!O188)*'Prices&amp;Fuel'!H188</f>
        <v>8525.2235997038133</v>
      </c>
      <c r="BN188" s="14">
        <f>('Prices&amp;Fuel'!U188+'Prices&amp;Fuel'!V188+'Prices&amp;Fuel'!W188)*('Prices&amp;Fuel'!L188+'Prices&amp;Fuel'!O188)*'Prices&amp;Fuel'!H188</f>
        <v>88747.203212143664</v>
      </c>
      <c r="BO188" s="14">
        <f>((BB188+BC188+BD188)*(1-'Prices&amp;Fuel'!G188))*('Prices&amp;Fuel'!M188+'Prices&amp;Fuel'!P188)*'Prices&amp;Fuel'!H188</f>
        <v>90172.837999999989</v>
      </c>
      <c r="BP188" s="14">
        <f>((BD188+BC188+BB188+BE188+BF188+BG188)*BK188*'Prices&amp;Fuel'!H188)+BM188+BN188+BO188</f>
        <v>1161042.5848921021</v>
      </c>
      <c r="BQ188" s="6">
        <f t="shared" si="198"/>
        <v>49333.532103319652</v>
      </c>
      <c r="CA188" s="6">
        <f>(AF188+AG188+AH188+AL188)*0.005*'Prices&amp;Fuel'!H188</f>
        <v>0</v>
      </c>
      <c r="CB188" s="6">
        <f>(B188+C188+D188+O188+P188+Q188+X188+Y188+BB188+BC188+BD188+BE188+BF188+BG188+BR188+BS188)*0.005*'Prices&amp;Fuel'!H188</f>
        <v>1727.5064267352182</v>
      </c>
      <c r="CC188" s="1">
        <f t="shared" si="200"/>
        <v>1210376.1169954217</v>
      </c>
      <c r="CD188" s="1">
        <f t="shared" si="201"/>
        <v>1162770.0913188374</v>
      </c>
      <c r="CE188" s="1">
        <f t="shared" si="202"/>
        <v>47606.025676584337</v>
      </c>
      <c r="CJ188" s="1">
        <f t="shared" si="199"/>
        <v>1210376.1169954217</v>
      </c>
      <c r="CK188" s="1">
        <f t="shared" si="203"/>
        <v>1162770.0913188374</v>
      </c>
      <c r="CL188" s="1">
        <f t="shared" si="203"/>
        <v>47606.025676584337</v>
      </c>
      <c r="CN188" s="1">
        <f>Transport!U188</f>
        <v>0</v>
      </c>
      <c r="CQ188" s="1">
        <f>(((($B188+$C188+$D188+$O188+$P188+$Q188)*0.5)+BR188+BS188)*(0.005*'Prices&amp;Fuel'!$H188)+'Index Price Deals'!AV188)+(((BB188+BC188+BD188+BE188+BF188+BG188)*(1-'Prices&amp;Fuel'!F188))*0.005*0.5*'Prices&amp;Fuel'!H188)</f>
        <v>839.99999999999989</v>
      </c>
      <c r="CR188" s="1">
        <f>(((($B188+$C188+$D188+$O188+$P188+$Q188)*0.5)+X188+Y188)*(0.005*'Prices&amp;Fuel'!$H188)+CA188+'Index Price Deals'!AW188)+(((BB188+BC188+BD188+BE188+BF188+BG188)*(1-'Prices&amp;Fuel'!F188))*0.005*0.5*'Prices&amp;Fuel'!H188)</f>
        <v>839.99999999999989</v>
      </c>
      <c r="CS188" s="21"/>
      <c r="CV188" s="60">
        <f t="shared" si="170"/>
        <v>47606.025676584337</v>
      </c>
    </row>
    <row r="189" spans="1:106" x14ac:dyDescent="0.25">
      <c r="A189" s="10">
        <f t="shared" si="197"/>
        <v>41345.66666666622</v>
      </c>
      <c r="BB189" s="6">
        <f>IF('FP Corp'!T189-((BE189+BF189+BG189)*(1-'Prices&amp;Fuel'!F189))&lt;'Prices&amp;Fuel'!R189,('FP Corp'!T189-(BE189+BF189+BG189)*(1-'Prices&amp;Fuel'!F189)),'Prices&amp;Fuel'!R189)/(1-'Prices&amp;Fuel'!F189)</f>
        <v>4325.9640102827761</v>
      </c>
      <c r="BC189" s="14"/>
      <c r="BD189" s="14">
        <f>ROUND(IF('FP Corp'!T189/(1-'Prices&amp;Fuel'!F189)-BE189-BF189-BG189-BB189&gt;'Prices&amp;Fuel'!T189,'Prices&amp;Fuel'!T189,'FP Corp'!T189/(1-'Prices&amp;Fuel'!F189)-BE189-BF189-BG189-BB189),9)</f>
        <v>0</v>
      </c>
      <c r="BE189" s="14">
        <f>'Prices&amp;Fuel'!U189/(1-'Prices&amp;Fuel'!F189)</f>
        <v>2635.4755784061695</v>
      </c>
      <c r="BF189" s="14">
        <f>('Prices&amp;Fuel'!V189+'Prices&amp;Fuel'!X189)/(1-'Prices&amp;Fuel'!F189)</f>
        <v>3645.2442159383031</v>
      </c>
      <c r="BG189" s="14">
        <f>'Prices&amp;Fuel'!W189/(1-'Prices&amp;Fuel'!F189)</f>
        <v>1732.6478149100255</v>
      </c>
      <c r="BH189" s="25">
        <f>('Prices&amp;Fuel'!C189+'Prices&amp;Fuel'!D189)/2-0.05+('Prices&amp;Fuel'!M189+'Prices&amp;Fuel'!P189)*(1-'Prices&amp;Fuel'!F189)</f>
        <v>3.5032463505299041</v>
      </c>
      <c r="BI189" s="25"/>
      <c r="BJ189" s="25"/>
      <c r="BK189" s="25">
        <f>(((BB189+BE189)*('Prices&amp;Fuel'!B189+0.025))+(('Prices&amp;Fuel'!D189+0.025)*(BD189+BG189))+(('Prices&amp;Fuel'!C189+0.025)*(BC189+BF189))-(BI189+BJ189)*0.025)/(BB189+BC189+BD189+BE189+BF189+BG189)</f>
        <v>2.8179267671965702</v>
      </c>
      <c r="BL189" s="14">
        <f>(BB189+BC189+BD189+BE189+BF189+BG189)*BH189*'Prices&amp;Fuel'!H189</f>
        <v>1340059.2723877884</v>
      </c>
      <c r="BM189" s="14">
        <f>'Prices&amp;Fuel'!X189*('Prices&amp;Fuel'!N189+'Prices&amp;Fuel'!O189)*'Prices&amp;Fuel'!H189</f>
        <v>9438.6404139577935</v>
      </c>
      <c r="BN189" s="14">
        <f>('Prices&amp;Fuel'!U189+'Prices&amp;Fuel'!V189+'Prices&amp;Fuel'!W189)*('Prices&amp;Fuel'!L189+'Prices&amp;Fuel'!O189)*'Prices&amp;Fuel'!H189</f>
        <v>98255.832127730479</v>
      </c>
      <c r="BO189" s="14">
        <f>((BB189+BC189+BD189)*(1-'Prices&amp;Fuel'!G189))*('Prices&amp;Fuel'!M189+'Prices&amp;Fuel'!P189)*'Prices&amp;Fuel'!H189</f>
        <v>99834.213499999998</v>
      </c>
      <c r="BP189" s="14">
        <f>((BD189+BC189+BB189+BE189+BF189+BG189)*BK189*'Prices&amp;Fuel'!H189)+BM189+BN189+BO189</f>
        <v>1285440.0047019701</v>
      </c>
      <c r="BQ189" s="6">
        <f t="shared" si="198"/>
        <v>54619.267685818253</v>
      </c>
      <c r="CA189" s="6">
        <f>(AF189+AG189+AH189+AL189)*0.005*'Prices&amp;Fuel'!H189</f>
        <v>0</v>
      </c>
      <c r="CB189" s="6">
        <f>(B189+C189+D189+O189+P189+Q189+X189+Y189+BB189+BC189+BD189+BE189+BF189+BG189+BR189+BS189)*0.005*'Prices&amp;Fuel'!H189</f>
        <v>1912.5964010282773</v>
      </c>
      <c r="CC189" s="1">
        <f t="shared" si="200"/>
        <v>1340059.2723877884</v>
      </c>
      <c r="CD189" s="1">
        <f t="shared" si="201"/>
        <v>1287352.6011029985</v>
      </c>
      <c r="CE189" s="1">
        <f t="shared" si="202"/>
        <v>52706.671284789918</v>
      </c>
      <c r="CJ189" s="1">
        <f t="shared" si="199"/>
        <v>1340059.2723877884</v>
      </c>
      <c r="CK189" s="1">
        <f t="shared" si="203"/>
        <v>1287352.6011029985</v>
      </c>
      <c r="CL189" s="1">
        <f t="shared" si="203"/>
        <v>52706.671284789918</v>
      </c>
      <c r="CN189" s="1">
        <f>Transport!U189</f>
        <v>0</v>
      </c>
      <c r="CQ189" s="1">
        <f>(((($B189+$C189+$D189+$O189+$P189+$Q189)*0.5)+BR189+BS189)*(0.005*'Prices&amp;Fuel'!$H189)+'Index Price Deals'!AV189)+(((BB189+BC189+BD189+BE189+BF189+BG189)*(1-'Prices&amp;Fuel'!F189))*0.005*0.5*'Prices&amp;Fuel'!H189)</f>
        <v>929.99999999999989</v>
      </c>
      <c r="CR189" s="1">
        <f>(((($B189+$C189+$D189+$O189+$P189+$Q189)*0.5)+X189+Y189)*(0.005*'Prices&amp;Fuel'!$H189)+CA189+'Index Price Deals'!AW189)+(((BB189+BC189+BD189+BE189+BF189+BG189)*(1-'Prices&amp;Fuel'!F189))*0.005*0.5*'Prices&amp;Fuel'!H189)</f>
        <v>929.99999999999989</v>
      </c>
      <c r="CS189" s="21"/>
      <c r="CV189" s="60">
        <f t="shared" si="170"/>
        <v>52706.671284789918</v>
      </c>
    </row>
    <row r="190" spans="1:106" x14ac:dyDescent="0.25">
      <c r="A190" s="10">
        <f t="shared" si="197"/>
        <v>41376.083333332885</v>
      </c>
      <c r="BB190" s="6">
        <f>IF('FP Corp'!T190-((BE190+BF190+BG190)*(1-'Prices&amp;Fuel'!F190))&lt;'Prices&amp;Fuel'!R190,('FP Corp'!T190-(BE190+BF190+BG190)*(1-'Prices&amp;Fuel'!F190)),'Prices&amp;Fuel'!R190)/(1-'Prices&amp;Fuel'!F190)</f>
        <v>6278.6632390745499</v>
      </c>
      <c r="BC190" s="14"/>
      <c r="BD190" s="14">
        <f>ROUND(IF('FP Corp'!T190/(1-'Prices&amp;Fuel'!F190)-BE190-BF190-BG190-BB190&gt;'Prices&amp;Fuel'!T190,'Prices&amp;Fuel'!T190,'FP Corp'!T190/(1-'Prices&amp;Fuel'!F190)-BE190-BF190-BG190-BB190),9)</f>
        <v>0</v>
      </c>
      <c r="BE190" s="14">
        <f>'Prices&amp;Fuel'!U190/(1-'Prices&amp;Fuel'!F190)</f>
        <v>1933.1619537275064</v>
      </c>
      <c r="BF190" s="14">
        <f>('Prices&amp;Fuel'!V190+'Prices&amp;Fuel'!X190)/(1-'Prices&amp;Fuel'!F190)</f>
        <v>2833.9331619537274</v>
      </c>
      <c r="BG190" s="14">
        <f>'Prices&amp;Fuel'!W190/(1-'Prices&amp;Fuel'!F190)</f>
        <v>1293.5732647814909</v>
      </c>
      <c r="BH190" s="25">
        <f>('Prices&amp;Fuel'!C190+'Prices&amp;Fuel'!D190)/2-0.05+('Prices&amp;Fuel'!M190+'Prices&amp;Fuel'!P190)*(1-'Prices&amp;Fuel'!F190)</f>
        <v>3.8044768041295409</v>
      </c>
      <c r="BI190" s="25"/>
      <c r="BJ190" s="25"/>
      <c r="BK190" s="25">
        <f>(((BB190+BE190)*('Prices&amp;Fuel'!B190+0.025))+(('Prices&amp;Fuel'!D190+0.025)*(BD190+BG190))+(('Prices&amp;Fuel'!C190+0.025)*(BC190+BF190))-(BI190+BJ190)*0.025)/(BB190+BC190+BD190+BE190+BF190+BG190)</f>
        <v>3.1148563874628734</v>
      </c>
      <c r="BL190" s="14">
        <f>(BB190+BC190+BD190+BE190+BF190+BG190)*BH190*'Prices&amp;Fuel'!H190</f>
        <v>1408341.0277497531</v>
      </c>
      <c r="BM190" s="14">
        <f>'Prices&amp;Fuel'!X190*('Prices&amp;Fuel'!N190+'Prices&amp;Fuel'!O190)*'Prices&amp;Fuel'!H190</f>
        <v>9134.1681425398001</v>
      </c>
      <c r="BN190" s="14">
        <f>('Prices&amp;Fuel'!U190+'Prices&amp;Fuel'!V190+'Prices&amp;Fuel'!W190)*('Prices&amp;Fuel'!L190+'Prices&amp;Fuel'!O190)*'Prices&amp;Fuel'!H190</f>
        <v>69689.82458385783</v>
      </c>
      <c r="BO190" s="14">
        <f>((BB190+BC190+BD190)*(1-'Prices&amp;Fuel'!G190))*('Prices&amp;Fuel'!M190+'Prices&amp;Fuel'!P190)*'Prices&amp;Fuel'!H190</f>
        <v>140224.29</v>
      </c>
      <c r="BP190" s="14">
        <f>((BD190+BC190+BB190+BE190+BF190+BG190)*BK190*'Prices&amp;Fuel'!H190)+BM190+BN190+BO190</f>
        <v>1372105.6600905464</v>
      </c>
      <c r="BQ190" s="6">
        <f t="shared" si="198"/>
        <v>36235.367659206735</v>
      </c>
      <c r="CA190" s="6">
        <f>(AF190+AG190+AH190+AL190)*0.005*'Prices&amp;Fuel'!H190</f>
        <v>0</v>
      </c>
      <c r="CB190" s="6">
        <f>(B190+C190+D190+O190+P190+Q190+X190+Y190+BB190+BC190+BD190+BE190+BF190+BG190+BR190+BS190)*0.005*'Prices&amp;Fuel'!H190</f>
        <v>1850.8997429305914</v>
      </c>
      <c r="CC190" s="1">
        <f t="shared" si="200"/>
        <v>1408341.0277497531</v>
      </c>
      <c r="CD190" s="1">
        <f t="shared" si="201"/>
        <v>1373956.559833477</v>
      </c>
      <c r="CE190" s="1">
        <f t="shared" si="202"/>
        <v>34384.467916276073</v>
      </c>
      <c r="CJ190" s="1">
        <f t="shared" si="199"/>
        <v>1408341.0277497531</v>
      </c>
      <c r="CK190" s="1">
        <f t="shared" si="203"/>
        <v>1373956.559833477</v>
      </c>
      <c r="CL190" s="1">
        <f t="shared" si="203"/>
        <v>34384.467916276073</v>
      </c>
      <c r="CN190" s="1">
        <f>Transport!U190</f>
        <v>0</v>
      </c>
      <c r="CQ190" s="1">
        <f>(((($B190+$C190+$D190+$O190+$P190+$Q190)*0.5)+BR190+BS190)*(0.005*'Prices&amp;Fuel'!$H190)+'Index Price Deals'!AV190)+(((BB190+BC190+BD190+BE190+BF190+BG190)*(1-'Prices&amp;Fuel'!F190))*0.005*0.5*'Prices&amp;Fuel'!H190)</f>
        <v>900</v>
      </c>
      <c r="CR190" s="1">
        <f>(((($B190+$C190+$D190+$O190+$P190+$Q190)*0.5)+X190+Y190)*(0.005*'Prices&amp;Fuel'!$H190)+CA190+'Index Price Deals'!AW190)+(((BB190+BC190+BD190+BE190+BF190+BG190)*(1-'Prices&amp;Fuel'!F190))*0.005*0.5*'Prices&amp;Fuel'!H190)</f>
        <v>900</v>
      </c>
      <c r="CS190" s="21"/>
      <c r="CV190" s="60">
        <f t="shared" si="170"/>
        <v>34384.467916276073</v>
      </c>
    </row>
    <row r="191" spans="1:106" x14ac:dyDescent="0.25">
      <c r="A191" s="10">
        <f t="shared" si="197"/>
        <v>41406.499999999549</v>
      </c>
      <c r="BB191" s="6">
        <f>IF('FP Corp'!T191-((BE191+BF191+BG191)*(1-'Prices&amp;Fuel'!F191))&lt;'Prices&amp;Fuel'!R191,('FP Corp'!T191-(BE191+BF191+BG191)*(1-'Prices&amp;Fuel'!F191)),'Prices&amp;Fuel'!R191)/(1-'Prices&amp;Fuel'!F191)</f>
        <v>8976.8637532133671</v>
      </c>
      <c r="BC191" s="14"/>
      <c r="BD191" s="14">
        <f>ROUND(IF('FP Corp'!T191/(1-'Prices&amp;Fuel'!F191)-BE191-BF191-BG191-BB191&gt;'Prices&amp;Fuel'!T191,'Prices&amp;Fuel'!T191,'FP Corp'!T191/(1-'Prices&amp;Fuel'!F191)-BE191-BF191-BG191-BB191),9)</f>
        <v>6556.2982005140002</v>
      </c>
      <c r="BE191" s="14">
        <f>'Prices&amp;Fuel'!U191/(1-'Prices&amp;Fuel'!F191)</f>
        <v>1933.1619537275064</v>
      </c>
      <c r="BF191" s="14">
        <f>('Prices&amp;Fuel'!V191+'Prices&amp;Fuel'!X191)/(1-'Prices&amp;Fuel'!F191)</f>
        <v>3062.2107969151671</v>
      </c>
      <c r="BG191" s="14">
        <f>'Prices&amp;Fuel'!W191/(1-'Prices&amp;Fuel'!F191)</f>
        <v>1065.2956298200513</v>
      </c>
      <c r="BH191" s="25">
        <f>('Prices&amp;Fuel'!C191+'Prices&amp;Fuel'!D191)/2-0.05+('Prices&amp;Fuel'!M191+'Prices&amp;Fuel'!P191)*(1-'Prices&amp;Fuel'!F191)</f>
        <v>4.0164537899959507</v>
      </c>
      <c r="BI191" s="25"/>
      <c r="BJ191" s="25"/>
      <c r="BK191" s="25">
        <f>(((BB191+BE191)*('Prices&amp;Fuel'!B191+0.025))+(('Prices&amp;Fuel'!D191+0.025)*(BD191+BG191))+(('Prices&amp;Fuel'!C191+0.025)*(BC191+BF191))-(BI191+BJ191)*0.025)/(BB191+BC191+BD191+BE191+BF191+BG191)</f>
        <v>3.3240431352340458</v>
      </c>
      <c r="BL191" s="14">
        <f>(BB191+BC191+BD191+BE191+BF191+BG191)*BH191*'Prices&amp;Fuel'!H191</f>
        <v>2688649.2722749067</v>
      </c>
      <c r="BM191" s="14">
        <f>'Prices&amp;Fuel'!X191*('Prices&amp;Fuel'!N191+'Prices&amp;Fuel'!O191)*'Prices&amp;Fuel'!H191</f>
        <v>9438.6404139577935</v>
      </c>
      <c r="BN191" s="14">
        <f>('Prices&amp;Fuel'!U191+'Prices&amp;Fuel'!V191+'Prices&amp;Fuel'!W191)*('Prices&amp;Fuel'!L191+'Prices&amp;Fuel'!O191)*'Prices&amp;Fuel'!H191</f>
        <v>72012.818736653091</v>
      </c>
      <c r="BO191" s="14">
        <f>((BB191+BC191+BD191)*(1-'Prices&amp;Fuel'!G191))*('Prices&amp;Fuel'!M191+'Prices&amp;Fuel'!P191)*'Prices&amp;Fuel'!H191</f>
        <v>358472.93299999676</v>
      </c>
      <c r="BP191" s="14">
        <f>((BD191+BC191+BB191+BE191+BF191+BG191)*BK191*'Prices&amp;Fuel'!H191)+BM191+BN191+BO191</f>
        <v>2665067.9202095796</v>
      </c>
      <c r="BQ191" s="6">
        <f t="shared" si="198"/>
        <v>23581.352065327112</v>
      </c>
      <c r="CA191" s="6">
        <f>(AF191+AG191+AH191+AL191)*0.005*'Prices&amp;Fuel'!H191</f>
        <v>0</v>
      </c>
      <c r="CB191" s="6">
        <f>(B191+C191+D191+O191+P191+Q191+X191+Y191+BB191+BC191+BD191+BE191+BF191+BG191+BR191+BS191)*0.005*'Prices&amp;Fuel'!H191</f>
        <v>3347.0437017994641</v>
      </c>
      <c r="CC191" s="1">
        <f t="shared" si="200"/>
        <v>2688649.2722749067</v>
      </c>
      <c r="CD191" s="1">
        <f t="shared" si="201"/>
        <v>2668414.9639113792</v>
      </c>
      <c r="CE191" s="1">
        <f t="shared" si="202"/>
        <v>20234.308363527525</v>
      </c>
      <c r="CJ191" s="1">
        <f t="shared" si="199"/>
        <v>2688649.2722749067</v>
      </c>
      <c r="CK191" s="1">
        <f t="shared" si="203"/>
        <v>2668414.9639113792</v>
      </c>
      <c r="CL191" s="1">
        <f t="shared" si="203"/>
        <v>20234.308363527525</v>
      </c>
      <c r="CN191" s="1">
        <f>Transport!U191</f>
        <v>3.1490140827372673E-9</v>
      </c>
      <c r="CQ191" s="1">
        <f>(((($B191+$C191+$D191+$O191+$P191+$Q191)*0.5)+BR191+BS191)*(0.005*'Prices&amp;Fuel'!$H191)+'Index Price Deals'!AV191)+(((BB191+BC191+BD191+BE191+BF191+BG191)*(1-'Prices&amp;Fuel'!F191))*0.005*0.5*'Prices&amp;Fuel'!H191)</f>
        <v>1627.4999999999895</v>
      </c>
      <c r="CR191" s="1">
        <f>(((($B191+$C191+$D191+$O191+$P191+$Q191)*0.5)+X191+Y191)*(0.005*'Prices&amp;Fuel'!$H191)+CA191+'Index Price Deals'!AW191)+(((BB191+BC191+BD191+BE191+BF191+BG191)*(1-'Prices&amp;Fuel'!F191))*0.005*0.5*'Prices&amp;Fuel'!H191)</f>
        <v>1627.4999999999895</v>
      </c>
      <c r="CS191" s="21"/>
      <c r="CV191" s="60">
        <f t="shared" si="170"/>
        <v>20234.308363524375</v>
      </c>
    </row>
    <row r="192" spans="1:106" x14ac:dyDescent="0.25">
      <c r="A192" s="10">
        <f t="shared" si="197"/>
        <v>41436.916666666213</v>
      </c>
      <c r="BB192" s="6">
        <f>IF('FP Corp'!T192-((BE192+BF192+BG192)*(1-'Prices&amp;Fuel'!F192))&lt;'Prices&amp;Fuel'!R192,('FP Corp'!T192-(BE192+BF192+BG192)*(1-'Prices&amp;Fuel'!F192)),'Prices&amp;Fuel'!R192)/(1-'Prices&amp;Fuel'!F192)</f>
        <v>8976.8637532133671</v>
      </c>
      <c r="BC192" s="14"/>
      <c r="BD192" s="14">
        <f>ROUND(IF('FP Corp'!T192/(1-'Prices&amp;Fuel'!F192)-BE192-BF192-BG192-BB192&gt;'Prices&amp;Fuel'!T192,'Prices&amp;Fuel'!T192,'FP Corp'!T192/(1-'Prices&amp;Fuel'!F192)-BE192-BF192-BG192-BB192),9)</f>
        <v>6556.2982005140002</v>
      </c>
      <c r="BE192" s="14">
        <f>'Prices&amp;Fuel'!U192/(1-'Prices&amp;Fuel'!F192)</f>
        <v>1933.1619537275064</v>
      </c>
      <c r="BF192" s="14">
        <f>('Prices&amp;Fuel'!V192+'Prices&amp;Fuel'!X192)/(1-'Prices&amp;Fuel'!F192)</f>
        <v>3062.2107969151671</v>
      </c>
      <c r="BG192" s="14">
        <f>'Prices&amp;Fuel'!W192/(1-'Prices&amp;Fuel'!F192)</f>
        <v>1065.2956298200513</v>
      </c>
      <c r="BH192" s="25">
        <f>('Prices&amp;Fuel'!C192+'Prices&amp;Fuel'!D192)/2-0.05+('Prices&amp;Fuel'!M192+'Prices&amp;Fuel'!P192)*(1-'Prices&amp;Fuel'!F192)</f>
        <v>5.4779793241275145</v>
      </c>
      <c r="BI192" s="25"/>
      <c r="BJ192" s="25"/>
      <c r="BK192" s="25">
        <f>(((BB192+BE192)*('Prices&amp;Fuel'!B192+0.025))+(('Prices&amp;Fuel'!D192+0.025)*(BD192+BG192))+(('Prices&amp;Fuel'!C192+0.025)*(BC192+BF192))-(BI192+BJ192)*0.025)/(BB192+BC192+BD192+BE192+BF192+BG192)</f>
        <v>4.7855686693656097</v>
      </c>
      <c r="BL192" s="14">
        <f>(BB192+BC192+BD192+BE192+BF192+BG192)*BH192*'Prices&amp;Fuel'!H192</f>
        <v>3548716.6829823256</v>
      </c>
      <c r="BM192" s="14">
        <f>'Prices&amp;Fuel'!X192*('Prices&amp;Fuel'!N192+'Prices&amp;Fuel'!O192)*'Prices&amp;Fuel'!H192</f>
        <v>9134.1681425398001</v>
      </c>
      <c r="BN192" s="14">
        <f>('Prices&amp;Fuel'!U192+'Prices&amp;Fuel'!V192+'Prices&amp;Fuel'!W192)*('Prices&amp;Fuel'!L192+'Prices&amp;Fuel'!O192)*'Prices&amp;Fuel'!H192</f>
        <v>69689.82458385783</v>
      </c>
      <c r="BO192" s="14">
        <f>((BB192+BC192+BD192)*(1-'Prices&amp;Fuel'!G192))*('Prices&amp;Fuel'!M192+'Prices&amp;Fuel'!P192)*'Prices&amp;Fuel'!H192</f>
        <v>346909.28999999689</v>
      </c>
      <c r="BP192" s="14">
        <f>((BD192+BC192+BB192+BE192+BF192+BG192)*BK192*'Prices&amp;Fuel'!H192)+BM192+BN192+BO192</f>
        <v>3525896.0196932987</v>
      </c>
      <c r="BQ192" s="6">
        <f t="shared" si="198"/>
        <v>22820.663289026823</v>
      </c>
      <c r="CA192" s="6">
        <f>(AF192+AG192+AH192+AL192)*0.005*'Prices&amp;Fuel'!H192</f>
        <v>0</v>
      </c>
      <c r="CB192" s="6">
        <f>(B192+C192+D192+O192+P192+Q192+X192+Y192+BB192+BC192+BD192+BE192+BF192+BG192+BR192+BS192)*0.005*'Prices&amp;Fuel'!H192</f>
        <v>3239.0745501285137</v>
      </c>
      <c r="CC192" s="1">
        <f t="shared" si="200"/>
        <v>3548716.6829823256</v>
      </c>
      <c r="CD192" s="1">
        <f t="shared" si="201"/>
        <v>3529135.0942434273</v>
      </c>
      <c r="CE192" s="1">
        <f t="shared" si="202"/>
        <v>19581.588738898281</v>
      </c>
      <c r="CJ192" s="1">
        <f t="shared" si="199"/>
        <v>3548716.6829823256</v>
      </c>
      <c r="CK192" s="1">
        <f t="shared" si="203"/>
        <v>3529135.0942434273</v>
      </c>
      <c r="CL192" s="1">
        <f t="shared" si="203"/>
        <v>19581.588738898281</v>
      </c>
      <c r="CN192" s="1">
        <f>Transport!U192</f>
        <v>3.0474329832941295E-9</v>
      </c>
      <c r="CQ192" s="1">
        <f>(((($B192+$C192+$D192+$O192+$P192+$Q192)*0.5)+BR192+BS192)*(0.005*'Prices&amp;Fuel'!$H192)+'Index Price Deals'!AV192)+(((BB192+BC192+BD192+BE192+BF192+BG192)*(1-'Prices&amp;Fuel'!F192))*0.005*0.5*'Prices&amp;Fuel'!H192)</f>
        <v>1574.9999999999898</v>
      </c>
      <c r="CR192" s="1">
        <f>(((($B192+$C192+$D192+$O192+$P192+$Q192)*0.5)+X192+Y192)*(0.005*'Prices&amp;Fuel'!$H192)+CA192+'Index Price Deals'!AW192)+(((BB192+BC192+BD192+BE192+BF192+BG192)*(1-'Prices&amp;Fuel'!F192))*0.005*0.5*'Prices&amp;Fuel'!H192)</f>
        <v>1574.9999999999898</v>
      </c>
      <c r="CS192" s="21"/>
      <c r="CV192" s="60">
        <f t="shared" si="170"/>
        <v>19581.588738895232</v>
      </c>
    </row>
    <row r="193" spans="1:106" x14ac:dyDescent="0.25">
      <c r="A193" s="10">
        <f>+A192+365/12</f>
        <v>41467.333333332877</v>
      </c>
      <c r="BB193" s="6">
        <f>IF('FP Corp'!T193-((BE193+BF193+BG193)*(1-'Prices&amp;Fuel'!F193))&lt;'Prices&amp;Fuel'!R193,('FP Corp'!T193-(BE193+BF193+BG193)*(1-'Prices&amp;Fuel'!F193)),'Prices&amp;Fuel'!R193)/(1-'Prices&amp;Fuel'!F193)</f>
        <v>8976.8637532133671</v>
      </c>
      <c r="BC193" s="14"/>
      <c r="BD193" s="14">
        <f>ROUND(IF('FP Corp'!T193/(1-'Prices&amp;Fuel'!F193)-BE193-BF193-BG193-BB193&gt;'Prices&amp;Fuel'!T193,'Prices&amp;Fuel'!T193,'FP Corp'!T193/(1-'Prices&amp;Fuel'!F193)-BE193-BF193-BG193-BB193),9)</f>
        <v>6556.2982005140002</v>
      </c>
      <c r="BE193" s="14">
        <f>'Prices&amp;Fuel'!U193/(1-'Prices&amp;Fuel'!F193)</f>
        <v>1933.1619537275064</v>
      </c>
      <c r="BF193" s="14">
        <f>('Prices&amp;Fuel'!V193+'Prices&amp;Fuel'!X193)/(1-'Prices&amp;Fuel'!F193)</f>
        <v>3062.2107969151671</v>
      </c>
      <c r="BG193" s="14">
        <f>'Prices&amp;Fuel'!W193/(1-'Prices&amp;Fuel'!F193)</f>
        <v>1065.2956298200513</v>
      </c>
      <c r="BH193" s="25">
        <f>('Prices&amp;Fuel'!C193+'Prices&amp;Fuel'!D193)/2-0.05+('Prices&amp;Fuel'!M193+'Prices&amp;Fuel'!P193)*(1-'Prices&amp;Fuel'!F193)</f>
        <v>5.4668226406608609</v>
      </c>
      <c r="BI193" s="25"/>
      <c r="BJ193" s="25"/>
      <c r="BK193" s="25">
        <f>(((BB193+BE193)*('Prices&amp;Fuel'!B193+0.025))+(('Prices&amp;Fuel'!D193+0.025)*(BD193+BG193))+(('Prices&amp;Fuel'!C193+0.025)*(BC193+BF193))-(BI193+BJ193)*0.025)/(BB193+BC193+BD193+BE193+BF193+BG193)</f>
        <v>4.7744119858989569</v>
      </c>
      <c r="BL193" s="14">
        <f>(BB193+BC193+BD193+BE193+BF193+BG193)*BH193*'Prices&amp;Fuel'!H193</f>
        <v>3659538.8576557296</v>
      </c>
      <c r="BM193" s="14">
        <f>'Prices&amp;Fuel'!X193*('Prices&amp;Fuel'!N193+'Prices&amp;Fuel'!O193)*'Prices&amp;Fuel'!H193</f>
        <v>9438.6404139577935</v>
      </c>
      <c r="BN193" s="14">
        <f>('Prices&amp;Fuel'!U193+'Prices&amp;Fuel'!V193+'Prices&amp;Fuel'!W193)*('Prices&amp;Fuel'!L193+'Prices&amp;Fuel'!O193)*'Prices&amp;Fuel'!H193</f>
        <v>72012.818736653091</v>
      </c>
      <c r="BO193" s="14">
        <f>((BB193+BC193+BD193)*(1-'Prices&amp;Fuel'!G193))*('Prices&amp;Fuel'!M193+'Prices&amp;Fuel'!P193)*'Prices&amp;Fuel'!H193</f>
        <v>358472.93299999676</v>
      </c>
      <c r="BP193" s="14">
        <f>((BD193+BC193+BB193+BE193+BF193+BG193)*BK193*'Prices&amp;Fuel'!H193)+BM193+BN193+BO193</f>
        <v>3635957.505590403</v>
      </c>
      <c r="BQ193" s="6">
        <f t="shared" si="198"/>
        <v>23581.352065326646</v>
      </c>
      <c r="CA193" s="6">
        <f>(AF193+AG193+AH193+AL193)*0.005*'Prices&amp;Fuel'!H193</f>
        <v>0</v>
      </c>
      <c r="CB193" s="6">
        <f>(B193+C193+D193+O193+P193+Q193+X193+Y193+BB193+BC193+BD193+BE193+BF193+BG193+BR193+BS193)*0.005*'Prices&amp;Fuel'!H193</f>
        <v>3347.0437017994641</v>
      </c>
      <c r="CC193" s="1">
        <f t="shared" si="200"/>
        <v>3659538.8576557296</v>
      </c>
      <c r="CD193" s="1">
        <f t="shared" si="201"/>
        <v>3639304.5492922026</v>
      </c>
      <c r="CE193" s="1">
        <f t="shared" si="202"/>
        <v>20234.30836352706</v>
      </c>
      <c r="CJ193" s="1">
        <f t="shared" si="199"/>
        <v>3659538.8576557296</v>
      </c>
      <c r="CK193" s="1">
        <f t="shared" si="203"/>
        <v>3639304.5492922026</v>
      </c>
      <c r="CL193" s="1">
        <f t="shared" si="203"/>
        <v>20234.30836352706</v>
      </c>
      <c r="CN193" s="1">
        <f>Transport!U193</f>
        <v>3.1490140827372673E-9</v>
      </c>
      <c r="CQ193" s="1">
        <f>(((($B193+$C193+$D193+$O193+$P193+$Q193)*0.5)+BR193+BS193)*(0.005*'Prices&amp;Fuel'!$H193)+'Index Price Deals'!AV193)+(((BB193+BC193+BD193+BE193+BF193+BG193)*(1-'Prices&amp;Fuel'!F193))*0.005*0.5*'Prices&amp;Fuel'!H193)</f>
        <v>1627.4999999999895</v>
      </c>
      <c r="CR193" s="1">
        <f>(((($B193+$C193+$D193+$O193+$P193+$Q193)*0.5)+X193+Y193)*(0.005*'Prices&amp;Fuel'!$H193)+CA193+'Index Price Deals'!AW193)+(((BB193+BC193+BD193+BE193+BF193+BG193)*(1-'Prices&amp;Fuel'!F193))*0.005*0.5*'Prices&amp;Fuel'!H193)</f>
        <v>1627.4999999999895</v>
      </c>
      <c r="CS193" s="21"/>
      <c r="CV193" s="60">
        <f t="shared" si="170"/>
        <v>20234.308363523909</v>
      </c>
    </row>
    <row r="194" spans="1:106" x14ac:dyDescent="0.25">
      <c r="A194" s="10">
        <f>+A193+365/12</f>
        <v>41497.749999999542</v>
      </c>
      <c r="BB194" s="6">
        <f>IF('FP Corp'!T194-((BE194+BF194+BG194)*(1-'Prices&amp;Fuel'!F194))&lt;'Prices&amp;Fuel'!R194,('FP Corp'!T194-(BE194+BF194+BG194)*(1-'Prices&amp;Fuel'!F194)),'Prices&amp;Fuel'!R194)/(1-'Prices&amp;Fuel'!F194)</f>
        <v>8976.8637532133671</v>
      </c>
      <c r="BC194" s="14"/>
      <c r="BD194" s="14">
        <f>ROUND(IF('FP Corp'!T194/(1-'Prices&amp;Fuel'!F194)-BE194-BF194-BG194-BB194&gt;'Prices&amp;Fuel'!T194,'Prices&amp;Fuel'!T194,'FP Corp'!T194/(1-'Prices&amp;Fuel'!F194)-BE194-BF194-BG194-BB194),9)</f>
        <v>6556.2982005140002</v>
      </c>
      <c r="BE194" s="14">
        <f>'Prices&amp;Fuel'!U194/(1-'Prices&amp;Fuel'!F194)</f>
        <v>1933.1619537275064</v>
      </c>
      <c r="BF194" s="14">
        <f>('Prices&amp;Fuel'!V194+'Prices&amp;Fuel'!X194)/(1-'Prices&amp;Fuel'!F194)</f>
        <v>3062.2107969151671</v>
      </c>
      <c r="BG194" s="14">
        <f>'Prices&amp;Fuel'!W194/(1-'Prices&amp;Fuel'!F194)</f>
        <v>1065.2956298200513</v>
      </c>
      <c r="BH194" s="25">
        <f>('Prices&amp;Fuel'!C194+'Prices&amp;Fuel'!D194)/2-0.05+('Prices&amp;Fuel'!M194+'Prices&amp;Fuel'!P194)*(1-'Prices&amp;Fuel'!F194)</f>
        <v>4.8643617334615916</v>
      </c>
      <c r="BI194" s="25"/>
      <c r="BJ194" s="25"/>
      <c r="BK194" s="25">
        <f>(((BB194+BE194)*('Prices&amp;Fuel'!B194+0.025))+(('Prices&amp;Fuel'!D194+0.025)*(BD194+BG194))+(('Prices&amp;Fuel'!C194+0.025)*(BC194+BF194))-(BI194+BJ194)*0.025)/(BB194+BC194+BD194+BE194+BF194+BG194)</f>
        <v>4.1719510786996876</v>
      </c>
      <c r="BL194" s="14">
        <f>(BB194+BC194+BD194+BE194+BF194+BG194)*BH194*'Prices&amp;Fuel'!H194</f>
        <v>3256246.2606513887</v>
      </c>
      <c r="BM194" s="14">
        <f>'Prices&amp;Fuel'!X194*('Prices&amp;Fuel'!N194+'Prices&amp;Fuel'!O194)*'Prices&amp;Fuel'!H194</f>
        <v>9438.6404139577935</v>
      </c>
      <c r="BN194" s="14">
        <f>('Prices&amp;Fuel'!U194+'Prices&amp;Fuel'!V194+'Prices&amp;Fuel'!W194)*('Prices&amp;Fuel'!L194+'Prices&amp;Fuel'!O194)*'Prices&amp;Fuel'!H194</f>
        <v>72012.818736653091</v>
      </c>
      <c r="BO194" s="14">
        <f>((BB194+BC194+BD194)*(1-'Prices&amp;Fuel'!G194))*('Prices&amp;Fuel'!M194+'Prices&amp;Fuel'!P194)*'Prices&amp;Fuel'!H194</f>
        <v>358472.93299999676</v>
      </c>
      <c r="BP194" s="14">
        <f>((BD194+BC194+BB194+BE194+BF194+BG194)*BK194*'Prices&amp;Fuel'!H194)+BM194+BN194+BO194</f>
        <v>3232664.9085860616</v>
      </c>
      <c r="BQ194" s="6">
        <f>BL194-BP194</f>
        <v>23581.352065327112</v>
      </c>
      <c r="CA194" s="6">
        <f>(AF194+AG194+AH194+AL194)*0.005*'Prices&amp;Fuel'!H194</f>
        <v>0</v>
      </c>
      <c r="CB194" s="6">
        <f>(B194+C194+D194+O194+P194+Q194+X194+Y194+BB194+BC194+BD194+BE194+BF194+BG194+BR194+BS194)*0.005*'Prices&amp;Fuel'!H194</f>
        <v>3347.0437017994641</v>
      </c>
      <c r="CC194" s="1">
        <f t="shared" si="200"/>
        <v>3256246.2606513887</v>
      </c>
      <c r="CD194" s="1">
        <f t="shared" si="201"/>
        <v>3236011.9522878611</v>
      </c>
      <c r="CE194" s="1">
        <f t="shared" si="202"/>
        <v>20234.308363527525</v>
      </c>
      <c r="CJ194" s="1">
        <f t="shared" si="199"/>
        <v>3256246.2606513887</v>
      </c>
      <c r="CK194" s="1">
        <f t="shared" si="203"/>
        <v>3236011.9522878611</v>
      </c>
      <c r="CL194" s="1">
        <f t="shared" si="203"/>
        <v>20234.308363527525</v>
      </c>
      <c r="CN194" s="1">
        <f>Transport!U194</f>
        <v>3.1490140827372673E-9</v>
      </c>
      <c r="CQ194" s="1">
        <f>(((($B194+$C194+$D194+$O194+$P194+$Q194)*0.5)+BR194+BS194)*(0.005*'Prices&amp;Fuel'!$H194)+'Index Price Deals'!AV194)+(((BB194+BC194+BD194+BE194+BF194+BG194)*(1-'Prices&amp;Fuel'!F194))*0.005*0.5*'Prices&amp;Fuel'!H194)</f>
        <v>1627.4999999999895</v>
      </c>
      <c r="CR194" s="1">
        <f>(((($B194+$C194+$D194+$O194+$P194+$Q194)*0.5)+X194+Y194)*(0.005*'Prices&amp;Fuel'!$H194)+CA194+'Index Price Deals'!AW194)+(((BB194+BC194+BD194+BE194+BF194+BG194)*(1-'Prices&amp;Fuel'!F194))*0.005*0.5*'Prices&amp;Fuel'!H194)</f>
        <v>1627.4999999999895</v>
      </c>
      <c r="CS194" s="21"/>
      <c r="CV194" s="60">
        <f t="shared" si="170"/>
        <v>20234.308363524375</v>
      </c>
    </row>
    <row r="195" spans="1:106" x14ac:dyDescent="0.25">
      <c r="A195" s="10">
        <f>+A194+365/12</f>
        <v>41528.166666666206</v>
      </c>
      <c r="BB195" s="6">
        <f>IF('FP Corp'!T195-((BE195+BF195+BG195)*(1-'Prices&amp;Fuel'!F195))&lt;'Prices&amp;Fuel'!R195,('FP Corp'!T195-(BE195+BF195+BG195)*(1-'Prices&amp;Fuel'!F195)),'Prices&amp;Fuel'!R195)/(1-'Prices&amp;Fuel'!F195)</f>
        <v>8976.8637532133671</v>
      </c>
      <c r="BC195" s="14"/>
      <c r="BD195" s="14">
        <f>ROUND(IF('FP Corp'!T195/(1-'Prices&amp;Fuel'!F195)-BE195-BF195-BG195-BB195&gt;'Prices&amp;Fuel'!T195,'Prices&amp;Fuel'!T195,'FP Corp'!T195/(1-'Prices&amp;Fuel'!F195)-BE195-BF195-BG195-BB195),9)</f>
        <v>6556.2982005140002</v>
      </c>
      <c r="BE195" s="14">
        <f>'Prices&amp;Fuel'!U195/(1-'Prices&amp;Fuel'!F195)</f>
        <v>1933.1619537275064</v>
      </c>
      <c r="BF195" s="14">
        <f>('Prices&amp;Fuel'!V195+'Prices&amp;Fuel'!X195)/(1-'Prices&amp;Fuel'!F195)</f>
        <v>3062.2107969151671</v>
      </c>
      <c r="BG195" s="14">
        <f>'Prices&amp;Fuel'!W195/(1-'Prices&amp;Fuel'!F195)</f>
        <v>1065.2956298200513</v>
      </c>
      <c r="BH195" s="25">
        <f>('Prices&amp;Fuel'!C195+'Prices&amp;Fuel'!D195)/2-0.05+('Prices&amp;Fuel'!M195+'Prices&amp;Fuel'!P195)*(1-'Prices&amp;Fuel'!F195)</f>
        <v>5.7234263603938862</v>
      </c>
      <c r="BI195" s="25"/>
      <c r="BJ195" s="25"/>
      <c r="BK195" s="25">
        <f>(((BB195+BE195)*('Prices&amp;Fuel'!B195+0.025))+(('Prices&amp;Fuel'!D195+0.025)*(BD195+BG195))+(('Prices&amp;Fuel'!C195+0.025)*(BC195+BF195))-(BI195+BJ195)*0.025)/(BB195+BC195+BD195+BE195+BF195+BG195)</f>
        <v>5.0310157056319822</v>
      </c>
      <c r="BL195" s="14">
        <f>(BB195+BC195+BD195+BE195+BF195+BG195)*BH195*'Prices&amp;Fuel'!H195</f>
        <v>3707720.9326973008</v>
      </c>
      <c r="BM195" s="14">
        <f>'Prices&amp;Fuel'!X195*('Prices&amp;Fuel'!N195+'Prices&amp;Fuel'!O195)*'Prices&amp;Fuel'!H195</f>
        <v>9134.1681425398001</v>
      </c>
      <c r="BN195" s="14">
        <f>('Prices&amp;Fuel'!U195+'Prices&amp;Fuel'!V195+'Prices&amp;Fuel'!W195)*('Prices&amp;Fuel'!L195+'Prices&amp;Fuel'!O195)*'Prices&amp;Fuel'!H195</f>
        <v>69689.82458385783</v>
      </c>
      <c r="BO195" s="14">
        <f>((BB195+BC195+BD195)*(1-'Prices&amp;Fuel'!G195))*('Prices&amp;Fuel'!M195+'Prices&amp;Fuel'!P195)*'Prices&amp;Fuel'!H195</f>
        <v>346909.28999999689</v>
      </c>
      <c r="BP195" s="14">
        <f>((BD195+BC195+BB195+BE195+BF195+BG195)*BK195*'Prices&amp;Fuel'!H195)+BM195+BN195+BO195</f>
        <v>3684900.2694082744</v>
      </c>
      <c r="BQ195" s="6">
        <f>BL195-BP195</f>
        <v>22820.663289026357</v>
      </c>
      <c r="CA195" s="6">
        <f>(AF195+AG195+AH195+AL195)*0.005*'Prices&amp;Fuel'!H195</f>
        <v>0</v>
      </c>
      <c r="CB195" s="6">
        <f>(B195+C195+D195+O195+P195+Q195+X195+Y195+BB195+BC195+BD195+BE195+BF195+BG195+BR195+BS195)*0.005*'Prices&amp;Fuel'!H195</f>
        <v>3239.0745501285137</v>
      </c>
      <c r="CC195" s="1">
        <f t="shared" si="200"/>
        <v>3707720.9326973008</v>
      </c>
      <c r="CD195" s="1">
        <f t="shared" si="201"/>
        <v>3688139.343958403</v>
      </c>
      <c r="CE195" s="1">
        <f t="shared" si="202"/>
        <v>19581.588738897815</v>
      </c>
      <c r="CJ195" s="1">
        <f t="shared" si="199"/>
        <v>3707720.9326973008</v>
      </c>
      <c r="CK195" s="1">
        <f t="shared" si="203"/>
        <v>3688139.343958403</v>
      </c>
      <c r="CL195" s="1">
        <f t="shared" si="203"/>
        <v>19581.588738897815</v>
      </c>
      <c r="CM195" s="13"/>
      <c r="CN195" s="1">
        <f>Transport!U195</f>
        <v>3.0474329832941295E-9</v>
      </c>
      <c r="CQ195" s="1">
        <f>(((($B195+$C195+$D195+$O195+$P195+$Q195)*0.5)+BR195+BS195)*(0.005*'Prices&amp;Fuel'!$H195)+'Index Price Deals'!AV195)+(((BB195+BC195+BD195+BE195+BF195+BG195)*(1-'Prices&amp;Fuel'!F195))*0.005*0.5*'Prices&amp;Fuel'!H195)</f>
        <v>1574.9999999999898</v>
      </c>
      <c r="CR195" s="1">
        <f>(((($B195+$C195+$D195+$O195+$P195+$Q195)*0.5)+X195+Y195)*(0.005*'Prices&amp;Fuel'!$H195)+CA195+'Index Price Deals'!AW195)+(((BB195+BC195+BD195+BE195+BF195+BG195)*(1-'Prices&amp;Fuel'!F195))*0.005*0.5*'Prices&amp;Fuel'!H195)</f>
        <v>1574.9999999999898</v>
      </c>
      <c r="CS195" s="21"/>
      <c r="CV195" s="60">
        <f t="shared" si="170"/>
        <v>19581.588738894767</v>
      </c>
    </row>
    <row r="196" spans="1:106" x14ac:dyDescent="0.25">
      <c r="A196" s="10">
        <f t="shared" ref="A196:A212" si="204">+A195+365/12</f>
        <v>41558.58333333287</v>
      </c>
      <c r="G196" s="1"/>
      <c r="J196" s="1"/>
      <c r="K196" s="1"/>
      <c r="L196" s="1"/>
      <c r="M196" s="1"/>
      <c r="N196" s="1"/>
      <c r="O196" s="1"/>
      <c r="P196" s="1"/>
      <c r="Q196" s="1"/>
      <c r="R196" s="1"/>
      <c r="S196" s="1"/>
      <c r="T196" s="1"/>
      <c r="U196" s="1"/>
      <c r="V196" s="1"/>
      <c r="W196" s="1"/>
      <c r="X196" s="1"/>
      <c r="Y196" s="1"/>
      <c r="Z196" s="1"/>
      <c r="AA196" s="1"/>
      <c r="AB196" s="1"/>
      <c r="AC196" s="1"/>
      <c r="AD196" s="1"/>
      <c r="AE196" s="1"/>
      <c r="AF196" s="1"/>
      <c r="AH196" s="1"/>
      <c r="AI196" s="1"/>
      <c r="AJ196" s="1"/>
      <c r="AK196" s="1"/>
      <c r="AL196" s="1"/>
      <c r="AM196" s="1"/>
      <c r="AN196" s="1"/>
      <c r="AO196" s="1"/>
      <c r="AP196" s="1"/>
      <c r="AQ196" s="1"/>
      <c r="AR196" s="1"/>
      <c r="AS196" s="1"/>
      <c r="AT196" s="1"/>
      <c r="AU196" s="1"/>
      <c r="AW196" s="1"/>
      <c r="AX196" s="1"/>
      <c r="AY196" s="1"/>
      <c r="AZ196" s="1"/>
      <c r="BA196" s="1"/>
      <c r="BB196" s="6">
        <f>IF('FP Corp'!T196-((BE196+BF196+BG196)*(1-'Prices&amp;Fuel'!F196))&lt;'Prices&amp;Fuel'!R196,('FP Corp'!T196-(BE196+BF196+BG196)*(1-'Prices&amp;Fuel'!F196)),'Prices&amp;Fuel'!R196)/(1-'Prices&amp;Fuel'!F196)</f>
        <v>8976.8637532133671</v>
      </c>
      <c r="BC196" s="14"/>
      <c r="BD196" s="14">
        <f>ROUND(IF('FP Corp'!T196/(1-'Prices&amp;Fuel'!F196)-BE196-BF196-BG196-BB196&gt;'Prices&amp;Fuel'!T196,'Prices&amp;Fuel'!T196,'FP Corp'!T196/(1-'Prices&amp;Fuel'!F196)-BE196-BF196-BG196-BB196),9)</f>
        <v>3514.6529562979999</v>
      </c>
      <c r="BE196" s="14">
        <f>'Prices&amp;Fuel'!U196/(1-'Prices&amp;Fuel'!F196)</f>
        <v>2910.025706940874</v>
      </c>
      <c r="BF196" s="14">
        <f>('Prices&amp;Fuel'!V196+'Prices&amp;Fuel'!X196)/(1-'Prices&amp;Fuel'!F196)</f>
        <v>4628.2776349614396</v>
      </c>
      <c r="BG196" s="14">
        <f>'Prices&amp;Fuel'!W196/(1-'Prices&amp;Fuel'!F196)</f>
        <v>1564.0102827763496</v>
      </c>
      <c r="BH196" s="25">
        <f>('Prices&amp;Fuel'!C196+'Prices&amp;Fuel'!D196)/2-0.05+('Prices&amp;Fuel'!M196+'Prices&amp;Fuel'!P196)*(1-'Prices&amp;Fuel'!F196)</f>
        <v>6.4820808361263014</v>
      </c>
      <c r="BI196" s="25"/>
      <c r="BJ196" s="25"/>
      <c r="BK196" s="25">
        <f>(((BB196+BE196)*('Prices&amp;Fuel'!B196+0.025))+(('Prices&amp;Fuel'!D196+0.025)*(BD196+BG196))+(('Prices&amp;Fuel'!C196+0.025)*(BC196+BF196))-(BI196+BJ196)*0.025)/(BB196+BC196+BD196+BE196+BF196+BG196)</f>
        <v>5.7928439908882057</v>
      </c>
      <c r="BL196" s="14">
        <f>(BB196+BC196+BD196+BE196+BF196+BG196)*BH196*'Prices&amp;Fuel'!H196</f>
        <v>4339161.5674222969</v>
      </c>
      <c r="BM196" s="14">
        <f>'Prices&amp;Fuel'!X196*('Prices&amp;Fuel'!N196+'Prices&amp;Fuel'!O196)*'Prices&amp;Fuel'!H196</f>
        <v>13833.205057645318</v>
      </c>
      <c r="BN196" s="14">
        <f>('Prices&amp;Fuel'!U196+'Prices&amp;Fuel'!V196+'Prices&amp;Fuel'!W196)*('Prices&amp;Fuel'!L196+'Prices&amp;Fuel'!O196)*'Prices&amp;Fuel'!H196</f>
        <v>108495.99691066272</v>
      </c>
      <c r="BO196" s="14">
        <f>((BB196+BC196+BD196)*(1-'Prices&amp;Fuel'!G196))*('Prices&amp;Fuel'!M196+'Prices&amp;Fuel'!P196)*'Prices&amp;Fuel'!H196</f>
        <v>288278.11399999529</v>
      </c>
      <c r="BP196" s="14">
        <f>((BD196+BC196+BB196+BE196+BF196+BG196)*BK196*'Prices&amp;Fuel'!H196)+BM196+BN196+BO196</f>
        <v>4288387.715010141</v>
      </c>
      <c r="BQ196" s="6">
        <f>BL196-BP196</f>
        <v>50773.852412155829</v>
      </c>
      <c r="BT196" s="1"/>
      <c r="BU196" s="1"/>
      <c r="BV196" s="1"/>
      <c r="BW196" s="1"/>
      <c r="BX196" s="1"/>
      <c r="BY196" s="1"/>
      <c r="BZ196" s="1"/>
      <c r="CA196" s="1"/>
      <c r="CB196" s="1"/>
      <c r="CC196" s="1"/>
      <c r="CD196" s="1"/>
      <c r="CE196" s="1"/>
      <c r="CI196" s="1"/>
      <c r="CJ196" s="1"/>
      <c r="CK196" s="1"/>
      <c r="CL196" s="1"/>
      <c r="CM196" s="1"/>
      <c r="CN196" s="1">
        <f>Transport!U196</f>
        <v>4.3920459575019776E-9</v>
      </c>
      <c r="CS196" s="21"/>
      <c r="CV196" s="60">
        <f t="shared" si="170"/>
        <v>-4.3920459575019776E-9</v>
      </c>
    </row>
    <row r="197" spans="1:106" x14ac:dyDescent="0.25">
      <c r="A197" s="10">
        <f t="shared" si="204"/>
        <v>41588.999999999534</v>
      </c>
      <c r="G197" s="1"/>
      <c r="J197" s="1"/>
      <c r="K197" s="1"/>
      <c r="L197" s="1"/>
      <c r="M197" s="1"/>
      <c r="N197" s="1"/>
      <c r="O197" s="1"/>
      <c r="P197" s="1"/>
      <c r="Q197" s="1"/>
      <c r="R197" s="1"/>
      <c r="S197" s="1"/>
      <c r="T197" s="1"/>
      <c r="U197" s="1"/>
      <c r="V197" s="1"/>
      <c r="W197" s="1"/>
      <c r="X197" s="1"/>
      <c r="Y197" s="1"/>
      <c r="Z197" s="1"/>
      <c r="AA197" s="1"/>
      <c r="AB197" s="1"/>
      <c r="AC197" s="1"/>
      <c r="AD197" s="1"/>
      <c r="AE197" s="1"/>
      <c r="AF197" s="1"/>
      <c r="AH197" s="1"/>
      <c r="AI197" s="1"/>
      <c r="AJ197" s="1"/>
      <c r="AK197" s="1"/>
      <c r="AL197" s="1"/>
      <c r="AM197" s="1"/>
      <c r="AN197" s="1"/>
      <c r="AO197" s="1"/>
      <c r="AP197" s="1"/>
      <c r="AQ197" s="1"/>
      <c r="AR197" s="1"/>
      <c r="AS197" s="1"/>
      <c r="AT197" s="1"/>
      <c r="AU197" s="1"/>
      <c r="AW197" s="1"/>
      <c r="AX197" s="1"/>
      <c r="AY197" s="1"/>
      <c r="AZ197" s="1"/>
      <c r="BA197" s="1"/>
      <c r="BB197" s="6"/>
      <c r="BC197" s="14"/>
      <c r="BD197" s="14"/>
      <c r="BE197" s="14"/>
      <c r="BF197" s="14"/>
      <c r="BG197" s="14"/>
      <c r="BH197" s="1"/>
      <c r="BI197" s="1"/>
      <c r="BJ197" s="1"/>
      <c r="BK197" s="1"/>
      <c r="BL197" s="1"/>
      <c r="BM197" s="1"/>
      <c r="BN197" s="1"/>
      <c r="BO197" s="1"/>
      <c r="BP197" s="1"/>
      <c r="BQ197" s="1"/>
      <c r="BT197" s="1"/>
      <c r="BU197" s="1"/>
      <c r="BV197" s="1"/>
      <c r="BW197" s="1"/>
      <c r="BX197" s="1"/>
      <c r="BY197" s="1"/>
      <c r="BZ197" s="1"/>
      <c r="CA197" s="1"/>
      <c r="CB197" s="1"/>
      <c r="CC197" s="1"/>
      <c r="CD197" s="1"/>
      <c r="CE197" s="1"/>
      <c r="CF197" s="1"/>
      <c r="CG197" s="1"/>
      <c r="CH197" s="1"/>
      <c r="CI197" s="1"/>
      <c r="CJ197" s="1"/>
      <c r="CK197" s="1"/>
      <c r="CL197" s="1"/>
      <c r="CM197" s="1"/>
      <c r="CN197" s="1">
        <f>Transport!U197</f>
        <v>92739.108000000007</v>
      </c>
      <c r="CS197" s="21"/>
      <c r="CV197" s="60">
        <f t="shared" si="170"/>
        <v>-92739.108000000007</v>
      </c>
    </row>
    <row r="198" spans="1:106" x14ac:dyDescent="0.25">
      <c r="A198" s="10">
        <f t="shared" si="204"/>
        <v>41619.416666666199</v>
      </c>
      <c r="G198" s="1"/>
      <c r="J198" s="1"/>
      <c r="K198" s="1"/>
      <c r="L198" s="1"/>
      <c r="M198" s="1"/>
      <c r="N198" s="1"/>
      <c r="O198" s="1"/>
      <c r="P198" s="1"/>
      <c r="Q198" s="1"/>
      <c r="R198" s="1"/>
      <c r="S198" s="1"/>
      <c r="T198" s="1"/>
      <c r="U198" s="1"/>
      <c r="V198" s="1"/>
      <c r="W198" s="1"/>
      <c r="X198" s="1"/>
      <c r="Y198" s="1"/>
      <c r="Z198" s="1"/>
      <c r="AA198" s="1"/>
      <c r="AB198" s="1"/>
      <c r="AC198" s="1"/>
      <c r="AD198" s="1"/>
      <c r="AE198" s="1"/>
      <c r="AF198" s="1"/>
      <c r="AH198" s="1"/>
      <c r="AI198" s="1"/>
      <c r="AJ198" s="1"/>
      <c r="AK198" s="1"/>
      <c r="AL198" s="1"/>
      <c r="AM198" s="1"/>
      <c r="AN198" s="1"/>
      <c r="AO198" s="1"/>
      <c r="AP198" s="1"/>
      <c r="AQ198" s="1"/>
      <c r="AR198" s="1"/>
      <c r="AS198" s="1"/>
      <c r="AT198" s="1"/>
      <c r="AU198" s="1"/>
      <c r="AW198" s="1"/>
      <c r="AX198" s="1"/>
      <c r="AY198" s="1"/>
      <c r="AZ198" s="1"/>
      <c r="BA198" s="1"/>
      <c r="BB198" s="6"/>
      <c r="BC198" s="14"/>
      <c r="BD198" s="14"/>
      <c r="BE198" s="14"/>
      <c r="BF198" s="14"/>
      <c r="BG198" s="14"/>
      <c r="BH198" s="1"/>
      <c r="BI198" s="1"/>
      <c r="BJ198" s="1"/>
      <c r="BK198" s="1"/>
      <c r="BL198" s="1"/>
      <c r="BM198" s="1"/>
      <c r="BN198" s="1"/>
      <c r="BO198" s="1"/>
      <c r="BP198" s="1"/>
      <c r="BQ198" s="1"/>
      <c r="BT198" s="1"/>
      <c r="BU198" s="1"/>
      <c r="BV198" s="1"/>
      <c r="BW198" s="1"/>
      <c r="BX198" s="1"/>
      <c r="BY198" s="1"/>
      <c r="BZ198" s="1"/>
      <c r="CA198" s="1"/>
      <c r="CB198" s="1"/>
      <c r="CC198" s="1"/>
      <c r="CD198" s="1"/>
      <c r="CE198" s="1"/>
      <c r="CF198" s="1"/>
      <c r="CG198" s="1"/>
      <c r="CH198" s="1"/>
      <c r="CI198" s="1"/>
      <c r="CJ198" s="1"/>
      <c r="CK198" s="1"/>
      <c r="CL198" s="1"/>
      <c r="CM198" s="1"/>
      <c r="CN198" s="1">
        <f>Transport!U198</f>
        <v>95830.411600000007</v>
      </c>
      <c r="CS198" s="21"/>
      <c r="CV198" s="60">
        <f t="shared" ref="CV198:CV212" si="205">CL198-CN198-CT198+CU198+CS198+CO198</f>
        <v>-95830.411600000007</v>
      </c>
    </row>
    <row r="199" spans="1:106" x14ac:dyDescent="0.25">
      <c r="A199" s="10">
        <f t="shared" si="204"/>
        <v>41649.833333332863</v>
      </c>
      <c r="G199" s="1"/>
      <c r="J199" s="1"/>
      <c r="K199" s="1"/>
      <c r="L199" s="1"/>
      <c r="M199" s="1"/>
      <c r="N199" s="1"/>
      <c r="O199" s="1"/>
      <c r="P199" s="1"/>
      <c r="Q199" s="1"/>
      <c r="R199" s="1"/>
      <c r="S199" s="1"/>
      <c r="T199" s="1"/>
      <c r="U199" s="1"/>
      <c r="V199" s="1"/>
      <c r="W199" s="1"/>
      <c r="X199" s="1"/>
      <c r="Y199" s="1"/>
      <c r="Z199" s="1"/>
      <c r="AA199" s="1"/>
      <c r="AB199" s="1"/>
      <c r="AC199" s="1"/>
      <c r="AD199" s="1"/>
      <c r="AE199" s="1"/>
      <c r="AF199" s="1"/>
      <c r="AH199" s="1"/>
      <c r="AI199" s="1"/>
      <c r="AJ199" s="1"/>
      <c r="AK199" s="1"/>
      <c r="AL199" s="1"/>
      <c r="AM199" s="1"/>
      <c r="AN199" s="1"/>
      <c r="AO199" s="1"/>
      <c r="AP199" s="1"/>
      <c r="AQ199" s="1"/>
      <c r="AR199" s="1"/>
      <c r="AS199" s="1"/>
      <c r="AT199" s="1"/>
      <c r="AU199" s="1"/>
      <c r="AW199" s="1"/>
      <c r="AX199" s="1"/>
      <c r="AY199" s="1"/>
      <c r="AZ199" s="1"/>
      <c r="BA199" s="1"/>
      <c r="BB199" s="6"/>
      <c r="BC199" s="14"/>
      <c r="BD199" s="14"/>
      <c r="BE199" s="14"/>
      <c r="BF199" s="14"/>
      <c r="BG199" s="14"/>
      <c r="BH199" s="1"/>
      <c r="BI199" s="1"/>
      <c r="BJ199" s="1"/>
      <c r="BK199" s="1"/>
      <c r="BL199" s="1"/>
      <c r="BM199" s="1"/>
      <c r="BN199" s="1"/>
      <c r="BO199" s="1"/>
      <c r="BP199" s="1"/>
      <c r="BQ199" s="1"/>
      <c r="BT199" s="1"/>
      <c r="BU199" s="1"/>
      <c r="BV199" s="1"/>
      <c r="BW199" s="1"/>
      <c r="BX199" s="1"/>
      <c r="BY199" s="1"/>
      <c r="BZ199" s="1"/>
      <c r="CA199" s="1"/>
      <c r="CB199" s="1"/>
      <c r="CC199" s="1"/>
      <c r="CD199" s="1"/>
      <c r="CE199" s="1"/>
      <c r="CF199" s="1"/>
      <c r="CG199" s="1"/>
      <c r="CH199" s="1"/>
      <c r="CI199" s="1"/>
      <c r="CJ199" s="1"/>
      <c r="CK199" s="1"/>
      <c r="CL199" s="1"/>
      <c r="CM199" s="1"/>
      <c r="CN199" s="1">
        <f>Transport!U199</f>
        <v>95830.411600000007</v>
      </c>
      <c r="CS199" s="21"/>
      <c r="CV199" s="60">
        <f t="shared" si="205"/>
        <v>-95830.411600000007</v>
      </c>
    </row>
    <row r="200" spans="1:106" customFormat="1" x14ac:dyDescent="0.25">
      <c r="A200" s="10">
        <f t="shared" si="204"/>
        <v>41680.249999999527</v>
      </c>
      <c r="AG200" s="21"/>
      <c r="AV200" s="21"/>
      <c r="BB200" s="6"/>
      <c r="BC200" s="14"/>
      <c r="BD200" s="14"/>
      <c r="BE200" s="14"/>
      <c r="BF200" s="14"/>
      <c r="BG200" s="14"/>
      <c r="CN200" s="1">
        <f>Transport!U200</f>
        <v>86556.500799999994</v>
      </c>
      <c r="CQ200" s="21"/>
      <c r="CR200" s="21"/>
      <c r="CS200" s="21"/>
      <c r="CV200" s="60">
        <f t="shared" si="205"/>
        <v>-86556.500799999994</v>
      </c>
      <c r="DB200" s="3"/>
    </row>
    <row r="201" spans="1:106" customFormat="1" x14ac:dyDescent="0.25">
      <c r="A201" s="10">
        <f t="shared" si="204"/>
        <v>41710.666666666191</v>
      </c>
      <c r="AG201" s="21"/>
      <c r="AV201" s="21"/>
      <c r="BB201" s="6"/>
      <c r="BC201" s="14"/>
      <c r="BD201" s="14"/>
      <c r="BE201" s="14"/>
      <c r="BF201" s="14"/>
      <c r="BG201" s="14"/>
      <c r="CN201" s="1">
        <f>Transport!U201</f>
        <v>95830.411600000007</v>
      </c>
      <c r="CQ201" s="21"/>
      <c r="CR201" s="21"/>
      <c r="CS201" s="21"/>
      <c r="CV201" s="60">
        <f t="shared" si="205"/>
        <v>-95830.411600000007</v>
      </c>
      <c r="DB201" s="3"/>
    </row>
    <row r="202" spans="1:106" customFormat="1" x14ac:dyDescent="0.25">
      <c r="A202" s="10">
        <f t="shared" si="204"/>
        <v>41741.083333332856</v>
      </c>
      <c r="AG202" s="21"/>
      <c r="AV202" s="21"/>
      <c r="BB202" s="6"/>
      <c r="BC202" s="14"/>
      <c r="BD202" s="14"/>
      <c r="BE202" s="14"/>
      <c r="BF202" s="14"/>
      <c r="BG202" s="14"/>
      <c r="CN202" s="1">
        <f>Transport!U202</f>
        <v>134600.66399999999</v>
      </c>
      <c r="CQ202" s="21"/>
      <c r="CR202" s="21"/>
      <c r="CS202" s="21"/>
      <c r="CV202" s="60">
        <f t="shared" si="205"/>
        <v>-134600.66399999999</v>
      </c>
      <c r="DB202" s="3"/>
    </row>
    <row r="203" spans="1:106" x14ac:dyDescent="0.25">
      <c r="A203" s="10">
        <f t="shared" si="204"/>
        <v>41771.49999999952</v>
      </c>
      <c r="BB203" s="6"/>
      <c r="BC203" s="14"/>
      <c r="BD203" s="14"/>
      <c r="BE203" s="14"/>
      <c r="BF203" s="14"/>
      <c r="BG203" s="14"/>
      <c r="BQ203" s="13"/>
      <c r="CN203" s="1">
        <f>Transport!U203</f>
        <v>344096.5528</v>
      </c>
      <c r="CS203" s="21"/>
      <c r="CV203" s="60">
        <f t="shared" si="205"/>
        <v>-344096.5528</v>
      </c>
    </row>
    <row r="204" spans="1:106" x14ac:dyDescent="0.25">
      <c r="A204" s="10">
        <f t="shared" si="204"/>
        <v>41801.916666666184</v>
      </c>
      <c r="BB204" s="6"/>
      <c r="BC204" s="14"/>
      <c r="BD204" s="14"/>
      <c r="BE204" s="14"/>
      <c r="BF204" s="14"/>
      <c r="BG204" s="14"/>
      <c r="BQ204" s="13"/>
      <c r="CN204" s="1">
        <f>Transport!U204</f>
        <v>332996.66399999999</v>
      </c>
      <c r="CS204" s="21"/>
      <c r="CV204" s="60">
        <f t="shared" si="205"/>
        <v>-332996.66399999999</v>
      </c>
    </row>
    <row r="205" spans="1:106" x14ac:dyDescent="0.25">
      <c r="A205" s="10">
        <f t="shared" si="204"/>
        <v>41832.333333332848</v>
      </c>
      <c r="BB205" s="6"/>
      <c r="BC205" s="14"/>
      <c r="BD205" s="14"/>
      <c r="BE205" s="14"/>
      <c r="BF205" s="14"/>
      <c r="BG205" s="14"/>
      <c r="BQ205" s="13"/>
      <c r="CN205" s="1">
        <f>Transport!U205</f>
        <v>344096.5528</v>
      </c>
      <c r="CS205" s="21"/>
      <c r="CV205" s="60">
        <f t="shared" si="205"/>
        <v>-344096.5528</v>
      </c>
    </row>
    <row r="206" spans="1:106" x14ac:dyDescent="0.25">
      <c r="A206" s="10">
        <f t="shared" si="204"/>
        <v>41862.749999999513</v>
      </c>
      <c r="BB206" s="6"/>
      <c r="BC206" s="14"/>
      <c r="BD206" s="14"/>
      <c r="BE206" s="14"/>
      <c r="BF206" s="14"/>
      <c r="BG206" s="14"/>
      <c r="CN206" s="1">
        <f>Transport!U206</f>
        <v>344096.5528</v>
      </c>
      <c r="CS206" s="21"/>
      <c r="CV206" s="60">
        <f t="shared" si="205"/>
        <v>-344096.5528</v>
      </c>
    </row>
    <row r="207" spans="1:106" x14ac:dyDescent="0.25">
      <c r="A207" s="10">
        <f t="shared" si="204"/>
        <v>41893.166666666177</v>
      </c>
      <c r="BB207" s="6"/>
      <c r="BC207" s="14"/>
      <c r="BD207" s="14"/>
      <c r="BE207" s="14"/>
      <c r="BF207" s="14"/>
      <c r="BG207" s="14"/>
      <c r="CN207" s="1">
        <f>Transport!U207</f>
        <v>332996.66399999999</v>
      </c>
      <c r="CS207" s="21"/>
      <c r="CV207" s="60">
        <f t="shared" si="205"/>
        <v>-332996.66399999999</v>
      </c>
    </row>
    <row r="208" spans="1:106" x14ac:dyDescent="0.25">
      <c r="A208" s="10">
        <f t="shared" si="204"/>
        <v>41923.583333332841</v>
      </c>
      <c r="CN208" s="1">
        <f>Transport!U208</f>
        <v>276716.86239999998</v>
      </c>
      <c r="CS208" s="21"/>
      <c r="CV208" s="60">
        <f t="shared" si="205"/>
        <v>-276716.86239999998</v>
      </c>
    </row>
    <row r="209" spans="1:100" x14ac:dyDescent="0.25">
      <c r="A209" s="10">
        <f t="shared" si="204"/>
        <v>41953.999999999505</v>
      </c>
      <c r="CN209" s="1">
        <f>Transport!U209</f>
        <v>92739.108000000007</v>
      </c>
      <c r="CS209" s="21"/>
      <c r="CV209" s="60">
        <f t="shared" si="205"/>
        <v>-92739.108000000007</v>
      </c>
    </row>
    <row r="210" spans="1:100" x14ac:dyDescent="0.25">
      <c r="A210" s="10">
        <f t="shared" si="204"/>
        <v>41984.416666666169</v>
      </c>
      <c r="CN210" s="1">
        <f>Transport!U210</f>
        <v>95830.411600000007</v>
      </c>
      <c r="CS210" s="21"/>
      <c r="CV210" s="60">
        <f t="shared" si="205"/>
        <v>-95830.411600000007</v>
      </c>
    </row>
    <row r="211" spans="1:100" x14ac:dyDescent="0.25">
      <c r="A211" s="10">
        <f t="shared" si="204"/>
        <v>42014.833333332834</v>
      </c>
      <c r="BO211" s="1"/>
      <c r="CN211" s="1">
        <f>Transport!U211</f>
        <v>95830.411600000007</v>
      </c>
      <c r="CS211" s="21"/>
      <c r="CV211" s="60">
        <f t="shared" si="205"/>
        <v>-95830.411600000007</v>
      </c>
    </row>
    <row r="212" spans="1:100" x14ac:dyDescent="0.25">
      <c r="A212" s="10">
        <f t="shared" si="204"/>
        <v>42045.249999999498</v>
      </c>
      <c r="CN212" s="1">
        <f>Transport!U212</f>
        <v>86556.500799999994</v>
      </c>
      <c r="CS212" s="21"/>
      <c r="CV212" s="60">
        <f t="shared" si="205"/>
        <v>-86556.500799999994</v>
      </c>
    </row>
    <row r="213" spans="1:100" x14ac:dyDescent="0.25">
      <c r="CS213" s="21"/>
    </row>
    <row r="214" spans="1:100" x14ac:dyDescent="0.25">
      <c r="CS214" s="21"/>
    </row>
    <row r="215" spans="1:100" x14ac:dyDescent="0.25">
      <c r="CS215" s="21"/>
    </row>
    <row r="216" spans="1:100" x14ac:dyDescent="0.25">
      <c r="CS216" s="21"/>
    </row>
    <row r="217" spans="1:100" x14ac:dyDescent="0.25">
      <c r="CS217" s="21"/>
    </row>
    <row r="218" spans="1:100" x14ac:dyDescent="0.25">
      <c r="CS218" s="21"/>
    </row>
    <row r="219" spans="1:100" x14ac:dyDescent="0.25">
      <c r="CS219" s="21"/>
    </row>
    <row r="220" spans="1:100" x14ac:dyDescent="0.25">
      <c r="CS220" s="21"/>
    </row>
    <row r="221" spans="1:100" x14ac:dyDescent="0.25">
      <c r="CS221" s="21"/>
    </row>
    <row r="222" spans="1:100" x14ac:dyDescent="0.25">
      <c r="CS222" s="21"/>
    </row>
    <row r="223" spans="1:100" x14ac:dyDescent="0.25">
      <c r="CS223" s="21"/>
    </row>
    <row r="224" spans="1:100" x14ac:dyDescent="0.25">
      <c r="CS224" s="21"/>
    </row>
    <row r="225" spans="97:97" x14ac:dyDescent="0.25">
      <c r="CS225" s="21"/>
    </row>
  </sheetData>
  <printOptions horizontalCentered="1" gridLines="1" gridLinesSet="0"/>
  <pageMargins left="0" right="0" top="0.75" bottom="0.25" header="0" footer="0"/>
  <pageSetup scale="80" orientation="landscape" horizontalDpi="300" verticalDpi="300" r:id="rId1"/>
  <headerFooter alignWithMargins="0"/>
  <colBreaks count="3" manualBreakCount="3">
    <brk id="13" max="1048575" man="1"/>
    <brk id="22" max="1048575" man="1"/>
    <brk id="3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6"/>
  <sheetViews>
    <sheetView zoomScale="75" workbookViewId="0">
      <pane xSplit="1" ySplit="4" topLeftCell="U6" activePane="bottomRight" state="frozen"/>
      <selection activeCell="N24" sqref="N24"/>
      <selection pane="topRight" activeCell="N24" sqref="N24"/>
      <selection pane="bottomLeft" activeCell="N24" sqref="N24"/>
      <selection pane="bottomRight" activeCell="N24" sqref="N24"/>
    </sheetView>
  </sheetViews>
  <sheetFormatPr defaultColWidth="9.109375" defaultRowHeight="13.2" x14ac:dyDescent="0.25"/>
  <cols>
    <col min="1" max="1" width="9.109375" style="3"/>
    <col min="2" max="2" width="10.33203125" style="3" customWidth="1"/>
    <col min="3" max="3" width="10.109375" style="1" customWidth="1"/>
    <col min="4" max="7" width="10.88671875" style="3" customWidth="1"/>
    <col min="8" max="8" width="12" style="3" customWidth="1"/>
    <col min="9" max="9" width="9.88671875" style="3" customWidth="1"/>
    <col min="10" max="11" width="10.6640625" style="3" customWidth="1"/>
    <col min="12" max="13" width="10.5546875" style="3" customWidth="1"/>
    <col min="14" max="14" width="9.6640625" style="3" customWidth="1"/>
    <col min="15" max="15" width="9.88671875" style="3" customWidth="1"/>
    <col min="16" max="16" width="11.6640625" style="3" customWidth="1"/>
    <col min="17" max="17" width="9" style="3" customWidth="1"/>
    <col min="18" max="18" width="7.6640625" style="1" customWidth="1"/>
    <col min="19" max="19" width="7.33203125" style="3" customWidth="1"/>
    <col min="20" max="20" width="8.5546875" style="3" customWidth="1"/>
    <col min="21" max="21" width="11.5546875" style="3" customWidth="1"/>
    <col min="22" max="22" width="11" style="3" customWidth="1"/>
    <col min="23" max="23" width="11.44140625" style="3" customWidth="1"/>
    <col min="24" max="24" width="9.109375" style="3"/>
    <col min="25" max="25" width="11.109375" style="3" customWidth="1"/>
    <col min="26" max="26" width="10.33203125" style="3" customWidth="1"/>
    <col min="27" max="27" width="9.88671875" style="3" customWidth="1"/>
    <col min="28" max="30" width="10.33203125" customWidth="1"/>
    <col min="31" max="32" width="9.109375" style="3"/>
    <col min="33" max="33" width="11.109375" style="3" customWidth="1"/>
    <col min="34" max="34" width="11.6640625" style="3" customWidth="1"/>
    <col min="35" max="36" width="12" style="3" customWidth="1"/>
    <col min="37" max="16384" width="9.109375" style="3"/>
  </cols>
  <sheetData>
    <row r="1" spans="1:36" x14ac:dyDescent="0.25">
      <c r="Y1"/>
      <c r="AB1" s="58"/>
      <c r="AC1" s="58"/>
      <c r="AD1" s="58"/>
    </row>
    <row r="2" spans="1:36" ht="10.199999999999999" x14ac:dyDescent="0.2">
      <c r="AB2" s="58"/>
      <c r="AC2" s="58"/>
      <c r="AD2" s="58"/>
    </row>
    <row r="3" spans="1:36" ht="19.2" customHeight="1" x14ac:dyDescent="0.2">
      <c r="B3" s="5" t="s">
        <v>132</v>
      </c>
      <c r="C3" s="4"/>
      <c r="D3" s="5"/>
      <c r="E3" s="5"/>
      <c r="F3" s="5"/>
      <c r="G3" s="5"/>
      <c r="H3" s="5"/>
      <c r="I3" s="5"/>
      <c r="J3" s="5"/>
      <c r="K3" s="5"/>
      <c r="L3" s="5"/>
      <c r="M3" s="5"/>
      <c r="N3" s="5"/>
      <c r="O3" s="5"/>
      <c r="P3" s="5"/>
      <c r="Q3" s="5"/>
      <c r="R3" s="4"/>
      <c r="S3" s="5"/>
      <c r="T3" s="5"/>
      <c r="U3" s="5"/>
      <c r="V3" s="5"/>
      <c r="W3" s="5"/>
      <c r="X3" s="50"/>
      <c r="AB3" s="58"/>
      <c r="AC3" s="58"/>
      <c r="AD3" s="58"/>
    </row>
    <row r="4" spans="1:36" s="8" customFormat="1" ht="40.799999999999997" x14ac:dyDescent="0.2">
      <c r="A4" s="8" t="s">
        <v>1</v>
      </c>
      <c r="B4" s="6" t="s">
        <v>136</v>
      </c>
      <c r="C4" s="6" t="s">
        <v>137</v>
      </c>
      <c r="D4" s="6" t="s">
        <v>145</v>
      </c>
      <c r="E4" s="7" t="s">
        <v>146</v>
      </c>
      <c r="F4" s="7" t="s">
        <v>147</v>
      </c>
      <c r="G4" s="7" t="s">
        <v>148</v>
      </c>
      <c r="H4" s="7" t="s">
        <v>149</v>
      </c>
      <c r="I4" s="9" t="s">
        <v>150</v>
      </c>
      <c r="J4" s="9" t="s">
        <v>151</v>
      </c>
      <c r="K4" s="9" t="s">
        <v>152</v>
      </c>
      <c r="L4" s="9" t="s">
        <v>153</v>
      </c>
      <c r="M4" s="9" t="s">
        <v>154</v>
      </c>
      <c r="N4" s="9" t="s">
        <v>155</v>
      </c>
      <c r="O4" s="9" t="s">
        <v>156</v>
      </c>
      <c r="P4" s="9" t="s">
        <v>157</v>
      </c>
      <c r="Q4" s="8" t="s">
        <v>158</v>
      </c>
      <c r="R4" s="7" t="s">
        <v>159</v>
      </c>
      <c r="S4" s="8" t="s">
        <v>160</v>
      </c>
      <c r="T4" s="8" t="s">
        <v>161</v>
      </c>
      <c r="U4" s="8" t="s">
        <v>11</v>
      </c>
      <c r="V4" s="8" t="s">
        <v>22</v>
      </c>
      <c r="W4" s="8" t="s">
        <v>23</v>
      </c>
      <c r="X4" s="8" t="s">
        <v>163</v>
      </c>
      <c r="Y4" s="8" t="s">
        <v>167</v>
      </c>
      <c r="Z4" s="8" t="s">
        <v>169</v>
      </c>
      <c r="AA4" s="8" t="s">
        <v>170</v>
      </c>
      <c r="AB4" s="59" t="s">
        <v>23</v>
      </c>
      <c r="AC4" s="59" t="s">
        <v>178</v>
      </c>
      <c r="AD4" s="59" t="s">
        <v>179</v>
      </c>
      <c r="AE4" s="8" t="s">
        <v>172</v>
      </c>
      <c r="AF4" s="8" t="s">
        <v>177</v>
      </c>
      <c r="AG4" s="8" t="s">
        <v>180</v>
      </c>
      <c r="AH4" s="8" t="s">
        <v>181</v>
      </c>
      <c r="AI4" s="8" t="s">
        <v>182</v>
      </c>
    </row>
    <row r="5" spans="1:36" ht="10.199999999999999" x14ac:dyDescent="0.2">
      <c r="A5" s="10">
        <v>35749</v>
      </c>
      <c r="B5" s="1">
        <f>'Long Term Deals'!AF5</f>
        <v>95953.592439401749</v>
      </c>
      <c r="C5" s="1">
        <f>'Long Term Deals'!AG5</f>
        <v>21838.058483754518</v>
      </c>
      <c r="D5" s="1">
        <f>'Long Term Deals'!AH5</f>
        <v>44147.513641052094</v>
      </c>
      <c r="E5" s="1">
        <f>'Long Term Deals'!AI5</f>
        <v>26175.34</v>
      </c>
      <c r="F5" s="1">
        <f>'Long Term Deals'!AJ5</f>
        <v>88111.4</v>
      </c>
      <c r="G5" s="1">
        <f>'Long Term Deals'!AK5</f>
        <v>33211.949999999997</v>
      </c>
      <c r="H5" s="1">
        <f>'Long Term Deals'!AL5</f>
        <v>147498.69</v>
      </c>
      <c r="I5" s="1">
        <f>'Long Term Deals'!AM5</f>
        <v>7977</v>
      </c>
      <c r="J5" s="1">
        <f>'Long Term Deals'!AN5</f>
        <v>8408</v>
      </c>
      <c r="K5" s="1">
        <f>'Long Term Deals'!AO5</f>
        <v>14085</v>
      </c>
      <c r="L5" s="1">
        <f>'Long Term Deals'!AP5</f>
        <v>80000</v>
      </c>
      <c r="M5" s="1">
        <f>'Long Term Deals'!AQ5</f>
        <v>5023</v>
      </c>
      <c r="N5" s="1">
        <f>'Long Term Deals'!AR5</f>
        <v>7977</v>
      </c>
      <c r="O5" s="1">
        <f>'Long Term Deals'!AS5</f>
        <v>8408</v>
      </c>
      <c r="P5" s="1">
        <f>'Long Term Deals'!AT5</f>
        <v>14084.513641052094</v>
      </c>
      <c r="Q5" s="1">
        <f>'Long Term Deals'!AU5</f>
        <v>221248.035</v>
      </c>
      <c r="R5" s="1">
        <f>'Long Term Deals'!AV5</f>
        <v>15978</v>
      </c>
      <c r="S5" s="20">
        <f>'Long Term Deals'!AW5</f>
        <v>0.15</v>
      </c>
      <c r="T5" s="20">
        <f>'Long Term Deals'!AX5</f>
        <v>0.05</v>
      </c>
      <c r="U5" s="1">
        <f>'Long Term Deals'!AY5</f>
        <v>17057404.173527591</v>
      </c>
      <c r="V5" s="1">
        <f>'Long Term Deals'!AZ5</f>
        <v>15885148.555002579</v>
      </c>
      <c r="W5" s="6">
        <f>U5-V5</f>
        <v>1172255.6185250115</v>
      </c>
      <c r="X5" s="6">
        <f>'Long Term Deals'!CA5</f>
        <v>46415.678184631259</v>
      </c>
      <c r="Y5" s="1"/>
      <c r="Z5" s="1">
        <f>[3]Sheet1!$O13</f>
        <v>525297.33613643632</v>
      </c>
      <c r="AA5" s="1">
        <f>'[4]Long Term Deals'!$Z4</f>
        <v>127773.39806539769</v>
      </c>
      <c r="AB5" s="60">
        <f t="shared" ref="AB5:AB12" si="0">-Z5+AA5+Y5+W5</f>
        <v>774731.68045397289</v>
      </c>
      <c r="AC5" s="60">
        <f>AB5-Y5</f>
        <v>774731.68045397289</v>
      </c>
      <c r="AD5" s="60">
        <f>AC5+Z5-AA5+X5</f>
        <v>1218671.2967096427</v>
      </c>
      <c r="AE5" s="28">
        <f>(W5-Z5+AA5)/(B5+C5+D5)/'Prices&amp;Fuel'!H5</f>
        <v>0.15946969603036623</v>
      </c>
      <c r="AF5" s="3">
        <v>300000</v>
      </c>
      <c r="AG5" s="1">
        <f>((((I5*'Prices&amp;Fuel'!B5+'Prices&amp;Fuel'!C5*FPL!J5+FPL!K5*'Prices&amp;Fuel'!D5))+(L5*'Prices&amp;Fuel'!B5+'Prices&amp;Fuel'!C5*FPL!M5))*'Prices&amp;Fuel'!H5)+(I5+J5+K5)*'Prices&amp;Fuel'!H5*FPL!T5+Q5/2</f>
        <v>11267832.817499999</v>
      </c>
      <c r="AH5" s="1">
        <f>(N5*'Prices&amp;Fuel'!B5+'Prices&amp;Fuel'!C5*O5+P5*'Prices&amp;Fuel'!D5)*'Prices&amp;Fuel'!H5+(N5+O5+P5)*'Prices&amp;Fuel'!H5*FPL!T5+Q5/2</f>
        <v>3096535.9975025789</v>
      </c>
      <c r="AI5" s="1">
        <f>R5*'Prices&amp;Fuel'!H5*'Prices&amp;Fuel'!Q5</f>
        <v>1520779.74</v>
      </c>
      <c r="AJ5" s="52">
        <f>SUM(AG5:AI5)-'Long Term Deals'!AZ5</f>
        <v>0</v>
      </c>
    </row>
    <row r="6" spans="1:36" ht="10.199999999999999" x14ac:dyDescent="0.2">
      <c r="A6" s="10">
        <f t="shared" ref="A6:A69" si="1">+A5+365/12</f>
        <v>35779.416666666664</v>
      </c>
      <c r="B6" s="1">
        <f>'Long Term Deals'!AF6</f>
        <v>91879.319236719952</v>
      </c>
      <c r="C6" s="1">
        <f>'Long Term Deals'!AG6</f>
        <v>25818.65394533264</v>
      </c>
      <c r="D6" s="1">
        <f>'Long Term Deals'!AH6</f>
        <v>18454.682826199074</v>
      </c>
      <c r="E6" s="1">
        <f>'Long Term Deals'!AI6</f>
        <v>30249.613202681794</v>
      </c>
      <c r="F6" s="1">
        <f>'Long Term Deals'!AJ6</f>
        <v>84130.804538421871</v>
      </c>
      <c r="G6" s="1">
        <f>'Long Term Deals'!AK6</f>
        <v>58904.780814853017</v>
      </c>
      <c r="H6" s="1">
        <f>'Long Term Deals'!AL6</f>
        <v>173285.19855595668</v>
      </c>
      <c r="I6" s="1">
        <f>'Long Term Deals'!AM6</f>
        <v>5939.6596183599759</v>
      </c>
      <c r="J6" s="1">
        <f>'Long Term Deals'!AN6</f>
        <v>10397.82697266632</v>
      </c>
      <c r="K6" s="1">
        <f>'Long Term Deals'!AO6</f>
        <v>0</v>
      </c>
      <c r="L6" s="1">
        <f>'Long Term Deals'!AP6</f>
        <v>80000</v>
      </c>
      <c r="M6" s="1">
        <f>'Long Term Deals'!AQ6</f>
        <v>5023</v>
      </c>
      <c r="N6" s="1">
        <f>'Long Term Deals'!AR6</f>
        <v>5939.6596183599759</v>
      </c>
      <c r="O6" s="1">
        <f>'Long Term Deals'!AS6</f>
        <v>10397.82697266632</v>
      </c>
      <c r="P6" s="1">
        <f>'Long Term Deals'!AT6</f>
        <v>-0.22039960737674846</v>
      </c>
      <c r="Q6" s="1">
        <f>'Long Term Deals'!AU6</f>
        <v>268592.0577617329</v>
      </c>
      <c r="R6" s="1">
        <f>'Long Term Deals'!AV6</f>
        <v>18454.903225806451</v>
      </c>
      <c r="S6" s="20">
        <f>'Long Term Deals'!AW6</f>
        <v>0.15</v>
      </c>
      <c r="T6" s="20">
        <f>'Long Term Deals'!AX6</f>
        <v>0.05</v>
      </c>
      <c r="U6" s="1">
        <f>'Long Term Deals'!AY6</f>
        <v>11916927.591542033</v>
      </c>
      <c r="V6" s="1">
        <f>'Long Term Deals'!AZ6</f>
        <v>10754939.142336255</v>
      </c>
      <c r="W6" s="6">
        <f t="shared" ref="W6:W69" si="2">U6-V6</f>
        <v>1161988.4492057785</v>
      </c>
      <c r="X6" s="6">
        <f>'Long Term Deals'!CA6</f>
        <v>47962.867457452288</v>
      </c>
      <c r="Y6" s="1"/>
      <c r="Z6" s="1">
        <f>[3]Sheet1!$O14</f>
        <v>542807.24734098429</v>
      </c>
      <c r="AA6" s="1">
        <f>'[4]Long Term Deals'!$Z5</f>
        <v>132032.51133424431</v>
      </c>
      <c r="AB6" s="60">
        <f t="shared" si="0"/>
        <v>751213.71319903852</v>
      </c>
      <c r="AC6" s="60">
        <f t="shared" ref="AC6:AC69" si="3">AB6-Y6</f>
        <v>751213.71319903852</v>
      </c>
      <c r="AD6" s="60">
        <f t="shared" ref="AD6:AD69" si="4">AC6+Z6-AA6+X6</f>
        <v>1209951.3166632305</v>
      </c>
      <c r="AE6" s="28">
        <f>(W6-Z6+AA6)/(B6+C6+D6)/'Prices&amp;Fuel'!H6</f>
        <v>0.17798184138476733</v>
      </c>
      <c r="AF6" s="3">
        <v>300000</v>
      </c>
      <c r="AG6" s="1">
        <f>((((I6*'Prices&amp;Fuel'!B6+'Prices&amp;Fuel'!C6*FPL!J6+FPL!K6*'Prices&amp;Fuel'!D6))+(L6*'Prices&amp;Fuel'!B6+'Prices&amp;Fuel'!C6*FPL!M6))*'Prices&amp;Fuel'!H6)+(I6+J6+K6)*'Prices&amp;Fuel'!H6*FPL!T6+Q6/2</f>
        <v>7905752.653300669</v>
      </c>
      <c r="AH6" s="1">
        <f>(N6*'Prices&amp;Fuel'!B6+'Prices&amp;Fuel'!C6*O6+P6*'Prices&amp;Fuel'!D6)*'Prices&amp;Fuel'!H6+(N6+O6+P6)*'Prices&amp;Fuel'!H6*FPL!T6+Q6/2</f>
        <v>1432667.1490355851</v>
      </c>
      <c r="AI6" s="1">
        <f>R6*'Prices&amp;Fuel'!H6*'Prices&amp;Fuel'!Q6</f>
        <v>1416519.34</v>
      </c>
      <c r="AJ6" s="52">
        <f>SUM(AG6:AI6)-'Long Term Deals'!AZ6</f>
        <v>0</v>
      </c>
    </row>
    <row r="7" spans="1:36" ht="10.199999999999999" x14ac:dyDescent="0.2">
      <c r="A7" s="10">
        <f t="shared" si="1"/>
        <v>35809.833333333328</v>
      </c>
      <c r="B7" s="1">
        <f>'Long Term Deals'!AF7</f>
        <v>91879.319236719952</v>
      </c>
      <c r="C7" s="1">
        <f>'Long Term Deals'!AG7</f>
        <v>25988.65394533264</v>
      </c>
      <c r="D7" s="1">
        <f>'Long Term Deals'!AH7</f>
        <v>18284.682826199074</v>
      </c>
      <c r="E7" s="1">
        <f>'Long Term Deals'!AI7</f>
        <v>30249.613202681794</v>
      </c>
      <c r="F7" s="1">
        <f>'Long Term Deals'!AJ7</f>
        <v>83960.804538421871</v>
      </c>
      <c r="G7" s="1">
        <f>'Long Term Deals'!AK7</f>
        <v>59074.780814853017</v>
      </c>
      <c r="H7" s="1">
        <f>'Long Term Deals'!AL7</f>
        <v>173285.19855595668</v>
      </c>
      <c r="I7" s="1">
        <f>'Long Term Deals'!AM7</f>
        <v>5939.6596183599759</v>
      </c>
      <c r="J7" s="1">
        <f>'Long Term Deals'!AN7</f>
        <v>10482.82697266632</v>
      </c>
      <c r="K7" s="1">
        <f>'Long Term Deals'!AO7</f>
        <v>339</v>
      </c>
      <c r="L7" s="1">
        <f>'Long Term Deals'!AP7</f>
        <v>80000</v>
      </c>
      <c r="M7" s="1">
        <f>'Long Term Deals'!AQ7</f>
        <v>5023</v>
      </c>
      <c r="N7" s="1">
        <f>'Long Term Deals'!AR7</f>
        <v>5939.6596183599759</v>
      </c>
      <c r="O7" s="1">
        <f>'Long Term Deals'!AS7</f>
        <v>10482.82697266632</v>
      </c>
      <c r="P7" s="1">
        <f>'Long Term Deals'!AT7</f>
        <v>339.68282619907404</v>
      </c>
      <c r="Q7" s="1">
        <f>'Long Term Deals'!AU7</f>
        <v>268592.0577617329</v>
      </c>
      <c r="R7" s="1">
        <f>'Long Term Deals'!AV7</f>
        <v>17606</v>
      </c>
      <c r="S7" s="20">
        <f>'Long Term Deals'!AW7</f>
        <v>0.14499999999999999</v>
      </c>
      <c r="T7" s="20">
        <f>'Long Term Deals'!AX7</f>
        <v>0.05</v>
      </c>
      <c r="U7" s="1">
        <f>'Long Term Deals'!AY7</f>
        <v>10814814.760185663</v>
      </c>
      <c r="V7" s="1">
        <f>'Long Term Deals'!AZ7</f>
        <v>9711033.7901134603</v>
      </c>
      <c r="W7" s="6">
        <f t="shared" si="2"/>
        <v>1103780.9700722024</v>
      </c>
      <c r="X7" s="6">
        <f>'Long Term Deals'!CA7</f>
        <v>47962.867457452288</v>
      </c>
      <c r="Y7" s="1"/>
      <c r="Z7" s="1">
        <f>[3]Sheet1!$O16</f>
        <v>494844.37988353183</v>
      </c>
      <c r="AA7" s="1">
        <f>'[4]Long Term Deals'!$Z6</f>
        <v>132032.51133424431</v>
      </c>
      <c r="AB7" s="60">
        <f t="shared" si="0"/>
        <v>740969.10152291483</v>
      </c>
      <c r="AC7" s="60">
        <f t="shared" si="3"/>
        <v>740969.10152291483</v>
      </c>
      <c r="AD7" s="60">
        <f t="shared" si="4"/>
        <v>1151743.8375296544</v>
      </c>
      <c r="AE7" s="28">
        <f>(W7-Z7+AA7)/(B7+C7+D7)/'Prices&amp;Fuel'!H7</f>
        <v>0.17555462950304643</v>
      </c>
      <c r="AF7" s="3">
        <v>300000</v>
      </c>
      <c r="AG7" s="1">
        <f>((((I7*'Prices&amp;Fuel'!B7+'Prices&amp;Fuel'!C7*FPL!J7+FPL!K7*'Prices&amp;Fuel'!D7))+(L7*'Prices&amp;Fuel'!B7+'Prices&amp;Fuel'!C7*FPL!M7))*'Prices&amp;Fuel'!H7)+(I7+J7+K7)*'Prices&amp;Fuel'!H7*FPL!T7+Q7/2</f>
        <v>7167389.3339788541</v>
      </c>
      <c r="AH7" s="1">
        <f>(N7*'Prices&amp;Fuel'!B7+'Prices&amp;Fuel'!C7*O7+P7*'Prices&amp;Fuel'!D7)*'Prices&amp;Fuel'!H7+(N7+O7+P7)*'Prices&amp;Fuel'!H7*FPL!T7+Q7/2</f>
        <v>1331611.9561346052</v>
      </c>
      <c r="AI7" s="1">
        <f>R7*'Prices&amp;Fuel'!H7*'Prices&amp;Fuel'!Q7</f>
        <v>1212032.5</v>
      </c>
      <c r="AJ7" s="52">
        <f>SUM(AG7:AI7)-'Long Term Deals'!AZ7</f>
        <v>0</v>
      </c>
    </row>
    <row r="8" spans="1:36" ht="10.199999999999999" x14ac:dyDescent="0.2">
      <c r="A8" s="10">
        <f t="shared" si="1"/>
        <v>35840.249999999993</v>
      </c>
      <c r="B8" s="1">
        <f>'Long Term Deals'!AF8</f>
        <v>91595.886889460162</v>
      </c>
      <c r="C8" s="1">
        <f>'Long Term Deals'!AG8</f>
        <v>25908.483290488439</v>
      </c>
      <c r="D8" s="1">
        <f>'Long Term Deals'!AH8</f>
        <v>18228.277634961443</v>
      </c>
      <c r="E8" s="1">
        <f>'Long Term Deals'!AI8</f>
        <v>30156.298200514138</v>
      </c>
      <c r="F8" s="1">
        <f>'Long Term Deals'!AJ8</f>
        <v>83701.799485861178</v>
      </c>
      <c r="G8" s="1">
        <f>'Long Term Deals'!AK8</f>
        <v>58892.544987146524</v>
      </c>
      <c r="H8" s="1">
        <f>'Long Term Deals'!AL8</f>
        <v>172750.64267352183</v>
      </c>
      <c r="I8" s="1">
        <f>'Long Term Deals'!AM8</f>
        <v>5797.943444730081</v>
      </c>
      <c r="J8" s="1">
        <f>'Long Term Deals'!AN8</f>
        <v>10442.741645244219</v>
      </c>
      <c r="K8" s="1">
        <f>'Long Term Deals'!AO8</f>
        <v>4304</v>
      </c>
      <c r="L8" s="1">
        <f>'Long Term Deals'!AP8</f>
        <v>80000</v>
      </c>
      <c r="M8" s="1">
        <f>'Long Term Deals'!AQ8</f>
        <v>5023</v>
      </c>
      <c r="N8" s="1">
        <f>'Long Term Deals'!AR8</f>
        <v>5797.9434447300737</v>
      </c>
      <c r="O8" s="1">
        <f>'Long Term Deals'!AS8</f>
        <v>10442.741645244219</v>
      </c>
      <c r="P8" s="1">
        <f>'Long Term Deals'!AT8</f>
        <v>4304.2776349614433</v>
      </c>
      <c r="Q8" s="1">
        <f>'Long Term Deals'!AU8</f>
        <v>241850.89974293057</v>
      </c>
      <c r="R8" s="1">
        <f>'Long Term Deals'!AV8</f>
        <v>9620</v>
      </c>
      <c r="S8" s="20">
        <f>'Long Term Deals'!AW8</f>
        <v>0.14499999999999999</v>
      </c>
      <c r="T8" s="20">
        <f>'Long Term Deals'!AX8</f>
        <v>0.05</v>
      </c>
      <c r="U8" s="1">
        <f>'Long Term Deals'!AY8</f>
        <v>8724305.9331619535</v>
      </c>
      <c r="V8" s="1">
        <f>'Long Term Deals'!AZ8</f>
        <v>7739728.4740359904</v>
      </c>
      <c r="W8" s="6">
        <f t="shared" si="2"/>
        <v>984577.45912596304</v>
      </c>
      <c r="X8" s="6">
        <f>'Long Term Deals'!CA8</f>
        <v>43187.660668380464</v>
      </c>
      <c r="Z8" s="1">
        <f>[3]Sheet1!$O17</f>
        <v>446956.21408835141</v>
      </c>
      <c r="AA8" s="1">
        <f>'[4]Long Term Deals'!$Z7</f>
        <v>118520.09480319548</v>
      </c>
      <c r="AB8" s="60">
        <f t="shared" si="0"/>
        <v>656141.33984080714</v>
      </c>
      <c r="AC8" s="60">
        <f t="shared" si="3"/>
        <v>656141.33984080714</v>
      </c>
      <c r="AD8" s="60">
        <f t="shared" si="4"/>
        <v>1027765.1197943435</v>
      </c>
      <c r="AE8" s="28">
        <f>(W8-Z8+AA8)/(B8+C8+D8)/'Prices&amp;Fuel'!H8</f>
        <v>0.17264541477142445</v>
      </c>
      <c r="AF8" s="3">
        <v>300000</v>
      </c>
      <c r="AG8" s="1">
        <f>((((I8*'Prices&amp;Fuel'!B8+'Prices&amp;Fuel'!C8*FPL!J8+FPL!K8*'Prices&amp;Fuel'!D8))+(L8*'Prices&amp;Fuel'!B8+'Prices&amp;Fuel'!C8*FPL!M8))*'Prices&amp;Fuel'!H8)+(I8+J8+K8)*'Prices&amp;Fuel'!H8*FPL!T8+Q8/2</f>
        <v>5921178.1643701801</v>
      </c>
      <c r="AH8" s="1">
        <f>(N8*'Prices&amp;Fuel'!B8+'Prices&amp;Fuel'!C8*O8+P8*'Prices&amp;Fuel'!D8)*'Prices&amp;Fuel'!H8+(N8+O8+P8)*'Prices&amp;Fuel'!H8*FPL!T8+Q8/2</f>
        <v>1291492.9096658099</v>
      </c>
      <c r="AI8" s="1">
        <f>R8*'Prices&amp;Fuel'!H8*'Prices&amp;Fuel'!Q8</f>
        <v>527057.4</v>
      </c>
      <c r="AJ8" s="52">
        <f>SUM(AG8:AI8)-'Long Term Deals'!AZ8</f>
        <v>0</v>
      </c>
    </row>
    <row r="9" spans="1:36" ht="10.199999999999999" x14ac:dyDescent="0.2">
      <c r="A9" s="10">
        <f t="shared" si="1"/>
        <v>35870.666666666657</v>
      </c>
      <c r="B9" s="1">
        <f>'Long Term Deals'!AF9</f>
        <v>91595.886889460162</v>
      </c>
      <c r="C9" s="1">
        <f>'Long Term Deals'!AG9</f>
        <v>25908.483290488439</v>
      </c>
      <c r="D9" s="1">
        <f>'Long Term Deals'!AH9</f>
        <v>18228.277634961443</v>
      </c>
      <c r="E9" s="1">
        <f>'Long Term Deals'!AI9</f>
        <v>30156.298200514138</v>
      </c>
      <c r="F9" s="1">
        <f>'Long Term Deals'!AJ9</f>
        <v>83701.799485861178</v>
      </c>
      <c r="G9" s="1">
        <f>'Long Term Deals'!AK9</f>
        <v>58892.544987146524</v>
      </c>
      <c r="H9" s="1">
        <f>'Long Term Deals'!AL9</f>
        <v>172751</v>
      </c>
      <c r="I9" s="1">
        <f>'Long Term Deals'!AM9</f>
        <v>5797.8508997429308</v>
      </c>
      <c r="J9" s="1">
        <f>'Long Term Deals'!AN9</f>
        <v>10443</v>
      </c>
      <c r="K9" s="1">
        <f>'Long Term Deals'!AO9</f>
        <v>9114</v>
      </c>
      <c r="L9" s="1">
        <f>'Long Term Deals'!AP9</f>
        <v>80000</v>
      </c>
      <c r="M9" s="1">
        <f>'Long Term Deals'!AQ9</f>
        <v>5023</v>
      </c>
      <c r="N9" s="1">
        <f>'Long Term Deals'!AR9</f>
        <v>5797.8508997429308</v>
      </c>
      <c r="O9" s="1">
        <f>'Long Term Deals'!AS9</f>
        <v>10443</v>
      </c>
      <c r="P9" s="1">
        <f>'Long Term Deals'!AT9</f>
        <v>9114.2776349614433</v>
      </c>
      <c r="Q9" s="1">
        <f>'Long Term Deals'!AU9</f>
        <v>267764.05000000005</v>
      </c>
      <c r="R9" s="1">
        <f>'Long Term Deals'!AV9</f>
        <v>0</v>
      </c>
      <c r="S9" s="20">
        <f>'Long Term Deals'!AW9</f>
        <v>0.14499999999999999</v>
      </c>
      <c r="T9" s="20">
        <f>'Long Term Deals'!AX9</f>
        <v>0.05</v>
      </c>
      <c r="U9" s="1">
        <f>'Long Term Deals'!AY9</f>
        <v>10683617.8324036</v>
      </c>
      <c r="V9" s="1">
        <f>'Long Term Deals'!AZ9</f>
        <v>9609467.2319280207</v>
      </c>
      <c r="W9" s="6">
        <f t="shared" si="2"/>
        <v>1074150.6004755795</v>
      </c>
      <c r="X9" s="6">
        <f>'Long Term Deals'!CA9</f>
        <v>47814.965411311059</v>
      </c>
      <c r="Z9" s="1">
        <f>[3]Sheet1!$O18</f>
        <v>494844.37988353183</v>
      </c>
      <c r="AA9" s="1">
        <f>'[4]Long Term Deals'!$Z8</f>
        <v>131218.67638925213</v>
      </c>
      <c r="AB9" s="60">
        <f t="shared" si="0"/>
        <v>710524.89698129985</v>
      </c>
      <c r="AC9" s="60">
        <f t="shared" si="3"/>
        <v>710524.89698129985</v>
      </c>
      <c r="AD9" s="60">
        <f t="shared" si="4"/>
        <v>1121965.5658868907</v>
      </c>
      <c r="AE9" s="28">
        <f>(W9-Z9+AA9)/(B9+C9+D9)/'Prices&amp;Fuel'!H9</f>
        <v>0.16886252744729083</v>
      </c>
      <c r="AF9" s="3">
        <v>300000</v>
      </c>
      <c r="AG9" s="1">
        <f>((((I9*'Prices&amp;Fuel'!B9+'Prices&amp;Fuel'!C9*FPL!J9+FPL!K9*'Prices&amp;Fuel'!D9))+(L9*'Prices&amp;Fuel'!B9+'Prices&amp;Fuel'!C9*FPL!M9))*'Prices&amp;Fuel'!H9)+(I9+J9+K9)*'Prices&amp;Fuel'!H9*FPL!T9+Q9/2</f>
        <v>7695501.1014781501</v>
      </c>
      <c r="AH9" s="1">
        <f>(N9*'Prices&amp;Fuel'!B9+'Prices&amp;Fuel'!C9*O9+P9*'Prices&amp;Fuel'!D9)*'Prices&amp;Fuel'!H9+(N9+O9+P9)*'Prices&amp;Fuel'!H9*FPL!T9+Q9/2</f>
        <v>1913966.1304498715</v>
      </c>
      <c r="AI9" s="1">
        <f>R9*'Prices&amp;Fuel'!H9*'Prices&amp;Fuel'!Q9</f>
        <v>0</v>
      </c>
      <c r="AJ9" s="52">
        <f>SUM(AG9:AI9)-'Long Term Deals'!AZ9</f>
        <v>0</v>
      </c>
    </row>
    <row r="10" spans="1:36" ht="10.199999999999999" x14ac:dyDescent="0.2">
      <c r="A10" s="10">
        <f t="shared" si="1"/>
        <v>35901.083333333321</v>
      </c>
      <c r="B10" s="1">
        <f>'Long Term Deals'!AF10</f>
        <v>131948.41516469856</v>
      </c>
      <c r="C10" s="1">
        <f>'Long Term Deals'!AG10</f>
        <v>101115.59975139837</v>
      </c>
      <c r="D10" s="1">
        <f>'Long Term Deals'!AH10</f>
        <v>77688.004972032315</v>
      </c>
      <c r="E10" s="1">
        <f>'Long Term Deals'!AI10</f>
        <v>0</v>
      </c>
      <c r="F10" s="1">
        <f>'Long Term Deals'!AJ10</f>
        <v>0</v>
      </c>
      <c r="G10" s="1">
        <f>'Long Term Deals'!AK10</f>
        <v>0</v>
      </c>
      <c r="H10" s="1">
        <f>'Long Term Deals'!AL10</f>
        <v>0</v>
      </c>
      <c r="I10" s="1">
        <f>'Long Term Deals'!AM10</f>
        <v>25974</v>
      </c>
      <c r="J10" s="1">
        <f>'Long Term Deals'!AN10</f>
        <v>48046</v>
      </c>
      <c r="K10" s="1">
        <f>'Long Term Deals'!AO10</f>
        <v>38844</v>
      </c>
      <c r="L10" s="1">
        <f>'Long Term Deals'!AP10</f>
        <v>80000</v>
      </c>
      <c r="M10" s="1">
        <f>'Long Term Deals'!AQ10</f>
        <v>5023</v>
      </c>
      <c r="N10" s="1">
        <f>'Long Term Deals'!AR10</f>
        <v>25974</v>
      </c>
      <c r="O10" s="1">
        <f>'Long Term Deals'!AS10</f>
        <v>48046</v>
      </c>
      <c r="P10" s="1">
        <f>'Long Term Deals'!AT10</f>
        <v>38844.004972032315</v>
      </c>
      <c r="Q10" s="1">
        <f>'Long Term Deals'!AU10</f>
        <v>0</v>
      </c>
      <c r="R10" s="1">
        <f>'Long Term Deals'!AV10</f>
        <v>0</v>
      </c>
      <c r="S10" s="20">
        <f>'Long Term Deals'!AW10</f>
        <v>0.14499999999999999</v>
      </c>
      <c r="T10" s="20">
        <f>'Long Term Deals'!AX10</f>
        <v>0.05</v>
      </c>
      <c r="U10" s="1">
        <f>'Long Term Deals'!AY10</f>
        <v>22542096.954630204</v>
      </c>
      <c r="V10" s="1">
        <f>'Long Term Deals'!AZ10</f>
        <v>21482235.646053448</v>
      </c>
      <c r="W10" s="6">
        <f t="shared" si="2"/>
        <v>1059861.3085767552</v>
      </c>
      <c r="X10" s="6">
        <f>'Long Term Deals'!CA10</f>
        <v>46612.802983219393</v>
      </c>
      <c r="Y10" s="57">
        <f>SUM([2]Sheet1!$AL$12:$AL$51)</f>
        <v>11090229.409451433</v>
      </c>
      <c r="Z10" s="1">
        <f>[3]Sheet1!$O19</f>
        <v>478881.65795180493</v>
      </c>
      <c r="AA10" s="1">
        <f>'[4]Long Term Deals'!$Z9</f>
        <v>126985.81586056657</v>
      </c>
      <c r="AB10" s="60">
        <f t="shared" si="0"/>
        <v>11798194.87593695</v>
      </c>
      <c r="AC10" s="60">
        <f t="shared" si="3"/>
        <v>707965.4664855171</v>
      </c>
      <c r="AD10" s="60">
        <f t="shared" si="4"/>
        <v>1106474.1115599747</v>
      </c>
      <c r="AE10" s="28">
        <f>(W10-Z10+AA10)/(B10+C10+D10)/'Prices&amp;Fuel'!H10</f>
        <v>7.5941095705013104E-2</v>
      </c>
      <c r="AF10" s="3">
        <v>300000</v>
      </c>
      <c r="AG10" s="1">
        <f>((((I10*'Prices&amp;Fuel'!B10+'Prices&amp;Fuel'!C10*FPL!J10+FPL!K10*'Prices&amp;Fuel'!D10))+(L10*'Prices&amp;Fuel'!B10+'Prices&amp;Fuel'!C10*FPL!M10))*'Prices&amp;Fuel'!H10)+(I10+J10+K10)*'Prices&amp;Fuel'!H10*FPL!T10+Q10/2</f>
        <v>13613657.700000001</v>
      </c>
      <c r="AH10" s="1">
        <f>(N10*'Prices&amp;Fuel'!B10+'Prices&amp;Fuel'!C10*O10+P10*'Prices&amp;Fuel'!D10)*'Prices&amp;Fuel'!H10+(N10+O10+P10)*'Prices&amp;Fuel'!H10*FPL!T10+Q10/2</f>
        <v>7868577.94605345</v>
      </c>
      <c r="AI10" s="1">
        <f>R10*'Prices&amp;Fuel'!H10*'Prices&amp;Fuel'!Q10</f>
        <v>0</v>
      </c>
      <c r="AJ10" s="52">
        <f>SUM(AG10:AI10)-'Long Term Deals'!AZ10</f>
        <v>0</v>
      </c>
    </row>
    <row r="11" spans="1:36" ht="10.199999999999999" x14ac:dyDescent="0.2">
      <c r="A11" s="10">
        <f t="shared" si="1"/>
        <v>35931.499999999985</v>
      </c>
      <c r="B11" s="1">
        <f>'Long Term Deals'!AF11</f>
        <v>125885.51772464963</v>
      </c>
      <c r="C11" s="1">
        <f>'Long Term Deals'!AG11</f>
        <v>74496.006595218467</v>
      </c>
      <c r="D11" s="1">
        <f>'Long Term Deals'!AH11</f>
        <v>32112.716405605926</v>
      </c>
      <c r="E11" s="1">
        <f>'Long Term Deals'!AI11</f>
        <v>59909</v>
      </c>
      <c r="F11" s="1">
        <f>'Long Term Deals'!AJ11</f>
        <v>105538</v>
      </c>
      <c r="G11" s="1">
        <f>'Long Term Deals'!AK11</f>
        <v>45175</v>
      </c>
      <c r="H11" s="1">
        <f>'Long Term Deals'!AL11</f>
        <v>210622</v>
      </c>
      <c r="I11" s="1">
        <f>'Long Term Deals'!AM11</f>
        <v>32814.5</v>
      </c>
      <c r="J11" s="1">
        <f>'Long Term Deals'!AN11</f>
        <v>34737</v>
      </c>
      <c r="K11" s="1">
        <f>'Long Term Deals'!AO11</f>
        <v>6184.5</v>
      </c>
      <c r="L11" s="1">
        <f>'Long Term Deals'!AP11</f>
        <v>80000</v>
      </c>
      <c r="M11" s="1">
        <f>'Long Term Deals'!AQ11</f>
        <v>5023</v>
      </c>
      <c r="N11" s="1">
        <f>'Long Term Deals'!AR11</f>
        <v>13071.5</v>
      </c>
      <c r="O11" s="1">
        <f>'Long Term Deals'!AS11</f>
        <v>34737</v>
      </c>
      <c r="P11" s="1">
        <f>'Long Term Deals'!AT11</f>
        <v>25928.216405605926</v>
      </c>
      <c r="Q11" s="1">
        <f>'Long Term Deals'!AU11</f>
        <v>326464.10000000003</v>
      </c>
      <c r="R11" s="1">
        <f>'Long Term Deals'!AV11</f>
        <v>0</v>
      </c>
      <c r="S11" s="20">
        <f>'Long Term Deals'!AW11</f>
        <v>0.14499999999999999</v>
      </c>
      <c r="T11" s="20">
        <f>'Long Term Deals'!AX11</f>
        <v>0.05</v>
      </c>
      <c r="U11" s="1">
        <f>'Long Term Deals'!AY11</f>
        <v>18013158.240189612</v>
      </c>
      <c r="V11" s="1">
        <f>'Long Term Deals'!AZ11</f>
        <v>16546634.903462488</v>
      </c>
      <c r="W11" s="6">
        <f t="shared" si="2"/>
        <v>1466523.3367271237</v>
      </c>
      <c r="X11" s="6">
        <f>'Long Term Deals'!CA11</f>
        <v>68683.017312448472</v>
      </c>
      <c r="Y11" s="57">
        <f>[2]Sheet1!$AL52</f>
        <v>810446.8275325892</v>
      </c>
      <c r="Z11" s="1">
        <f>[3]Sheet1!$O20</f>
        <v>709276.94449972897</v>
      </c>
      <c r="AA11" s="1">
        <f>'[4]Long Term Deals'!$Z10</f>
        <v>245187.21782459883</v>
      </c>
      <c r="AB11" s="60">
        <f t="shared" si="0"/>
        <v>1812880.4375845827</v>
      </c>
      <c r="AC11" s="60">
        <f t="shared" si="3"/>
        <v>1002433.6100519935</v>
      </c>
      <c r="AD11" s="60">
        <f t="shared" si="4"/>
        <v>1535206.3540395722</v>
      </c>
      <c r="AE11" s="28">
        <f>(W11-Z11+AA11)/(B11+C11+D11)/'Prices&amp;Fuel'!H11</f>
        <v>0.13908545848400569</v>
      </c>
      <c r="AF11" s="3">
        <v>430000</v>
      </c>
      <c r="AG11" s="1">
        <f>((((I11*'Prices&amp;Fuel'!B11+'Prices&amp;Fuel'!C11*FPL!J11+FPL!K11*'Prices&amp;Fuel'!D11))+(L11*'Prices&amp;Fuel'!B11+'Prices&amp;Fuel'!C11*FPL!M11))*'Prices&amp;Fuel'!H11)+(I11+J11+K11)*'Prices&amp;Fuel'!H11*FPL!T11+Q11/2</f>
        <v>11170349.040000001</v>
      </c>
      <c r="AH11" s="1">
        <f>(N11*'Prices&amp;Fuel'!B11+'Prices&amp;Fuel'!C11*O11+P11*'Prices&amp;Fuel'!D11)*'Prices&amp;Fuel'!H11+(N11+O11+P11)*'Prices&amp;Fuel'!H11*FPL!T11+Q11/2</f>
        <v>5376285.8634624891</v>
      </c>
      <c r="AI11" s="1">
        <f>R11*'Prices&amp;Fuel'!H11*'Prices&amp;Fuel'!Q11</f>
        <v>0</v>
      </c>
      <c r="AJ11" s="52">
        <f>SUM(AG11:AI11)-'Long Term Deals'!AZ11</f>
        <v>0</v>
      </c>
    </row>
    <row r="12" spans="1:36" ht="10.199999999999999" x14ac:dyDescent="0.2">
      <c r="A12" s="10">
        <f t="shared" si="1"/>
        <v>35961.91666666665</v>
      </c>
      <c r="B12" s="1">
        <f>'Long Term Deals'!AF12</f>
        <v>125885.51772464963</v>
      </c>
      <c r="C12" s="1">
        <f>'Long Term Deals'!AG12</f>
        <v>74496.006595218467</v>
      </c>
      <c r="D12" s="1">
        <f>'Long Term Deals'!AH12</f>
        <v>32112.716405605926</v>
      </c>
      <c r="E12" s="1">
        <f>'Long Term Deals'!AI12</f>
        <v>59909</v>
      </c>
      <c r="F12" s="1">
        <f>'Long Term Deals'!AJ12</f>
        <v>105538</v>
      </c>
      <c r="G12" s="1">
        <f>'Long Term Deals'!AK12</f>
        <v>45175</v>
      </c>
      <c r="H12" s="1">
        <f>'Long Term Deals'!AL12</f>
        <v>210622</v>
      </c>
      <c r="I12" s="1">
        <f>'Long Term Deals'!AM12</f>
        <v>32814.5</v>
      </c>
      <c r="J12" s="1">
        <f>'Long Term Deals'!AN12</f>
        <v>34737</v>
      </c>
      <c r="K12" s="1">
        <f>'Long Term Deals'!AO12</f>
        <v>6184.5</v>
      </c>
      <c r="L12" s="1">
        <f>'Long Term Deals'!AP12</f>
        <v>80000</v>
      </c>
      <c r="M12" s="1">
        <f>'Long Term Deals'!AQ12</f>
        <v>5023</v>
      </c>
      <c r="N12" s="1">
        <f>'Long Term Deals'!AR12</f>
        <v>13071.5</v>
      </c>
      <c r="O12" s="1">
        <f>'Long Term Deals'!AS12</f>
        <v>34737</v>
      </c>
      <c r="P12" s="1">
        <f>'Long Term Deals'!AT12</f>
        <v>25928.216405605926</v>
      </c>
      <c r="Q12" s="1">
        <f>'Long Term Deals'!AU12</f>
        <v>315933</v>
      </c>
      <c r="R12" s="1">
        <f>'Long Term Deals'!AV12</f>
        <v>0</v>
      </c>
      <c r="S12" s="20">
        <f>'Long Term Deals'!AW12</f>
        <v>0.14499999999999999</v>
      </c>
      <c r="T12" s="20">
        <f>'Long Term Deals'!AX12</f>
        <v>0.05</v>
      </c>
      <c r="U12" s="1">
        <f>'Long Term Deals'!AY12</f>
        <v>15897626.630750205</v>
      </c>
      <c r="V12" s="1">
        <f>'Long Term Deals'!AZ12</f>
        <v>14459133.129101399</v>
      </c>
      <c r="W12" s="6">
        <f t="shared" si="2"/>
        <v>1438493.501648806</v>
      </c>
      <c r="X12" s="6">
        <f>'Long Term Deals'!CA12</f>
        <v>66467.436108821101</v>
      </c>
      <c r="Y12" s="57">
        <f>[2]Sheet1!$AL53</f>
        <v>784303.38148315088</v>
      </c>
      <c r="Z12" s="1">
        <f>[3]Sheet1!$O21</f>
        <v>686397.04306425387</v>
      </c>
      <c r="AA12" s="1">
        <f>'[4]Long Term Deals'!$Z11</f>
        <v>237277.95273348276</v>
      </c>
      <c r="AB12" s="60">
        <f t="shared" si="0"/>
        <v>1773677.7928011857</v>
      </c>
      <c r="AC12" s="60">
        <f t="shared" si="3"/>
        <v>989374.41131803486</v>
      </c>
      <c r="AD12" s="60">
        <f t="shared" si="4"/>
        <v>1504960.9377576271</v>
      </c>
      <c r="AE12" s="28">
        <f>(W12-Z12+AA12)/(B12+C12+D12)/'Prices&amp;Fuel'!H12</f>
        <v>0.14184930749693631</v>
      </c>
      <c r="AF12" s="3">
        <v>430000</v>
      </c>
      <c r="AG12" s="1">
        <f>((((I12*'Prices&amp;Fuel'!B12+'Prices&amp;Fuel'!C12*FPL!J12+FPL!K12*'Prices&amp;Fuel'!D12))+(L12*'Prices&amp;Fuel'!B12+'Prices&amp;Fuel'!C12*FPL!M12))*'Prices&amp;Fuel'!H12)+(I12+J12+K12)*'Prices&amp;Fuel'!H12*FPL!T12+Q12/2</f>
        <v>9758495.0999999978</v>
      </c>
      <c r="AH12" s="1">
        <f>(N12*'Prices&amp;Fuel'!B12+'Prices&amp;Fuel'!C12*O12+P12*'Prices&amp;Fuel'!D12)*'Prices&amp;Fuel'!H12+(N12+O12+P12)*'Prices&amp;Fuel'!H12*FPL!T12+Q12/2</f>
        <v>4700638.0291014006</v>
      </c>
      <c r="AI12" s="1">
        <f>R12*'Prices&amp;Fuel'!H12*'Prices&amp;Fuel'!Q12</f>
        <v>0</v>
      </c>
      <c r="AJ12" s="52">
        <f>SUM(AG12:AI12)-'Long Term Deals'!AZ12</f>
        <v>0</v>
      </c>
    </row>
    <row r="13" spans="1:36" ht="10.199999999999999" x14ac:dyDescent="0.2">
      <c r="A13" s="10">
        <f t="shared" si="1"/>
        <v>35992.333333333314</v>
      </c>
      <c r="B13" s="1">
        <f>'Long Term Deals'!AF13</f>
        <v>125885.51772464963</v>
      </c>
      <c r="C13" s="1">
        <f>'Long Term Deals'!AG13</f>
        <v>74496.006595218467</v>
      </c>
      <c r="D13" s="1">
        <f>'Long Term Deals'!AH13</f>
        <v>32112.716405605926</v>
      </c>
      <c r="E13" s="1">
        <f>'Long Term Deals'!AI13</f>
        <v>59909</v>
      </c>
      <c r="F13" s="1">
        <f>'Long Term Deals'!AJ13</f>
        <v>105538</v>
      </c>
      <c r="G13" s="1">
        <f>'Long Term Deals'!AK13</f>
        <v>45175</v>
      </c>
      <c r="H13" s="1">
        <f>'Long Term Deals'!AL13</f>
        <v>210622</v>
      </c>
      <c r="I13" s="1">
        <f>'Long Term Deals'!AM13</f>
        <v>32814.5</v>
      </c>
      <c r="J13" s="1">
        <f>'Long Term Deals'!AN13</f>
        <v>34737</v>
      </c>
      <c r="K13" s="1">
        <f>'Long Term Deals'!AO13</f>
        <v>6184.5</v>
      </c>
      <c r="L13" s="1">
        <f>'Long Term Deals'!AP13</f>
        <v>80000</v>
      </c>
      <c r="M13" s="1">
        <f>'Long Term Deals'!AQ13</f>
        <v>5023</v>
      </c>
      <c r="N13" s="1">
        <f>'Long Term Deals'!AR13</f>
        <v>13071.5</v>
      </c>
      <c r="O13" s="1">
        <f>'Long Term Deals'!AS13</f>
        <v>34737</v>
      </c>
      <c r="P13" s="1">
        <f>'Long Term Deals'!AT13</f>
        <v>25928.216405605926</v>
      </c>
      <c r="Q13" s="1">
        <f>'Long Term Deals'!AU13</f>
        <v>326464.10000000003</v>
      </c>
      <c r="R13" s="1">
        <f>'Long Term Deals'!AV13</f>
        <v>0</v>
      </c>
      <c r="S13" s="20">
        <f>'Long Term Deals'!AW13</f>
        <v>0.14499999999999999</v>
      </c>
      <c r="T13" s="20">
        <f>'Long Term Deals'!AX13</f>
        <v>0.05</v>
      </c>
      <c r="U13" s="1">
        <f>'Long Term Deals'!AY13</f>
        <v>18805963.601063479</v>
      </c>
      <c r="V13" s="1">
        <f>'Long Term Deals'!AZ13</f>
        <v>17299625.528062653</v>
      </c>
      <c r="W13" s="6">
        <f t="shared" si="2"/>
        <v>1506338.0730008259</v>
      </c>
      <c r="X13" s="6">
        <f>'Long Term Deals'!CA13</f>
        <v>68683.017312448472</v>
      </c>
      <c r="Y13" s="57">
        <f>[2]Sheet1!$AL54</f>
        <v>810446.8275325892</v>
      </c>
      <c r="Z13" s="1">
        <f>[3]Sheet1!$O22</f>
        <v>709276.94449972897</v>
      </c>
      <c r="AA13" s="1">
        <f>'[4]Long Term Deals'!$Z12</f>
        <v>245187.21782459883</v>
      </c>
      <c r="AB13" s="60">
        <f>-Z13+AA13+Y13+W13-X13</f>
        <v>1784012.1565458365</v>
      </c>
      <c r="AC13" s="60">
        <f t="shared" si="3"/>
        <v>973565.32901324728</v>
      </c>
      <c r="AD13" s="60">
        <f t="shared" si="4"/>
        <v>1506338.0730008259</v>
      </c>
      <c r="AE13" s="28">
        <f>(W13-Z13+AA13)/(B13+C13+D13)/'Prices&amp;Fuel'!H13</f>
        <v>0.14460966556716645</v>
      </c>
      <c r="AF13" s="3">
        <v>430000</v>
      </c>
      <c r="AG13" s="1">
        <f>((((I13*'Prices&amp;Fuel'!B13+'Prices&amp;Fuel'!C13*FPL!J13+FPL!K13*'Prices&amp;Fuel'!D13))+(L13*'Prices&amp;Fuel'!B13+'Prices&amp;Fuel'!C13*FPL!M13))*'Prices&amp;Fuel'!H13)+(I13+J13+K13)*'Prices&amp;Fuel'!H13*FPL!T13+Q13/2</f>
        <v>11704048.450000001</v>
      </c>
      <c r="AH13" s="1">
        <f>(N13*'Prices&amp;Fuel'!B13+'Prices&amp;Fuel'!C13*O13+P13*'Prices&amp;Fuel'!D13)*'Prices&amp;Fuel'!H13+(N13+O13+P13)*'Prices&amp;Fuel'!H13*FPL!T13+Q13/2</f>
        <v>5595577.0780626526</v>
      </c>
      <c r="AI13" s="1">
        <f>R13*'Prices&amp;Fuel'!H13*'Prices&amp;Fuel'!Q13</f>
        <v>0</v>
      </c>
      <c r="AJ13" s="52">
        <f>SUM(AG13:AI13)-'Long Term Deals'!AZ13</f>
        <v>0</v>
      </c>
    </row>
    <row r="14" spans="1:36" ht="10.199999999999999" x14ac:dyDescent="0.2">
      <c r="A14" s="10">
        <f t="shared" si="1"/>
        <v>36022.749999999978</v>
      </c>
      <c r="B14" s="1">
        <f>'Long Term Deals'!AF14</f>
        <v>116187.97037470415</v>
      </c>
      <c r="C14" s="1">
        <f>'Long Term Deals'!AG14</f>
        <v>69066.863016248695</v>
      </c>
      <c r="D14" s="1">
        <f>'Long Term Deals'!AH14</f>
        <v>30219.862776906099</v>
      </c>
      <c r="E14" s="1">
        <f>'Long Term Deals'!AI14</f>
        <v>59909</v>
      </c>
      <c r="F14" s="1">
        <f>'Long Term Deals'!AJ14</f>
        <v>105538</v>
      </c>
      <c r="G14" s="1">
        <f>'Long Term Deals'!AK14</f>
        <v>45175</v>
      </c>
      <c r="H14" s="1">
        <f>'Long Term Deals'!AL14</f>
        <v>210622</v>
      </c>
      <c r="I14" s="1">
        <f>'Long Term Deals'!AM14</f>
        <v>27965.5</v>
      </c>
      <c r="J14" s="1">
        <f>'Long Term Deals'!AN14</f>
        <v>34425.5</v>
      </c>
      <c r="K14" s="1">
        <f>'Long Term Deals'!AO14</f>
        <v>5238</v>
      </c>
      <c r="L14" s="1">
        <f>'Long Term Deals'!AP14</f>
        <v>80000</v>
      </c>
      <c r="M14" s="1">
        <f>'Long Term Deals'!AQ14</f>
        <v>217</v>
      </c>
      <c r="N14" s="1">
        <f>'Long Term Deals'!AR14</f>
        <v>8222.5</v>
      </c>
      <c r="O14" s="1">
        <f>'Long Term Deals'!AS14</f>
        <v>34425.5</v>
      </c>
      <c r="P14" s="1">
        <f>'Long Term Deals'!AT14</f>
        <v>24981.862776906099</v>
      </c>
      <c r="Q14" s="1">
        <f>'Long Term Deals'!AU14</f>
        <v>326464.10000000003</v>
      </c>
      <c r="R14" s="1">
        <f>'Long Term Deals'!AV14</f>
        <v>0</v>
      </c>
      <c r="S14" s="20">
        <f>'Long Term Deals'!AW14</f>
        <v>0.14499999999999999</v>
      </c>
      <c r="T14" s="20">
        <f>'Long Term Deals'!AX14</f>
        <v>0.05</v>
      </c>
      <c r="U14" s="1">
        <f>'Long Term Deals'!AY14</f>
        <v>14600751.793075021</v>
      </c>
      <c r="V14" s="1">
        <f>'Long Term Deals'!AZ14</f>
        <v>13088920.065020612</v>
      </c>
      <c r="W14" s="6">
        <f t="shared" si="2"/>
        <v>1511831.7280544098</v>
      </c>
      <c r="X14" s="6">
        <f>'Long Term Deals'!CA14</f>
        <v>66044.987906018141</v>
      </c>
      <c r="Y14" s="57">
        <f>[2]Sheet1!$AL55</f>
        <v>764635.60641451972</v>
      </c>
      <c r="Z14" s="1">
        <f>[3]Sheet1!$O23</f>
        <v>709276.94449972897</v>
      </c>
      <c r="AA14" s="1">
        <f>'[4]Long Term Deals'!$Z13</f>
        <v>252636.51782459451</v>
      </c>
      <c r="AB14" s="60">
        <f t="shared" ref="AB14:AB77" si="5">-Z14+AA14+Y14+W14-X14</f>
        <v>1753781.9198877772</v>
      </c>
      <c r="AC14" s="60">
        <f t="shared" si="3"/>
        <v>989146.31347325747</v>
      </c>
      <c r="AD14" s="60">
        <f t="shared" si="4"/>
        <v>1511831.7280544101</v>
      </c>
      <c r="AE14" s="28">
        <f>(W14-Z14+AA14)/(B14+C14+D14)/'Prices&amp;Fuel'!H14</f>
        <v>0.15796949563968396</v>
      </c>
      <c r="AF14" s="3">
        <v>430000</v>
      </c>
      <c r="AG14" s="1">
        <f>((((I14*'Prices&amp;Fuel'!B14+'Prices&amp;Fuel'!C14*FPL!J14+FPL!K14*'Prices&amp;Fuel'!D14))+(L14*'Prices&amp;Fuel'!B14+'Prices&amp;Fuel'!C14*FPL!M14))*'Prices&amp;Fuel'!H14)+(I14+J14+K14)*'Prices&amp;Fuel'!H14*FPL!T14+Q14/2</f>
        <v>8857292.4100000001</v>
      </c>
      <c r="AH14" s="1">
        <f>(N14*'Prices&amp;Fuel'!B14+'Prices&amp;Fuel'!C14*O14+P14*'Prices&amp;Fuel'!D14)*'Prices&amp;Fuel'!H14+(N14+O14+P14)*'Prices&amp;Fuel'!H14*FPL!T14+Q14/2</f>
        <v>4231627.6550206104</v>
      </c>
      <c r="AI14" s="1">
        <f>R14*'Prices&amp;Fuel'!H14*'Prices&amp;Fuel'!Q14</f>
        <v>0</v>
      </c>
      <c r="AJ14" s="52">
        <f>SUM(AG14:AI14)-'Long Term Deals'!AZ14</f>
        <v>0</v>
      </c>
    </row>
    <row r="15" spans="1:36" ht="10.199999999999999" x14ac:dyDescent="0.2">
      <c r="A15" s="10">
        <f t="shared" si="1"/>
        <v>36053.166666666642</v>
      </c>
      <c r="B15" s="1">
        <f>'Long Term Deals'!AF15</f>
        <v>125885.51772464963</v>
      </c>
      <c r="C15" s="1">
        <f>'Long Term Deals'!AG15</f>
        <v>74496.006595218467</v>
      </c>
      <c r="D15" s="1">
        <f>'Long Term Deals'!AH15</f>
        <v>32112.716405605926</v>
      </c>
      <c r="E15" s="1">
        <f>'Long Term Deals'!AI15</f>
        <v>59909</v>
      </c>
      <c r="F15" s="1">
        <f>'Long Term Deals'!AJ15</f>
        <v>105538</v>
      </c>
      <c r="G15" s="1">
        <f>'Long Term Deals'!AK15</f>
        <v>45175</v>
      </c>
      <c r="H15" s="1">
        <f>'Long Term Deals'!AL15</f>
        <v>210622</v>
      </c>
      <c r="I15" s="1">
        <f>'Long Term Deals'!AM15</f>
        <v>32814.5</v>
      </c>
      <c r="J15" s="1">
        <f>'Long Term Deals'!AN15</f>
        <v>37140</v>
      </c>
      <c r="K15" s="1">
        <f>'Long Term Deals'!AO15</f>
        <v>6184.5</v>
      </c>
      <c r="L15" s="1">
        <f>'Long Term Deals'!AP15</f>
        <v>80000</v>
      </c>
      <c r="M15" s="1">
        <f>'Long Term Deals'!AQ15</f>
        <v>217</v>
      </c>
      <c r="N15" s="1">
        <f>'Long Term Deals'!AR15</f>
        <v>13071.5</v>
      </c>
      <c r="O15" s="1">
        <f>'Long Term Deals'!AS15</f>
        <v>37140</v>
      </c>
      <c r="P15" s="1">
        <f>'Long Term Deals'!AT15</f>
        <v>25928.216405605926</v>
      </c>
      <c r="Q15" s="1">
        <f>'Long Term Deals'!AU15</f>
        <v>315933</v>
      </c>
      <c r="R15" s="1">
        <f>'Long Term Deals'!AV15</f>
        <v>0</v>
      </c>
      <c r="S15" s="20">
        <f>'Long Term Deals'!AW15</f>
        <v>0.14499999999999999</v>
      </c>
      <c r="T15" s="20">
        <f>'Long Term Deals'!AX15</f>
        <v>0.05</v>
      </c>
      <c r="U15" s="1">
        <f>'Long Term Deals'!AY15</f>
        <v>13070216.707831822</v>
      </c>
      <c r="V15" s="1">
        <f>'Long Term Deals'!AZ15</f>
        <v>11584295.71731245</v>
      </c>
      <c r="W15" s="6">
        <f t="shared" si="2"/>
        <v>1485920.9905193727</v>
      </c>
      <c r="X15" s="6">
        <f>'Long Term Deals'!CA15</f>
        <v>66467.436108821101</v>
      </c>
      <c r="Y15" s="57">
        <f>[2]Sheet1!$AL56</f>
        <v>739969.94169147068</v>
      </c>
      <c r="Z15" s="1">
        <f>[3]Sheet1!$O24</f>
        <v>686397.04306425387</v>
      </c>
      <c r="AA15" s="1">
        <f>'[4]Long Term Deals'!$Z14</f>
        <v>244486.95273347863</v>
      </c>
      <c r="AB15" s="60">
        <f t="shared" si="5"/>
        <v>1717513.4057712471</v>
      </c>
      <c r="AC15" s="60">
        <f t="shared" si="3"/>
        <v>977543.46407977643</v>
      </c>
      <c r="AD15" s="60">
        <f t="shared" si="4"/>
        <v>1485920.9905193727</v>
      </c>
      <c r="AE15" s="28">
        <f>(W15-Z15+AA15)/(B15+C15+D15)/'Prices&amp;Fuel'!H15</f>
        <v>0.14968268990676506</v>
      </c>
      <c r="AF15" s="3">
        <v>430000</v>
      </c>
      <c r="AG15" s="1">
        <f>((((I15*'Prices&amp;Fuel'!B15+'Prices&amp;Fuel'!C15*FPL!J15+FPL!K15*'Prices&amp;Fuel'!D15))+(L15*'Prices&amp;Fuel'!B15+'Prices&amp;Fuel'!C15*FPL!M15))*'Prices&amp;Fuel'!H15)+(I15+J15+K15)*'Prices&amp;Fuel'!H15*FPL!T15+Q15/2</f>
        <v>7681371</v>
      </c>
      <c r="AH15" s="1">
        <f>(N15*'Prices&amp;Fuel'!B15+'Prices&amp;Fuel'!C15*O15+P15*'Prices&amp;Fuel'!D15)*'Prices&amp;Fuel'!H15+(N15+O15+P15)*'Prices&amp;Fuel'!H15*FPL!T15+Q15/2</f>
        <v>3902924.7173124482</v>
      </c>
      <c r="AI15" s="1">
        <f>R15*'Prices&amp;Fuel'!H15*'Prices&amp;Fuel'!Q15</f>
        <v>0</v>
      </c>
      <c r="AJ15" s="52">
        <f>SUM(AG15:AI15)-'Long Term Deals'!AZ15</f>
        <v>0</v>
      </c>
    </row>
    <row r="16" spans="1:36" ht="10.199999999999999" x14ac:dyDescent="0.2">
      <c r="A16" s="10">
        <f t="shared" si="1"/>
        <v>36083.583333333307</v>
      </c>
      <c r="B16" s="1">
        <f>'Long Term Deals'!AF16</f>
        <v>107773.14944421573</v>
      </c>
      <c r="C16" s="1">
        <f>'Long Term Deals'!AG16</f>
        <v>15763.631123919302</v>
      </c>
      <c r="D16" s="1">
        <f>'Long Term Deals'!AH16</f>
        <v>12321.260189378343</v>
      </c>
      <c r="E16" s="1">
        <f>'Long Term Deals'!AI16</f>
        <v>21880</v>
      </c>
      <c r="F16" s="1">
        <f>'Long Term Deals'!AJ16</f>
        <v>86160</v>
      </c>
      <c r="G16" s="1">
        <f>'Long Term Deals'!AK16</f>
        <v>64871</v>
      </c>
      <c r="H16" s="1">
        <f>'Long Term Deals'!AL16</f>
        <v>172911</v>
      </c>
      <c r="I16" s="1">
        <f>'Long Term Deals'!AM16</f>
        <v>13886.5</v>
      </c>
      <c r="J16" s="1">
        <f>'Long Term Deals'!AN16</f>
        <v>7773</v>
      </c>
      <c r="K16" s="1">
        <f>'Long Term Deals'!AO16</f>
        <v>259</v>
      </c>
      <c r="L16" s="1">
        <f>'Long Term Deals'!AP16</f>
        <v>80000</v>
      </c>
      <c r="M16" s="1">
        <f>'Long Term Deals'!AQ16</f>
        <v>217</v>
      </c>
      <c r="N16" s="1">
        <f>'Long Term Deals'!AR16</f>
        <v>13886.5</v>
      </c>
      <c r="O16" s="1">
        <f>'Long Term Deals'!AS16</f>
        <v>7773</v>
      </c>
      <c r="P16" s="1">
        <f>'Long Term Deals'!AT16</f>
        <v>258.90535066866505</v>
      </c>
      <c r="Q16" s="1">
        <f>'Long Term Deals'!AU16</f>
        <v>268012.05000000005</v>
      </c>
      <c r="R16" s="1">
        <f>'Long Term Deals'!AV16</f>
        <v>11803.354838709678</v>
      </c>
      <c r="S16" s="20">
        <f>'Long Term Deals'!AW16</f>
        <v>0.14499999999999999</v>
      </c>
      <c r="T16" s="20">
        <f>'Long Term Deals'!AX16</f>
        <v>0.05</v>
      </c>
      <c r="U16" s="1">
        <f>'Long Term Deals'!AY16</f>
        <v>9770414.9614368044</v>
      </c>
      <c r="V16" s="1">
        <f>'Long Term Deals'!AZ16</f>
        <v>8704670.8930588719</v>
      </c>
      <c r="W16" s="6">
        <f t="shared" si="2"/>
        <v>1065744.0683779325</v>
      </c>
      <c r="X16" s="6">
        <f>'Long Term Deals'!CA16</f>
        <v>47859.201317414569</v>
      </c>
      <c r="Y16" s="57">
        <f>[2]Sheet1!$AL57</f>
        <v>764635.60641451972</v>
      </c>
      <c r="Z16" s="1">
        <f>[3]Sheet1!$O25</f>
        <v>494844.37988353183</v>
      </c>
      <c r="AA16" s="1">
        <f>'[4]Long Term Deals'!$Z15</f>
        <v>138667.97638925241</v>
      </c>
      <c r="AB16" s="60">
        <f t="shared" si="5"/>
        <v>1426344.0699807582</v>
      </c>
      <c r="AC16" s="60">
        <f t="shared" si="3"/>
        <v>661708.46356623853</v>
      </c>
      <c r="AD16" s="60">
        <f t="shared" si="4"/>
        <v>1065744.0683779328</v>
      </c>
      <c r="AE16" s="28">
        <f>(W16-Z16+AA16)/(B16+C16+D16)/'Prices&amp;Fuel'!H16</f>
        <v>0.16847938763690776</v>
      </c>
      <c r="AF16" s="3">
        <v>300000</v>
      </c>
      <c r="AG16" s="1">
        <f>((((I16*'Prices&amp;Fuel'!B16+'Prices&amp;Fuel'!C16*FPL!J16+FPL!K16*'Prices&amp;Fuel'!D16))+(L16*'Prices&amp;Fuel'!B16+'Prices&amp;Fuel'!C16*FPL!M16))*'Prices&amp;Fuel'!H16)+(I16+J16+K16)*'Prices&amp;Fuel'!H16*FPL!T16+Q16/2</f>
        <v>6449360.9000000004</v>
      </c>
      <c r="AH16" s="1">
        <f>(N16*'Prices&amp;Fuel'!B16+'Prices&amp;Fuel'!C16*O16+P16*'Prices&amp;Fuel'!D16)*'Prices&amp;Fuel'!H16+(N16+O16+P16)*'Prices&amp;Fuel'!H16*FPL!T16+Q16/2</f>
        <v>1525299.1630588719</v>
      </c>
      <c r="AI16" s="1">
        <f>R16*'Prices&amp;Fuel'!H16*'Prices&amp;Fuel'!Q16</f>
        <v>730010.83000000007</v>
      </c>
      <c r="AJ16" s="52">
        <f>SUM(AG16:AI16)-'Long Term Deals'!AZ16</f>
        <v>0</v>
      </c>
    </row>
    <row r="17" spans="1:36" ht="10.199999999999999" x14ac:dyDescent="0.2">
      <c r="A17" s="10">
        <f t="shared" si="1"/>
        <v>36113.999999999971</v>
      </c>
      <c r="B17" s="1">
        <f>'Long Term Deals'!AF17</f>
        <v>99984.965006175378</v>
      </c>
      <c r="C17" s="1">
        <f>'Long Term Deals'!AG17</f>
        <v>23551.815561959651</v>
      </c>
      <c r="D17" s="1">
        <f>'Long Term Deals'!AH17</f>
        <v>12321.260189378343</v>
      </c>
      <c r="E17" s="1">
        <f>'Long Term Deals'!AI17</f>
        <v>21880</v>
      </c>
      <c r="F17" s="1">
        <f>'Long Term Deals'!AJ17</f>
        <v>86160</v>
      </c>
      <c r="G17" s="1">
        <f>'Long Term Deals'!AK17</f>
        <v>64871</v>
      </c>
      <c r="H17" s="1">
        <f>'Long Term Deals'!AL17</f>
        <v>172911</v>
      </c>
      <c r="I17" s="1">
        <f>'Long Term Deals'!AM17</f>
        <v>9992</v>
      </c>
      <c r="J17" s="1">
        <f>'Long Term Deals'!AN17</f>
        <v>11667</v>
      </c>
      <c r="K17" s="1">
        <f>'Long Term Deals'!AO17</f>
        <v>-13</v>
      </c>
      <c r="L17" s="1">
        <f>'Long Term Deals'!AP17</f>
        <v>80000</v>
      </c>
      <c r="M17" s="1">
        <f>'Long Term Deals'!AQ17</f>
        <v>217</v>
      </c>
      <c r="N17" s="1">
        <f>'Long Term Deals'!AR17</f>
        <v>9992</v>
      </c>
      <c r="O17" s="1">
        <f>'Long Term Deals'!AS17</f>
        <v>11667</v>
      </c>
      <c r="P17" s="1">
        <f>'Long Term Deals'!AT17</f>
        <v>-13.573143954990883</v>
      </c>
      <c r="Q17" s="1">
        <f>'Long Term Deals'!AU17</f>
        <v>259366.50000000003</v>
      </c>
      <c r="R17" s="1">
        <f>'Long Term Deals'!AV17</f>
        <v>12347.833333333334</v>
      </c>
      <c r="S17" s="20">
        <f>'Long Term Deals'!AW17</f>
        <v>0.14499999999999999</v>
      </c>
      <c r="T17" s="20">
        <f>'Long Term Deals'!AX17</f>
        <v>0.05</v>
      </c>
      <c r="U17" s="1">
        <f>'Long Term Deals'!AY17</f>
        <v>9243901.9340057615</v>
      </c>
      <c r="V17" s="1">
        <f>'Long Term Deals'!AZ17</f>
        <v>8204345.1791354474</v>
      </c>
      <c r="W17" s="6">
        <f t="shared" si="2"/>
        <v>1039556.7548703142</v>
      </c>
      <c r="X17" s="6">
        <f>'Long Term Deals'!CA17</f>
        <v>46315.356113627</v>
      </c>
      <c r="Y17" s="57">
        <f>[2]Sheet1!$AL58</f>
        <v>739969.94169147068</v>
      </c>
      <c r="Z17" s="1">
        <f>[3]Sheet1!$O26</f>
        <v>478881.65795180504</v>
      </c>
      <c r="AA17" s="1">
        <f>'[4]Long Term Deals'!$Z16</f>
        <v>134194.81586056686</v>
      </c>
      <c r="AB17" s="60">
        <f t="shared" si="5"/>
        <v>1388524.4983569195</v>
      </c>
      <c r="AC17" s="60">
        <f t="shared" si="3"/>
        <v>648554.55666544882</v>
      </c>
      <c r="AD17" s="60">
        <f t="shared" si="4"/>
        <v>1039556.7548703138</v>
      </c>
      <c r="AE17" s="28">
        <f>(W17-Z17+AA17)/(B17+C17+D17)/'Prices&amp;Fuel'!H17</f>
        <v>0.17048921283437726</v>
      </c>
      <c r="AF17" s="3">
        <v>300000</v>
      </c>
      <c r="AG17" s="1">
        <f>((((I17*'Prices&amp;Fuel'!B17+'Prices&amp;Fuel'!C17*FPL!J17+FPL!K17*'Prices&amp;Fuel'!D17))+(L17*'Prices&amp;Fuel'!B17+'Prices&amp;Fuel'!C17*FPL!M17))*'Prices&amp;Fuel'!H17)+(I17+J17+K17)*'Prices&amp;Fuel'!H17*FPL!T17+Q17/2</f>
        <v>6054421.3499999996</v>
      </c>
      <c r="AH17" s="1">
        <f>(N17*'Prices&amp;Fuel'!B17+'Prices&amp;Fuel'!C17*O17+P17*'Prices&amp;Fuel'!D17)*'Prices&amp;Fuel'!H17+(N17+O17+P17)*'Prices&amp;Fuel'!H17*FPL!T17+Q17/2</f>
        <v>1433432.7491354465</v>
      </c>
      <c r="AI17" s="1">
        <f>R17*'Prices&amp;Fuel'!H17*'Prices&amp;Fuel'!Q17</f>
        <v>716491.08000000007</v>
      </c>
      <c r="AJ17" s="52">
        <f>SUM(AG17:AI17)-'Long Term Deals'!AZ17</f>
        <v>0</v>
      </c>
    </row>
    <row r="18" spans="1:36" ht="10.199999999999999" x14ac:dyDescent="0.2">
      <c r="A18" s="10">
        <f t="shared" si="1"/>
        <v>36144.416666666635</v>
      </c>
      <c r="B18" s="1">
        <f>'Long Term Deals'!AF18</f>
        <v>121864.96500617538</v>
      </c>
      <c r="C18" s="1">
        <f>'Long Term Deals'!AG18</f>
        <v>109711.81556195965</v>
      </c>
      <c r="D18" s="1">
        <f>'Long Term Deals'!AH18</f>
        <v>77192.260189378343</v>
      </c>
      <c r="E18" s="1">
        <f>'Long Term Deals'!AI18</f>
        <v>0</v>
      </c>
      <c r="F18" s="1">
        <f>'Long Term Deals'!AJ18</f>
        <v>0</v>
      </c>
      <c r="G18" s="1">
        <f>'Long Term Deals'!AK18</f>
        <v>0</v>
      </c>
      <c r="H18" s="1">
        <f>'Long Term Deals'!AL18</f>
        <v>0</v>
      </c>
      <c r="I18" s="1">
        <f>'Long Term Deals'!AM18</f>
        <v>20932</v>
      </c>
      <c r="J18" s="1">
        <f>'Long Term Deals'!AN18</f>
        <v>54747</v>
      </c>
      <c r="K18" s="1">
        <f>'Long Term Deals'!AO18</f>
        <v>32993</v>
      </c>
      <c r="L18" s="1">
        <f>'Long Term Deals'!AP18</f>
        <v>80000</v>
      </c>
      <c r="M18" s="1">
        <f>'Long Term Deals'!AQ18</f>
        <v>217</v>
      </c>
      <c r="N18" s="1">
        <f>'Long Term Deals'!AR18</f>
        <v>20932</v>
      </c>
      <c r="O18" s="1">
        <f>'Long Term Deals'!AS18</f>
        <v>54747</v>
      </c>
      <c r="P18" s="1">
        <f>'Long Term Deals'!AT18</f>
        <v>32993.260189378343</v>
      </c>
      <c r="Q18" s="1">
        <f>'Long Term Deals'!AU18</f>
        <v>0</v>
      </c>
      <c r="R18" s="1">
        <f>'Long Term Deals'!AV18</f>
        <v>11206</v>
      </c>
      <c r="S18" s="20">
        <f>'Long Term Deals'!AW18</f>
        <v>0.14499999999999999</v>
      </c>
      <c r="T18" s="20">
        <f>'Long Term Deals'!AX18</f>
        <v>0.05</v>
      </c>
      <c r="U18" s="1">
        <f>'Long Term Deals'!AY18</f>
        <v>21491327.501029231</v>
      </c>
      <c r="V18" s="1">
        <f>'Long Term Deals'!AZ18</f>
        <v>20316243.999645945</v>
      </c>
      <c r="W18" s="6">
        <f t="shared" si="2"/>
        <v>1175083.501383286</v>
      </c>
      <c r="X18" s="6">
        <f>'Long Term Deals'!CA18</f>
        <v>47859.201317414569</v>
      </c>
      <c r="Y18" s="57">
        <f>[2]Sheet1!$AL59</f>
        <v>764635.60641451972</v>
      </c>
      <c r="Z18" s="1">
        <f>[3]Sheet1!$O27</f>
        <v>494844.37988353183</v>
      </c>
      <c r="AA18" s="1">
        <f>'[4]Long Term Deals'!$Z17</f>
        <v>138667.97638925241</v>
      </c>
      <c r="AB18" s="60">
        <f t="shared" si="5"/>
        <v>1535683.5029861117</v>
      </c>
      <c r="AC18" s="60">
        <f t="shared" si="3"/>
        <v>771047.89657159196</v>
      </c>
      <c r="AD18" s="60">
        <f t="shared" si="4"/>
        <v>1175083.5013832862</v>
      </c>
      <c r="AE18" s="28">
        <f>(W18-Z18+AA18)/(B18+C18+D18)/'Prices&amp;Fuel'!H18</f>
        <v>8.555377809773751E-2</v>
      </c>
      <c r="AF18" s="3">
        <v>300000</v>
      </c>
      <c r="AG18" s="1">
        <f>((((I18*'Prices&amp;Fuel'!B18+'Prices&amp;Fuel'!C18*FPL!J18+FPL!K18*'Prices&amp;Fuel'!D18))+(L18*'Prices&amp;Fuel'!B18+'Prices&amp;Fuel'!C18*FPL!M18))*'Prices&amp;Fuel'!H18)+(I18+J18+K18)*'Prices&amp;Fuel'!H18*FPL!T18+Q18/2</f>
        <v>12374642.930000002</v>
      </c>
      <c r="AH18" s="1">
        <f>(N18*'Prices&amp;Fuel'!B18+'Prices&amp;Fuel'!C18*O18+P18*'Prices&amp;Fuel'!D18)*'Prices&amp;Fuel'!H18+(N18+O18+P18)*'Prices&amp;Fuel'!H18*FPL!T18+Q18/2</f>
        <v>7226798.7896459447</v>
      </c>
      <c r="AI18" s="1">
        <f>R18*'Prices&amp;Fuel'!H18*'Prices&amp;Fuel'!Q18</f>
        <v>714802.28</v>
      </c>
      <c r="AJ18" s="52">
        <f>SUM(AG18:AI18)-'Long Term Deals'!AZ18</f>
        <v>0</v>
      </c>
    </row>
    <row r="19" spans="1:36" ht="10.199999999999999" x14ac:dyDescent="0.2">
      <c r="A19" s="10">
        <f t="shared" si="1"/>
        <v>36174.833333333299</v>
      </c>
      <c r="B19" s="1">
        <f>'Long Term Deals'!AF19</f>
        <v>121440</v>
      </c>
      <c r="C19" s="1">
        <f>'Long Term Deals'!AG19</f>
        <v>109329.23076923077</v>
      </c>
      <c r="D19" s="1">
        <f>'Long Term Deals'!AH19</f>
        <v>76923.076923076922</v>
      </c>
      <c r="E19" s="1">
        <f>'Long Term Deals'!AI19</f>
        <v>0</v>
      </c>
      <c r="F19" s="1">
        <f>'Long Term Deals'!AJ19</f>
        <v>0</v>
      </c>
      <c r="G19" s="1">
        <f>'Long Term Deals'!AK19</f>
        <v>0</v>
      </c>
      <c r="H19" s="1">
        <f>'Long Term Deals'!AL19</f>
        <v>0</v>
      </c>
      <c r="I19" s="1">
        <f>'Long Term Deals'!AM19</f>
        <v>20720</v>
      </c>
      <c r="J19" s="1">
        <f>'Long Term Deals'!AN19</f>
        <v>54556</v>
      </c>
      <c r="K19" s="1">
        <f>'Long Term Deals'!AO19</f>
        <v>32623</v>
      </c>
      <c r="L19" s="1">
        <f>'Long Term Deals'!AP19</f>
        <v>80000</v>
      </c>
      <c r="M19" s="1">
        <f>'Long Term Deals'!AQ19</f>
        <v>217</v>
      </c>
      <c r="N19" s="1">
        <f>'Long Term Deals'!AR19</f>
        <v>20720</v>
      </c>
      <c r="O19" s="1">
        <f>'Long Term Deals'!AS19</f>
        <v>54556</v>
      </c>
      <c r="P19" s="1">
        <f>'Long Term Deals'!AT19</f>
        <v>32622.141439205952</v>
      </c>
      <c r="Q19" s="1">
        <f>'Long Term Deals'!AU19</f>
        <v>0</v>
      </c>
      <c r="R19" s="1">
        <f>'Long Term Deals'!AV19</f>
        <v>11677.935483870968</v>
      </c>
      <c r="S19" s="20">
        <f>'Long Term Deals'!AW19</f>
        <v>0.14000000000000001</v>
      </c>
      <c r="T19" s="20">
        <f>'Long Term Deals'!AX19</f>
        <v>0.05</v>
      </c>
      <c r="U19" s="1">
        <f>'Long Term Deals'!AY19</f>
        <v>18125614.153846152</v>
      </c>
      <c r="V19" s="1">
        <f>'Long Term Deals'!AZ19</f>
        <v>17006154.334615383</v>
      </c>
      <c r="W19" s="6">
        <f t="shared" si="2"/>
        <v>1119459.8192307688</v>
      </c>
      <c r="X19" s="6">
        <f>'Long Term Deals'!CA19</f>
        <v>47692.307692307695</v>
      </c>
      <c r="Y19" s="57">
        <f>[2]Sheet1!$AL60</f>
        <v>764635.60641451972</v>
      </c>
      <c r="Z19" s="1">
        <f>[3]Sheet1!$O29</f>
        <v>446881.51242607983</v>
      </c>
      <c r="AA19" s="1">
        <f>'[4]Long Term Deals'!$Z18</f>
        <v>138667.97638925241</v>
      </c>
      <c r="AB19" s="60">
        <f t="shared" si="5"/>
        <v>1528189.5819161534</v>
      </c>
      <c r="AC19" s="60">
        <f t="shared" si="3"/>
        <v>763553.97550163371</v>
      </c>
      <c r="AD19" s="60">
        <f t="shared" si="4"/>
        <v>1119459.8192307688</v>
      </c>
      <c r="AE19" s="28">
        <f>(W19-Z19+AA19)/(B19+C19+D19)/'Prices&amp;Fuel'!H19</f>
        <v>8.5050013560655155E-2</v>
      </c>
      <c r="AF19" s="3">
        <v>300000</v>
      </c>
      <c r="AG19" s="1">
        <f>((((I19*'Prices&amp;Fuel'!B19+'Prices&amp;Fuel'!C19*FPL!J19+FPL!K19*'Prices&amp;Fuel'!D19))+(L19*'Prices&amp;Fuel'!B19+'Prices&amp;Fuel'!C19*FPL!M19))*'Prices&amp;Fuel'!H19)+(I19+J19+K19)*'Prices&amp;Fuel'!H19*FPL!T19+Q19/2</f>
        <v>10340802.68</v>
      </c>
      <c r="AH19" s="1">
        <f>(N19*'Prices&amp;Fuel'!B19+'Prices&amp;Fuel'!C19*O19+P19*'Prices&amp;Fuel'!D19)*'Prices&amp;Fuel'!H19+(N19+O19+P19)*'Prices&amp;Fuel'!H19*FPL!T19+Q19/2</f>
        <v>6038381.2446153844</v>
      </c>
      <c r="AI19" s="1">
        <f>R19*'Prices&amp;Fuel'!H19*'Prices&amp;Fuel'!Q19</f>
        <v>626970.41</v>
      </c>
      <c r="AJ19" s="52">
        <f>SUM(AG19:AI19)-'Long Term Deals'!AZ19</f>
        <v>0</v>
      </c>
    </row>
    <row r="20" spans="1:36" ht="10.199999999999999" x14ac:dyDescent="0.2">
      <c r="A20" s="10">
        <f t="shared" si="1"/>
        <v>36205.249999999964</v>
      </c>
      <c r="B20" s="1">
        <f>'Long Term Deals'!AF20</f>
        <v>121440</v>
      </c>
      <c r="C20" s="1">
        <f>'Long Term Deals'!AG20</f>
        <v>109329.23076923077</v>
      </c>
      <c r="D20" s="1">
        <f>'Long Term Deals'!AH20</f>
        <v>76923.076923076922</v>
      </c>
      <c r="E20" s="1">
        <f>'Long Term Deals'!AI20</f>
        <v>0</v>
      </c>
      <c r="F20" s="1">
        <f>'Long Term Deals'!AJ20</f>
        <v>0</v>
      </c>
      <c r="G20" s="1">
        <f>'Long Term Deals'!AK20</f>
        <v>0</v>
      </c>
      <c r="H20" s="1">
        <f>'Long Term Deals'!AL20</f>
        <v>0</v>
      </c>
      <c r="I20" s="1">
        <f>'Long Term Deals'!AM20</f>
        <v>20720</v>
      </c>
      <c r="J20" s="1">
        <f>'Long Term Deals'!AN20</f>
        <v>54556</v>
      </c>
      <c r="K20" s="1">
        <f>'Long Term Deals'!AO20</f>
        <v>31922</v>
      </c>
      <c r="L20" s="1">
        <f>'Long Term Deals'!AP20</f>
        <v>80000</v>
      </c>
      <c r="M20" s="1">
        <f>'Long Term Deals'!AQ20</f>
        <v>217</v>
      </c>
      <c r="N20" s="1">
        <f>'Long Term Deals'!AR20</f>
        <v>20720</v>
      </c>
      <c r="O20" s="1">
        <f>'Long Term Deals'!AS20</f>
        <v>54556</v>
      </c>
      <c r="P20" s="1">
        <f>'Long Term Deals'!AT20</f>
        <v>31921.148351648349</v>
      </c>
      <c r="Q20" s="1">
        <f>'Long Term Deals'!AU20</f>
        <v>0</v>
      </c>
      <c r="R20" s="1">
        <f>'Long Term Deals'!AV20</f>
        <v>13079.928571428571</v>
      </c>
      <c r="S20" s="20">
        <f>'Long Term Deals'!AW20</f>
        <v>0.14000000000000001</v>
      </c>
      <c r="T20" s="20">
        <f>'Long Term Deals'!AX20</f>
        <v>0.05</v>
      </c>
      <c r="U20" s="1">
        <f>'Long Term Deals'!AY20</f>
        <v>16353375.015384616</v>
      </c>
      <c r="V20" s="1">
        <f>'Long Term Deals'!AZ20</f>
        <v>15389678.305384615</v>
      </c>
      <c r="W20" s="6">
        <f t="shared" si="2"/>
        <v>963696.71000000089</v>
      </c>
      <c r="X20" s="6">
        <f>'Long Term Deals'!CA20</f>
        <v>43076.923076923078</v>
      </c>
      <c r="Y20" s="57">
        <f>[2]Sheet1!$AL61</f>
        <v>690638.61224537261</v>
      </c>
      <c r="Z20" s="1">
        <f>[3]Sheet1!$O30</f>
        <v>403634.91444936238</v>
      </c>
      <c r="AA20" s="1">
        <f>'[4]Long Term Deals'!$Z19</f>
        <v>125248.49480319573</v>
      </c>
      <c r="AB20" s="60">
        <f t="shared" si="5"/>
        <v>1332871.9795222839</v>
      </c>
      <c r="AC20" s="60">
        <f t="shared" si="3"/>
        <v>642233.36727691127</v>
      </c>
      <c r="AD20" s="60">
        <f t="shared" si="4"/>
        <v>963696.71000000113</v>
      </c>
      <c r="AE20" s="28">
        <f>(W20-Z20+AA20)/(B20+C20+D20)/'Prices&amp;Fuel'!H20</f>
        <v>7.954494441607006E-2</v>
      </c>
      <c r="AF20" s="3">
        <v>300000</v>
      </c>
      <c r="AG20" s="1">
        <f>((((I20*'Prices&amp;Fuel'!B20+'Prices&amp;Fuel'!C20*FPL!J20+FPL!K20*'Prices&amp;Fuel'!D20))+(L20*'Prices&amp;Fuel'!B20+'Prices&amp;Fuel'!C20*FPL!M20))*'Prices&amp;Fuel'!H20)+(I20+J20+K20)*'Prices&amp;Fuel'!H20*FPL!T20+Q20/2</f>
        <v>9326945.3199999984</v>
      </c>
      <c r="AH20" s="1">
        <f>(N20*'Prices&amp;Fuel'!B20+'Prices&amp;Fuel'!C20*O20+P20*'Prices&amp;Fuel'!D20)*'Prices&amp;Fuel'!H20+(N20+O20+P20)*'Prices&amp;Fuel'!H20*FPL!T20+Q20/2</f>
        <v>5418548.1153846141</v>
      </c>
      <c r="AI20" s="1">
        <f>R20*'Prices&amp;Fuel'!H20*'Prices&amp;Fuel'!Q20</f>
        <v>644184.87</v>
      </c>
      <c r="AJ20" s="52">
        <f>SUM(AG20:AI20)-'Long Term Deals'!AZ20</f>
        <v>0</v>
      </c>
    </row>
    <row r="21" spans="1:36" ht="10.199999999999999" x14ac:dyDescent="0.2">
      <c r="A21" s="10">
        <f t="shared" si="1"/>
        <v>36235.666666666628</v>
      </c>
      <c r="B21" s="1">
        <f>'Long Term Deals'!AF21</f>
        <v>121440</v>
      </c>
      <c r="C21" s="1">
        <f>'Long Term Deals'!AG21</f>
        <v>109329.23076923077</v>
      </c>
      <c r="D21" s="1">
        <f>'Long Term Deals'!AH21</f>
        <v>76923.076923076922</v>
      </c>
      <c r="E21" s="1">
        <f>'Long Term Deals'!AI21</f>
        <v>0</v>
      </c>
      <c r="F21" s="1">
        <f>'Long Term Deals'!AJ21</f>
        <v>0</v>
      </c>
      <c r="G21" s="1">
        <f>'Long Term Deals'!AK21</f>
        <v>0</v>
      </c>
      <c r="H21" s="1">
        <f>'Long Term Deals'!AL21</f>
        <v>0</v>
      </c>
      <c r="I21" s="1">
        <f>'Long Term Deals'!AM21</f>
        <v>20720</v>
      </c>
      <c r="J21" s="1">
        <f>'Long Term Deals'!AN21</f>
        <v>54556</v>
      </c>
      <c r="K21" s="1">
        <f>'Long Term Deals'!AO21</f>
        <v>33055</v>
      </c>
      <c r="L21" s="1">
        <f>'Long Term Deals'!AP21</f>
        <v>80000</v>
      </c>
      <c r="M21" s="1">
        <f>'Long Term Deals'!AQ21</f>
        <v>217</v>
      </c>
      <c r="N21" s="1">
        <f>'Long Term Deals'!AR21</f>
        <v>20720</v>
      </c>
      <c r="O21" s="1">
        <f>'Long Term Deals'!AS21</f>
        <v>54556</v>
      </c>
      <c r="P21" s="1">
        <f>'Long Term Deals'!AT21</f>
        <v>33055.399503722081</v>
      </c>
      <c r="Q21" s="1">
        <f>'Long Term Deals'!AU21</f>
        <v>0</v>
      </c>
      <c r="R21" s="1">
        <f>'Long Term Deals'!AV21</f>
        <v>10812.677419354839</v>
      </c>
      <c r="S21" s="20">
        <f>'Long Term Deals'!AW21</f>
        <v>0.14000000000000001</v>
      </c>
      <c r="T21" s="20">
        <f>'Long Term Deals'!AX21</f>
        <v>0.05</v>
      </c>
      <c r="U21" s="1">
        <f>'Long Term Deals'!AY21</f>
        <v>16732491.323076922</v>
      </c>
      <c r="V21" s="1">
        <f>'Long Term Deals'!AZ21</f>
        <v>15660460.704615384</v>
      </c>
      <c r="W21" s="6">
        <f t="shared" si="2"/>
        <v>1072030.6184615381</v>
      </c>
      <c r="X21" s="6">
        <f>'Long Term Deals'!CA21</f>
        <v>47692.307692307695</v>
      </c>
      <c r="Y21" s="57">
        <f>[2]Sheet1!$AL62</f>
        <v>764635.60641451972</v>
      </c>
      <c r="Z21" s="1">
        <f>[3]Sheet1!$O31</f>
        <v>446881.51242607983</v>
      </c>
      <c r="AA21" s="1">
        <f>'[4]Long Term Deals'!$Z20</f>
        <v>138667.97638925241</v>
      </c>
      <c r="AB21" s="60">
        <f t="shared" si="5"/>
        <v>1480760.3811469227</v>
      </c>
      <c r="AC21" s="60">
        <f t="shared" si="3"/>
        <v>716124.77473240299</v>
      </c>
      <c r="AD21" s="60">
        <f t="shared" si="4"/>
        <v>1072030.6184615381</v>
      </c>
      <c r="AE21" s="28">
        <f>(W21-Z21+AA21)/(B21+C21+D21)/'Prices&amp;Fuel'!H21</f>
        <v>8.0077597350977733E-2</v>
      </c>
      <c r="AF21" s="3">
        <v>300000</v>
      </c>
      <c r="AG21" s="1">
        <f>((((I21*'Prices&amp;Fuel'!B21+'Prices&amp;Fuel'!C21*FPL!J21+FPL!K21*'Prices&amp;Fuel'!D21))+(L21*'Prices&amp;Fuel'!B21+'Prices&amp;Fuel'!C21*FPL!M21))*'Prices&amp;Fuel'!H21)+(I21+J21+K21)*'Prices&amp;Fuel'!H21*FPL!T21+Q21/2</f>
        <v>9539609.5400000028</v>
      </c>
      <c r="AH21" s="1">
        <f>(N21*'Prices&amp;Fuel'!B21+'Prices&amp;Fuel'!C21*O21+P21*'Prices&amp;Fuel'!D21)*'Prices&amp;Fuel'!H21+(N21+O21+P21)*'Prices&amp;Fuel'!H21*FPL!T21+Q21/2</f>
        <v>5585464.964615385</v>
      </c>
      <c r="AI21" s="1">
        <f>R21*'Prices&amp;Fuel'!H21*'Prices&amp;Fuel'!Q21</f>
        <v>535386.19999999995</v>
      </c>
      <c r="AJ21" s="52">
        <f>SUM(AG21:AI21)-'Long Term Deals'!AZ21</f>
        <v>0</v>
      </c>
    </row>
    <row r="22" spans="1:36" ht="10.199999999999999" x14ac:dyDescent="0.2">
      <c r="A22" s="10">
        <f t="shared" si="1"/>
        <v>36266.083333333292</v>
      </c>
      <c r="B22" s="1">
        <f>'Long Term Deals'!AF22</f>
        <v>130649.23076923077</v>
      </c>
      <c r="C22" s="1">
        <f>'Long Term Deals'!AG22</f>
        <v>100120</v>
      </c>
      <c r="D22" s="1">
        <f>'Long Term Deals'!AH22</f>
        <v>76923.076923076922</v>
      </c>
      <c r="E22" s="1">
        <f>'Long Term Deals'!AI22</f>
        <v>0</v>
      </c>
      <c r="F22" s="1">
        <f>'Long Term Deals'!AJ22</f>
        <v>0</v>
      </c>
      <c r="G22" s="1">
        <f>'Long Term Deals'!AK22</f>
        <v>0</v>
      </c>
      <c r="H22" s="1">
        <f>'Long Term Deals'!AL22</f>
        <v>0</v>
      </c>
      <c r="I22" s="1">
        <f>'Long Term Deals'!AM22</f>
        <v>25325</v>
      </c>
      <c r="J22" s="1">
        <f>'Long Term Deals'!AN22</f>
        <v>49952</v>
      </c>
      <c r="K22" s="1">
        <f>'Long Term Deals'!AO22</f>
        <v>33031</v>
      </c>
      <c r="L22" s="1">
        <f>'Long Term Deals'!AP22</f>
        <v>80000</v>
      </c>
      <c r="M22" s="1">
        <f>'Long Term Deals'!AQ22</f>
        <v>217</v>
      </c>
      <c r="N22" s="1">
        <f>'Long Term Deals'!AR22</f>
        <v>25325</v>
      </c>
      <c r="O22" s="1">
        <f>'Long Term Deals'!AS22</f>
        <v>49952</v>
      </c>
      <c r="P22" s="1">
        <f>'Long Term Deals'!AT22</f>
        <v>33031.910256410258</v>
      </c>
      <c r="Q22" s="1">
        <f>'Long Term Deals'!AU22</f>
        <v>0</v>
      </c>
      <c r="R22" s="1">
        <f>'Long Term Deals'!AV22</f>
        <v>10860.166666666666</v>
      </c>
      <c r="S22" s="20">
        <f>'Long Term Deals'!AW22</f>
        <v>0.14000000000000001</v>
      </c>
      <c r="T22" s="20">
        <f>'Long Term Deals'!AX22</f>
        <v>0.05</v>
      </c>
      <c r="U22" s="1">
        <f>'Long Term Deals'!AY22</f>
        <v>18489374.769230768</v>
      </c>
      <c r="V22" s="1">
        <f>'Long Term Deals'!AZ22</f>
        <v>17446985.584615383</v>
      </c>
      <c r="W22" s="6">
        <f t="shared" si="2"/>
        <v>1042389.1846153848</v>
      </c>
      <c r="X22" s="6">
        <f>'Long Term Deals'!CA22</f>
        <v>46153.846153846156</v>
      </c>
      <c r="Y22" s="57">
        <f>[2]Sheet1!$AL63</f>
        <v>739969.94169147068</v>
      </c>
      <c r="Z22" s="1">
        <f>[3]Sheet1!$O32</f>
        <v>432465.97976717388</v>
      </c>
      <c r="AA22" s="1">
        <f>'[4]Long Term Deals'!$Z21</f>
        <v>134194.81586056686</v>
      </c>
      <c r="AB22" s="60">
        <f t="shared" si="5"/>
        <v>1437934.1162464023</v>
      </c>
      <c r="AC22" s="60">
        <f t="shared" si="3"/>
        <v>697964.17455493158</v>
      </c>
      <c r="AD22" s="60">
        <f t="shared" si="4"/>
        <v>1042389.1846153847</v>
      </c>
      <c r="AE22" s="28">
        <f>(W22-Z22+AA22)/(B22+C22+D22)/'Prices&amp;Fuel'!H22</f>
        <v>8.0612785576784252E-2</v>
      </c>
      <c r="AF22" s="3">
        <v>300000</v>
      </c>
      <c r="AG22" s="1">
        <f>((((I22*'Prices&amp;Fuel'!B22+'Prices&amp;Fuel'!C22*FPL!J22+FPL!K22*'Prices&amp;Fuel'!D22))+(L22*'Prices&amp;Fuel'!B22+'Prices&amp;Fuel'!C22*FPL!M22))*'Prices&amp;Fuel'!H22)+(I22+J22+K22)*'Prices&amp;Fuel'!H22*FPL!T22+Q22/2</f>
        <v>10639154.1</v>
      </c>
      <c r="AH22" s="1">
        <f>(N22*'Prices&amp;Fuel'!B22+'Prices&amp;Fuel'!C22*O22+P22*'Prices&amp;Fuel'!D22)*'Prices&amp;Fuel'!H22+(N22+O22+P22)*'Prices&amp;Fuel'!H22*FPL!T22+Q22/2</f>
        <v>6210967.1846153848</v>
      </c>
      <c r="AI22" s="1">
        <f>R22*'Prices&amp;Fuel'!H22*'Prices&amp;Fuel'!Q22</f>
        <v>596864.29999999993</v>
      </c>
      <c r="AJ22" s="52">
        <f>SUM(AG22:AI22)-'Long Term Deals'!AZ22</f>
        <v>0</v>
      </c>
    </row>
    <row r="23" spans="1:36" ht="10.199999999999999" x14ac:dyDescent="0.2">
      <c r="A23" s="10">
        <f t="shared" si="1"/>
        <v>36296.499999999956</v>
      </c>
      <c r="B23" s="1">
        <f>'Long Term Deals'!AF23</f>
        <v>185871.13402061857</v>
      </c>
      <c r="C23" s="1">
        <f>'Long Term Deals'!AG23</f>
        <v>180108.2474226804</v>
      </c>
      <c r="D23" s="1">
        <f>'Long Term Deals'!AH23</f>
        <v>77319.587628865978</v>
      </c>
      <c r="E23" s="1">
        <f>'Long Term Deals'!AI23</f>
        <v>0</v>
      </c>
      <c r="F23" s="1">
        <f>'Long Term Deals'!AJ23</f>
        <v>0</v>
      </c>
      <c r="G23" s="1">
        <f>'Long Term Deals'!AK23</f>
        <v>0</v>
      </c>
      <c r="H23" s="1">
        <f>'Long Term Deals'!AL23</f>
        <v>0</v>
      </c>
      <c r="I23" s="1">
        <f>'Long Term Deals'!AM23</f>
        <v>62807</v>
      </c>
      <c r="J23" s="1">
        <f>'Long Term Deals'!AN23</f>
        <v>89946</v>
      </c>
      <c r="K23" s="1">
        <f>'Long Term Deals'!AO23</f>
        <v>23042</v>
      </c>
      <c r="L23" s="1">
        <f>'Long Term Deals'!AP23</f>
        <v>80000</v>
      </c>
      <c r="M23" s="1">
        <f>'Long Term Deals'!AQ23</f>
        <v>217</v>
      </c>
      <c r="N23" s="1">
        <f>'Long Term Deals'!AR23</f>
        <v>43064</v>
      </c>
      <c r="O23" s="1">
        <f>'Long Term Deals'!AS23</f>
        <v>89946</v>
      </c>
      <c r="P23" s="1">
        <f>'Long Term Deals'!AT23</f>
        <v>42786.103757898236</v>
      </c>
      <c r="Q23" s="1">
        <f>'Long Term Deals'!AU23</f>
        <v>0</v>
      </c>
      <c r="R23" s="1">
        <f>'Long Term Deals'!AV23</f>
        <v>11491.483870967742</v>
      </c>
      <c r="S23" s="20">
        <f>'Long Term Deals'!AW23</f>
        <v>0.14000000000000001</v>
      </c>
      <c r="T23" s="20">
        <f>'Long Term Deals'!AX23</f>
        <v>0.05</v>
      </c>
      <c r="U23" s="1">
        <f>'Long Term Deals'!AY23</f>
        <v>33930147.164948456</v>
      </c>
      <c r="V23" s="1">
        <f>'Long Term Deals'!AZ23</f>
        <v>32430351.578762889</v>
      </c>
      <c r="W23" s="6">
        <f t="shared" si="2"/>
        <v>1499795.5861855671</v>
      </c>
      <c r="X23" s="6">
        <f>'Long Term Deals'!CA23</f>
        <v>68711.340206185574</v>
      </c>
      <c r="Y23" s="57">
        <f>[2]Sheet1!$AL64</f>
        <v>764635.60641451972</v>
      </c>
      <c r="Z23" s="1">
        <f>[3]Sheet1!$O33</f>
        <v>640530.16781071411</v>
      </c>
      <c r="AA23" s="1">
        <f>'[4]Long Term Deals'!$Z22</f>
        <v>252636.51782459451</v>
      </c>
      <c r="AB23" s="60">
        <f t="shared" si="5"/>
        <v>1807826.2024077817</v>
      </c>
      <c r="AC23" s="60">
        <f t="shared" si="3"/>
        <v>1043190.595993262</v>
      </c>
      <c r="AD23" s="60">
        <f t="shared" si="4"/>
        <v>1499795.5861855673</v>
      </c>
      <c r="AE23" s="28">
        <f>(W23-Z23+AA23)/(B23+C23+D23)/'Prices&amp;Fuel'!H23</f>
        <v>8.0911093631917785E-2</v>
      </c>
      <c r="AF23" s="3">
        <v>430000</v>
      </c>
      <c r="AG23" s="1">
        <f>((((I23*'Prices&amp;Fuel'!B23+'Prices&amp;Fuel'!C23*FPL!J23+FPL!K23*'Prices&amp;Fuel'!D23))+(L23*'Prices&amp;Fuel'!B23+'Prices&amp;Fuel'!C23*FPL!M23))*'Prices&amp;Fuel'!H23)+(I23+J23+K23)*'Prices&amp;Fuel'!H23*FPL!T23+Q23/2</f>
        <v>18665890.5</v>
      </c>
      <c r="AH23" s="1">
        <f>(N23*'Prices&amp;Fuel'!B23+'Prices&amp;Fuel'!C23*O23+P23*'Prices&amp;Fuel'!D23)*'Prices&amp;Fuel'!H23+(N23+O23+P23)*'Prices&amp;Fuel'!H23*FPL!T23+Q23/2</f>
        <v>12946162.458762886</v>
      </c>
      <c r="AI23" s="1">
        <f>R23*'Prices&amp;Fuel'!H23*'Prices&amp;Fuel'!Q23</f>
        <v>818298.62000000023</v>
      </c>
      <c r="AJ23" s="52">
        <f>SUM(AG23:AI23)-'Long Term Deals'!AZ23</f>
        <v>0</v>
      </c>
    </row>
    <row r="24" spans="1:36" ht="10.199999999999999" x14ac:dyDescent="0.2">
      <c r="A24" s="10">
        <f t="shared" si="1"/>
        <v>36326.916666666621</v>
      </c>
      <c r="B24" s="1">
        <f>'Long Term Deals'!AF24</f>
        <v>185871.13402061857</v>
      </c>
      <c r="C24" s="1">
        <f>'Long Term Deals'!AG24</f>
        <v>180108.2474226804</v>
      </c>
      <c r="D24" s="1">
        <f>'Long Term Deals'!AH24</f>
        <v>77319.587628865978</v>
      </c>
      <c r="E24" s="1">
        <f>'Long Term Deals'!AI24</f>
        <v>0</v>
      </c>
      <c r="F24" s="1">
        <f>'Long Term Deals'!AJ24</f>
        <v>0</v>
      </c>
      <c r="G24" s="1">
        <f>'Long Term Deals'!AK24</f>
        <v>0</v>
      </c>
      <c r="H24" s="1">
        <f>'Long Term Deals'!AL24</f>
        <v>0</v>
      </c>
      <c r="I24" s="1">
        <f>'Long Term Deals'!AM24</f>
        <v>62807</v>
      </c>
      <c r="J24" s="1">
        <f>'Long Term Deals'!AN24</f>
        <v>89946</v>
      </c>
      <c r="K24" s="1">
        <f>'Long Term Deals'!AO24</f>
        <v>22881</v>
      </c>
      <c r="L24" s="1">
        <f>'Long Term Deals'!AP24</f>
        <v>80000</v>
      </c>
      <c r="M24" s="1">
        <f>'Long Term Deals'!AQ24</f>
        <v>217</v>
      </c>
      <c r="N24" s="1">
        <f>'Long Term Deals'!AR24</f>
        <v>43064</v>
      </c>
      <c r="O24" s="1">
        <f>'Long Term Deals'!AS24</f>
        <v>89946</v>
      </c>
      <c r="P24" s="1">
        <f>'Long Term Deals'!AT24</f>
        <v>42625.454295532647</v>
      </c>
      <c r="Q24" s="1">
        <f>'Long Term Deals'!AU24</f>
        <v>0</v>
      </c>
      <c r="R24" s="1">
        <f>'Long Term Deals'!AV24</f>
        <v>11813.133333333333</v>
      </c>
      <c r="S24" s="20">
        <f>'Long Term Deals'!AW24</f>
        <v>0.14000000000000001</v>
      </c>
      <c r="T24" s="20">
        <f>'Long Term Deals'!AX24</f>
        <v>0.05</v>
      </c>
      <c r="U24" s="1">
        <f>'Long Term Deals'!AY24</f>
        <v>31351272.680412371</v>
      </c>
      <c r="V24" s="1">
        <f>'Long Term Deals'!AZ24</f>
        <v>29958762.241237111</v>
      </c>
      <c r="W24" s="6">
        <f t="shared" si="2"/>
        <v>1392510.4391752593</v>
      </c>
      <c r="X24" s="6">
        <f>'Long Term Deals'!CA24</f>
        <v>66494.845360824751</v>
      </c>
      <c r="Y24" s="57">
        <f>[2]Sheet1!$AL65</f>
        <v>739969.94169147068</v>
      </c>
      <c r="Z24" s="1">
        <f>[3]Sheet1!$O34</f>
        <v>619867.90433294931</v>
      </c>
      <c r="AA24" s="1">
        <f>'[4]Long Term Deals'!$Z23</f>
        <v>244486.95273347863</v>
      </c>
      <c r="AB24" s="60">
        <f t="shared" si="5"/>
        <v>1690604.5839064345</v>
      </c>
      <c r="AC24" s="60">
        <f t="shared" si="3"/>
        <v>950634.64221496379</v>
      </c>
      <c r="AD24" s="60">
        <f t="shared" si="4"/>
        <v>1392510.4391752593</v>
      </c>
      <c r="AE24" s="28">
        <f>(W24-Z24+AA24)/(B24+C24+D24)/'Prices&amp;Fuel'!H24</f>
        <v>7.6481829685931382E-2</v>
      </c>
      <c r="AF24" s="3">
        <v>430000</v>
      </c>
      <c r="AG24" s="1">
        <f>((((I24*'Prices&amp;Fuel'!B24+'Prices&amp;Fuel'!C24*FPL!J24+FPL!K24*'Prices&amp;Fuel'!D24))+(L24*'Prices&amp;Fuel'!B24+'Prices&amp;Fuel'!C24*FPL!M24))*'Prices&amp;Fuel'!H24)+(I24+J24+K24)*'Prices&amp;Fuel'!H24*FPL!T24+Q24/2</f>
        <v>17237628</v>
      </c>
      <c r="AH24" s="1">
        <f>(N24*'Prices&amp;Fuel'!B24+'Prices&amp;Fuel'!C24*O24+P24*'Prices&amp;Fuel'!D24)*'Prices&amp;Fuel'!H24+(N24+O24+P24)*'Prices&amp;Fuel'!H24*FPL!T24+Q24/2</f>
        <v>11949132.201237112</v>
      </c>
      <c r="AI24" s="1">
        <f>R24*'Prices&amp;Fuel'!H24*'Prices&amp;Fuel'!Q24</f>
        <v>772002.04</v>
      </c>
      <c r="AJ24" s="52">
        <f>SUM(AG24:AI24)-'Long Term Deals'!AZ24</f>
        <v>0</v>
      </c>
    </row>
    <row r="25" spans="1:36" ht="10.199999999999999" x14ac:dyDescent="0.2">
      <c r="A25" s="10">
        <f t="shared" si="1"/>
        <v>36357.333333333285</v>
      </c>
      <c r="B25" s="1">
        <f>'Long Term Deals'!AF25</f>
        <v>155670.10309278351</v>
      </c>
      <c r="C25" s="1">
        <f>'Long Term Deals'!AG25</f>
        <v>0</v>
      </c>
      <c r="D25" s="1">
        <f>'Long Term Deals'!AH25</f>
        <v>77319.587628865978</v>
      </c>
      <c r="E25" s="1">
        <f>'Long Term Deals'!AI25</f>
        <v>0</v>
      </c>
      <c r="F25" s="1">
        <f>'Long Term Deals'!AJ25</f>
        <v>0</v>
      </c>
      <c r="G25" s="1">
        <f>'Long Term Deals'!AK25</f>
        <v>0</v>
      </c>
      <c r="H25" s="1">
        <f>'Long Term Deals'!AL25</f>
        <v>0</v>
      </c>
      <c r="I25" s="1">
        <f>'Long Term Deals'!AM25</f>
        <v>37835</v>
      </c>
      <c r="J25" s="1">
        <f>'Long Term Deals'!AN25</f>
        <v>0</v>
      </c>
      <c r="K25" s="1">
        <f>'Long Term Deals'!AO25</f>
        <v>32615</v>
      </c>
      <c r="L25" s="1">
        <f>'Long Term Deals'!AP25</f>
        <v>80000</v>
      </c>
      <c r="M25" s="1">
        <f>'Long Term Deals'!AQ25</f>
        <v>0</v>
      </c>
      <c r="N25" s="1">
        <f>'Long Term Deals'!AR25</f>
        <v>37835.103092783509</v>
      </c>
      <c r="O25" s="1">
        <f>'Long Term Deals'!AS25</f>
        <v>0</v>
      </c>
      <c r="P25" s="1">
        <f>'Long Term Deals'!AT25</f>
        <v>32615.426338543395</v>
      </c>
      <c r="Q25" s="1">
        <f>'Long Term Deals'!AU25</f>
        <v>0</v>
      </c>
      <c r="R25" s="1">
        <f>'Long Term Deals'!AV25</f>
        <v>12089.161290322581</v>
      </c>
      <c r="S25" s="20">
        <f>'Long Term Deals'!AW25</f>
        <v>0.13500000000000001</v>
      </c>
      <c r="T25" s="20">
        <f>'Long Term Deals'!AX25</f>
        <v>2.5000000000000001E-2</v>
      </c>
      <c r="U25" s="1">
        <f>'Long Term Deals'!AY25</f>
        <v>17225773.195876289</v>
      </c>
      <c r="V25" s="1">
        <f>'Long Term Deals'!AZ25</f>
        <v>16281861.794020621</v>
      </c>
      <c r="W25" s="6">
        <f t="shared" si="2"/>
        <v>943911.40185566805</v>
      </c>
      <c r="X25" s="6">
        <f>'Long Term Deals'!CA25</f>
        <v>36113.402061855675</v>
      </c>
      <c r="Y25" s="57">
        <f>[2]Sheet1!$AL66</f>
        <v>764635.60641451972</v>
      </c>
      <c r="Z25" s="1">
        <f>[3]Sheet1!$O35</f>
        <v>300518.71254303266</v>
      </c>
      <c r="AA25" s="1">
        <f>'[4]Long Term Deals'!$Z24</f>
        <v>-44141.076883592425</v>
      </c>
      <c r="AB25" s="60">
        <f t="shared" si="5"/>
        <v>1327773.8167817071</v>
      </c>
      <c r="AC25" s="60">
        <f t="shared" si="3"/>
        <v>563138.21036718739</v>
      </c>
      <c r="AD25" s="60">
        <f t="shared" si="4"/>
        <v>943911.40185566805</v>
      </c>
      <c r="AE25" s="28">
        <f>(W25-Z25+AA25)/(B25+C25+D25)/'Prices&amp;Fuel'!H25</f>
        <v>8.2968036548126137E-2</v>
      </c>
      <c r="AF25" s="3">
        <v>226000</v>
      </c>
      <c r="AG25" s="1">
        <f>((((I25*'Prices&amp;Fuel'!B25+'Prices&amp;Fuel'!C25*FPL!J25+FPL!K25*'Prices&amp;Fuel'!D25))+(L25*'Prices&amp;Fuel'!B25+'Prices&amp;Fuel'!C25*FPL!M25))*'Prices&amp;Fuel'!H25)+(I25+J25+K25)*'Prices&amp;Fuel'!H25*FPL!T25+Q25/2</f>
        <v>10501846.75</v>
      </c>
      <c r="AH25" s="1">
        <f>(N25*'Prices&amp;Fuel'!B25+'Prices&amp;Fuel'!C25*O25+P25*'Prices&amp;Fuel'!D25)*'Prices&amp;Fuel'!H25+(N25+O25+P25)*'Prices&amp;Fuel'!H25*FPL!T25+Q25/2</f>
        <v>4946683.9240206201</v>
      </c>
      <c r="AI25" s="1">
        <f>R25*'Prices&amp;Fuel'!H25*'Prices&amp;Fuel'!Q25</f>
        <v>833331.12</v>
      </c>
      <c r="AJ25" s="52">
        <f>SUM(AG25:AI25)-'Long Term Deals'!AZ25</f>
        <v>0</v>
      </c>
    </row>
    <row r="26" spans="1:36" ht="10.199999999999999" x14ac:dyDescent="0.2">
      <c r="A26" s="10">
        <f t="shared" si="1"/>
        <v>36387.749999999949</v>
      </c>
      <c r="B26" s="1">
        <f>'Long Term Deals'!AF26</f>
        <v>155670.10309278351</v>
      </c>
      <c r="C26" s="1">
        <f>'Long Term Deals'!AG26</f>
        <v>0</v>
      </c>
      <c r="D26" s="1">
        <f>'Long Term Deals'!AH26</f>
        <v>77319.587628865978</v>
      </c>
      <c r="E26" s="1">
        <f>'Long Term Deals'!AI26</f>
        <v>0</v>
      </c>
      <c r="F26" s="1">
        <f>'Long Term Deals'!AJ26</f>
        <v>0</v>
      </c>
      <c r="G26" s="1">
        <f>'Long Term Deals'!AK26</f>
        <v>0</v>
      </c>
      <c r="H26" s="1">
        <f>'Long Term Deals'!AL26</f>
        <v>0</v>
      </c>
      <c r="I26" s="1">
        <f>'Long Term Deals'!AM26</f>
        <v>37835</v>
      </c>
      <c r="J26" s="1">
        <f>'Long Term Deals'!AN26</f>
        <v>0</v>
      </c>
      <c r="K26" s="1">
        <f>'Long Term Deals'!AO26</f>
        <v>34109</v>
      </c>
      <c r="L26" s="1">
        <f>'Long Term Deals'!AP26</f>
        <v>80000</v>
      </c>
      <c r="M26" s="1">
        <f>'Long Term Deals'!AQ26</f>
        <v>0</v>
      </c>
      <c r="N26" s="1">
        <f>'Long Term Deals'!AR26</f>
        <v>37835.103092783509</v>
      </c>
      <c r="O26" s="1">
        <f>'Long Term Deals'!AS26</f>
        <v>0</v>
      </c>
      <c r="P26" s="1">
        <f>'Long Term Deals'!AT26</f>
        <v>34108.748919188562</v>
      </c>
      <c r="Q26" s="1">
        <f>'Long Term Deals'!AU26</f>
        <v>0</v>
      </c>
      <c r="R26" s="1">
        <f>'Long Term Deals'!AV26</f>
        <v>9101.8387096774186</v>
      </c>
      <c r="S26" s="20">
        <f>'Long Term Deals'!AW26</f>
        <v>0.13500000000000001</v>
      </c>
      <c r="T26" s="20">
        <f>'Long Term Deals'!AX26</f>
        <v>2.5000000000000001E-2</v>
      </c>
      <c r="U26" s="1">
        <f>'Long Term Deals'!AY26</f>
        <v>19633226.804123715</v>
      </c>
      <c r="V26" s="1">
        <f>'Long Term Deals'!AZ26</f>
        <v>18670379.645103093</v>
      </c>
      <c r="W26" s="6">
        <f t="shared" si="2"/>
        <v>962847.15902062133</v>
      </c>
      <c r="X26" s="6">
        <f>'Long Term Deals'!CA26</f>
        <v>36113.402061855675</v>
      </c>
      <c r="Y26" s="57">
        <f>[2]Sheet1!$AL67</f>
        <v>763215.32511060953</v>
      </c>
      <c r="Z26" s="1">
        <f>[3]Sheet1!$O36</f>
        <v>300518.71254303266</v>
      </c>
      <c r="AA26" s="1">
        <f>'[4]Long Term Deals'!$Z25</f>
        <v>-44025.601883592884</v>
      </c>
      <c r="AB26" s="60">
        <f t="shared" si="5"/>
        <v>1345404.7676427497</v>
      </c>
      <c r="AC26" s="60">
        <f t="shared" si="3"/>
        <v>582189.44253214018</v>
      </c>
      <c r="AD26" s="60">
        <f t="shared" si="4"/>
        <v>962847.15902062145</v>
      </c>
      <c r="AE26" s="28">
        <f>(W26-Z26+AA26)/(B26+C26+D26)/'Prices&amp;Fuel'!H26</f>
        <v>8.5605732123347975E-2</v>
      </c>
      <c r="AF26" s="3">
        <v>226000</v>
      </c>
      <c r="AG26" s="1">
        <f>((((I26*'Prices&amp;Fuel'!B26+'Prices&amp;Fuel'!C26*FPL!J26+FPL!K26*'Prices&amp;Fuel'!D26))+(L26*'Prices&amp;Fuel'!B26+'Prices&amp;Fuel'!C26*FPL!M26))*'Prices&amp;Fuel'!H26)+(I26+J26+K26)*'Prices&amp;Fuel'!H26*FPL!T26+Q26/2</f>
        <v>12161135.079999998</v>
      </c>
      <c r="AH26" s="1">
        <f>(N26*'Prices&amp;Fuel'!B26+'Prices&amp;Fuel'!C26*O26+P26*'Prices&amp;Fuel'!D26)*'Prices&amp;Fuel'!H26+(N26+O26+P26)*'Prices&amp;Fuel'!H26*FPL!T26+Q26/2</f>
        <v>5787523.1751030926</v>
      </c>
      <c r="AI26" s="1">
        <f>R26*'Prices&amp;Fuel'!H26*'Prices&amp;Fuel'!Q26</f>
        <v>721721.39</v>
      </c>
      <c r="AJ26" s="52">
        <f>SUM(AG26:AI26)-'Long Term Deals'!AZ26</f>
        <v>0</v>
      </c>
    </row>
    <row r="27" spans="1:36" ht="10.199999999999999" x14ac:dyDescent="0.2">
      <c r="A27" s="10">
        <f t="shared" si="1"/>
        <v>36418.166666666613</v>
      </c>
      <c r="B27" s="1">
        <f>'Long Term Deals'!AF27</f>
        <v>155670.10309278351</v>
      </c>
      <c r="C27" s="1">
        <f>'Long Term Deals'!AG27</f>
        <v>0</v>
      </c>
      <c r="D27" s="1">
        <f>'Long Term Deals'!AH27</f>
        <v>77319.587628865978</v>
      </c>
      <c r="E27" s="1">
        <f>'Long Term Deals'!AI27</f>
        <v>0</v>
      </c>
      <c r="F27" s="1">
        <f>'Long Term Deals'!AJ27</f>
        <v>0</v>
      </c>
      <c r="G27" s="1">
        <f>'Long Term Deals'!AK27</f>
        <v>0</v>
      </c>
      <c r="H27" s="1">
        <f>'Long Term Deals'!AL27</f>
        <v>0</v>
      </c>
      <c r="I27" s="1">
        <f>'Long Term Deals'!AM27</f>
        <v>37835</v>
      </c>
      <c r="J27" s="1">
        <f>'Long Term Deals'!AN27</f>
        <v>0</v>
      </c>
      <c r="K27" s="1">
        <f>'Long Term Deals'!AO27</f>
        <v>34115</v>
      </c>
      <c r="L27" s="1">
        <f>'Long Term Deals'!AP27</f>
        <v>80000</v>
      </c>
      <c r="M27" s="1">
        <f>'Long Term Deals'!AQ27</f>
        <v>0</v>
      </c>
      <c r="N27" s="1">
        <f>'Long Term Deals'!AR27</f>
        <v>37835.103092783509</v>
      </c>
      <c r="O27" s="1">
        <f>'Long Term Deals'!AS27</f>
        <v>0</v>
      </c>
      <c r="P27" s="1">
        <f>'Long Term Deals'!AT27</f>
        <v>34115.654295532644</v>
      </c>
      <c r="Q27" s="1">
        <f>'Long Term Deals'!AU27</f>
        <v>0</v>
      </c>
      <c r="R27" s="1">
        <f>'Long Term Deals'!AV27</f>
        <v>9088.9333333333325</v>
      </c>
      <c r="S27" s="20">
        <f>'Long Term Deals'!AW27</f>
        <v>0.13500000000000001</v>
      </c>
      <c r="T27" s="20">
        <f>'Long Term Deals'!AX27</f>
        <v>2.5000000000000001E-2</v>
      </c>
      <c r="U27" s="1">
        <f>'Long Term Deals'!AY27</f>
        <v>21026907.216494847</v>
      </c>
      <c r="V27" s="1">
        <f>'Long Term Deals'!AZ27</f>
        <v>20090925.351958763</v>
      </c>
      <c r="W27" s="6">
        <f t="shared" si="2"/>
        <v>935981.86453608423</v>
      </c>
      <c r="X27" s="6">
        <f>'Long Term Deals'!CA27</f>
        <v>34948.453608247422</v>
      </c>
      <c r="Y27" s="57">
        <f>[2]Sheet1!$AL68</f>
        <v>738595.47591349308</v>
      </c>
      <c r="Z27" s="1">
        <f>[3]Sheet1!$O37</f>
        <v>290824.56052551547</v>
      </c>
      <c r="AA27" s="1">
        <f>'[4]Long Term Deals'!$Z26</f>
        <v>-42605.421177670534</v>
      </c>
      <c r="AB27" s="60">
        <f t="shared" si="5"/>
        <v>1306198.9051381438</v>
      </c>
      <c r="AC27" s="60">
        <f t="shared" si="3"/>
        <v>567603.42922465072</v>
      </c>
      <c r="AD27" s="60">
        <f t="shared" si="4"/>
        <v>935981.86453608423</v>
      </c>
      <c r="AE27" s="28">
        <f>(W27-Z27+AA27)/(B27+C27+D27)/'Prices&amp;Fuel'!H27</f>
        <v>8.6205800346299599E-2</v>
      </c>
      <c r="AF27" s="3">
        <v>226000</v>
      </c>
      <c r="AG27" s="1">
        <f>((((I27*'Prices&amp;Fuel'!B27+'Prices&amp;Fuel'!C27*FPL!J27+FPL!K27*'Prices&amp;Fuel'!D27))+(L27*'Prices&amp;Fuel'!B27+'Prices&amp;Fuel'!C27*FPL!M27))*'Prices&amp;Fuel'!H27)+(I27+J27+K27)*'Prices&amp;Fuel'!H27*FPL!T27+Q27/2</f>
        <v>13091272.5</v>
      </c>
      <c r="AH27" s="1">
        <f>(N27*'Prices&amp;Fuel'!B27+'Prices&amp;Fuel'!C27*O27+P27*'Prices&amp;Fuel'!D27)*'Prices&amp;Fuel'!H27+(N27+O27+P27)*'Prices&amp;Fuel'!H27*FPL!T27+Q27/2</f>
        <v>6227338.051958763</v>
      </c>
      <c r="AI27" s="1">
        <f>R27*'Prices&amp;Fuel'!H27*'Prices&amp;Fuel'!Q27</f>
        <v>772314.8</v>
      </c>
      <c r="AJ27" s="52">
        <f>SUM(AG27:AI27)-'Long Term Deals'!AZ27</f>
        <v>0</v>
      </c>
    </row>
    <row r="28" spans="1:36" ht="10.199999999999999" x14ac:dyDescent="0.2">
      <c r="A28" s="10">
        <f t="shared" si="1"/>
        <v>36448.583333333278</v>
      </c>
      <c r="B28" s="1">
        <f>'Long Term Deals'!AF28</f>
        <v>58611.825192802062</v>
      </c>
      <c r="C28" s="1">
        <f>'Long Term Deals'!AG28</f>
        <v>0</v>
      </c>
      <c r="D28" s="1">
        <f>'Long Term Deals'!AH28</f>
        <v>77120.822622107968</v>
      </c>
      <c r="E28" s="1">
        <f>'Long Term Deals'!AI28</f>
        <v>0</v>
      </c>
      <c r="F28" s="1">
        <f>'Long Term Deals'!AJ28</f>
        <v>0</v>
      </c>
      <c r="G28" s="1">
        <f>'Long Term Deals'!AK28</f>
        <v>0</v>
      </c>
      <c r="H28" s="1">
        <f>'Long Term Deals'!AL28</f>
        <v>0</v>
      </c>
      <c r="I28" s="1">
        <f>'Long Term Deals'!AM28</f>
        <v>0</v>
      </c>
      <c r="J28" s="1">
        <f>'Long Term Deals'!AN28</f>
        <v>0</v>
      </c>
      <c r="K28" s="1">
        <f>'Long Term Deals'!AO28</f>
        <v>33442</v>
      </c>
      <c r="L28" s="1">
        <f>'Long Term Deals'!AP28</f>
        <v>58611.825192802062</v>
      </c>
      <c r="M28" s="1">
        <f>'Long Term Deals'!AQ28</f>
        <v>0</v>
      </c>
      <c r="N28" s="1">
        <f>'Long Term Deals'!AR28</f>
        <v>0</v>
      </c>
      <c r="O28" s="1">
        <f>'Long Term Deals'!AS28</f>
        <v>0</v>
      </c>
      <c r="P28" s="1">
        <f>'Long Term Deals'!AT28</f>
        <v>33442.048428559581</v>
      </c>
      <c r="Q28" s="1">
        <f>'Long Term Deals'!AU28</f>
        <v>0</v>
      </c>
      <c r="R28" s="1">
        <f>'Long Term Deals'!AV28</f>
        <v>10236.774193548386</v>
      </c>
      <c r="S28" s="20">
        <f>'Long Term Deals'!AW28</f>
        <v>0.13500000000000001</v>
      </c>
      <c r="T28" s="20">
        <f>'Long Term Deals'!AX28</f>
        <v>2.5000000000000001E-2</v>
      </c>
      <c r="U28" s="1">
        <f>'Long Term Deals'!AY28</f>
        <v>11140874.035989717</v>
      </c>
      <c r="V28" s="1">
        <f>'Long Term Deals'!AZ28</f>
        <v>10526748.142365038</v>
      </c>
      <c r="W28" s="6">
        <f t="shared" si="2"/>
        <v>614125.89362467825</v>
      </c>
      <c r="X28" s="6">
        <f>'Long Term Deals'!CA28</f>
        <v>21038.560411311057</v>
      </c>
      <c r="Y28" s="57">
        <f>[2]Sheet1!$AL69</f>
        <v>763215.32511060953</v>
      </c>
      <c r="Z28" s="1">
        <f>[3]Sheet1!$O38</f>
        <v>175524.2037861961</v>
      </c>
      <c r="AA28" s="1">
        <f>'[4]Long Term Deals'!$Z27</f>
        <v>-34947.762969705596</v>
      </c>
      <c r="AB28" s="60">
        <f t="shared" si="5"/>
        <v>1145830.691568075</v>
      </c>
      <c r="AC28" s="60">
        <f t="shared" si="3"/>
        <v>382615.36645746545</v>
      </c>
      <c r="AD28" s="60">
        <f t="shared" si="4"/>
        <v>614125.89362467825</v>
      </c>
      <c r="AE28" s="28">
        <f>(W28-Z28+AA28)/(B28+C28+D28)/'Prices&amp;Fuel'!H28</f>
        <v>9.5931926656863425E-2</v>
      </c>
      <c r="AF28" s="3">
        <v>132000</v>
      </c>
      <c r="AG28" s="1">
        <f>((((I28*'Prices&amp;Fuel'!B28+'Prices&amp;Fuel'!C28*FPL!J28+FPL!K28*'Prices&amp;Fuel'!D28))+(L28*'Prices&amp;Fuel'!B28+'Prices&amp;Fuel'!C28*FPL!M28))*'Prices&amp;Fuel'!H28)+(I28+J28+K28)*'Prices&amp;Fuel'!H28*FPL!T28+Q28/2</f>
        <v>7131552.316632391</v>
      </c>
      <c r="AH28" s="1">
        <f>(N28*'Prices&amp;Fuel'!B28+'Prices&amp;Fuel'!C28*O28+P28*'Prices&amp;Fuel'!D28)*'Prices&amp;Fuel'!H28+(N28+O28+P28)*'Prices&amp;Fuel'!H28*FPL!T28+Q28/2</f>
        <v>2607309.3057326479</v>
      </c>
      <c r="AI28" s="1">
        <f>R28*'Prices&amp;Fuel'!H28*'Prices&amp;Fuel'!Q28</f>
        <v>787886.5199999999</v>
      </c>
      <c r="AJ28" s="52">
        <f>SUM(AG28:AI28)-'Long Term Deals'!AZ28</f>
        <v>0</v>
      </c>
    </row>
    <row r="29" spans="1:36" ht="10.199999999999999" x14ac:dyDescent="0.2">
      <c r="A29" s="10">
        <f t="shared" si="1"/>
        <v>36478.999999999942</v>
      </c>
      <c r="B29" s="1">
        <f>'Long Term Deals'!AF29</f>
        <v>58611.825192802062</v>
      </c>
      <c r="C29" s="1">
        <f>'Long Term Deals'!AG29</f>
        <v>0</v>
      </c>
      <c r="D29" s="1">
        <f>'Long Term Deals'!AH29</f>
        <v>77120.822622107968</v>
      </c>
      <c r="E29" s="1">
        <f>'Long Term Deals'!AI29</f>
        <v>0</v>
      </c>
      <c r="F29" s="1">
        <f>'Long Term Deals'!AJ29</f>
        <v>0</v>
      </c>
      <c r="G29" s="1">
        <f>'Long Term Deals'!AK29</f>
        <v>0</v>
      </c>
      <c r="H29" s="1">
        <f>'Long Term Deals'!AL29</f>
        <v>0</v>
      </c>
      <c r="I29" s="1">
        <f>'Long Term Deals'!AM29</f>
        <v>0</v>
      </c>
      <c r="J29" s="1">
        <f>'Long Term Deals'!AN29</f>
        <v>0</v>
      </c>
      <c r="K29" s="1">
        <f>'Long Term Deals'!AO29</f>
        <v>33099</v>
      </c>
      <c r="L29" s="1">
        <f>'Long Term Deals'!AP29</f>
        <v>58611.825192802062</v>
      </c>
      <c r="M29" s="1">
        <f>'Long Term Deals'!AQ29</f>
        <v>0</v>
      </c>
      <c r="N29" s="1">
        <f>'Long Term Deals'!AR29</f>
        <v>0</v>
      </c>
      <c r="O29" s="1">
        <f>'Long Term Deals'!AS29</f>
        <v>0</v>
      </c>
      <c r="P29" s="1">
        <f>'Long Term Deals'!AT29</f>
        <v>33099.922622107966</v>
      </c>
      <c r="Q29" s="1">
        <f>'Long Term Deals'!AU29</f>
        <v>0</v>
      </c>
      <c r="R29" s="1">
        <f>'Long Term Deals'!AV29</f>
        <v>10921.9</v>
      </c>
      <c r="S29" s="20">
        <f>'Long Term Deals'!AW29</f>
        <v>0.13500000000000001</v>
      </c>
      <c r="T29" s="20">
        <f>'Long Term Deals'!AX29</f>
        <v>2.5000000000000001E-2</v>
      </c>
      <c r="U29" s="1">
        <f>'Long Term Deals'!AY29</f>
        <v>12776760.925449874</v>
      </c>
      <c r="V29" s="1">
        <f>'Long Term Deals'!AZ29</f>
        <v>12177932.636619536</v>
      </c>
      <c r="W29" s="6">
        <f t="shared" si="2"/>
        <v>598828.28883033805</v>
      </c>
      <c r="X29" s="6">
        <f>'Long Term Deals'!CA29</f>
        <v>20359.897172236506</v>
      </c>
      <c r="Y29" s="57">
        <f>[2]Sheet1!$AL70</f>
        <v>738595.47591349308</v>
      </c>
      <c r="Z29" s="1">
        <f>[3]Sheet1!$O39</f>
        <v>169862.13269631879</v>
      </c>
      <c r="AA29" s="1">
        <f>'[4]Long Term Deals'!$Z28</f>
        <v>-33820.415777134454</v>
      </c>
      <c r="AB29" s="60">
        <f t="shared" si="5"/>
        <v>1113381.3190981413</v>
      </c>
      <c r="AC29" s="60">
        <f t="shared" si="3"/>
        <v>374785.8431846482</v>
      </c>
      <c r="AD29" s="60">
        <f t="shared" si="4"/>
        <v>598828.28883033793</v>
      </c>
      <c r="AE29" s="28">
        <f>(W29-Z29+AA29)/(B29+C29+D29)/'Prices&amp;Fuel'!H29</f>
        <v>9.7040210226532919E-2</v>
      </c>
      <c r="AF29" s="3">
        <v>132000</v>
      </c>
      <c r="AG29" s="1">
        <f>((((I29*'Prices&amp;Fuel'!B29+'Prices&amp;Fuel'!C29*FPL!J29+FPL!K29*'Prices&amp;Fuel'!D29))+(L29*'Prices&amp;Fuel'!B29+'Prices&amp;Fuel'!C29*FPL!M29))*'Prices&amp;Fuel'!H29)+(I29+J29+K29)*'Prices&amp;Fuel'!H29*FPL!T29+Q29/2</f>
        <v>8223772.0222365037</v>
      </c>
      <c r="AH29" s="1">
        <f>(N29*'Prices&amp;Fuel'!B29+'Prices&amp;Fuel'!C29*O29+P29*'Prices&amp;Fuel'!D29)*'Prices&amp;Fuel'!H29+(N29+O29+P29)*'Prices&amp;Fuel'!H29*FPL!T29+Q29/2</f>
        <v>2983958.0243830332</v>
      </c>
      <c r="AI29" s="1">
        <f>R29*'Prices&amp;Fuel'!H29*'Prices&amp;Fuel'!Q29</f>
        <v>970202.58999999985</v>
      </c>
      <c r="AJ29" s="52">
        <f>SUM(AG29:AI29)-'Long Term Deals'!AZ29</f>
        <v>0</v>
      </c>
    </row>
    <row r="30" spans="1:36" ht="10.199999999999999" x14ac:dyDescent="0.2">
      <c r="A30" s="10">
        <f t="shared" si="1"/>
        <v>36509.416666666606</v>
      </c>
      <c r="B30" s="1">
        <f>'Long Term Deals'!AF30</f>
        <v>58611.825192802062</v>
      </c>
      <c r="C30" s="1">
        <f>'Long Term Deals'!AG30</f>
        <v>0</v>
      </c>
      <c r="D30" s="1">
        <f>'Long Term Deals'!AH30</f>
        <v>77120.822622107968</v>
      </c>
      <c r="E30" s="1">
        <f>'Long Term Deals'!AI30</f>
        <v>0</v>
      </c>
      <c r="F30" s="1">
        <f>'Long Term Deals'!AJ30</f>
        <v>0</v>
      </c>
      <c r="G30" s="1">
        <f>'Long Term Deals'!AK30</f>
        <v>0</v>
      </c>
      <c r="H30" s="1">
        <f>'Long Term Deals'!AL30</f>
        <v>0</v>
      </c>
      <c r="I30" s="1">
        <f>'Long Term Deals'!AM30</f>
        <v>0</v>
      </c>
      <c r="J30" s="1">
        <f>'Long Term Deals'!AN30</f>
        <v>0</v>
      </c>
      <c r="K30" s="1">
        <f>'Long Term Deals'!AO30</f>
        <v>37432</v>
      </c>
      <c r="L30" s="1">
        <f>'Long Term Deals'!AP30</f>
        <v>58611.825192802062</v>
      </c>
      <c r="M30" s="1">
        <f>'Long Term Deals'!AQ30</f>
        <v>0</v>
      </c>
      <c r="N30" s="1">
        <f>'Long Term Deals'!AR30</f>
        <v>0</v>
      </c>
      <c r="O30" s="1">
        <f>'Long Term Deals'!AS30</f>
        <v>0</v>
      </c>
      <c r="P30" s="1">
        <f>'Long Term Deals'!AT30</f>
        <v>37431.887138236998</v>
      </c>
      <c r="Q30" s="1">
        <f>'Long Term Deals'!AU30</f>
        <v>0</v>
      </c>
      <c r="R30" s="1">
        <f>'Long Term Deals'!AV30</f>
        <v>2256.9354838709678</v>
      </c>
      <c r="S30" s="20">
        <f>'Long Term Deals'!AW30</f>
        <v>0.13500000000000001</v>
      </c>
      <c r="T30" s="20">
        <f>'Long Term Deals'!AX30</f>
        <v>2.5000000000000001E-2</v>
      </c>
      <c r="U30" s="1">
        <f>'Long Term Deals'!AY30</f>
        <v>9499866.3239074573</v>
      </c>
      <c r="V30" s="1">
        <f>'Long Term Deals'!AZ30</f>
        <v>8896887.5452827774</v>
      </c>
      <c r="W30" s="6">
        <f t="shared" si="2"/>
        <v>602978.77862467989</v>
      </c>
      <c r="X30" s="6">
        <f>'Long Term Deals'!CA30</f>
        <v>21038.560411311057</v>
      </c>
      <c r="Y30" s="57">
        <f>[2]Sheet1!$AL71</f>
        <v>763215.32511060953</v>
      </c>
      <c r="Z30" s="1">
        <f>[3]Sheet1!$O40</f>
        <v>175524.2037861961</v>
      </c>
      <c r="AA30" s="1">
        <f>'[4]Long Term Deals'!$Z29</f>
        <v>-34895.062969705476</v>
      </c>
      <c r="AB30" s="60">
        <f t="shared" si="5"/>
        <v>1134736.2765680768</v>
      </c>
      <c r="AC30" s="60">
        <f t="shared" si="3"/>
        <v>371520.95145746728</v>
      </c>
      <c r="AD30" s="60">
        <f t="shared" si="4"/>
        <v>602978.77862467989</v>
      </c>
      <c r="AE30" s="28">
        <f>(W30-Z30+AA30)/(B30+C30+D30)/'Prices&amp;Fuel'!H30</f>
        <v>9.3295240785040784E-2</v>
      </c>
      <c r="AF30" s="3">
        <v>132000</v>
      </c>
      <c r="AG30" s="1">
        <f>((((I30*'Prices&amp;Fuel'!B30+'Prices&amp;Fuel'!C30*FPL!J30+FPL!K30*'Prices&amp;Fuel'!D30))+(L30*'Prices&amp;Fuel'!B30+'Prices&amp;Fuel'!C30*FPL!M30))*'Prices&amp;Fuel'!H30)+(I30+J30+K30)*'Prices&amp;Fuel'!H30*FPL!T30+Q30/2</f>
        <v>6281462.820051414</v>
      </c>
      <c r="AH30" s="1">
        <f>(N30*'Prices&amp;Fuel'!B30+'Prices&amp;Fuel'!C30*O30+P30*'Prices&amp;Fuel'!D30)*'Prices&amp;Fuel'!H30+(N30+O30+P30)*'Prices&amp;Fuel'!H30*FPL!T30+Q30/2</f>
        <v>2465825.5652313624</v>
      </c>
      <c r="AI30" s="1">
        <f>R30*'Prices&amp;Fuel'!H30*'Prices&amp;Fuel'!Q30</f>
        <v>149599.16</v>
      </c>
      <c r="AJ30" s="52">
        <f>SUM(AG30:AI30)-'Long Term Deals'!AZ30</f>
        <v>0</v>
      </c>
    </row>
    <row r="31" spans="1:36" ht="10.199999999999999" x14ac:dyDescent="0.2">
      <c r="A31" s="10">
        <f t="shared" si="1"/>
        <v>36539.83333333327</v>
      </c>
      <c r="B31" s="1">
        <f>'Long Term Deals'!AF31</f>
        <v>58611.825192802062</v>
      </c>
      <c r="C31" s="1">
        <f>'Long Term Deals'!AG31</f>
        <v>0</v>
      </c>
      <c r="D31" s="1">
        <f>'Long Term Deals'!AH31</f>
        <v>77120.822622107968</v>
      </c>
      <c r="E31" s="1">
        <f>'Long Term Deals'!AI31</f>
        <v>0</v>
      </c>
      <c r="F31" s="1">
        <f>'Long Term Deals'!AJ31</f>
        <v>0</v>
      </c>
      <c r="G31" s="1">
        <f>'Long Term Deals'!AK31</f>
        <v>0</v>
      </c>
      <c r="H31" s="1">
        <f>'Long Term Deals'!AL31</f>
        <v>0</v>
      </c>
      <c r="I31" s="1">
        <f>'Long Term Deals'!AM31</f>
        <v>0</v>
      </c>
      <c r="J31" s="1">
        <f>'Long Term Deals'!AN31</f>
        <v>0</v>
      </c>
      <c r="K31" s="1">
        <f>'Long Term Deals'!AO31</f>
        <v>37415</v>
      </c>
      <c r="L31" s="1">
        <f>'Long Term Deals'!AP31</f>
        <v>58611.825192802062</v>
      </c>
      <c r="M31" s="1">
        <f>'Long Term Deals'!AQ31</f>
        <v>0</v>
      </c>
      <c r="N31" s="1">
        <f>'Long Term Deals'!AR31</f>
        <v>0</v>
      </c>
      <c r="O31" s="1">
        <f>'Long Term Deals'!AS31</f>
        <v>0</v>
      </c>
      <c r="P31" s="1">
        <f>'Long Term Deals'!AT31</f>
        <v>37414.758105978937</v>
      </c>
      <c r="Q31" s="1">
        <f>'Long Term Deals'!AU31</f>
        <v>0</v>
      </c>
      <c r="R31" s="1">
        <f>'Long Term Deals'!AV31</f>
        <v>2291.0645161290322</v>
      </c>
      <c r="S31" s="20">
        <f>'Long Term Deals'!AW31</f>
        <v>0.12</v>
      </c>
      <c r="T31" s="20">
        <f>'Long Term Deals'!AX31</f>
        <v>2.5000000000000001E-2</v>
      </c>
      <c r="U31" s="1">
        <f>'Long Term Deals'!AY31</f>
        <v>10320370.179948587</v>
      </c>
      <c r="V31" s="1">
        <f>'Long Term Deals'!AZ31</f>
        <v>9777555.0825578403</v>
      </c>
      <c r="W31" s="6">
        <f t="shared" si="2"/>
        <v>542815.0973907467</v>
      </c>
      <c r="X31" s="6">
        <f>'Long Term Deals'!CA31</f>
        <v>21038.560411311057</v>
      </c>
      <c r="Y31" s="57">
        <f>[2]Sheet1!$AL72</f>
        <v>762567.14303902641</v>
      </c>
      <c r="Z31" s="1">
        <f>[3]Sheet1!$O42</f>
        <v>112213.21874235899</v>
      </c>
      <c r="AA31" s="1">
        <f>'[4]Long Term Deals'!$Z30</f>
        <v>-34895.062969705476</v>
      </c>
      <c r="AB31" s="60">
        <f t="shared" si="5"/>
        <v>1137235.3983063977</v>
      </c>
      <c r="AC31" s="60">
        <f t="shared" si="3"/>
        <v>374668.25526737131</v>
      </c>
      <c r="AD31" s="60">
        <f t="shared" si="4"/>
        <v>542815.09739074681</v>
      </c>
      <c r="AE31" s="28">
        <f>(W31-Z31+AA31)/(B31+C31+D31)/'Prices&amp;Fuel'!H31</f>
        <v>9.4043225378181439E-2</v>
      </c>
      <c r="AF31" s="3">
        <v>132000</v>
      </c>
      <c r="AG31" s="1">
        <f>((((I31*'Prices&amp;Fuel'!B31+'Prices&amp;Fuel'!C31*FPL!J31+FPL!K31*'Prices&amp;Fuel'!D31))+(L31*'Prices&amp;Fuel'!B31+'Prices&amp;Fuel'!C31*FPL!M31))*'Prices&amp;Fuel'!H31)+(I31+J31+K31)*'Prices&amp;Fuel'!H31*FPL!T31+Q31/2</f>
        <v>6905477.5770565551</v>
      </c>
      <c r="AH31" s="1">
        <f>(N31*'Prices&amp;Fuel'!B31+'Prices&amp;Fuel'!C31*O31+P31*'Prices&amp;Fuel'!D31)*'Prices&amp;Fuel'!H31+(N31+O31+P31)*'Prices&amp;Fuel'!H31*FPL!T31+Q31/2</f>
        <v>2708267.2655012854</v>
      </c>
      <c r="AI31" s="1">
        <f>R31*'Prices&amp;Fuel'!H31*'Prices&amp;Fuel'!Q31</f>
        <v>163810.23999999999</v>
      </c>
      <c r="AJ31" s="52">
        <f>SUM(AG31:AI31)-'Long Term Deals'!AZ31</f>
        <v>0</v>
      </c>
    </row>
    <row r="32" spans="1:36" ht="10.199999999999999" x14ac:dyDescent="0.2">
      <c r="A32" s="10">
        <f t="shared" si="1"/>
        <v>36570.249999999935</v>
      </c>
      <c r="B32" s="1">
        <f>'Long Term Deals'!AF32</f>
        <v>58762.886597938152</v>
      </c>
      <c r="C32" s="1">
        <f>'Long Term Deals'!AG32</f>
        <v>0</v>
      </c>
      <c r="D32" s="1">
        <f>'Long Term Deals'!AH32</f>
        <v>77319.587628865978</v>
      </c>
      <c r="E32" s="1">
        <f>'Long Term Deals'!AI32</f>
        <v>0</v>
      </c>
      <c r="F32" s="1">
        <f>'Long Term Deals'!AJ32</f>
        <v>0</v>
      </c>
      <c r="G32" s="1">
        <f>'Long Term Deals'!AK32</f>
        <v>0</v>
      </c>
      <c r="H32" s="1">
        <f>'Long Term Deals'!AL32</f>
        <v>0</v>
      </c>
      <c r="I32" s="1">
        <f>'Long Term Deals'!AM32</f>
        <v>0</v>
      </c>
      <c r="J32" s="1">
        <f>'Long Term Deals'!AN32</f>
        <v>0</v>
      </c>
      <c r="K32" s="1">
        <f>'Long Term Deals'!AO32</f>
        <v>37481</v>
      </c>
      <c r="L32" s="1">
        <f>'Long Term Deals'!AP32</f>
        <v>58762.886597938152</v>
      </c>
      <c r="M32" s="1">
        <f>'Long Term Deals'!AQ32</f>
        <v>0</v>
      </c>
      <c r="N32" s="1">
        <f>'Long Term Deals'!AR32</f>
        <v>0</v>
      </c>
      <c r="O32" s="1">
        <f>'Long Term Deals'!AS32</f>
        <v>0</v>
      </c>
      <c r="P32" s="1">
        <f>'Long Term Deals'!AT32</f>
        <v>37480.242801279768</v>
      </c>
      <c r="Q32" s="1">
        <f>'Long Term Deals'!AU32</f>
        <v>0</v>
      </c>
      <c r="R32" s="1">
        <f>'Long Term Deals'!AV32</f>
        <v>2358.344827586207</v>
      </c>
      <c r="S32" s="20">
        <f>'Long Term Deals'!AW32</f>
        <v>0.12</v>
      </c>
      <c r="T32" s="20">
        <f>'Long Term Deals'!AX32</f>
        <v>2.5000000000000001E-2</v>
      </c>
      <c r="U32" s="1">
        <f>'Long Term Deals'!AY32</f>
        <v>10744948.453608248</v>
      </c>
      <c r="V32" s="1">
        <f>'Long Term Deals'!AZ32</f>
        <v>10235878.122680411</v>
      </c>
      <c r="W32" s="6">
        <f t="shared" si="2"/>
        <v>509070.33092783764</v>
      </c>
      <c r="X32" s="6">
        <f>'Long Term Deals'!CA32</f>
        <v>19731.958762886599</v>
      </c>
      <c r="Y32" s="57">
        <f>[2]Sheet1!$AL73</f>
        <v>713369.26284296019</v>
      </c>
      <c r="Z32" s="1">
        <f>[3]Sheet1!$O43</f>
        <v>104973.65624285192</v>
      </c>
      <c r="AA32" s="1">
        <f>'[4]Long Term Deals'!$Z31</f>
        <v>-32643.768584563186</v>
      </c>
      <c r="AB32" s="60">
        <f t="shared" si="5"/>
        <v>1065090.2101804961</v>
      </c>
      <c r="AC32" s="60">
        <f t="shared" si="3"/>
        <v>351720.94733753591</v>
      </c>
      <c r="AD32" s="60">
        <f t="shared" si="4"/>
        <v>509070.33092783758</v>
      </c>
      <c r="AE32" s="28">
        <f>(W32-Z32+AA32)/(B32+C32+D32)/'Prices&amp;Fuel'!H32</f>
        <v>9.412469146222828E-2</v>
      </c>
      <c r="AF32" s="3">
        <v>132000</v>
      </c>
      <c r="AG32" s="1">
        <f>((((I32*'Prices&amp;Fuel'!B32+'Prices&amp;Fuel'!C32*FPL!J32+FPL!K32*'Prices&amp;Fuel'!D32))+(L32*'Prices&amp;Fuel'!B32+'Prices&amp;Fuel'!C32*FPL!M32))*'Prices&amp;Fuel'!H32)+(I32+J32+K32)*'Prices&amp;Fuel'!H32*FPL!T32+Q32/2</f>
        <v>7228141.3202577317</v>
      </c>
      <c r="AH32" s="1">
        <f>(N32*'Prices&amp;Fuel'!B32+'Prices&amp;Fuel'!C32*O32+P32*'Prices&amp;Fuel'!D32)*'Prices&amp;Fuel'!H32+(N32+O32+P32)*'Prices&amp;Fuel'!H32*FPL!T32+Q32/2</f>
        <v>2831444.9424226801</v>
      </c>
      <c r="AI32" s="1">
        <f>R32*'Prices&amp;Fuel'!H32*'Prices&amp;Fuel'!Q32</f>
        <v>176291.86000000002</v>
      </c>
      <c r="AJ32" s="52">
        <f>SUM(AG32:AI32)-'Long Term Deals'!AZ32</f>
        <v>0</v>
      </c>
    </row>
    <row r="33" spans="1:36" ht="10.199999999999999" x14ac:dyDescent="0.2">
      <c r="A33" s="10">
        <f t="shared" si="1"/>
        <v>36600.666666666599</v>
      </c>
      <c r="B33" s="1">
        <f>'Long Term Deals'!AF33</f>
        <v>58762.886597938152</v>
      </c>
      <c r="C33" s="1">
        <f>'Long Term Deals'!AG33</f>
        <v>0</v>
      </c>
      <c r="D33" s="1">
        <f>'Long Term Deals'!AH33</f>
        <v>77319.587628865978</v>
      </c>
      <c r="E33" s="1">
        <f>'Long Term Deals'!AI33</f>
        <v>0</v>
      </c>
      <c r="F33" s="1">
        <f>'Long Term Deals'!AJ33</f>
        <v>0</v>
      </c>
      <c r="G33" s="1">
        <f>'Long Term Deals'!AK33</f>
        <v>0</v>
      </c>
      <c r="H33" s="1">
        <f>'Long Term Deals'!AL33</f>
        <v>0</v>
      </c>
      <c r="I33" s="1">
        <f>'Long Term Deals'!AM33</f>
        <v>0</v>
      </c>
      <c r="J33" s="1">
        <f>'Long Term Deals'!AN33</f>
        <v>0</v>
      </c>
      <c r="K33" s="1">
        <f>'Long Term Deals'!AO33</f>
        <v>37509</v>
      </c>
      <c r="L33" s="1">
        <f>'Long Term Deals'!AP33</f>
        <v>58762.886597938152</v>
      </c>
      <c r="M33" s="1">
        <f>'Long Term Deals'!AQ33</f>
        <v>0</v>
      </c>
      <c r="N33" s="1">
        <f>'Long Term Deals'!AR33</f>
        <v>0</v>
      </c>
      <c r="O33" s="1">
        <f>'Long Term Deals'!AS33</f>
        <v>0</v>
      </c>
      <c r="P33" s="1">
        <f>'Long Term Deals'!AT33</f>
        <v>37508.587628865978</v>
      </c>
      <c r="Q33" s="1">
        <f>'Long Term Deals'!AU33</f>
        <v>0</v>
      </c>
      <c r="R33" s="1">
        <f>'Long Term Deals'!AV33</f>
        <v>2302</v>
      </c>
      <c r="S33" s="20">
        <f>'Long Term Deals'!AW33</f>
        <v>0.12</v>
      </c>
      <c r="T33" s="20">
        <f>'Long Term Deals'!AX33</f>
        <v>2.5000000000000001E-2</v>
      </c>
      <c r="U33" s="1">
        <f>'Long Term Deals'!AY33</f>
        <v>11485979.381443299</v>
      </c>
      <c r="V33" s="1">
        <f>'Long Term Deals'!AZ33</f>
        <v>10930462.836907217</v>
      </c>
      <c r="W33" s="6">
        <f t="shared" si="2"/>
        <v>555516.54453608207</v>
      </c>
      <c r="X33" s="6">
        <f>'Long Term Deals'!CA33</f>
        <v>21092.783505154639</v>
      </c>
      <c r="Y33" s="57">
        <f>[2]Sheet1!$AL74</f>
        <v>762567.14303902641</v>
      </c>
      <c r="Z33" s="1">
        <f>[3]Sheet1!$O44</f>
        <v>112213.21874235899</v>
      </c>
      <c r="AA33" s="1">
        <f>'[4]Long Term Deals'!$Z32</f>
        <v>-34895.062969705476</v>
      </c>
      <c r="AB33" s="60">
        <f t="shared" si="5"/>
        <v>1149882.6223578895</v>
      </c>
      <c r="AC33" s="60">
        <f t="shared" si="3"/>
        <v>387315.47931886313</v>
      </c>
      <c r="AD33" s="60">
        <f t="shared" si="4"/>
        <v>555516.54453608219</v>
      </c>
      <c r="AE33" s="28">
        <f>(W33-Z33+AA33)/(B33+C33+D33)/'Prices&amp;Fuel'!H33</f>
        <v>9.6812320366397142E-2</v>
      </c>
      <c r="AF33" s="3">
        <v>132000</v>
      </c>
      <c r="AG33" s="1">
        <f>((((I33*'Prices&amp;Fuel'!B33+'Prices&amp;Fuel'!C33*FPL!J33+FPL!K33*'Prices&amp;Fuel'!D33))+(L33*'Prices&amp;Fuel'!B33+'Prices&amp;Fuel'!C33*FPL!M33))*'Prices&amp;Fuel'!H33)+(I33+J33+K33)*'Prices&amp;Fuel'!H33*FPL!T33+Q33/2</f>
        <v>7717267.1751030935</v>
      </c>
      <c r="AH33" s="1">
        <f>(N33*'Prices&amp;Fuel'!B33+'Prices&amp;Fuel'!C33*O33+P33*'Prices&amp;Fuel'!D33)*'Prices&amp;Fuel'!H33+(N33+O33+P33)*'Prices&amp;Fuel'!H33*FPL!T33+Q33/2</f>
        <v>3017378.3318041237</v>
      </c>
      <c r="AI33" s="1">
        <f>R33*'Prices&amp;Fuel'!H33*'Prices&amp;Fuel'!Q33</f>
        <v>195817.33</v>
      </c>
      <c r="AJ33" s="52">
        <f>SUM(AG33:AI33)-'Long Term Deals'!AZ33</f>
        <v>0</v>
      </c>
    </row>
    <row r="34" spans="1:36" ht="10.199999999999999" x14ac:dyDescent="0.2">
      <c r="A34" s="10">
        <f t="shared" si="1"/>
        <v>36631.083333333263</v>
      </c>
      <c r="B34" s="1">
        <f>'Long Term Deals'!AF34</f>
        <v>58756.829192866717</v>
      </c>
      <c r="C34" s="1">
        <f>'Long Term Deals'!AG34</f>
        <v>0</v>
      </c>
      <c r="D34" s="1">
        <f>'Long Term Deals'!AH34</f>
        <v>77311.617359035154</v>
      </c>
      <c r="E34" s="1">
        <f>'Long Term Deals'!AI34</f>
        <v>0</v>
      </c>
      <c r="F34" s="1">
        <f>'Long Term Deals'!AJ34</f>
        <v>0</v>
      </c>
      <c r="G34" s="1">
        <f>'Long Term Deals'!AK34</f>
        <v>0</v>
      </c>
      <c r="H34" s="1">
        <f>'Long Term Deals'!AL34</f>
        <v>0</v>
      </c>
      <c r="I34" s="1">
        <f>'Long Term Deals'!AM34</f>
        <v>0</v>
      </c>
      <c r="J34" s="1">
        <f>'Long Term Deals'!AN34</f>
        <v>0</v>
      </c>
      <c r="K34" s="1">
        <f>'Long Term Deals'!AO34</f>
        <v>37649</v>
      </c>
      <c r="L34" s="1">
        <f>'Long Term Deals'!AP34</f>
        <v>58756.829192866717</v>
      </c>
      <c r="M34" s="1">
        <f>'Long Term Deals'!AQ34</f>
        <v>0</v>
      </c>
      <c r="N34" s="1">
        <f>'Long Term Deals'!AR34</f>
        <v>0</v>
      </c>
      <c r="O34" s="1">
        <f>'Long Term Deals'!AS34</f>
        <v>0</v>
      </c>
      <c r="P34" s="1">
        <f>'Long Term Deals'!AT34</f>
        <v>37648.584025701821</v>
      </c>
      <c r="Q34" s="1">
        <f>'Long Term Deals'!AU34</f>
        <v>0</v>
      </c>
      <c r="R34" s="1">
        <f>'Long Term Deals'!AV34</f>
        <v>2014.0333333333333</v>
      </c>
      <c r="S34" s="20">
        <f>'Long Term Deals'!AW34</f>
        <v>0.12</v>
      </c>
      <c r="T34" s="20">
        <f>'Long Term Deals'!AX34</f>
        <v>2.5000000000000001E-2</v>
      </c>
      <c r="U34" s="1">
        <f>'Long Term Deals'!AY34</f>
        <v>12216472.528605301</v>
      </c>
      <c r="V34" s="1">
        <f>'Long Term Deals'!AZ34</f>
        <v>11665852.872999178</v>
      </c>
      <c r="W34" s="6">
        <f t="shared" si="2"/>
        <v>550619.65560612269</v>
      </c>
      <c r="X34" s="6">
        <f>'Long Term Deals'!CA34</f>
        <v>20410.266982785281</v>
      </c>
      <c r="Y34" s="57">
        <f>[2]Sheet1!$AL75</f>
        <v>737968.20294099324</v>
      </c>
      <c r="Z34" s="1">
        <f>[3]Sheet1!$O45</f>
        <v>108593.43749260542</v>
      </c>
      <c r="AA34" s="1">
        <f>'[4]Long Term Deals'!$Z33</f>
        <v>-33769.415777134331</v>
      </c>
      <c r="AB34" s="60">
        <f t="shared" si="5"/>
        <v>1125814.738294591</v>
      </c>
      <c r="AC34" s="60">
        <f t="shared" si="3"/>
        <v>387846.53535359772</v>
      </c>
      <c r="AD34" s="60">
        <f t="shared" si="4"/>
        <v>550619.6556061228</v>
      </c>
      <c r="AE34" s="28">
        <f>(W34-Z34+AA34)/(B34+C34+D34)/'Prices&amp;Fuel'!H34</f>
        <v>0.1000126070572033</v>
      </c>
      <c r="AF34" s="3">
        <v>132000</v>
      </c>
      <c r="AG34" s="1">
        <f>((((I34*'Prices&amp;Fuel'!B34+'Prices&amp;Fuel'!C34*FPL!J34+FPL!K34*'Prices&amp;Fuel'!D34))+(L34*'Prices&amp;Fuel'!B34+'Prices&amp;Fuel'!C34*FPL!M34))*'Prices&amp;Fuel'!H34)+(I34+J34+K34)*'Prices&amp;Fuel'!H34*FPL!T34+Q34/2</f>
        <v>8259640.4459901033</v>
      </c>
      <c r="AH34" s="1">
        <f>(N34*'Prices&amp;Fuel'!B34+'Prices&amp;Fuel'!C34*O34+P34*'Prices&amp;Fuel'!D34)*'Prices&amp;Fuel'!H34+(N34+O34+P34)*'Prices&amp;Fuel'!H34*FPL!T34+Q34/2</f>
        <v>3235895.7970090713</v>
      </c>
      <c r="AI34" s="1">
        <f>R34*'Prices&amp;Fuel'!H34*'Prices&amp;Fuel'!Q34</f>
        <v>170316.63</v>
      </c>
      <c r="AJ34" s="52">
        <f>SUM(AG34:AI34)-'Long Term Deals'!AZ34</f>
        <v>0</v>
      </c>
    </row>
    <row r="35" spans="1:36" ht="10.199999999999999" x14ac:dyDescent="0.2">
      <c r="A35" s="10">
        <f t="shared" si="1"/>
        <v>36661.499999999927</v>
      </c>
      <c r="B35" s="1">
        <f>'Long Term Deals'!AF35</f>
        <v>155670.10309278351</v>
      </c>
      <c r="C35" s="1">
        <f>'Long Term Deals'!AG35</f>
        <v>0</v>
      </c>
      <c r="D35" s="1">
        <f>'Long Term Deals'!AH35</f>
        <v>77319.587628865978</v>
      </c>
      <c r="E35" s="1">
        <f>'Long Term Deals'!AI35</f>
        <v>0</v>
      </c>
      <c r="F35" s="1">
        <f>'Long Term Deals'!AJ35</f>
        <v>0</v>
      </c>
      <c r="G35" s="1">
        <f>'Long Term Deals'!AK35</f>
        <v>0</v>
      </c>
      <c r="H35" s="1">
        <f>'Long Term Deals'!AL35</f>
        <v>0</v>
      </c>
      <c r="I35" s="1">
        <f>'Long Term Deals'!AM35</f>
        <v>37835</v>
      </c>
      <c r="J35" s="1">
        <f>'Long Term Deals'!AN35</f>
        <v>0</v>
      </c>
      <c r="K35" s="1">
        <f>'Long Term Deals'!AO35</f>
        <v>37753</v>
      </c>
      <c r="L35" s="1">
        <f>'Long Term Deals'!AP35</f>
        <v>80000</v>
      </c>
      <c r="M35" s="1">
        <f>'Long Term Deals'!AQ35</f>
        <v>0</v>
      </c>
      <c r="N35" s="1">
        <f>'Long Term Deals'!AR35</f>
        <v>37835.103092783509</v>
      </c>
      <c r="O35" s="1">
        <f>'Long Term Deals'!AS35</f>
        <v>0</v>
      </c>
      <c r="P35" s="1">
        <f>'Long Term Deals'!AT35</f>
        <v>37752.813435317592</v>
      </c>
      <c r="Q35" s="1">
        <f>'Long Term Deals'!AU35</f>
        <v>0</v>
      </c>
      <c r="R35" s="1">
        <f>'Long Term Deals'!AV35</f>
        <v>1813.7741935483871</v>
      </c>
      <c r="S35" s="20">
        <f>'Long Term Deals'!AW35</f>
        <v>0.12</v>
      </c>
      <c r="T35" s="20">
        <f>'Long Term Deals'!AX35</f>
        <v>2.5000000000000001E-2</v>
      </c>
      <c r="U35" s="1">
        <f>'Long Term Deals'!AY35</f>
        <v>22919546.391752578</v>
      </c>
      <c r="V35" s="1">
        <f>'Long Term Deals'!AZ35</f>
        <v>22097206.091082472</v>
      </c>
      <c r="W35" s="6">
        <f t="shared" si="2"/>
        <v>822340.30067010596</v>
      </c>
      <c r="X35" s="6">
        <f>'Long Term Deals'!CA35</f>
        <v>36113.402061855675</v>
      </c>
      <c r="Y35" s="57">
        <f>[2]Sheet1!$AL76</f>
        <v>762567.14303902641</v>
      </c>
      <c r="Z35" s="1">
        <f>[3]Sheet1!$O46</f>
        <v>192122.63208919036</v>
      </c>
      <c r="AA35" s="1">
        <f>'[4]Long Term Deals'!$Z34</f>
        <v>-43972.901883593106</v>
      </c>
      <c r="AB35" s="60">
        <f t="shared" si="5"/>
        <v>1312698.5076744931</v>
      </c>
      <c r="AC35" s="60">
        <f t="shared" si="3"/>
        <v>550131.36463546671</v>
      </c>
      <c r="AD35" s="60">
        <f t="shared" si="4"/>
        <v>822340.30067010573</v>
      </c>
      <c r="AE35" s="28">
        <f>(W35-Z35+AA35)/(B35+C35+D35)/'Prices&amp;Fuel'!H35</f>
        <v>8.1167202925549922E-2</v>
      </c>
      <c r="AF35" s="3">
        <v>226000</v>
      </c>
      <c r="AG35" s="1">
        <f>((((I35*'Prices&amp;Fuel'!B35+'Prices&amp;Fuel'!C35*FPL!J35+FPL!K35*'Prices&amp;Fuel'!D35))+(L35*'Prices&amp;Fuel'!B35+'Prices&amp;Fuel'!C35*FPL!M35))*'Prices&amp;Fuel'!H35)+(I35+J35+K35)*'Prices&amp;Fuel'!H35*FPL!T35+Q35/2</f>
        <v>14732897.249999998</v>
      </c>
      <c r="AH35" s="1">
        <f>(N35*'Prices&amp;Fuel'!B35+'Prices&amp;Fuel'!C35*O35+P35*'Prices&amp;Fuel'!D35)*'Prices&amp;Fuel'!H35+(N35+O35+P35)*'Prices&amp;Fuel'!H35*FPL!T35+Q35/2</f>
        <v>7193689.2610824751</v>
      </c>
      <c r="AI35" s="1">
        <f>R35*'Prices&amp;Fuel'!H35*'Prices&amp;Fuel'!Q35</f>
        <v>170619.58</v>
      </c>
      <c r="AJ35" s="52">
        <f>SUM(AG35:AI35)-'Long Term Deals'!AZ35</f>
        <v>0</v>
      </c>
    </row>
    <row r="36" spans="1:36" ht="10.199999999999999" x14ac:dyDescent="0.2">
      <c r="A36" s="10">
        <f t="shared" si="1"/>
        <v>36691.916666666591</v>
      </c>
      <c r="B36" s="1">
        <f>'Long Term Deals'!AF36</f>
        <v>155654.05628285743</v>
      </c>
      <c r="C36" s="1">
        <f>'Long Term Deals'!AG36</f>
        <v>0</v>
      </c>
      <c r="D36" s="1">
        <f>'Long Term Deals'!AH36</f>
        <v>77311.617359035154</v>
      </c>
      <c r="E36" s="1">
        <f>'Long Term Deals'!AI36</f>
        <v>0</v>
      </c>
      <c r="F36" s="1">
        <f>'Long Term Deals'!AJ36</f>
        <v>0</v>
      </c>
      <c r="G36" s="1">
        <f>'Long Term Deals'!AK36</f>
        <v>0</v>
      </c>
      <c r="H36" s="1">
        <f>'Long Term Deals'!AL36</f>
        <v>0</v>
      </c>
      <c r="I36" s="1">
        <f>'Long Term Deals'!AM36</f>
        <v>37827</v>
      </c>
      <c r="J36" s="1">
        <f>'Long Term Deals'!AN36</f>
        <v>0</v>
      </c>
      <c r="K36" s="1">
        <f>'Long Term Deals'!AO36</f>
        <v>37663</v>
      </c>
      <c r="L36" s="1">
        <f>'Long Term Deals'!AP36</f>
        <v>80000</v>
      </c>
      <c r="M36" s="1">
        <f>'Long Term Deals'!AQ36</f>
        <v>0</v>
      </c>
      <c r="N36" s="1">
        <f>'Long Term Deals'!AR36</f>
        <v>37827.056282857433</v>
      </c>
      <c r="O36" s="1">
        <f>'Long Term Deals'!AS36</f>
        <v>0</v>
      </c>
      <c r="P36" s="1">
        <f>'Long Term Deals'!AT36</f>
        <v>37662.084025701821</v>
      </c>
      <c r="Q36" s="1">
        <f>'Long Term Deals'!AU36</f>
        <v>0</v>
      </c>
      <c r="R36" s="1">
        <f>'Long Term Deals'!AV36</f>
        <v>1986.5333333333333</v>
      </c>
      <c r="S36" s="20">
        <f>'Long Term Deals'!AW36</f>
        <v>0.12</v>
      </c>
      <c r="T36" s="20">
        <f>'Long Term Deals'!AX36</f>
        <v>2.5000000000000001E-2</v>
      </c>
      <c r="U36" s="1">
        <f>'Long Term Deals'!AY36</f>
        <v>31333470.776208639</v>
      </c>
      <c r="V36" s="1">
        <f>'Long Term Deals'!AZ36</f>
        <v>30483828.300290693</v>
      </c>
      <c r="W36" s="6">
        <f t="shared" si="2"/>
        <v>849642.47591794655</v>
      </c>
      <c r="X36" s="6">
        <f>'Long Term Deals'!CA36</f>
        <v>34944.851046283889</v>
      </c>
      <c r="Y36" s="57">
        <f>[2]Sheet1!$AL77</f>
        <v>737968.20294099324</v>
      </c>
      <c r="Z36" s="1">
        <f>[3]Sheet1!$O47</f>
        <v>185925.12782824878</v>
      </c>
      <c r="AA36" s="1">
        <f>'[4]Long Term Deals'!$Z35</f>
        <v>-42554.421177670738</v>
      </c>
      <c r="AB36" s="60">
        <f t="shared" si="5"/>
        <v>1324186.2788067365</v>
      </c>
      <c r="AC36" s="60">
        <f t="shared" si="3"/>
        <v>586218.07586574322</v>
      </c>
      <c r="AD36" s="60">
        <f t="shared" si="4"/>
        <v>849642.47591794655</v>
      </c>
      <c r="AE36" s="28">
        <f>(W36-Z36+AA36)/(B36+C36+D36)/'Prices&amp;Fuel'!H36</f>
        <v>8.8877604040908192E-2</v>
      </c>
      <c r="AF36" s="3">
        <v>226000</v>
      </c>
      <c r="AG36" s="1">
        <f>((((I36*'Prices&amp;Fuel'!B36+'Prices&amp;Fuel'!C36*FPL!J36+FPL!K36*'Prices&amp;Fuel'!D36))+(L36*'Prices&amp;Fuel'!B36+'Prices&amp;Fuel'!C36*FPL!M36))*'Prices&amp;Fuel'!H36)+(I36+J36+K36)*'Prices&amp;Fuel'!H36*FPL!T36+Q36/2</f>
        <v>20336763.600000001</v>
      </c>
      <c r="AH36" s="1">
        <f>(N36*'Prices&amp;Fuel'!B36+'Prices&amp;Fuel'!C36*O36+P36*'Prices&amp;Fuel'!D36)*'Prices&amp;Fuel'!H36+(N36+O36+P36)*'Prices&amp;Fuel'!H36*FPL!T36+Q36/2</f>
        <v>9896651.040290691</v>
      </c>
      <c r="AI36" s="1">
        <f>R36*'Prices&amp;Fuel'!H36*'Prices&amp;Fuel'!Q36</f>
        <v>250413.65999999997</v>
      </c>
      <c r="AJ36" s="52">
        <f>SUM(AG36:AI36)-'Long Term Deals'!AZ36</f>
        <v>0</v>
      </c>
    </row>
    <row r="37" spans="1:36" ht="10.199999999999999" x14ac:dyDescent="0.2">
      <c r="A37" s="10">
        <f t="shared" si="1"/>
        <v>36722.333333333256</v>
      </c>
      <c r="B37" s="1">
        <f>'Long Term Deals'!AF37</f>
        <v>155654.05628285743</v>
      </c>
      <c r="C37" s="1">
        <f>'Long Term Deals'!AG37</f>
        <v>0</v>
      </c>
      <c r="D37" s="1">
        <f>'Long Term Deals'!AH37</f>
        <v>77311.617359035154</v>
      </c>
      <c r="E37" s="1">
        <f>'Long Term Deals'!AI37</f>
        <v>0</v>
      </c>
      <c r="F37" s="1">
        <f>'Long Term Deals'!AJ37</f>
        <v>0</v>
      </c>
      <c r="G37" s="1">
        <f>'Long Term Deals'!AK37</f>
        <v>0</v>
      </c>
      <c r="H37" s="1">
        <f>'Long Term Deals'!AL37</f>
        <v>0</v>
      </c>
      <c r="I37" s="1">
        <f>'Long Term Deals'!AM37</f>
        <v>37827</v>
      </c>
      <c r="J37" s="1">
        <f>'Long Term Deals'!AN37</f>
        <v>0</v>
      </c>
      <c r="K37" s="1">
        <f>'Long Term Deals'!AO37</f>
        <v>37844</v>
      </c>
      <c r="L37" s="1">
        <f>'Long Term Deals'!AP37</f>
        <v>80000</v>
      </c>
      <c r="M37" s="1">
        <f>'Long Term Deals'!AQ37</f>
        <v>0</v>
      </c>
      <c r="N37" s="1">
        <f>'Long Term Deals'!AR37</f>
        <v>37827.056282857433</v>
      </c>
      <c r="O37" s="1">
        <f>'Long Term Deals'!AS37</f>
        <v>0</v>
      </c>
      <c r="P37" s="1">
        <f>'Long Term Deals'!AT37</f>
        <v>37844.520584841608</v>
      </c>
      <c r="Q37" s="1">
        <f>'Long Term Deals'!AU37</f>
        <v>0</v>
      </c>
      <c r="R37" s="1">
        <f>'Long Term Deals'!AV37</f>
        <v>1623.0967741935483</v>
      </c>
      <c r="S37" s="20">
        <f>'Long Term Deals'!AW37</f>
        <v>0.12</v>
      </c>
      <c r="T37" s="20">
        <f>'Long Term Deals'!AX37</f>
        <v>2.5000000000000001E-2</v>
      </c>
      <c r="U37" s="1">
        <f>'Long Term Deals'!AY37</f>
        <v>32305700.443253271</v>
      </c>
      <c r="V37" s="1">
        <f>'Long Term Deals'!AZ37</f>
        <v>31427166.507471401</v>
      </c>
      <c r="W37" s="6">
        <f t="shared" si="2"/>
        <v>878533.93578187004</v>
      </c>
      <c r="X37" s="6">
        <f>'Long Term Deals'!CA37</f>
        <v>36109.679414493352</v>
      </c>
      <c r="Y37" s="57">
        <f>[2]Sheet1!$AL78</f>
        <v>762567.14303902641</v>
      </c>
      <c r="Z37" s="1">
        <f>[3]Sheet1!$O48</f>
        <v>192122.63208919036</v>
      </c>
      <c r="AA37" s="1">
        <f>'[4]Long Term Deals'!$Z36</f>
        <v>-43972.901883593106</v>
      </c>
      <c r="AB37" s="60">
        <f t="shared" si="5"/>
        <v>1368895.8654336196</v>
      </c>
      <c r="AC37" s="60">
        <f t="shared" si="3"/>
        <v>606328.72239459318</v>
      </c>
      <c r="AD37" s="60">
        <f t="shared" si="4"/>
        <v>878533.93578186992</v>
      </c>
      <c r="AE37" s="28">
        <f>(W37-Z37+AA37)/(B37+C37+D37)/'Prices&amp;Fuel'!H37</f>
        <v>8.8956536339565351E-2</v>
      </c>
      <c r="AF37" s="3">
        <v>226000</v>
      </c>
      <c r="AG37" s="1">
        <f>((((I37*'Prices&amp;Fuel'!B37+'Prices&amp;Fuel'!C37*FPL!J37+FPL!K37*'Prices&amp;Fuel'!D37))+(L37*'Prices&amp;Fuel'!B37+'Prices&amp;Fuel'!C37*FPL!M37))*'Prices&amp;Fuel'!H37)+(I37+J37+K37)*'Prices&amp;Fuel'!H37*FPL!T37+Q37/2</f>
        <v>20990889.724999998</v>
      </c>
      <c r="AH37" s="1">
        <f>(N37*'Prices&amp;Fuel'!B37+'Prices&amp;Fuel'!C37*O37+P37*'Prices&amp;Fuel'!D37)*'Prices&amp;Fuel'!H37+(N37+O37+P37)*'Prices&amp;Fuel'!H37*FPL!T37+Q37/2</f>
        <v>10227767.622471396</v>
      </c>
      <c r="AI37" s="1">
        <f>R37*'Prices&amp;Fuel'!H37*'Prices&amp;Fuel'!Q37</f>
        <v>208509.16</v>
      </c>
      <c r="AJ37" s="52">
        <f>SUM(AG37:AI37)-'Long Term Deals'!AZ37</f>
        <v>0</v>
      </c>
    </row>
    <row r="38" spans="1:36" ht="10.199999999999999" x14ac:dyDescent="0.2">
      <c r="A38" s="10">
        <f t="shared" si="1"/>
        <v>36752.74999999992</v>
      </c>
      <c r="B38" s="1">
        <f>'Long Term Deals'!AF38</f>
        <v>155654.05628285743</v>
      </c>
      <c r="C38" s="1">
        <f>'Long Term Deals'!AG38</f>
        <v>0</v>
      </c>
      <c r="D38" s="1">
        <f>'Long Term Deals'!AH38</f>
        <v>77311.617359035154</v>
      </c>
      <c r="E38" s="1">
        <f>'Long Term Deals'!AI38</f>
        <v>0</v>
      </c>
      <c r="F38" s="1">
        <f>'Long Term Deals'!AJ38</f>
        <v>0</v>
      </c>
      <c r="G38" s="1">
        <f>'Long Term Deals'!AK38</f>
        <v>0</v>
      </c>
      <c r="H38" s="1">
        <f>'Long Term Deals'!AL38</f>
        <v>0</v>
      </c>
      <c r="I38" s="1">
        <f>'Long Term Deals'!AM38</f>
        <v>37827</v>
      </c>
      <c r="J38" s="1">
        <f>'Long Term Deals'!AN38</f>
        <v>0</v>
      </c>
      <c r="K38" s="1">
        <f>'Long Term Deals'!AO38</f>
        <v>37860</v>
      </c>
      <c r="L38" s="1">
        <f>'Long Term Deals'!AP38</f>
        <v>80000</v>
      </c>
      <c r="M38" s="1">
        <f>'Long Term Deals'!AQ38</f>
        <v>0</v>
      </c>
      <c r="N38" s="1">
        <f>'Long Term Deals'!AR38</f>
        <v>37827.056282857433</v>
      </c>
      <c r="O38" s="1">
        <f>'Long Term Deals'!AS38</f>
        <v>0</v>
      </c>
      <c r="P38" s="1">
        <f>'Long Term Deals'!AT38</f>
        <v>37859.939939680313</v>
      </c>
      <c r="Q38" s="1">
        <f>'Long Term Deals'!AU38</f>
        <v>0</v>
      </c>
      <c r="R38" s="1">
        <f>'Long Term Deals'!AV38</f>
        <v>1591.6774193548388</v>
      </c>
      <c r="S38" s="20">
        <f>'Long Term Deals'!AW38</f>
        <v>0.12</v>
      </c>
      <c r="T38" s="20">
        <f>'Long Term Deals'!AX38</f>
        <v>2.5000000000000001E-2</v>
      </c>
      <c r="U38" s="1">
        <f>'Long Term Deals'!AY38</f>
        <v>28405855.06648799</v>
      </c>
      <c r="V38" s="1">
        <f>'Long Term Deals'!AZ38</f>
        <v>27533505.400706109</v>
      </c>
      <c r="W38" s="6">
        <f t="shared" si="2"/>
        <v>872349.66578188166</v>
      </c>
      <c r="X38" s="6">
        <f>'Long Term Deals'!CA38</f>
        <v>36109.679414493352</v>
      </c>
      <c r="Y38" s="57">
        <f>[2]Sheet1!$AL79</f>
        <v>762567.14303902641</v>
      </c>
      <c r="Z38" s="1">
        <f>[3]Sheet1!$O49</f>
        <v>192122.63208919036</v>
      </c>
      <c r="AA38" s="1">
        <f>'[4]Long Term Deals'!$Z37</f>
        <v>-43972.901883593106</v>
      </c>
      <c r="AB38" s="60">
        <f t="shared" si="5"/>
        <v>1362711.5954336312</v>
      </c>
      <c r="AC38" s="60">
        <f t="shared" si="3"/>
        <v>600144.4523946048</v>
      </c>
      <c r="AD38" s="60">
        <f t="shared" si="4"/>
        <v>872349.66578188154</v>
      </c>
      <c r="AE38" s="28">
        <f>(W38-Z38+AA38)/(B38+C38+D38)/'Prices&amp;Fuel'!H38</f>
        <v>8.8100218850700268E-2</v>
      </c>
      <c r="AF38" s="3">
        <v>226000</v>
      </c>
      <c r="AG38" s="1">
        <f>((((I38*'Prices&amp;Fuel'!B38+'Prices&amp;Fuel'!C38*FPL!J38+FPL!K38*'Prices&amp;Fuel'!D38))+(L38*'Prices&amp;Fuel'!B38+'Prices&amp;Fuel'!C38*FPL!M38))*'Prices&amp;Fuel'!H38)+(I38+J38+K38)*'Prices&amp;Fuel'!H38*FPL!T38+Q38/2</f>
        <v>18386849.425000001</v>
      </c>
      <c r="AH38" s="1">
        <f>(N38*'Prices&amp;Fuel'!B38+'Prices&amp;Fuel'!C38*O38+P38*'Prices&amp;Fuel'!D38)*'Prices&amp;Fuel'!H38+(N38+O38+P38)*'Prices&amp;Fuel'!H38*FPL!T38+Q38/2</f>
        <v>8962848.9957061112</v>
      </c>
      <c r="AI38" s="1">
        <f>R38*'Prices&amp;Fuel'!H38*'Prices&amp;Fuel'!Q38</f>
        <v>183806.98</v>
      </c>
      <c r="AJ38" s="52">
        <f>SUM(AG38:AI38)-'Long Term Deals'!AZ38</f>
        <v>0</v>
      </c>
    </row>
    <row r="39" spans="1:36" ht="10.199999999999999" x14ac:dyDescent="0.2">
      <c r="A39" s="10">
        <f t="shared" si="1"/>
        <v>36783.166666666584</v>
      </c>
      <c r="B39" s="1">
        <f>'Long Term Deals'!AF39</f>
        <v>155654.05628285743</v>
      </c>
      <c r="C39" s="1">
        <f>'Long Term Deals'!AG39</f>
        <v>0</v>
      </c>
      <c r="D39" s="1">
        <f>'Long Term Deals'!AH39</f>
        <v>77311.617359035154</v>
      </c>
      <c r="E39" s="1">
        <f>'Long Term Deals'!AI39</f>
        <v>0</v>
      </c>
      <c r="F39" s="1">
        <f>'Long Term Deals'!AJ39</f>
        <v>0</v>
      </c>
      <c r="G39" s="1">
        <f>'Long Term Deals'!AK39</f>
        <v>0</v>
      </c>
      <c r="H39" s="1">
        <f>'Long Term Deals'!AL39</f>
        <v>0</v>
      </c>
      <c r="I39" s="1">
        <f>'Long Term Deals'!AM39</f>
        <v>37827</v>
      </c>
      <c r="J39" s="1">
        <f>'Long Term Deals'!AN39</f>
        <v>0</v>
      </c>
      <c r="K39" s="1">
        <f>'Long Term Deals'!AO39</f>
        <v>37879</v>
      </c>
      <c r="L39" s="1">
        <f>'Long Term Deals'!AP39</f>
        <v>80000</v>
      </c>
      <c r="M39" s="1">
        <f>'Long Term Deals'!AQ39</f>
        <v>0</v>
      </c>
      <c r="N39" s="1">
        <f>'Long Term Deals'!AR39</f>
        <v>37827.056282857433</v>
      </c>
      <c r="O39" s="1">
        <f>'Long Term Deals'!AS39</f>
        <v>0</v>
      </c>
      <c r="P39" s="1">
        <f>'Long Term Deals'!AT39</f>
        <v>37878.017359035155</v>
      </c>
      <c r="Q39" s="1">
        <f>'Long Term Deals'!AU39</f>
        <v>0</v>
      </c>
      <c r="R39" s="1">
        <f>'Long Term Deals'!AV39</f>
        <v>1554.6</v>
      </c>
      <c r="S39" s="20">
        <f>'Long Term Deals'!AW39</f>
        <v>0.12</v>
      </c>
      <c r="T39" s="20">
        <f>'Long Term Deals'!AX39</f>
        <v>2.5000000000000001E-2</v>
      </c>
      <c r="U39" s="1">
        <f>'Long Term Deals'!AY39</f>
        <v>32917740.439129986</v>
      </c>
      <c r="V39" s="1">
        <f>'Long Term Deals'!AZ39</f>
        <v>32117383.083627462</v>
      </c>
      <c r="W39" s="6">
        <f t="shared" si="2"/>
        <v>800357.35550252348</v>
      </c>
      <c r="X39" s="6">
        <f>'Long Term Deals'!CA39</f>
        <v>34944.851046283889</v>
      </c>
      <c r="Y39" s="57">
        <f>[2]Sheet1!$AL80</f>
        <v>737968.20294099324</v>
      </c>
      <c r="Z39" s="1">
        <f>[3]Sheet1!$O50</f>
        <v>185925.12782824878</v>
      </c>
      <c r="AA39" s="1">
        <f>'[4]Long Term Deals'!$Z38</f>
        <v>-42554.421177670738</v>
      </c>
      <c r="AB39" s="60">
        <f t="shared" si="5"/>
        <v>1274901.1583913134</v>
      </c>
      <c r="AC39" s="60">
        <f t="shared" si="3"/>
        <v>536932.95545032015</v>
      </c>
      <c r="AD39" s="60">
        <f t="shared" si="4"/>
        <v>800357.35550252348</v>
      </c>
      <c r="AE39" s="28">
        <f>(W39-Z39+AA39)/(B39+C39+D39)/'Prices&amp;Fuel'!H39</f>
        <v>8.1825761074093742E-2</v>
      </c>
      <c r="AF39" s="3">
        <v>226000</v>
      </c>
      <c r="AG39" s="1">
        <f>((((I39*'Prices&amp;Fuel'!B39+'Prices&amp;Fuel'!C39*FPL!J39+FPL!K39*'Prices&amp;Fuel'!D39))+(L39*'Prices&amp;Fuel'!B39+'Prices&amp;Fuel'!C39*FPL!M39))*'Prices&amp;Fuel'!H39)+(I39+J39+K39)*'Prices&amp;Fuel'!H39*FPL!T39+Q39/2</f>
        <v>21450783.899999999</v>
      </c>
      <c r="AH39" s="1">
        <f>(N39*'Prices&amp;Fuel'!B39+'Prices&amp;Fuel'!C39*O39+P39*'Prices&amp;Fuel'!D39)*'Prices&amp;Fuel'!H39+(N39+O39+P39)*'Prices&amp;Fuel'!H39*FPL!T39+Q39/2</f>
        <v>10458655.923627462</v>
      </c>
      <c r="AI39" s="1">
        <f>R39*'Prices&amp;Fuel'!H39*'Prices&amp;Fuel'!Q39</f>
        <v>207943.26</v>
      </c>
      <c r="AJ39" s="52">
        <f>SUM(AG39:AI39)-'Long Term Deals'!AZ39</f>
        <v>0</v>
      </c>
    </row>
    <row r="40" spans="1:36" ht="10.199999999999999" x14ac:dyDescent="0.2">
      <c r="A40" s="10">
        <f t="shared" si="1"/>
        <v>36813.583333333248</v>
      </c>
      <c r="B40" s="1">
        <f>'Long Term Deals'!AF40</f>
        <v>58847.821598182942</v>
      </c>
      <c r="C40" s="1">
        <f>'Long Term Deals'!AG40</f>
        <v>0</v>
      </c>
      <c r="D40" s="1">
        <f>'Long Term Deals'!AH40</f>
        <v>77431.344208135459</v>
      </c>
      <c r="E40" s="1">
        <f>'Long Term Deals'!AI40</f>
        <v>0</v>
      </c>
      <c r="F40" s="1">
        <f>'Long Term Deals'!AJ40</f>
        <v>0</v>
      </c>
      <c r="G40" s="1">
        <f>'Long Term Deals'!AK40</f>
        <v>0</v>
      </c>
      <c r="H40" s="1">
        <f>'Long Term Deals'!AL40</f>
        <v>0</v>
      </c>
      <c r="I40" s="1">
        <f>'Long Term Deals'!AM40</f>
        <v>0</v>
      </c>
      <c r="J40" s="1">
        <f>'Long Term Deals'!AN40</f>
        <v>0</v>
      </c>
      <c r="K40" s="1">
        <f>'Long Term Deals'!AO40</f>
        <v>38716</v>
      </c>
      <c r="L40" s="1">
        <f>'Long Term Deals'!AP40</f>
        <v>58847.821598182942</v>
      </c>
      <c r="M40" s="1">
        <f>'Long Term Deals'!AQ40</f>
        <v>0</v>
      </c>
      <c r="N40" s="1">
        <f>'Long Term Deals'!AR40</f>
        <v>0</v>
      </c>
      <c r="O40" s="1">
        <f>'Long Term Deals'!AS40</f>
        <v>0</v>
      </c>
      <c r="P40" s="1">
        <f>'Long Term Deals'!AT40</f>
        <v>38715.344208135459</v>
      </c>
      <c r="Q40" s="1">
        <f>'Long Term Deals'!AU40</f>
        <v>0</v>
      </c>
      <c r="R40" s="1">
        <f>'Long Term Deals'!AV40</f>
        <v>0</v>
      </c>
      <c r="S40" s="20">
        <f>'Long Term Deals'!AW40</f>
        <v>0.12</v>
      </c>
      <c r="T40" s="20">
        <f>'Long Term Deals'!AX40</f>
        <v>2.5000000000000001E-2</v>
      </c>
      <c r="U40" s="1">
        <f>'Long Term Deals'!AY40</f>
        <v>22727679.124509603</v>
      </c>
      <c r="V40" s="1">
        <f>'Long Term Deals'!AZ40</f>
        <v>22112703.902539749</v>
      </c>
      <c r="W40" s="6">
        <f t="shared" si="2"/>
        <v>614975.22196985409</v>
      </c>
      <c r="X40" s="6">
        <f>'Long Term Deals'!CA40</f>
        <v>21123.270699979352</v>
      </c>
      <c r="Y40" s="57">
        <f>[2]Sheet1!$AL81</f>
        <v>762567.14303902641</v>
      </c>
      <c r="Z40" s="1">
        <f>[3]Sheet1!$O51</f>
        <v>112213.21874235899</v>
      </c>
      <c r="AA40" s="1">
        <f>'[4]Long Term Deals'!$Z39</f>
        <v>-34895.062969705476</v>
      </c>
      <c r="AB40" s="60">
        <f t="shared" si="5"/>
        <v>1209310.8125968368</v>
      </c>
      <c r="AC40" s="60">
        <f t="shared" si="3"/>
        <v>446743.66955781041</v>
      </c>
      <c r="AD40" s="60">
        <f t="shared" si="4"/>
        <v>614975.2219698542</v>
      </c>
      <c r="AE40" s="28">
        <f>(W40-Z40+AA40)/(B40+C40+D40)/'Prices&amp;Fuel'!H40</f>
        <v>0.11074680311185117</v>
      </c>
      <c r="AF40" s="3">
        <v>132000</v>
      </c>
      <c r="AG40" s="1">
        <f>((((I40*'Prices&amp;Fuel'!B40+'Prices&amp;Fuel'!C40*FPL!J40+FPL!K40*'Prices&amp;Fuel'!D40))+(L40*'Prices&amp;Fuel'!B40+'Prices&amp;Fuel'!C40*FPL!M40))*'Prices&amp;Fuel'!H40)+(I40+J40+K40)*'Prices&amp;Fuel'!H40*FPL!T40+Q40/2</f>
        <v>15817782.511017961</v>
      </c>
      <c r="AH40" s="1">
        <f>(N40*'Prices&amp;Fuel'!B40+'Prices&amp;Fuel'!C40*O40+P40*'Prices&amp;Fuel'!D40)*'Prices&amp;Fuel'!H40+(N40+O40+P40)*'Prices&amp;Fuel'!H40*FPL!T40+Q40/2</f>
        <v>6294921.3915217845</v>
      </c>
      <c r="AI40" s="1">
        <f>R40*'Prices&amp;Fuel'!H40*'Prices&amp;Fuel'!Q40</f>
        <v>0</v>
      </c>
      <c r="AJ40" s="52">
        <f>SUM(AG40:AI40)-'Long Term Deals'!AZ40</f>
        <v>0</v>
      </c>
    </row>
    <row r="41" spans="1:36" ht="10.199999999999999" x14ac:dyDescent="0.2">
      <c r="A41" s="10">
        <f t="shared" si="1"/>
        <v>36843.999999999913</v>
      </c>
      <c r="B41" s="1">
        <f>'Long Term Deals'!AF41</f>
        <v>58611.825192802062</v>
      </c>
      <c r="C41" s="1">
        <f>'Long Term Deals'!AG41</f>
        <v>0</v>
      </c>
      <c r="D41" s="1">
        <f>'Long Term Deals'!AH41</f>
        <v>77120.822622107968</v>
      </c>
      <c r="E41" s="1">
        <f>'Long Term Deals'!AI41</f>
        <v>0</v>
      </c>
      <c r="F41" s="1">
        <f>'Long Term Deals'!AJ41</f>
        <v>0</v>
      </c>
      <c r="G41" s="1">
        <f>'Long Term Deals'!AK41</f>
        <v>0</v>
      </c>
      <c r="H41" s="1">
        <f>'Long Term Deals'!AL41</f>
        <v>0</v>
      </c>
      <c r="I41" s="1">
        <f>'Long Term Deals'!AM41</f>
        <v>0</v>
      </c>
      <c r="J41" s="1">
        <f>'Long Term Deals'!AN41</f>
        <v>0</v>
      </c>
      <c r="K41" s="1">
        <f>'Long Term Deals'!AO41</f>
        <v>38560</v>
      </c>
      <c r="L41" s="1">
        <f>'Long Term Deals'!AP41</f>
        <v>58611.825192802062</v>
      </c>
      <c r="M41" s="1">
        <f>'Long Term Deals'!AQ41</f>
        <v>0</v>
      </c>
      <c r="N41" s="1">
        <f>'Long Term Deals'!AR41</f>
        <v>0</v>
      </c>
      <c r="O41" s="1">
        <f>'Long Term Deals'!AS41</f>
        <v>0</v>
      </c>
      <c r="P41" s="1">
        <f>'Long Term Deals'!AT41</f>
        <v>38560.822622107968</v>
      </c>
      <c r="Q41" s="1">
        <f>'Long Term Deals'!AU41</f>
        <v>0</v>
      </c>
      <c r="R41" s="1">
        <f>'Long Term Deals'!AV41</f>
        <v>0</v>
      </c>
      <c r="S41" s="20">
        <f>'Long Term Deals'!AW41</f>
        <v>0.12</v>
      </c>
      <c r="T41" s="20">
        <f>'Long Term Deals'!AX41</f>
        <v>2.5000000000000001E-2</v>
      </c>
      <c r="U41" s="1">
        <f>'Long Term Deals'!AY41</f>
        <v>14879383.033419024</v>
      </c>
      <c r="V41" s="1">
        <f>'Long Term Deals'!AZ41</f>
        <v>14332904.884318767</v>
      </c>
      <c r="W41" s="6">
        <f t="shared" si="2"/>
        <v>546478.14910025708</v>
      </c>
      <c r="X41" s="6">
        <f>'Long Term Deals'!CA41</f>
        <v>20359.897172236506</v>
      </c>
      <c r="Y41" s="57">
        <f>[2]Sheet1!$AL82</f>
        <v>737968.20294099324</v>
      </c>
      <c r="Z41" s="1">
        <f>[3]Sheet1!$O52</f>
        <v>108593.43749260542</v>
      </c>
      <c r="AA41" s="1">
        <f>'[4]Long Term Deals'!$Z40</f>
        <v>-33769.415777134331</v>
      </c>
      <c r="AB41" s="60">
        <f t="shared" si="5"/>
        <v>1121723.601599274</v>
      </c>
      <c r="AC41" s="60">
        <f t="shared" si="3"/>
        <v>383755.39865828073</v>
      </c>
      <c r="AD41" s="60">
        <f t="shared" si="4"/>
        <v>546478.14910025697</v>
      </c>
      <c r="AE41" s="28">
        <f>(W41-Z41+AA41)/(B41+C41+D41)/'Prices&amp;Fuel'!H41</f>
        <v>9.924296090787324E-2</v>
      </c>
      <c r="AF41" s="3">
        <v>132000</v>
      </c>
      <c r="AG41" s="1">
        <f>((((I41*'Prices&amp;Fuel'!B41+'Prices&amp;Fuel'!C41*FPL!J41+FPL!K41*'Prices&amp;Fuel'!D41))+(L41*'Prices&amp;Fuel'!B41+'Prices&amp;Fuel'!C41*FPL!M41))*'Prices&amp;Fuel'!H41)+(I41+J41+K41)*'Prices&amp;Fuel'!H41*FPL!T41+Q41/2</f>
        <v>10243529.645244217</v>
      </c>
      <c r="AH41" s="1">
        <f>(N41*'Prices&amp;Fuel'!B41+'Prices&amp;Fuel'!C41*O41+P41*'Prices&amp;Fuel'!D41)*'Prices&amp;Fuel'!H41+(N41+O41+P41)*'Prices&amp;Fuel'!H41*FPL!T41+Q41/2</f>
        <v>4089375.2390745496</v>
      </c>
      <c r="AI41" s="1">
        <f>R41*'Prices&amp;Fuel'!H41*'Prices&amp;Fuel'!Q41</f>
        <v>0</v>
      </c>
      <c r="AJ41" s="52">
        <f>SUM(AG41:AI41)-'Long Term Deals'!AZ41</f>
        <v>0</v>
      </c>
    </row>
    <row r="42" spans="1:36" ht="10.199999999999999" x14ac:dyDescent="0.2">
      <c r="A42" s="10">
        <f t="shared" si="1"/>
        <v>36874.416666666577</v>
      </c>
      <c r="B42" s="1">
        <f>'Long Term Deals'!AF42</f>
        <v>58611.825192802062</v>
      </c>
      <c r="C42" s="1">
        <f>'Long Term Deals'!AG42</f>
        <v>0</v>
      </c>
      <c r="D42" s="1">
        <f>'Long Term Deals'!AH42</f>
        <v>77120.822622107968</v>
      </c>
      <c r="E42" s="1">
        <f>'Long Term Deals'!AI42</f>
        <v>0</v>
      </c>
      <c r="F42" s="1">
        <f>'Long Term Deals'!AJ42</f>
        <v>0</v>
      </c>
      <c r="G42" s="1">
        <f>'Long Term Deals'!AK42</f>
        <v>0</v>
      </c>
      <c r="H42" s="1">
        <f>'Long Term Deals'!AL42</f>
        <v>0</v>
      </c>
      <c r="I42" s="1">
        <f>'Long Term Deals'!AM42</f>
        <v>0</v>
      </c>
      <c r="J42" s="1">
        <f>'Long Term Deals'!AN42</f>
        <v>0</v>
      </c>
      <c r="K42" s="1">
        <f>'Long Term Deals'!AO42</f>
        <v>38560</v>
      </c>
      <c r="L42" s="1">
        <f>'Long Term Deals'!AP42</f>
        <v>58611.825192802062</v>
      </c>
      <c r="M42" s="1">
        <f>'Long Term Deals'!AQ42</f>
        <v>0</v>
      </c>
      <c r="N42" s="1">
        <f>'Long Term Deals'!AR42</f>
        <v>0</v>
      </c>
      <c r="O42" s="1">
        <f>'Long Term Deals'!AS42</f>
        <v>0</v>
      </c>
      <c r="P42" s="1">
        <f>'Long Term Deals'!AT42</f>
        <v>38560.822622107968</v>
      </c>
      <c r="Q42" s="1">
        <f>'Long Term Deals'!AU42</f>
        <v>0</v>
      </c>
      <c r="R42" s="1">
        <f>'Long Term Deals'!AV42</f>
        <v>0</v>
      </c>
      <c r="S42" s="20">
        <f>'Long Term Deals'!AW42</f>
        <v>0.12</v>
      </c>
      <c r="T42" s="20">
        <f>'Long Term Deals'!AX42</f>
        <v>2.5000000000000001E-2</v>
      </c>
      <c r="U42" s="1">
        <f>'Long Term Deals'!AY42</f>
        <v>11672575.835475579</v>
      </c>
      <c r="V42" s="1">
        <f>'Long Term Deals'!AZ42</f>
        <v>11107881.74807198</v>
      </c>
      <c r="W42" s="6">
        <f t="shared" si="2"/>
        <v>564694.08740359917</v>
      </c>
      <c r="X42" s="6">
        <f>'Long Term Deals'!CA42</f>
        <v>21038.560411311057</v>
      </c>
      <c r="Y42" s="57">
        <f>[2]Sheet1!$AL83</f>
        <v>762567.14303902641</v>
      </c>
      <c r="Z42" s="1">
        <f>[3]Sheet1!$O53</f>
        <v>112213.21874235899</v>
      </c>
      <c r="AA42" s="1">
        <f>'[4]Long Term Deals'!$Z41</f>
        <v>-34895.062969705476</v>
      </c>
      <c r="AB42" s="60">
        <f t="shared" si="5"/>
        <v>1159114.3883192502</v>
      </c>
      <c r="AC42" s="60">
        <f t="shared" si="3"/>
        <v>396547.24528022378</v>
      </c>
      <c r="AD42" s="60">
        <f t="shared" si="4"/>
        <v>564694.08740359929</v>
      </c>
      <c r="AE42" s="28">
        <f>(W42-Z42+AA42)/(B42+C42+D42)/'Prices&amp;Fuel'!H42</f>
        <v>9.9242960907873268E-2</v>
      </c>
      <c r="AF42" s="3">
        <v>132000</v>
      </c>
      <c r="AG42" s="1">
        <f>((((I42*'Prices&amp;Fuel'!B42+'Prices&amp;Fuel'!C42*FPL!J42+FPL!K42*'Prices&amp;Fuel'!D42))+(L42*'Prices&amp;Fuel'!B42+'Prices&amp;Fuel'!C42*FPL!M42))*'Prices&amp;Fuel'!H42)+(I42+J42+K42)*'Prices&amp;Fuel'!H42*FPL!T42+Q42/2</f>
        <v>7934133.2421593843</v>
      </c>
      <c r="AH42" s="1">
        <f>(N42*'Prices&amp;Fuel'!B42+'Prices&amp;Fuel'!C42*O42+P42*'Prices&amp;Fuel'!D42)*'Prices&amp;Fuel'!H42+(N42+O42+P42)*'Prices&amp;Fuel'!H42*FPL!T42+Q42/2</f>
        <v>3173748.5059125968</v>
      </c>
      <c r="AI42" s="1">
        <f>R42*'Prices&amp;Fuel'!H42*'Prices&amp;Fuel'!Q42</f>
        <v>0</v>
      </c>
      <c r="AJ42" s="52">
        <f>SUM(AG42:AI42)-'Long Term Deals'!AZ42</f>
        <v>0</v>
      </c>
    </row>
    <row r="43" spans="1:36" ht="10.199999999999999" x14ac:dyDescent="0.2">
      <c r="A43" s="10">
        <f t="shared" si="1"/>
        <v>36904.833333333241</v>
      </c>
      <c r="B43" s="1">
        <f>'Long Term Deals'!AF43</f>
        <v>58611.825192802062</v>
      </c>
      <c r="C43" s="1">
        <f>'Long Term Deals'!AG43</f>
        <v>0</v>
      </c>
      <c r="D43" s="1">
        <f>'Long Term Deals'!AH43</f>
        <v>77120.822622107968</v>
      </c>
      <c r="E43" s="1">
        <f>'Long Term Deals'!AI43</f>
        <v>0</v>
      </c>
      <c r="F43" s="1">
        <f>'Long Term Deals'!AJ43</f>
        <v>0</v>
      </c>
      <c r="G43" s="1">
        <f>'Long Term Deals'!AK43</f>
        <v>0</v>
      </c>
      <c r="H43" s="1">
        <f>'Long Term Deals'!AL43</f>
        <v>0</v>
      </c>
      <c r="I43" s="1">
        <f>'Long Term Deals'!AM43</f>
        <v>0</v>
      </c>
      <c r="J43" s="1">
        <f>'Long Term Deals'!AN43</f>
        <v>0</v>
      </c>
      <c r="K43" s="1">
        <f>'Long Term Deals'!AO43</f>
        <v>38560</v>
      </c>
      <c r="L43" s="1">
        <f>'Long Term Deals'!AP43</f>
        <v>58611.825192802062</v>
      </c>
      <c r="M43" s="1">
        <f>'Long Term Deals'!AQ43</f>
        <v>0</v>
      </c>
      <c r="N43" s="1">
        <f>'Long Term Deals'!AR43</f>
        <v>0</v>
      </c>
      <c r="O43" s="1">
        <f>'Long Term Deals'!AS43</f>
        <v>0</v>
      </c>
      <c r="P43" s="1">
        <f>'Long Term Deals'!AT43</f>
        <v>38560.822622107968</v>
      </c>
      <c r="Q43" s="1">
        <f>'Long Term Deals'!AU43</f>
        <v>0</v>
      </c>
      <c r="R43" s="1">
        <f>'Long Term Deals'!AV43</f>
        <v>0</v>
      </c>
      <c r="S43" s="20">
        <f>'Long Term Deals'!AW43</f>
        <v>0.1</v>
      </c>
      <c r="T43" s="20">
        <f>'Long Term Deals'!AX43</f>
        <v>2.5000000000000001E-2</v>
      </c>
      <c r="U43" s="1">
        <f>'Long Term Deals'!AY43</f>
        <v>9905336.7609254513</v>
      </c>
      <c r="V43" s="1">
        <f>'Long Term Deals'!AZ43</f>
        <v>9424796.915167097</v>
      </c>
      <c r="W43" s="6">
        <f t="shared" si="2"/>
        <v>480539.84575835429</v>
      </c>
      <c r="X43" s="6">
        <f>'Long Term Deals'!CA43</f>
        <v>21038.560411311057</v>
      </c>
      <c r="Y43" s="57">
        <f>[2]Sheet1!$AL84</f>
        <v>762567.14303902641</v>
      </c>
      <c r="Z43" s="1">
        <f>[3]Sheet1!$O55</f>
        <v>27798.572017242986</v>
      </c>
      <c r="AA43" s="1">
        <f>'[4]Long Term Deals'!$Z42</f>
        <v>-34895.062969705476</v>
      </c>
      <c r="AB43" s="60">
        <f t="shared" si="5"/>
        <v>1159374.7933991214</v>
      </c>
      <c r="AC43" s="60">
        <f t="shared" si="3"/>
        <v>396807.65036009497</v>
      </c>
      <c r="AD43" s="60">
        <f t="shared" si="4"/>
        <v>480539.84575835452</v>
      </c>
      <c r="AE43" s="28">
        <f>(W43-Z43+AA43)/(B43+C43+D43)/'Prices&amp;Fuel'!H43</f>
        <v>9.9304848478785943E-2</v>
      </c>
      <c r="AF43" s="3">
        <v>132000</v>
      </c>
      <c r="AG43" s="1">
        <f>((((I43*'Prices&amp;Fuel'!B43+'Prices&amp;Fuel'!C43*FPL!J43+FPL!K43*'Prices&amp;Fuel'!D43))+(L43*'Prices&amp;Fuel'!B43+'Prices&amp;Fuel'!C43*FPL!M43))*'Prices&amp;Fuel'!H43)+(I43+J43+K43)*'Prices&amp;Fuel'!H43*FPL!T43+Q43/2</f>
        <v>6729202.6097686384</v>
      </c>
      <c r="AH43" s="1">
        <f>(N43*'Prices&amp;Fuel'!B43+'Prices&amp;Fuel'!C43*O43+P43*'Prices&amp;Fuel'!D43)*'Prices&amp;Fuel'!H43+(N43+O43+P43)*'Prices&amp;Fuel'!H43*FPL!T43+Q43/2</f>
        <v>2695594.3053984577</v>
      </c>
      <c r="AI43" s="1">
        <f>R43*'Prices&amp;Fuel'!H43*'Prices&amp;Fuel'!Q43</f>
        <v>0</v>
      </c>
      <c r="AJ43" s="52">
        <f>SUM(AG43:AI43)-'Long Term Deals'!AZ43</f>
        <v>0</v>
      </c>
    </row>
    <row r="44" spans="1:36" ht="10.199999999999999" x14ac:dyDescent="0.2">
      <c r="A44" s="10">
        <f t="shared" si="1"/>
        <v>36935.249999999905</v>
      </c>
      <c r="B44" s="1">
        <f>'Long Term Deals'!AF44</f>
        <v>58611.825192802062</v>
      </c>
      <c r="C44" s="1">
        <f>'Long Term Deals'!AG44</f>
        <v>0</v>
      </c>
      <c r="D44" s="1">
        <f>'Long Term Deals'!AH44</f>
        <v>77120.822622107968</v>
      </c>
      <c r="E44" s="1">
        <f>'Long Term Deals'!AI44</f>
        <v>0</v>
      </c>
      <c r="F44" s="1">
        <f>'Long Term Deals'!AJ44</f>
        <v>0</v>
      </c>
      <c r="G44" s="1">
        <f>'Long Term Deals'!AK44</f>
        <v>0</v>
      </c>
      <c r="H44" s="1">
        <f>'Long Term Deals'!AL44</f>
        <v>0</v>
      </c>
      <c r="I44" s="1">
        <f>'Long Term Deals'!AM44</f>
        <v>0</v>
      </c>
      <c r="J44" s="1">
        <f>'Long Term Deals'!AN44</f>
        <v>0</v>
      </c>
      <c r="K44" s="1">
        <f>'Long Term Deals'!AO44</f>
        <v>38560</v>
      </c>
      <c r="L44" s="1">
        <f>'Long Term Deals'!AP44</f>
        <v>58611.825192802062</v>
      </c>
      <c r="M44" s="1">
        <f>'Long Term Deals'!AQ44</f>
        <v>0</v>
      </c>
      <c r="N44" s="1">
        <f>'Long Term Deals'!AR44</f>
        <v>0</v>
      </c>
      <c r="O44" s="1">
        <f>'Long Term Deals'!AS44</f>
        <v>0</v>
      </c>
      <c r="P44" s="1">
        <f>'Long Term Deals'!AT44</f>
        <v>38560.822622107968</v>
      </c>
      <c r="Q44" s="1">
        <f>'Long Term Deals'!AU44</f>
        <v>0</v>
      </c>
      <c r="R44" s="1">
        <f>'Long Term Deals'!AV44</f>
        <v>0</v>
      </c>
      <c r="S44" s="20">
        <f>'Long Term Deals'!AW44</f>
        <v>0.1</v>
      </c>
      <c r="T44" s="20">
        <f>'Long Term Deals'!AX44</f>
        <v>2.5000000000000001E-2</v>
      </c>
      <c r="U44" s="1">
        <f>'Long Term Deals'!AY44</f>
        <v>9972894.6015424188</v>
      </c>
      <c r="V44" s="1">
        <f>'Long Term Deals'!AZ44</f>
        <v>9538858.6118251942</v>
      </c>
      <c r="W44" s="6">
        <f t="shared" si="2"/>
        <v>434035.98971722461</v>
      </c>
      <c r="X44" s="6">
        <f>'Long Term Deals'!CA44</f>
        <v>19002.570694087408</v>
      </c>
      <c r="Y44" s="57">
        <f>[2]Sheet1!$AL85</f>
        <v>688770.32274492702</v>
      </c>
      <c r="Z44" s="1">
        <f>[3]Sheet1!$O56</f>
        <v>25108.387628477532</v>
      </c>
      <c r="AA44" s="1">
        <f>'[4]Long Term Deals'!$Z43</f>
        <v>-31518.121391992048</v>
      </c>
      <c r="AB44" s="60">
        <f t="shared" si="5"/>
        <v>1047177.2327475945</v>
      </c>
      <c r="AC44" s="60">
        <f t="shared" si="3"/>
        <v>358406.91000266746</v>
      </c>
      <c r="AD44" s="60">
        <f t="shared" si="4"/>
        <v>434035.98971722444</v>
      </c>
      <c r="AE44" s="28">
        <f>(W44-Z44+AA44)/(B44+C44+D44)/'Prices&amp;Fuel'!H44</f>
        <v>9.9304848478786317E-2</v>
      </c>
      <c r="AF44" s="3">
        <v>132000</v>
      </c>
      <c r="AG44" s="1">
        <f>((((I44*'Prices&amp;Fuel'!B44+'Prices&amp;Fuel'!C44*FPL!J44+FPL!K44*'Prices&amp;Fuel'!D44))+(L44*'Prices&amp;Fuel'!B44+'Prices&amp;Fuel'!C44*FPL!M44))*'Prices&amp;Fuel'!H44)+(I44+J44+K44)*'Prices&amp;Fuel'!H44*FPL!T44+Q44/2</f>
        <v>6812608.4524421608</v>
      </c>
      <c r="AH44" s="1">
        <f>(N44*'Prices&amp;Fuel'!B44+'Prices&amp;Fuel'!C44*O44+P44*'Prices&amp;Fuel'!D44)*'Prices&amp;Fuel'!H44+(N44+O44+P44)*'Prices&amp;Fuel'!H44*FPL!T44+Q44/2</f>
        <v>2726250.1593830339</v>
      </c>
      <c r="AI44" s="1">
        <f>R44*'Prices&amp;Fuel'!H44*'Prices&amp;Fuel'!Q44</f>
        <v>0</v>
      </c>
      <c r="AJ44" s="52">
        <f>SUM(AG44:AI44)-'Long Term Deals'!AZ44</f>
        <v>0</v>
      </c>
    </row>
    <row r="45" spans="1:36" ht="10.199999999999999" x14ac:dyDescent="0.2">
      <c r="A45" s="10">
        <f t="shared" si="1"/>
        <v>36965.66666666657</v>
      </c>
      <c r="B45" s="1">
        <f>'Long Term Deals'!AF45</f>
        <v>58611.825192802062</v>
      </c>
      <c r="C45" s="1">
        <f>'Long Term Deals'!AG45</f>
        <v>0</v>
      </c>
      <c r="D45" s="1">
        <f>'Long Term Deals'!AH45</f>
        <v>77120.822622107968</v>
      </c>
      <c r="E45" s="1">
        <f>'Long Term Deals'!AI45</f>
        <v>0</v>
      </c>
      <c r="F45" s="1">
        <f>'Long Term Deals'!AJ45</f>
        <v>0</v>
      </c>
      <c r="G45" s="1">
        <f>'Long Term Deals'!AK45</f>
        <v>0</v>
      </c>
      <c r="H45" s="1">
        <f>'Long Term Deals'!AL45</f>
        <v>0</v>
      </c>
      <c r="I45" s="1">
        <f>'Long Term Deals'!AM45</f>
        <v>0</v>
      </c>
      <c r="J45" s="1">
        <f>'Long Term Deals'!AN45</f>
        <v>0</v>
      </c>
      <c r="K45" s="1">
        <f>'Long Term Deals'!AO45</f>
        <v>38560</v>
      </c>
      <c r="L45" s="1">
        <f>'Long Term Deals'!AP45</f>
        <v>58611.825192802062</v>
      </c>
      <c r="M45" s="1">
        <f>'Long Term Deals'!AQ45</f>
        <v>0</v>
      </c>
      <c r="N45" s="1">
        <f>'Long Term Deals'!AR45</f>
        <v>0</v>
      </c>
      <c r="O45" s="1">
        <f>'Long Term Deals'!AS45</f>
        <v>0</v>
      </c>
      <c r="P45" s="1">
        <f>'Long Term Deals'!AT45</f>
        <v>38560.822622107968</v>
      </c>
      <c r="Q45" s="1">
        <f>'Long Term Deals'!AU45</f>
        <v>0</v>
      </c>
      <c r="R45" s="1">
        <f>'Long Term Deals'!AV45</f>
        <v>0</v>
      </c>
      <c r="S45" s="20">
        <f>'Long Term Deals'!AW45</f>
        <v>0.1</v>
      </c>
      <c r="T45" s="20">
        <f>'Long Term Deals'!AX45</f>
        <v>2.5000000000000001E-2</v>
      </c>
      <c r="U45" s="1">
        <f>'Long Term Deals'!AY45</f>
        <v>11041419.023136249</v>
      </c>
      <c r="V45" s="1">
        <f>'Long Term Deals'!AZ45</f>
        <v>10560879.177377895</v>
      </c>
      <c r="W45" s="6">
        <f t="shared" si="2"/>
        <v>480539.84575835429</v>
      </c>
      <c r="X45" s="6">
        <f>'Long Term Deals'!CA45</f>
        <v>21038.560411311057</v>
      </c>
      <c r="Y45" s="57">
        <f>[2]Sheet1!$AL86</f>
        <v>762567.14303902641</v>
      </c>
      <c r="Z45" s="1">
        <f>[3]Sheet1!$O57</f>
        <v>27798.572017242986</v>
      </c>
      <c r="AA45" s="1">
        <f>'[4]Long Term Deals'!$Z44</f>
        <v>-34895.062969705476</v>
      </c>
      <c r="AB45" s="60">
        <f t="shared" si="5"/>
        <v>1159374.7933991214</v>
      </c>
      <c r="AC45" s="60">
        <f t="shared" si="3"/>
        <v>396807.65036009497</v>
      </c>
      <c r="AD45" s="60">
        <f t="shared" si="4"/>
        <v>480539.84575835452</v>
      </c>
      <c r="AE45" s="28">
        <f>(W45-Z45+AA45)/(B45+C45+D45)/'Prices&amp;Fuel'!H45</f>
        <v>9.9304848478785943E-2</v>
      </c>
      <c r="AF45" s="3">
        <v>132000</v>
      </c>
      <c r="AG45" s="1">
        <f>((((I45*'Prices&amp;Fuel'!B45+'Prices&amp;Fuel'!C45*FPL!J45+FPL!K45*'Prices&amp;Fuel'!D45))+(L45*'Prices&amp;Fuel'!B45+'Prices&amp;Fuel'!C45*FPL!M45))*'Prices&amp;Fuel'!H45)+(I45+J45+K45)*'Prices&amp;Fuel'!H45*FPL!T45+Q45/2</f>
        <v>7542530.7866323926</v>
      </c>
      <c r="AH45" s="1">
        <f>(N45*'Prices&amp;Fuel'!B45+'Prices&amp;Fuel'!C45*O45+P45*'Prices&amp;Fuel'!D45)*'Prices&amp;Fuel'!H45+(N45+O45+P45)*'Prices&amp;Fuel'!H45*FPL!T45+Q45/2</f>
        <v>3018348.390745502</v>
      </c>
      <c r="AI45" s="1">
        <f>R45*'Prices&amp;Fuel'!H45*'Prices&amp;Fuel'!Q45</f>
        <v>0</v>
      </c>
      <c r="AJ45" s="52">
        <f>SUM(AG45:AI45)-'Long Term Deals'!AZ45</f>
        <v>0</v>
      </c>
    </row>
    <row r="46" spans="1:36" ht="10.199999999999999" x14ac:dyDescent="0.2">
      <c r="A46" s="10">
        <f t="shared" si="1"/>
        <v>36996.083333333234</v>
      </c>
      <c r="B46" s="1">
        <f>'Long Term Deals'!AF46</f>
        <v>58611.825192802062</v>
      </c>
      <c r="C46" s="1">
        <f>'Long Term Deals'!AG46</f>
        <v>0</v>
      </c>
      <c r="D46" s="1">
        <f>'Long Term Deals'!AH46</f>
        <v>77120.822622107968</v>
      </c>
      <c r="E46" s="1">
        <f>'Long Term Deals'!AI46</f>
        <v>0</v>
      </c>
      <c r="F46" s="1">
        <f>'Long Term Deals'!AJ46</f>
        <v>0</v>
      </c>
      <c r="G46" s="1">
        <f>'Long Term Deals'!AK46</f>
        <v>0</v>
      </c>
      <c r="H46" s="1">
        <f>'Long Term Deals'!AL46</f>
        <v>0</v>
      </c>
      <c r="I46" s="1">
        <f>'Long Term Deals'!AM46</f>
        <v>0</v>
      </c>
      <c r="J46" s="1">
        <f>'Long Term Deals'!AN46</f>
        <v>0</v>
      </c>
      <c r="K46" s="1">
        <f>'Long Term Deals'!AO46</f>
        <v>38560</v>
      </c>
      <c r="L46" s="1">
        <f>'Long Term Deals'!AP46</f>
        <v>58611.825192802062</v>
      </c>
      <c r="M46" s="1">
        <f>'Long Term Deals'!AQ46</f>
        <v>0</v>
      </c>
      <c r="N46" s="1">
        <f>'Long Term Deals'!AR46</f>
        <v>0</v>
      </c>
      <c r="O46" s="1">
        <f>'Long Term Deals'!AS46</f>
        <v>0</v>
      </c>
      <c r="P46" s="1">
        <f>'Long Term Deals'!AT46</f>
        <v>38560.822622107968</v>
      </c>
      <c r="Q46" s="1">
        <f>'Long Term Deals'!AU46</f>
        <v>0</v>
      </c>
      <c r="R46" s="1">
        <f>'Long Term Deals'!AV46</f>
        <v>0</v>
      </c>
      <c r="S46" s="20">
        <f>'Long Term Deals'!AW46</f>
        <v>0.1</v>
      </c>
      <c r="T46" s="20">
        <f>'Long Term Deals'!AX46</f>
        <v>2.5000000000000001E-2</v>
      </c>
      <c r="U46" s="1">
        <f>'Long Term Deals'!AY46</f>
        <v>11784678.663239077</v>
      </c>
      <c r="V46" s="1">
        <f>'Long Term Deals'!AZ46</f>
        <v>11319640.102827765</v>
      </c>
      <c r="W46" s="6">
        <f t="shared" si="2"/>
        <v>465038.56041131169</v>
      </c>
      <c r="X46" s="6">
        <f>'Long Term Deals'!CA46</f>
        <v>20359.897172236506</v>
      </c>
      <c r="Y46" s="57">
        <f>[2]Sheet1!$AL87</f>
        <v>737968.20294099324</v>
      </c>
      <c r="Z46" s="1">
        <f>[3]Sheet1!$O58</f>
        <v>26901.843887654482</v>
      </c>
      <c r="AA46" s="1">
        <f>'[4]Long Term Deals'!$Z45</f>
        <v>-33769.415777134331</v>
      </c>
      <c r="AB46" s="60">
        <f t="shared" si="5"/>
        <v>1121975.6065152795</v>
      </c>
      <c r="AC46" s="60">
        <f t="shared" si="3"/>
        <v>384007.40357428626</v>
      </c>
      <c r="AD46" s="60">
        <f t="shared" si="4"/>
        <v>465038.56041131163</v>
      </c>
      <c r="AE46" s="28">
        <f>(W46-Z46+AA46)/(B46+C46+D46)/'Prices&amp;Fuel'!H46</f>
        <v>9.9304848478786206E-2</v>
      </c>
      <c r="AF46" s="3">
        <v>132000</v>
      </c>
      <c r="AG46" s="1">
        <f>((((I46*'Prices&amp;Fuel'!B46+'Prices&amp;Fuel'!C46*FPL!J46+FPL!K46*'Prices&amp;Fuel'!D46))+(L46*'Prices&amp;Fuel'!B46+'Prices&amp;Fuel'!C46*FPL!M46))*'Prices&amp;Fuel'!H46)+(I46+J46+K46)*'Prices&amp;Fuel'!H46*FPL!T46+Q46/2</f>
        <v>8086315.1259640101</v>
      </c>
      <c r="AH46" s="1">
        <f>(N46*'Prices&amp;Fuel'!B46+'Prices&amp;Fuel'!C46*O46+P46*'Prices&amp;Fuel'!D46)*'Prices&amp;Fuel'!H46+(N46+O46+P46)*'Prices&amp;Fuel'!H46*FPL!T46+Q46/2</f>
        <v>3233324.9768637535</v>
      </c>
      <c r="AI46" s="1">
        <f>R46*'Prices&amp;Fuel'!H46*'Prices&amp;Fuel'!Q46</f>
        <v>0</v>
      </c>
      <c r="AJ46" s="52">
        <f>SUM(AG46:AI46)-'Long Term Deals'!AZ46</f>
        <v>0</v>
      </c>
    </row>
    <row r="47" spans="1:36" ht="10.199999999999999" x14ac:dyDescent="0.2">
      <c r="A47" s="10">
        <f t="shared" si="1"/>
        <v>37026.499999999898</v>
      </c>
      <c r="B47" s="1">
        <f>'Long Term Deals'!AF47</f>
        <v>155269.92287917738</v>
      </c>
      <c r="C47" s="1">
        <f>'Long Term Deals'!AG47</f>
        <v>0</v>
      </c>
      <c r="D47" s="1">
        <f>'Long Term Deals'!AH47</f>
        <v>77120.822622107968</v>
      </c>
      <c r="E47" s="1">
        <f>'Long Term Deals'!AI47</f>
        <v>0</v>
      </c>
      <c r="F47" s="1">
        <f>'Long Term Deals'!AJ47</f>
        <v>0</v>
      </c>
      <c r="G47" s="1">
        <f>'Long Term Deals'!AK47</f>
        <v>0</v>
      </c>
      <c r="H47" s="1">
        <f>'Long Term Deals'!AL47</f>
        <v>0</v>
      </c>
      <c r="I47" s="1">
        <f>'Long Term Deals'!AM47</f>
        <v>37635</v>
      </c>
      <c r="J47" s="1">
        <f>'Long Term Deals'!AN47</f>
        <v>0</v>
      </c>
      <c r="K47" s="1">
        <f>'Long Term Deals'!AO47</f>
        <v>38560</v>
      </c>
      <c r="L47" s="1">
        <f>'Long Term Deals'!AP47</f>
        <v>80000</v>
      </c>
      <c r="M47" s="1">
        <f>'Long Term Deals'!AQ47</f>
        <v>0</v>
      </c>
      <c r="N47" s="1">
        <f>'Long Term Deals'!AR47</f>
        <v>37634.922879177378</v>
      </c>
      <c r="O47" s="1">
        <f>'Long Term Deals'!AS47</f>
        <v>0</v>
      </c>
      <c r="P47" s="1">
        <f>'Long Term Deals'!AT47</f>
        <v>38560.822622107968</v>
      </c>
      <c r="Q47" s="1">
        <f>'Long Term Deals'!AU47</f>
        <v>0</v>
      </c>
      <c r="R47" s="1">
        <f>'Long Term Deals'!AV47</f>
        <v>0</v>
      </c>
      <c r="S47" s="20">
        <f>'Long Term Deals'!AW47</f>
        <v>0.1</v>
      </c>
      <c r="T47" s="20">
        <f>'Long Term Deals'!AX47</f>
        <v>2.5000000000000001E-2</v>
      </c>
      <c r="U47" s="1">
        <f>'Long Term Deals'!AY47</f>
        <v>22115989.717223652</v>
      </c>
      <c r="V47" s="1">
        <f>'Long Term Deals'!AZ47</f>
        <v>21394143.958868895</v>
      </c>
      <c r="W47" s="6">
        <f t="shared" si="2"/>
        <v>721845.75835475698</v>
      </c>
      <c r="X47" s="6">
        <f>'Long Term Deals'!CA47</f>
        <v>36020.565552699227</v>
      </c>
      <c r="Y47" s="57">
        <f>[2]Sheet1!$AL88</f>
        <v>762567.14303902641</v>
      </c>
      <c r="Z47" s="1">
        <f>[3]Sheet1!$O59</f>
        <v>47594.524817400845</v>
      </c>
      <c r="AA47" s="1">
        <f>'[4]Long Term Deals'!$Z46</f>
        <v>-43972.901883593106</v>
      </c>
      <c r="AB47" s="60">
        <f t="shared" si="5"/>
        <v>1356824.9091400902</v>
      </c>
      <c r="AC47" s="60">
        <f t="shared" si="3"/>
        <v>594257.76610106381</v>
      </c>
      <c r="AD47" s="60">
        <f t="shared" si="4"/>
        <v>721845.75835475698</v>
      </c>
      <c r="AE47" s="28">
        <f>(W47-Z47+AA47)/(B47+C47+D47)/'Prices&amp;Fuel'!H47</f>
        <v>8.7488677923677496E-2</v>
      </c>
      <c r="AF47" s="3">
        <v>226000</v>
      </c>
      <c r="AG47" s="1">
        <f>((((I47*'Prices&amp;Fuel'!B47+'Prices&amp;Fuel'!C47*FPL!J47+FPL!K47*'Prices&amp;Fuel'!D47))+(L47*'Prices&amp;Fuel'!B47+'Prices&amp;Fuel'!C47*FPL!M47))*'Prices&amp;Fuel'!H47)+(I47+J47+K47)*'Prices&amp;Fuel'!H47*FPL!T47+Q47/2</f>
        <v>14355037.475000001</v>
      </c>
      <c r="AH47" s="1">
        <f>(N47*'Prices&amp;Fuel'!B47+'Prices&amp;Fuel'!C47*O47+P47*'Prices&amp;Fuel'!D47)*'Prices&amp;Fuel'!H47+(N47+O47+P47)*'Prices&amp;Fuel'!H47*FPL!T47+Q47/2</f>
        <v>7039106.4838688951</v>
      </c>
      <c r="AI47" s="1">
        <f>R47*'Prices&amp;Fuel'!H47*'Prices&amp;Fuel'!Q47</f>
        <v>0</v>
      </c>
      <c r="AJ47" s="52">
        <f>SUM(AG47:AI47)-'Long Term Deals'!AZ47</f>
        <v>0</v>
      </c>
    </row>
    <row r="48" spans="1:36" ht="10.199999999999999" x14ac:dyDescent="0.2">
      <c r="A48" s="10">
        <f t="shared" si="1"/>
        <v>37056.916666666562</v>
      </c>
      <c r="B48" s="1">
        <f>'Long Term Deals'!AF48</f>
        <v>155269.92287917738</v>
      </c>
      <c r="C48" s="1">
        <f>'Long Term Deals'!AG48</f>
        <v>0</v>
      </c>
      <c r="D48" s="1">
        <f>'Long Term Deals'!AH48</f>
        <v>77120.822622107968</v>
      </c>
      <c r="E48" s="1">
        <f>'Long Term Deals'!AI48</f>
        <v>0</v>
      </c>
      <c r="F48" s="1">
        <f>'Long Term Deals'!AJ48</f>
        <v>0</v>
      </c>
      <c r="G48" s="1">
        <f>'Long Term Deals'!AK48</f>
        <v>0</v>
      </c>
      <c r="H48" s="1">
        <f>'Long Term Deals'!AL48</f>
        <v>0</v>
      </c>
      <c r="I48" s="1">
        <f>'Long Term Deals'!AM48</f>
        <v>37635</v>
      </c>
      <c r="J48" s="1">
        <f>'Long Term Deals'!AN48</f>
        <v>0</v>
      </c>
      <c r="K48" s="1">
        <f>'Long Term Deals'!AO48</f>
        <v>38560</v>
      </c>
      <c r="L48" s="1">
        <f>'Long Term Deals'!AP48</f>
        <v>80000</v>
      </c>
      <c r="M48" s="1">
        <f>'Long Term Deals'!AQ48</f>
        <v>0</v>
      </c>
      <c r="N48" s="1">
        <f>'Long Term Deals'!AR48</f>
        <v>37634.922879177378</v>
      </c>
      <c r="O48" s="1">
        <f>'Long Term Deals'!AS48</f>
        <v>0</v>
      </c>
      <c r="P48" s="1">
        <f>'Long Term Deals'!AT48</f>
        <v>38560.822622107968</v>
      </c>
      <c r="Q48" s="1">
        <f>'Long Term Deals'!AU48</f>
        <v>0</v>
      </c>
      <c r="R48" s="1">
        <f>'Long Term Deals'!AV48</f>
        <v>0</v>
      </c>
      <c r="S48" s="20">
        <f>'Long Term Deals'!AW48</f>
        <v>0.1</v>
      </c>
      <c r="T48" s="20">
        <f>'Long Term Deals'!AX48</f>
        <v>2.5000000000000001E-2</v>
      </c>
      <c r="U48" s="1">
        <f>'Long Term Deals'!AY48</f>
        <v>30535526.992287911</v>
      </c>
      <c r="V48" s="1">
        <f>'Long Term Deals'!AZ48</f>
        <v>29836966.580976862</v>
      </c>
      <c r="W48" s="6">
        <f t="shared" si="2"/>
        <v>698560.41131104901</v>
      </c>
      <c r="X48" s="6">
        <f>'Long Term Deals'!CA48</f>
        <v>34858.611825192798</v>
      </c>
      <c r="Y48" s="57">
        <f>[2]Sheet1!$AL89</f>
        <v>737968.20294099324</v>
      </c>
      <c r="Z48" s="1">
        <f>[3]Sheet1!$O60</f>
        <v>46059.217565226601</v>
      </c>
      <c r="AA48" s="1">
        <f>'[4]Long Term Deals'!$Z47</f>
        <v>-42554.421177670738</v>
      </c>
      <c r="AB48" s="60">
        <f t="shared" si="5"/>
        <v>1313056.363683952</v>
      </c>
      <c r="AC48" s="60">
        <f t="shared" si="3"/>
        <v>575088.16074295877</v>
      </c>
      <c r="AD48" s="60">
        <f t="shared" si="4"/>
        <v>698560.4113110489</v>
      </c>
      <c r="AE48" s="28">
        <f>(W48-Z48+AA48)/(B48+C48+D48)/'Prices&amp;Fuel'!H48</f>
        <v>8.7488677923676622E-2</v>
      </c>
      <c r="AF48" s="3">
        <v>226000</v>
      </c>
      <c r="AG48" s="1">
        <f>((((I48*'Prices&amp;Fuel'!B48+'Prices&amp;Fuel'!C48*FPL!J48+FPL!K48*'Prices&amp;Fuel'!D48))+(L48*'Prices&amp;Fuel'!B48+'Prices&amp;Fuel'!C48*FPL!M48))*'Prices&amp;Fuel'!H48)+(I48+J48+K48)*'Prices&amp;Fuel'!H48*FPL!T48+Q48/2</f>
        <v>20030435.25</v>
      </c>
      <c r="AH48" s="1">
        <f>(N48*'Prices&amp;Fuel'!B48+'Prices&amp;Fuel'!C48*O48+P48*'Prices&amp;Fuel'!D48)*'Prices&amp;Fuel'!H48+(N48+O48+P48)*'Prices&amp;Fuel'!H48*FPL!T48+Q48/2</f>
        <v>9806531.3309768643</v>
      </c>
      <c r="AI48" s="1">
        <f>R48*'Prices&amp;Fuel'!H48*'Prices&amp;Fuel'!Q48</f>
        <v>0</v>
      </c>
      <c r="AJ48" s="52">
        <f>SUM(AG48:AI48)-'Long Term Deals'!AZ48</f>
        <v>0</v>
      </c>
    </row>
    <row r="49" spans="1:36" ht="10.199999999999999" x14ac:dyDescent="0.2">
      <c r="A49" s="10">
        <f t="shared" si="1"/>
        <v>37087.333333333227</v>
      </c>
      <c r="B49" s="1">
        <f>'Long Term Deals'!AF49</f>
        <v>155269.92287917738</v>
      </c>
      <c r="C49" s="1">
        <f>'Long Term Deals'!AG49</f>
        <v>0</v>
      </c>
      <c r="D49" s="1">
        <f>'Long Term Deals'!AH49</f>
        <v>77120.822622107968</v>
      </c>
      <c r="E49" s="1">
        <f>'Long Term Deals'!AI49</f>
        <v>0</v>
      </c>
      <c r="F49" s="1">
        <f>'Long Term Deals'!AJ49</f>
        <v>0</v>
      </c>
      <c r="G49" s="1">
        <f>'Long Term Deals'!AK49</f>
        <v>0</v>
      </c>
      <c r="H49" s="1">
        <f>'Long Term Deals'!AL49</f>
        <v>0</v>
      </c>
      <c r="I49" s="1">
        <f>'Long Term Deals'!AM49</f>
        <v>37635</v>
      </c>
      <c r="J49" s="1">
        <f>'Long Term Deals'!AN49</f>
        <v>0</v>
      </c>
      <c r="K49" s="1">
        <f>'Long Term Deals'!AO49</f>
        <v>38560</v>
      </c>
      <c r="L49" s="1">
        <f>'Long Term Deals'!AP49</f>
        <v>80000</v>
      </c>
      <c r="M49" s="1">
        <f>'Long Term Deals'!AQ49</f>
        <v>0</v>
      </c>
      <c r="N49" s="1">
        <f>'Long Term Deals'!AR49</f>
        <v>37634.922879177378</v>
      </c>
      <c r="O49" s="1">
        <f>'Long Term Deals'!AS49</f>
        <v>0</v>
      </c>
      <c r="P49" s="1">
        <f>'Long Term Deals'!AT49</f>
        <v>38560.822622107968</v>
      </c>
      <c r="Q49" s="1">
        <f>'Long Term Deals'!AU49</f>
        <v>0</v>
      </c>
      <c r="R49" s="1">
        <f>'Long Term Deals'!AV49</f>
        <v>0</v>
      </c>
      <c r="S49" s="20">
        <f>'Long Term Deals'!AW49</f>
        <v>0.1</v>
      </c>
      <c r="T49" s="20">
        <f>'Long Term Deals'!AX49</f>
        <v>2.5000000000000001E-2</v>
      </c>
      <c r="U49" s="1">
        <f>'Long Term Deals'!AY49</f>
        <v>31481336.760925449</v>
      </c>
      <c r="V49" s="1">
        <f>'Long Term Deals'!AZ49</f>
        <v>30759491.002570692</v>
      </c>
      <c r="W49" s="6">
        <f t="shared" si="2"/>
        <v>721845.75835475698</v>
      </c>
      <c r="X49" s="6">
        <f>'Long Term Deals'!CA49</f>
        <v>36020.565552699227</v>
      </c>
      <c r="Y49" s="57">
        <f>[2]Sheet1!$AL90</f>
        <v>762567.14303902641</v>
      </c>
      <c r="Z49" s="1">
        <f>[3]Sheet1!$O61</f>
        <v>47594.524817400845</v>
      </c>
      <c r="AA49" s="1">
        <f>'[4]Long Term Deals'!$Z48</f>
        <v>-43972.901883593106</v>
      </c>
      <c r="AB49" s="60">
        <f t="shared" si="5"/>
        <v>1356824.9091400902</v>
      </c>
      <c r="AC49" s="60">
        <f t="shared" si="3"/>
        <v>594257.76610106381</v>
      </c>
      <c r="AD49" s="60">
        <f t="shared" si="4"/>
        <v>721845.75835475698</v>
      </c>
      <c r="AE49" s="28">
        <f>(W49-Z49+AA49)/(B49+C49+D49)/'Prices&amp;Fuel'!H49</f>
        <v>8.7488677923677496E-2</v>
      </c>
      <c r="AF49" s="3">
        <v>226000</v>
      </c>
      <c r="AG49" s="1">
        <f>((((I49*'Prices&amp;Fuel'!B49+'Prices&amp;Fuel'!C49*FPL!J49+FPL!K49*'Prices&amp;Fuel'!D49))+(L49*'Prices&amp;Fuel'!B49+'Prices&amp;Fuel'!C49*FPL!M49))*'Prices&amp;Fuel'!H49)+(I49+J49+K49)*'Prices&amp;Fuel'!H49*FPL!T49+Q49/2</f>
        <v>20649695.974999998</v>
      </c>
      <c r="AH49" s="1">
        <f>(N49*'Prices&amp;Fuel'!B49+'Prices&amp;Fuel'!C49*O49+P49*'Prices&amp;Fuel'!D49)*'Prices&amp;Fuel'!H49+(N49+O49+P49)*'Prices&amp;Fuel'!H49*FPL!T49+Q49/2</f>
        <v>10109795.027570693</v>
      </c>
      <c r="AI49" s="1">
        <f>R49*'Prices&amp;Fuel'!H49*'Prices&amp;Fuel'!Q49</f>
        <v>0</v>
      </c>
      <c r="AJ49" s="52">
        <f>SUM(AG49:AI49)-'Long Term Deals'!AZ49</f>
        <v>0</v>
      </c>
    </row>
    <row r="50" spans="1:36" ht="10.199999999999999" x14ac:dyDescent="0.2">
      <c r="A50" s="10">
        <f t="shared" si="1"/>
        <v>37117.749999999891</v>
      </c>
      <c r="B50" s="1">
        <f>'Long Term Deals'!AF50</f>
        <v>155269.92287917738</v>
      </c>
      <c r="C50" s="1">
        <f>'Long Term Deals'!AG50</f>
        <v>0</v>
      </c>
      <c r="D50" s="1">
        <f>'Long Term Deals'!AH50</f>
        <v>77120.822622107968</v>
      </c>
      <c r="E50" s="1">
        <f>'Long Term Deals'!AI50</f>
        <v>0</v>
      </c>
      <c r="F50" s="1">
        <f>'Long Term Deals'!AJ50</f>
        <v>0</v>
      </c>
      <c r="G50" s="1">
        <f>'Long Term Deals'!AK50</f>
        <v>0</v>
      </c>
      <c r="H50" s="1">
        <f>'Long Term Deals'!AL50</f>
        <v>0</v>
      </c>
      <c r="I50" s="1">
        <f>'Long Term Deals'!AM50</f>
        <v>37635</v>
      </c>
      <c r="J50" s="1">
        <f>'Long Term Deals'!AN50</f>
        <v>0</v>
      </c>
      <c r="K50" s="1">
        <f>'Long Term Deals'!AO50</f>
        <v>38560</v>
      </c>
      <c r="L50" s="1">
        <f>'Long Term Deals'!AP50</f>
        <v>80000</v>
      </c>
      <c r="M50" s="1">
        <f>'Long Term Deals'!AQ50</f>
        <v>0</v>
      </c>
      <c r="N50" s="1">
        <f>'Long Term Deals'!AR50</f>
        <v>37634.922879177378</v>
      </c>
      <c r="O50" s="1">
        <f>'Long Term Deals'!AS50</f>
        <v>0</v>
      </c>
      <c r="P50" s="1">
        <f>'Long Term Deals'!AT50</f>
        <v>38560.822622107968</v>
      </c>
      <c r="Q50" s="1">
        <f>'Long Term Deals'!AU50</f>
        <v>0</v>
      </c>
      <c r="R50" s="1">
        <f>'Long Term Deals'!AV50</f>
        <v>0</v>
      </c>
      <c r="S50" s="20">
        <f>'Long Term Deals'!AW50</f>
        <v>0.1</v>
      </c>
      <c r="T50" s="20">
        <f>'Long Term Deals'!AX50</f>
        <v>2.5000000000000001E-2</v>
      </c>
      <c r="U50" s="1">
        <f>'Long Term Deals'!AY50</f>
        <v>27591115.681233931</v>
      </c>
      <c r="V50" s="1">
        <f>'Long Term Deals'!AZ50</f>
        <v>26869269.922879182</v>
      </c>
      <c r="W50" s="6">
        <f t="shared" si="2"/>
        <v>721845.75835474953</v>
      </c>
      <c r="X50" s="6">
        <f>'Long Term Deals'!CA50</f>
        <v>36020.565552699227</v>
      </c>
      <c r="Y50" s="57">
        <f>[2]Sheet1!$AL91</f>
        <v>762567.14303902641</v>
      </c>
      <c r="Z50" s="1">
        <f>[3]Sheet1!$O62</f>
        <v>47594.524817400845</v>
      </c>
      <c r="AA50" s="1">
        <f>'[4]Long Term Deals'!$Z49</f>
        <v>-43972.901883593106</v>
      </c>
      <c r="AB50" s="60">
        <f t="shared" si="5"/>
        <v>1356824.9091400828</v>
      </c>
      <c r="AC50" s="60">
        <f t="shared" si="3"/>
        <v>594257.76610105636</v>
      </c>
      <c r="AD50" s="60">
        <f t="shared" si="4"/>
        <v>721845.75835474953</v>
      </c>
      <c r="AE50" s="28">
        <f>(W50-Z50+AA50)/(B50+C50+D50)/'Prices&amp;Fuel'!H50</f>
        <v>8.7488677923676456E-2</v>
      </c>
      <c r="AF50" s="3">
        <v>226000</v>
      </c>
      <c r="AG50" s="1">
        <f>((((I50*'Prices&amp;Fuel'!B50+'Prices&amp;Fuel'!C50*FPL!J50+FPL!K50*'Prices&amp;Fuel'!D50))+(L50*'Prices&amp;Fuel'!B50+'Prices&amp;Fuel'!C50*FPL!M50))*'Prices&amp;Fuel'!H50)+(I50+J50+K50)*'Prices&amp;Fuel'!H50*FPL!T50+Q50/2</f>
        <v>18034991.675000001</v>
      </c>
      <c r="AH50" s="1">
        <f>(N50*'Prices&amp;Fuel'!B50+'Prices&amp;Fuel'!C50*O50+P50*'Prices&amp;Fuel'!D50)*'Prices&amp;Fuel'!H50+(N50+O50+P50)*'Prices&amp;Fuel'!H50*FPL!T50+Q50/2</f>
        <v>8834278.2478791773</v>
      </c>
      <c r="AI50" s="1">
        <f>R50*'Prices&amp;Fuel'!H50*'Prices&amp;Fuel'!Q50</f>
        <v>0</v>
      </c>
      <c r="AJ50" s="52">
        <f>SUM(AG50:AI50)-'Long Term Deals'!AZ50</f>
        <v>0</v>
      </c>
    </row>
    <row r="51" spans="1:36" ht="10.199999999999999" x14ac:dyDescent="0.2">
      <c r="A51" s="10">
        <f t="shared" si="1"/>
        <v>37148.166666666555</v>
      </c>
      <c r="B51" s="1">
        <f>'Long Term Deals'!AF51</f>
        <v>155269.92287917738</v>
      </c>
      <c r="C51" s="1">
        <f>'Long Term Deals'!AG51</f>
        <v>0</v>
      </c>
      <c r="D51" s="1">
        <f>'Long Term Deals'!AH51</f>
        <v>77120.822622107968</v>
      </c>
      <c r="E51" s="1">
        <f>'Long Term Deals'!AI51</f>
        <v>0</v>
      </c>
      <c r="F51" s="1">
        <f>'Long Term Deals'!AJ51</f>
        <v>0</v>
      </c>
      <c r="G51" s="1">
        <f>'Long Term Deals'!AK51</f>
        <v>0</v>
      </c>
      <c r="H51" s="1">
        <f>'Long Term Deals'!AL51</f>
        <v>0</v>
      </c>
      <c r="I51" s="1">
        <f>'Long Term Deals'!AM51</f>
        <v>37635</v>
      </c>
      <c r="J51" s="1">
        <f>'Long Term Deals'!AN51</f>
        <v>0</v>
      </c>
      <c r="K51" s="1">
        <f>'Long Term Deals'!AO51</f>
        <v>38560</v>
      </c>
      <c r="L51" s="1">
        <f>'Long Term Deals'!AP51</f>
        <v>80000</v>
      </c>
      <c r="M51" s="1">
        <f>'Long Term Deals'!AQ51</f>
        <v>0</v>
      </c>
      <c r="N51" s="1">
        <f>'Long Term Deals'!AR51</f>
        <v>37634.922879177378</v>
      </c>
      <c r="O51" s="1">
        <f>'Long Term Deals'!AS51</f>
        <v>0</v>
      </c>
      <c r="P51" s="1">
        <f>'Long Term Deals'!AT51</f>
        <v>38560.822622107968</v>
      </c>
      <c r="Q51" s="1">
        <f>'Long Term Deals'!AU51</f>
        <v>0</v>
      </c>
      <c r="R51" s="1">
        <f>'Long Term Deals'!AV51</f>
        <v>0</v>
      </c>
      <c r="S51" s="20">
        <f>'Long Term Deals'!AW51</f>
        <v>0.1</v>
      </c>
      <c r="T51" s="20">
        <f>'Long Term Deals'!AX51</f>
        <v>2.5000000000000001E-2</v>
      </c>
      <c r="U51" s="1">
        <f>'Long Term Deals'!AY51</f>
        <v>32069305.912596401</v>
      </c>
      <c r="V51" s="1">
        <f>'Long Term Deals'!AZ51</f>
        <v>31370745.501285352</v>
      </c>
      <c r="W51" s="6">
        <f t="shared" si="2"/>
        <v>698560.41131104901</v>
      </c>
      <c r="X51" s="6">
        <f>'Long Term Deals'!CA51</f>
        <v>34858.611825192798</v>
      </c>
      <c r="Y51" s="57">
        <f>[2]Sheet1!$AL92</f>
        <v>737968.20294099324</v>
      </c>
      <c r="Z51" s="1">
        <f>[3]Sheet1!$O63</f>
        <v>46059.217565226601</v>
      </c>
      <c r="AA51" s="1">
        <f>'[4]Long Term Deals'!$Z50</f>
        <v>-42554.421177670738</v>
      </c>
      <c r="AB51" s="60">
        <f t="shared" si="5"/>
        <v>1313056.363683952</v>
      </c>
      <c r="AC51" s="60">
        <f t="shared" si="3"/>
        <v>575088.16074295877</v>
      </c>
      <c r="AD51" s="60">
        <f t="shared" si="4"/>
        <v>698560.4113110489</v>
      </c>
      <c r="AE51" s="28">
        <f>(W51-Z51+AA51)/(B51+C51+D51)/'Prices&amp;Fuel'!H51</f>
        <v>8.7488677923676622E-2</v>
      </c>
      <c r="AF51" s="3">
        <v>226000</v>
      </c>
      <c r="AG51" s="1">
        <f>((((I51*'Prices&amp;Fuel'!B51+'Prices&amp;Fuel'!C51*FPL!J51+FPL!K51*'Prices&amp;Fuel'!D51))+(L51*'Prices&amp;Fuel'!B51+'Prices&amp;Fuel'!C51*FPL!M51))*'Prices&amp;Fuel'!H51)+(I51+J51+K51)*'Prices&amp;Fuel'!H51*FPL!T51+Q51/2</f>
        <v>21061322.250000004</v>
      </c>
      <c r="AH51" s="1">
        <f>(N51*'Prices&amp;Fuel'!B51+'Prices&amp;Fuel'!C51*O51+P51*'Prices&amp;Fuel'!D51)*'Prices&amp;Fuel'!H51+(N51+O51+P51)*'Prices&amp;Fuel'!H51*FPL!T51+Q51/2</f>
        <v>10309423.251285346</v>
      </c>
      <c r="AI51" s="1">
        <f>R51*'Prices&amp;Fuel'!H51*'Prices&amp;Fuel'!Q51</f>
        <v>0</v>
      </c>
      <c r="AJ51" s="52">
        <f>SUM(AG51:AI51)-'Long Term Deals'!AZ51</f>
        <v>0</v>
      </c>
    </row>
    <row r="52" spans="1:36" ht="10.199999999999999" x14ac:dyDescent="0.2">
      <c r="A52" s="10">
        <f t="shared" si="1"/>
        <v>37178.583333333219</v>
      </c>
      <c r="B52" s="1">
        <f>'Long Term Deals'!AF52</f>
        <v>58611.825192802062</v>
      </c>
      <c r="C52" s="1">
        <f>'Long Term Deals'!AG52</f>
        <v>0</v>
      </c>
      <c r="D52" s="1">
        <f>'Long Term Deals'!AH52</f>
        <v>77120.822622107968</v>
      </c>
      <c r="E52" s="1">
        <f>'Long Term Deals'!AI52</f>
        <v>0</v>
      </c>
      <c r="F52" s="1">
        <f>'Long Term Deals'!AJ52</f>
        <v>0</v>
      </c>
      <c r="G52" s="1">
        <f>'Long Term Deals'!AK52</f>
        <v>0</v>
      </c>
      <c r="H52" s="1">
        <f>'Long Term Deals'!AL52</f>
        <v>0</v>
      </c>
      <c r="I52" s="1">
        <f>'Long Term Deals'!AM52</f>
        <v>0</v>
      </c>
      <c r="J52" s="1">
        <f>'Long Term Deals'!AN52</f>
        <v>0</v>
      </c>
      <c r="K52" s="1">
        <f>'Long Term Deals'!AO52</f>
        <v>38560</v>
      </c>
      <c r="L52" s="1">
        <f>'Long Term Deals'!AP52</f>
        <v>58611.825192802062</v>
      </c>
      <c r="M52" s="1">
        <f>'Long Term Deals'!AQ52</f>
        <v>0</v>
      </c>
      <c r="N52" s="1">
        <f>'Long Term Deals'!AR52</f>
        <v>0</v>
      </c>
      <c r="O52" s="1">
        <f>'Long Term Deals'!AS52</f>
        <v>0</v>
      </c>
      <c r="P52" s="1">
        <f>'Long Term Deals'!AT52</f>
        <v>38560.822622107968</v>
      </c>
      <c r="Q52" s="1">
        <f>'Long Term Deals'!AU52</f>
        <v>0</v>
      </c>
      <c r="R52" s="1">
        <f>'Long Term Deals'!AV52</f>
        <v>0</v>
      </c>
      <c r="S52" s="20">
        <f>'Long Term Deals'!AW52</f>
        <v>0.1</v>
      </c>
      <c r="T52" s="20">
        <f>'Long Term Deals'!AX52</f>
        <v>2.5000000000000001E-2</v>
      </c>
      <c r="U52" s="1">
        <f>'Long Term Deals'!AY52</f>
        <v>22276010.282776348</v>
      </c>
      <c r="V52" s="1">
        <f>'Long Term Deals'!AZ52</f>
        <v>21795470.437017996</v>
      </c>
      <c r="W52" s="6">
        <f t="shared" si="2"/>
        <v>480539.84575835243</v>
      </c>
      <c r="X52" s="6">
        <f>'Long Term Deals'!CA52</f>
        <v>21038.560411311057</v>
      </c>
      <c r="Y52" s="57">
        <f>[2]Sheet1!$AL93</f>
        <v>762567.14303902641</v>
      </c>
      <c r="Z52" s="1">
        <f>[3]Sheet1!$O64</f>
        <v>27798.572017242986</v>
      </c>
      <c r="AA52" s="1">
        <f>'[4]Long Term Deals'!$Z51</f>
        <v>-34895.062969705476</v>
      </c>
      <c r="AB52" s="60">
        <f t="shared" si="5"/>
        <v>1159374.7933991195</v>
      </c>
      <c r="AC52" s="60">
        <f t="shared" si="3"/>
        <v>396807.6503600931</v>
      </c>
      <c r="AD52" s="60">
        <f t="shared" si="4"/>
        <v>480539.84575835266</v>
      </c>
      <c r="AE52" s="28">
        <f>(W52-Z52+AA52)/(B52+C52+D52)/'Prices&amp;Fuel'!H52</f>
        <v>9.9304848478785498E-2</v>
      </c>
      <c r="AF52" s="3">
        <v>132000</v>
      </c>
      <c r="AG52" s="1">
        <f>((((I52*'Prices&amp;Fuel'!B52+'Prices&amp;Fuel'!C52*FPL!J52+FPL!K52*'Prices&amp;Fuel'!D52))+(L52*'Prices&amp;Fuel'!B52+'Prices&amp;Fuel'!C52*FPL!M52))*'Prices&amp;Fuel'!H52)+(I52+J52+K52)*'Prices&amp;Fuel'!H52*FPL!T52+Q52/2</f>
        <v>15585442.757840618</v>
      </c>
      <c r="AH52" s="1">
        <f>(N52*'Prices&amp;Fuel'!B52+'Prices&amp;Fuel'!C52*O52+P52*'Prices&amp;Fuel'!D52)*'Prices&amp;Fuel'!H52+(N52+O52+P52)*'Prices&amp;Fuel'!H52*FPL!T52+Q52/2</f>
        <v>6210027.6791773774</v>
      </c>
      <c r="AI52" s="1">
        <f>R52*'Prices&amp;Fuel'!H52*'Prices&amp;Fuel'!Q52</f>
        <v>0</v>
      </c>
      <c r="AJ52" s="52">
        <f>SUM(AG52:AI52)-'Long Term Deals'!AZ52</f>
        <v>0</v>
      </c>
    </row>
    <row r="53" spans="1:36" ht="10.199999999999999" x14ac:dyDescent="0.2">
      <c r="A53" s="10">
        <f t="shared" si="1"/>
        <v>37208.999999999884</v>
      </c>
      <c r="B53" s="1">
        <f>'Long Term Deals'!AF53</f>
        <v>58611.825192802062</v>
      </c>
      <c r="C53" s="1">
        <f>'Long Term Deals'!AG53</f>
        <v>0</v>
      </c>
      <c r="D53" s="1">
        <f>'Long Term Deals'!AH53</f>
        <v>77120.822622107968</v>
      </c>
      <c r="E53" s="1">
        <f>'Long Term Deals'!AI53</f>
        <v>0</v>
      </c>
      <c r="F53" s="1">
        <f>'Long Term Deals'!AJ53</f>
        <v>0</v>
      </c>
      <c r="G53" s="1">
        <f>'Long Term Deals'!AK53</f>
        <v>0</v>
      </c>
      <c r="H53" s="1">
        <f>'Long Term Deals'!AL53</f>
        <v>0</v>
      </c>
      <c r="I53" s="1">
        <f>'Long Term Deals'!AM53</f>
        <v>0</v>
      </c>
      <c r="J53" s="1">
        <f>'Long Term Deals'!AN53</f>
        <v>0</v>
      </c>
      <c r="K53" s="1">
        <f>'Long Term Deals'!AO53</f>
        <v>38560</v>
      </c>
      <c r="L53" s="1">
        <f>'Long Term Deals'!AP53</f>
        <v>58611.825192802062</v>
      </c>
      <c r="M53" s="1">
        <f>'Long Term Deals'!AQ53</f>
        <v>0</v>
      </c>
      <c r="N53" s="1">
        <f>'Long Term Deals'!AR53</f>
        <v>0</v>
      </c>
      <c r="O53" s="1">
        <f>'Long Term Deals'!AS53</f>
        <v>0</v>
      </c>
      <c r="P53" s="1">
        <f>'Long Term Deals'!AT53</f>
        <v>38560.822622107968</v>
      </c>
      <c r="Q53" s="1">
        <f>'Long Term Deals'!AU53</f>
        <v>0</v>
      </c>
      <c r="R53" s="1">
        <f>'Long Term Deals'!AV53</f>
        <v>0</v>
      </c>
      <c r="S53" s="20">
        <f>'Long Term Deals'!AW53</f>
        <v>0.1</v>
      </c>
      <c r="T53" s="20">
        <f>'Long Term Deals'!AX53</f>
        <v>2.5000000000000001E-2</v>
      </c>
      <c r="U53" s="1">
        <f>'Long Term Deals'!AY53</f>
        <v>14512904.884318767</v>
      </c>
      <c r="V53" s="1">
        <f>'Long Term Deals'!AZ53</f>
        <v>14047866.323907455</v>
      </c>
      <c r="W53" s="6">
        <f t="shared" si="2"/>
        <v>465038.56041131169</v>
      </c>
      <c r="X53" s="6">
        <f>'Long Term Deals'!CA53</f>
        <v>20359.897172236506</v>
      </c>
      <c r="Y53" s="57">
        <f>[2]Sheet1!$AL94</f>
        <v>737968.20294099324</v>
      </c>
      <c r="Z53" s="1">
        <f>[3]Sheet1!$O65</f>
        <v>26901.843887654482</v>
      </c>
      <c r="AA53" s="1">
        <f>'[4]Long Term Deals'!$Z52</f>
        <v>-33769.415777134331</v>
      </c>
      <c r="AB53" s="60">
        <f t="shared" si="5"/>
        <v>1121975.6065152795</v>
      </c>
      <c r="AC53" s="60">
        <f t="shared" si="3"/>
        <v>384007.40357428626</v>
      </c>
      <c r="AD53" s="60">
        <f t="shared" si="4"/>
        <v>465038.56041131163</v>
      </c>
      <c r="AE53" s="28">
        <f>(W53-Z53+AA53)/(B53+C53+D53)/'Prices&amp;Fuel'!H53</f>
        <v>9.9304848478786206E-2</v>
      </c>
      <c r="AF53" s="3">
        <v>132000</v>
      </c>
      <c r="AG53" s="1">
        <f>((((I53*'Prices&amp;Fuel'!B53+'Prices&amp;Fuel'!C53*FPL!J53+FPL!K53*'Prices&amp;Fuel'!D53))+(L53*'Prices&amp;Fuel'!B53+'Prices&amp;Fuel'!C53*FPL!M53))*'Prices&amp;Fuel'!H53)+(I53+J53+K53)*'Prices&amp;Fuel'!H53*FPL!T53+Q53/2</f>
        <v>10039468.812339334</v>
      </c>
      <c r="AH53" s="1">
        <f>(N53*'Prices&amp;Fuel'!B53+'Prices&amp;Fuel'!C53*O53+P53*'Prices&amp;Fuel'!D53)*'Prices&amp;Fuel'!H53+(N53+O53+P53)*'Prices&amp;Fuel'!H53*FPL!T53+Q53/2</f>
        <v>4008397.5115681239</v>
      </c>
      <c r="AI53" s="1">
        <f>R53*'Prices&amp;Fuel'!H53*'Prices&amp;Fuel'!Q53</f>
        <v>0</v>
      </c>
      <c r="AJ53" s="52">
        <f>SUM(AG53:AI53)-'Long Term Deals'!AZ53</f>
        <v>0</v>
      </c>
    </row>
    <row r="54" spans="1:36" ht="10.199999999999999" x14ac:dyDescent="0.2">
      <c r="A54" s="10">
        <f t="shared" si="1"/>
        <v>37239.416666666548</v>
      </c>
      <c r="B54" s="1">
        <f>'Long Term Deals'!AF54</f>
        <v>58611.825192802062</v>
      </c>
      <c r="C54" s="1">
        <f>'Long Term Deals'!AG54</f>
        <v>0</v>
      </c>
      <c r="D54" s="1">
        <f>'Long Term Deals'!AH54</f>
        <v>77120.822622107968</v>
      </c>
      <c r="E54" s="1">
        <f>'Long Term Deals'!AI54</f>
        <v>0</v>
      </c>
      <c r="F54" s="1">
        <f>'Long Term Deals'!AJ54</f>
        <v>0</v>
      </c>
      <c r="G54" s="1">
        <f>'Long Term Deals'!AK54</f>
        <v>0</v>
      </c>
      <c r="H54" s="1">
        <f>'Long Term Deals'!AL54</f>
        <v>0</v>
      </c>
      <c r="I54" s="1">
        <f>'Long Term Deals'!AM54</f>
        <v>0</v>
      </c>
      <c r="J54" s="1">
        <f>'Long Term Deals'!AN54</f>
        <v>0</v>
      </c>
      <c r="K54" s="1">
        <f>'Long Term Deals'!AO54</f>
        <v>38560</v>
      </c>
      <c r="L54" s="1">
        <f>'Long Term Deals'!AP54</f>
        <v>58611.825192802062</v>
      </c>
      <c r="M54" s="1">
        <f>'Long Term Deals'!AQ54</f>
        <v>0</v>
      </c>
      <c r="N54" s="1">
        <f>'Long Term Deals'!AR54</f>
        <v>0</v>
      </c>
      <c r="O54" s="1">
        <f>'Long Term Deals'!AS54</f>
        <v>0</v>
      </c>
      <c r="P54" s="1">
        <f>'Long Term Deals'!AT54</f>
        <v>38560.822622107968</v>
      </c>
      <c r="Q54" s="1">
        <f>'Long Term Deals'!AU54</f>
        <v>0</v>
      </c>
      <c r="R54" s="1">
        <f>'Long Term Deals'!AV54</f>
        <v>0</v>
      </c>
      <c r="S54" s="20">
        <f>'Long Term Deals'!AW54</f>
        <v>0.1</v>
      </c>
      <c r="T54" s="20">
        <f>'Long Term Deals'!AX54</f>
        <v>2.5000000000000001E-2</v>
      </c>
      <c r="U54" s="1">
        <f>'Long Term Deals'!AY54</f>
        <v>11293881.74807198</v>
      </c>
      <c r="V54" s="1">
        <f>'Long Term Deals'!AZ54</f>
        <v>10813341.902313627</v>
      </c>
      <c r="W54" s="6">
        <f t="shared" si="2"/>
        <v>480539.84575835243</v>
      </c>
      <c r="X54" s="6">
        <f>'Long Term Deals'!CA54</f>
        <v>21038.560411311057</v>
      </c>
      <c r="Y54" s="57">
        <f>[2]Sheet1!$AL95</f>
        <v>762567.14303902641</v>
      </c>
      <c r="Z54" s="1">
        <f>[3]Sheet1!$O66</f>
        <v>27798.572017242986</v>
      </c>
      <c r="AA54" s="1">
        <f>'[4]Long Term Deals'!$Z53</f>
        <v>-34895.062969705476</v>
      </c>
      <c r="AB54" s="60">
        <f t="shared" si="5"/>
        <v>1159374.7933991195</v>
      </c>
      <c r="AC54" s="60">
        <f t="shared" si="3"/>
        <v>396807.6503600931</v>
      </c>
      <c r="AD54" s="60">
        <f t="shared" si="4"/>
        <v>480539.84575835266</v>
      </c>
      <c r="AE54" s="28">
        <f>(W54-Z54+AA54)/(B54+C54+D54)/'Prices&amp;Fuel'!H54</f>
        <v>9.9304848478785498E-2</v>
      </c>
      <c r="AF54" s="3">
        <v>132000</v>
      </c>
      <c r="AG54" s="1">
        <f>((((I54*'Prices&amp;Fuel'!B54+'Prices&amp;Fuel'!C54*FPL!J54+FPL!K54*'Prices&amp;Fuel'!D54))+(L54*'Prices&amp;Fuel'!B54+'Prices&amp;Fuel'!C54*FPL!M54))*'Prices&amp;Fuel'!H54)+(I54+J54+K54)*'Prices&amp;Fuel'!H54*FPL!T54+Q54/2</f>
        <v>7723270.3814910036</v>
      </c>
      <c r="AH54" s="1">
        <f>(N54*'Prices&amp;Fuel'!B54+'Prices&amp;Fuel'!C54*O54+P54*'Prices&amp;Fuel'!D54)*'Prices&amp;Fuel'!H54+(N54+O54+P54)*'Prices&amp;Fuel'!H54*FPL!T54+Q54/2</f>
        <v>3090071.5208226223</v>
      </c>
      <c r="AI54" s="1">
        <f>R54*'Prices&amp;Fuel'!H54*'Prices&amp;Fuel'!Q54</f>
        <v>0</v>
      </c>
      <c r="AJ54" s="52">
        <f>SUM(AG54:AI54)-'Long Term Deals'!AZ54</f>
        <v>0</v>
      </c>
    </row>
    <row r="55" spans="1:36" ht="10.199999999999999" x14ac:dyDescent="0.2">
      <c r="A55" s="10">
        <f t="shared" si="1"/>
        <v>37269.833333333212</v>
      </c>
      <c r="B55" s="1">
        <f>'Long Term Deals'!AF55</f>
        <v>58611.825192802062</v>
      </c>
      <c r="C55" s="1">
        <f>'Long Term Deals'!AG55</f>
        <v>0</v>
      </c>
      <c r="D55" s="1">
        <f>'Long Term Deals'!AH55</f>
        <v>77120.822622107968</v>
      </c>
      <c r="E55" s="1">
        <f>'Long Term Deals'!AI55</f>
        <v>0</v>
      </c>
      <c r="F55" s="1">
        <f>'Long Term Deals'!AJ55</f>
        <v>0</v>
      </c>
      <c r="G55" s="1">
        <f>'Long Term Deals'!AK55</f>
        <v>0</v>
      </c>
      <c r="H55" s="1">
        <f>'Long Term Deals'!AL55</f>
        <v>0</v>
      </c>
      <c r="I55" s="1">
        <f>'Long Term Deals'!AM55</f>
        <v>0</v>
      </c>
      <c r="J55" s="1">
        <f>'Long Term Deals'!AN55</f>
        <v>0</v>
      </c>
      <c r="K55" s="1">
        <f>'Long Term Deals'!AO55</f>
        <v>38560</v>
      </c>
      <c r="L55" s="1">
        <f>'Long Term Deals'!AP55</f>
        <v>58611.825192802062</v>
      </c>
      <c r="M55" s="1">
        <f>'Long Term Deals'!AQ55</f>
        <v>0</v>
      </c>
      <c r="N55" s="1">
        <f>'Long Term Deals'!AR55</f>
        <v>0</v>
      </c>
      <c r="O55" s="1">
        <f>'Long Term Deals'!AS55</f>
        <v>0</v>
      </c>
      <c r="P55" s="1">
        <f>'Long Term Deals'!AT55</f>
        <v>38560.822622107968</v>
      </c>
      <c r="Q55" s="1">
        <f>'Long Term Deals'!AU55</f>
        <v>0</v>
      </c>
      <c r="R55" s="1">
        <f>'Long Term Deals'!AV55</f>
        <v>0</v>
      </c>
      <c r="S55" s="20">
        <f>'Long Term Deals'!AW55</f>
        <v>0.09</v>
      </c>
      <c r="T55" s="20">
        <f>'Long Term Deals'!AX55</f>
        <v>2.5000000000000001E-2</v>
      </c>
      <c r="U55" s="1">
        <f>'Long Term Deals'!AY55</f>
        <v>9821182.5192802064</v>
      </c>
      <c r="V55" s="1">
        <f>'Long Term Deals'!AZ55</f>
        <v>9382719.7943444755</v>
      </c>
      <c r="W55" s="6">
        <f t="shared" si="2"/>
        <v>438462.72493573092</v>
      </c>
      <c r="X55" s="6">
        <f>'Long Term Deals'!CA55</f>
        <v>21038.560411311057</v>
      </c>
      <c r="Y55" s="57">
        <f>[2]Sheet1!$AL96</f>
        <v>762567.14303902641</v>
      </c>
      <c r="Z55" s="1">
        <f>[3]Sheet1!$O68</f>
        <v>-14408.751345315075</v>
      </c>
      <c r="AA55" s="1">
        <f>'[4]Long Term Deals'!$Z54</f>
        <v>-34895.062969705476</v>
      </c>
      <c r="AB55" s="60">
        <f t="shared" si="5"/>
        <v>1159504.9959390559</v>
      </c>
      <c r="AC55" s="60">
        <f t="shared" si="3"/>
        <v>396937.85290002951</v>
      </c>
      <c r="AD55" s="60">
        <f t="shared" si="4"/>
        <v>438462.72493573098</v>
      </c>
      <c r="AE55" s="28">
        <f>(W55-Z55+AA55)/(B55+C55+D55)/'Prices&amp;Fuel'!H55</f>
        <v>9.9335792264242079E-2</v>
      </c>
      <c r="AF55" s="3">
        <v>132000</v>
      </c>
      <c r="AG55" s="1">
        <f>((((I55*'Prices&amp;Fuel'!B55+'Prices&amp;Fuel'!C55*FPL!J55+FPL!K55*'Prices&amp;Fuel'!D55))+(L55*'Prices&amp;Fuel'!B55+'Prices&amp;Fuel'!C55*FPL!M55))*'Prices&amp;Fuel'!H55)+(I55+J55+K55)*'Prices&amp;Fuel'!H55*FPL!T55+Q55/2</f>
        <v>6699079.3439588714</v>
      </c>
      <c r="AH55" s="1">
        <f>(N55*'Prices&amp;Fuel'!B55+'Prices&amp;Fuel'!C55*O55+P55*'Prices&amp;Fuel'!D55)*'Prices&amp;Fuel'!H55+(N55+O55+P55)*'Prices&amp;Fuel'!H55*FPL!T55+Q55/2</f>
        <v>2683640.4503856045</v>
      </c>
      <c r="AI55" s="1">
        <f>R55*'Prices&amp;Fuel'!H55*'Prices&amp;Fuel'!Q55</f>
        <v>0</v>
      </c>
      <c r="AJ55" s="52">
        <f>SUM(AG55:AI55)-'Long Term Deals'!AZ55</f>
        <v>0</v>
      </c>
    </row>
    <row r="56" spans="1:36" ht="10.199999999999999" x14ac:dyDescent="0.2">
      <c r="A56" s="10">
        <f t="shared" si="1"/>
        <v>37300.249999999876</v>
      </c>
      <c r="B56" s="1">
        <f>'Long Term Deals'!AF56</f>
        <v>58611.825192802062</v>
      </c>
      <c r="C56" s="1">
        <f>'Long Term Deals'!AG56</f>
        <v>0</v>
      </c>
      <c r="D56" s="1">
        <f>'Long Term Deals'!AH56</f>
        <v>77120.822622107968</v>
      </c>
      <c r="E56" s="1">
        <f>'Long Term Deals'!AI56</f>
        <v>0</v>
      </c>
      <c r="F56" s="1">
        <f>'Long Term Deals'!AJ56</f>
        <v>0</v>
      </c>
      <c r="G56" s="1">
        <f>'Long Term Deals'!AK56</f>
        <v>0</v>
      </c>
      <c r="H56" s="1">
        <f>'Long Term Deals'!AL56</f>
        <v>0</v>
      </c>
      <c r="I56" s="1">
        <f>'Long Term Deals'!AM56</f>
        <v>0</v>
      </c>
      <c r="J56" s="1">
        <f>'Long Term Deals'!AN56</f>
        <v>0</v>
      </c>
      <c r="K56" s="1">
        <f>'Long Term Deals'!AO56</f>
        <v>38560</v>
      </c>
      <c r="L56" s="1">
        <f>'Long Term Deals'!AP56</f>
        <v>58611.825192802062</v>
      </c>
      <c r="M56" s="1">
        <f>'Long Term Deals'!AQ56</f>
        <v>0</v>
      </c>
      <c r="N56" s="1">
        <f>'Long Term Deals'!AR56</f>
        <v>0</v>
      </c>
      <c r="O56" s="1">
        <f>'Long Term Deals'!AS56</f>
        <v>0</v>
      </c>
      <c r="P56" s="1">
        <f>'Long Term Deals'!AT56</f>
        <v>38560.822622107968</v>
      </c>
      <c r="Q56" s="1">
        <f>'Long Term Deals'!AU56</f>
        <v>0</v>
      </c>
      <c r="R56" s="1">
        <f>'Long Term Deals'!AV56</f>
        <v>0</v>
      </c>
      <c r="S56" s="20">
        <f>'Long Term Deals'!AW56</f>
        <v>0.09</v>
      </c>
      <c r="T56" s="20">
        <f>'Long Term Deals'!AX56</f>
        <v>2.5000000000000001E-2</v>
      </c>
      <c r="U56" s="1">
        <f>'Long Term Deals'!AY56</f>
        <v>9896884.3187660687</v>
      </c>
      <c r="V56" s="1">
        <f>'Long Term Deals'!AZ56</f>
        <v>9500853.4704370201</v>
      </c>
      <c r="W56" s="6">
        <f t="shared" si="2"/>
        <v>396030.8483290486</v>
      </c>
      <c r="X56" s="6">
        <f>'Long Term Deals'!CA56</f>
        <v>19002.570694087408</v>
      </c>
      <c r="Y56" s="57">
        <f>[2]Sheet1!$AL97</f>
        <v>688770.32274492702</v>
      </c>
      <c r="Z56" s="1">
        <f>[3]Sheet1!$O69</f>
        <v>-13014.356053832977</v>
      </c>
      <c r="AA56" s="1">
        <f>'[4]Long Term Deals'!$Z55</f>
        <v>-31518.121391992048</v>
      </c>
      <c r="AB56" s="60">
        <f t="shared" si="5"/>
        <v>1047294.8350417292</v>
      </c>
      <c r="AC56" s="60">
        <f t="shared" si="3"/>
        <v>358524.51229680213</v>
      </c>
      <c r="AD56" s="60">
        <f t="shared" si="4"/>
        <v>396030.8483290486</v>
      </c>
      <c r="AE56" s="28">
        <f>(W56-Z56+AA56)/(B56+C56+D56)/'Prices&amp;Fuel'!H56</f>
        <v>9.9335792264242426E-2</v>
      </c>
      <c r="AF56" s="3">
        <v>132000</v>
      </c>
      <c r="AG56" s="1">
        <f>((((I56*'Prices&amp;Fuel'!B56+'Prices&amp;Fuel'!C56*FPL!J56+FPL!K56*'Prices&amp;Fuel'!D56))+(L56*'Prices&amp;Fuel'!B56+'Prices&amp;Fuel'!C56*FPL!M56))*'Prices&amp;Fuel'!H56)+(I56+J56+K56)*'Prices&amp;Fuel'!H56*FPL!T56+Q56/2</f>
        <v>6785400.3413881762</v>
      </c>
      <c r="AH56" s="1">
        <f>(N56*'Prices&amp;Fuel'!B56+'Prices&amp;Fuel'!C56*O56+P56*'Prices&amp;Fuel'!D56)*'Prices&amp;Fuel'!H56+(N56+O56+P56)*'Prices&amp;Fuel'!H56*FPL!T56+Q56/2</f>
        <v>2715453.1290488439</v>
      </c>
      <c r="AI56" s="1">
        <f>R56*'Prices&amp;Fuel'!H56*'Prices&amp;Fuel'!Q56</f>
        <v>0</v>
      </c>
      <c r="AJ56" s="52">
        <f>SUM(AG56:AI56)-'Long Term Deals'!AZ56</f>
        <v>0</v>
      </c>
    </row>
    <row r="57" spans="1:36" ht="10.199999999999999" x14ac:dyDescent="0.2">
      <c r="A57" s="10">
        <f t="shared" si="1"/>
        <v>37330.666666666541</v>
      </c>
      <c r="B57" s="1">
        <f>'Long Term Deals'!AF57</f>
        <v>58611.825192802062</v>
      </c>
      <c r="C57" s="1">
        <f>'Long Term Deals'!AG57</f>
        <v>0</v>
      </c>
      <c r="D57" s="1">
        <f>'Long Term Deals'!AH57</f>
        <v>77120.822622107968</v>
      </c>
      <c r="E57" s="1">
        <f>'Long Term Deals'!AI57</f>
        <v>0</v>
      </c>
      <c r="F57" s="1">
        <f>'Long Term Deals'!AJ57</f>
        <v>0</v>
      </c>
      <c r="G57" s="1">
        <f>'Long Term Deals'!AK57</f>
        <v>0</v>
      </c>
      <c r="H57" s="1">
        <f>'Long Term Deals'!AL57</f>
        <v>0</v>
      </c>
      <c r="I57" s="1">
        <f>'Long Term Deals'!AM57</f>
        <v>0</v>
      </c>
      <c r="J57" s="1">
        <f>'Long Term Deals'!AN57</f>
        <v>0</v>
      </c>
      <c r="K57" s="1">
        <f>'Long Term Deals'!AO57</f>
        <v>38560</v>
      </c>
      <c r="L57" s="1">
        <f>'Long Term Deals'!AP57</f>
        <v>58611.825192802062</v>
      </c>
      <c r="M57" s="1">
        <f>'Long Term Deals'!AQ57</f>
        <v>0</v>
      </c>
      <c r="N57" s="1">
        <f>'Long Term Deals'!AR57</f>
        <v>0</v>
      </c>
      <c r="O57" s="1">
        <f>'Long Term Deals'!AS57</f>
        <v>0</v>
      </c>
      <c r="P57" s="1">
        <f>'Long Term Deals'!AT57</f>
        <v>38560.822622107968</v>
      </c>
      <c r="Q57" s="1">
        <f>'Long Term Deals'!AU57</f>
        <v>0</v>
      </c>
      <c r="R57" s="1">
        <f>'Long Term Deals'!AV57</f>
        <v>0</v>
      </c>
      <c r="S57" s="20">
        <f>'Long Term Deals'!AW57</f>
        <v>0.09</v>
      </c>
      <c r="T57" s="20">
        <f>'Long Term Deals'!AX57</f>
        <v>2.5000000000000001E-2</v>
      </c>
      <c r="U57" s="1">
        <f>'Long Term Deals'!AY57</f>
        <v>10957264.781491004</v>
      </c>
      <c r="V57" s="1">
        <f>'Long Term Deals'!AZ57</f>
        <v>10518802.056555273</v>
      </c>
      <c r="W57" s="6">
        <f t="shared" si="2"/>
        <v>438462.72493573092</v>
      </c>
      <c r="X57" s="6">
        <f>'Long Term Deals'!CA57</f>
        <v>21038.560411311057</v>
      </c>
      <c r="Y57" s="57">
        <f>[2]Sheet1!$AL98</f>
        <v>762567.14303902641</v>
      </c>
      <c r="Z57" s="1">
        <f>[3]Sheet1!$O70</f>
        <v>-14408.751345315075</v>
      </c>
      <c r="AA57" s="1">
        <f>'[4]Long Term Deals'!$Z56</f>
        <v>-34895.062969705476</v>
      </c>
      <c r="AB57" s="60">
        <f t="shared" si="5"/>
        <v>1159504.9959390559</v>
      </c>
      <c r="AC57" s="60">
        <f t="shared" si="3"/>
        <v>396937.85290002951</v>
      </c>
      <c r="AD57" s="60">
        <f t="shared" si="4"/>
        <v>438462.72493573098</v>
      </c>
      <c r="AE57" s="28">
        <f>(W57-Z57+AA57)/(B57+C57+D57)/'Prices&amp;Fuel'!H57</f>
        <v>9.9335792264242079E-2</v>
      </c>
      <c r="AF57" s="3">
        <v>132000</v>
      </c>
      <c r="AG57" s="1">
        <f>((((I57*'Prices&amp;Fuel'!B57+'Prices&amp;Fuel'!C57*FPL!J57+FPL!K57*'Prices&amp;Fuel'!D57))+(L57*'Prices&amp;Fuel'!B57+'Prices&amp;Fuel'!C57*FPL!M57))*'Prices&amp;Fuel'!H57)+(I57+J57+K57)*'Prices&amp;Fuel'!H57*FPL!T57+Q57/2</f>
        <v>7512407.5208226237</v>
      </c>
      <c r="AH57" s="1">
        <f>(N57*'Prices&amp;Fuel'!B57+'Prices&amp;Fuel'!C57*O57+P57*'Prices&amp;Fuel'!D57)*'Prices&amp;Fuel'!H57+(N57+O57+P57)*'Prices&amp;Fuel'!H57*FPL!T57+Q57/2</f>
        <v>3006394.5357326488</v>
      </c>
      <c r="AI57" s="1">
        <f>R57*'Prices&amp;Fuel'!H57*'Prices&amp;Fuel'!Q57</f>
        <v>0</v>
      </c>
      <c r="AJ57" s="52">
        <f>SUM(AG57:AI57)-'Long Term Deals'!AZ57</f>
        <v>0</v>
      </c>
    </row>
    <row r="58" spans="1:36" ht="10.199999999999999" x14ac:dyDescent="0.2">
      <c r="A58" s="10">
        <f t="shared" si="1"/>
        <v>37361.083333333205</v>
      </c>
      <c r="B58" s="1">
        <f>'Long Term Deals'!AF58</f>
        <v>58611.825192802062</v>
      </c>
      <c r="C58" s="1">
        <f>'Long Term Deals'!AG58</f>
        <v>0</v>
      </c>
      <c r="D58" s="1">
        <f>'Long Term Deals'!AH58</f>
        <v>77120.822622107968</v>
      </c>
      <c r="E58" s="1">
        <f>'Long Term Deals'!AI58</f>
        <v>0</v>
      </c>
      <c r="F58" s="1">
        <f>'Long Term Deals'!AJ58</f>
        <v>0</v>
      </c>
      <c r="G58" s="1">
        <f>'Long Term Deals'!AK58</f>
        <v>0</v>
      </c>
      <c r="H58" s="1">
        <f>'Long Term Deals'!AL58</f>
        <v>0</v>
      </c>
      <c r="I58" s="1">
        <f>'Long Term Deals'!AM58</f>
        <v>0</v>
      </c>
      <c r="J58" s="1">
        <f>'Long Term Deals'!AN58</f>
        <v>0</v>
      </c>
      <c r="K58" s="1">
        <f>'Long Term Deals'!AO58</f>
        <v>38560</v>
      </c>
      <c r="L58" s="1">
        <f>'Long Term Deals'!AP58</f>
        <v>58611.825192802062</v>
      </c>
      <c r="M58" s="1">
        <f>'Long Term Deals'!AQ58</f>
        <v>0</v>
      </c>
      <c r="N58" s="1">
        <f>'Long Term Deals'!AR58</f>
        <v>0</v>
      </c>
      <c r="O58" s="1">
        <f>'Long Term Deals'!AS58</f>
        <v>0</v>
      </c>
      <c r="P58" s="1">
        <f>'Long Term Deals'!AT58</f>
        <v>38560.822622107968</v>
      </c>
      <c r="Q58" s="1">
        <f>'Long Term Deals'!AU58</f>
        <v>0</v>
      </c>
      <c r="R58" s="1">
        <f>'Long Term Deals'!AV58</f>
        <v>0</v>
      </c>
      <c r="S58" s="20">
        <f>'Long Term Deals'!AW58</f>
        <v>0.09</v>
      </c>
      <c r="T58" s="20">
        <f>'Long Term Deals'!AX58</f>
        <v>2.5000000000000001E-2</v>
      </c>
      <c r="U58" s="1">
        <f>'Long Term Deals'!AY58</f>
        <v>11703239.074550129</v>
      </c>
      <c r="V58" s="1">
        <f>'Long Term Deals'!AZ58</f>
        <v>11278920.308483291</v>
      </c>
      <c r="W58" s="6">
        <f t="shared" si="2"/>
        <v>424318.76606683806</v>
      </c>
      <c r="X58" s="6">
        <f>'Long Term Deals'!CA58</f>
        <v>20359.897172236506</v>
      </c>
      <c r="Y58" s="57">
        <f>[2]Sheet1!$AL99</f>
        <v>737968.20294099324</v>
      </c>
      <c r="Z58" s="1">
        <f>[3]Sheet1!$O71</f>
        <v>-13943.952914821071</v>
      </c>
      <c r="AA58" s="1">
        <f>'[4]Long Term Deals'!$Z57</f>
        <v>-33769.415777134331</v>
      </c>
      <c r="AB58" s="60">
        <f t="shared" si="5"/>
        <v>1122101.6089732815</v>
      </c>
      <c r="AC58" s="60">
        <f t="shared" si="3"/>
        <v>384133.40603228821</v>
      </c>
      <c r="AD58" s="60">
        <f t="shared" si="4"/>
        <v>424318.766066838</v>
      </c>
      <c r="AE58" s="28">
        <f>(W58-Z58+AA58)/(B58+C58+D58)/'Prices&amp;Fuel'!H58</f>
        <v>9.9335792264242509E-2</v>
      </c>
      <c r="AF58" s="3">
        <v>132000</v>
      </c>
      <c r="AG58" s="1">
        <f>((((I58*'Prices&amp;Fuel'!B58+'Prices&amp;Fuel'!C58*FPL!J58+FPL!K58*'Prices&amp;Fuel'!D58))+(L58*'Prices&amp;Fuel'!B58+'Prices&amp;Fuel'!C58*FPL!M58))*'Prices&amp;Fuel'!H58)+(I58+J58+K58)*'Prices&amp;Fuel'!H58*FPL!T58+Q58/2</f>
        <v>8057163.5784061709</v>
      </c>
      <c r="AH58" s="1">
        <f>(N58*'Prices&amp;Fuel'!B58+'Prices&amp;Fuel'!C58*O58+P58*'Prices&amp;Fuel'!D58)*'Prices&amp;Fuel'!H58+(N58+O58+P58)*'Prices&amp;Fuel'!H58*FPL!T58+Q58/2</f>
        <v>3221756.7300771214</v>
      </c>
      <c r="AI58" s="1">
        <f>R58*'Prices&amp;Fuel'!H58*'Prices&amp;Fuel'!Q58</f>
        <v>0</v>
      </c>
      <c r="AJ58" s="52">
        <f>SUM(AG58:AI58)-'Long Term Deals'!AZ58</f>
        <v>0</v>
      </c>
    </row>
    <row r="59" spans="1:36" ht="10.199999999999999" x14ac:dyDescent="0.2">
      <c r="A59" s="10">
        <f t="shared" si="1"/>
        <v>37391.499999999869</v>
      </c>
      <c r="B59" s="1">
        <f>'Long Term Deals'!AF59</f>
        <v>155269.92287917738</v>
      </c>
      <c r="C59" s="1">
        <f>'Long Term Deals'!AG59</f>
        <v>0</v>
      </c>
      <c r="D59" s="1">
        <f>'Long Term Deals'!AH59</f>
        <v>77120.822622107968</v>
      </c>
      <c r="E59" s="1">
        <f>'Long Term Deals'!AI59</f>
        <v>0</v>
      </c>
      <c r="F59" s="1">
        <f>'Long Term Deals'!AJ59</f>
        <v>0</v>
      </c>
      <c r="G59" s="1">
        <f>'Long Term Deals'!AK59</f>
        <v>0</v>
      </c>
      <c r="H59" s="1">
        <f>'Long Term Deals'!AL59</f>
        <v>0</v>
      </c>
      <c r="I59" s="1">
        <f>'Long Term Deals'!AM59</f>
        <v>37635</v>
      </c>
      <c r="J59" s="1">
        <f>'Long Term Deals'!AN59</f>
        <v>0</v>
      </c>
      <c r="K59" s="1">
        <f>'Long Term Deals'!AO59</f>
        <v>38560</v>
      </c>
      <c r="L59" s="1">
        <f>'Long Term Deals'!AP59</f>
        <v>80000</v>
      </c>
      <c r="M59" s="1">
        <f>'Long Term Deals'!AQ59</f>
        <v>0</v>
      </c>
      <c r="N59" s="1">
        <f>'Long Term Deals'!AR59</f>
        <v>37634.922879177378</v>
      </c>
      <c r="O59" s="1">
        <f>'Long Term Deals'!AS59</f>
        <v>0</v>
      </c>
      <c r="P59" s="1">
        <f>'Long Term Deals'!AT59</f>
        <v>38560.822622107968</v>
      </c>
      <c r="Q59" s="1">
        <f>'Long Term Deals'!AU59</f>
        <v>0</v>
      </c>
      <c r="R59" s="1">
        <f>'Long Term Deals'!AV59</f>
        <v>0</v>
      </c>
      <c r="S59" s="20">
        <f>'Long Term Deals'!AW59</f>
        <v>0.09</v>
      </c>
      <c r="T59" s="20">
        <f>'Long Term Deals'!AX59</f>
        <v>2.5000000000000001E-2</v>
      </c>
      <c r="U59" s="1">
        <f>'Long Term Deals'!AY59</f>
        <v>21971907.455012854</v>
      </c>
      <c r="V59" s="1">
        <f>'Long Term Deals'!AZ59</f>
        <v>21322102.827763498</v>
      </c>
      <c r="W59" s="6">
        <f t="shared" si="2"/>
        <v>649804.62724935636</v>
      </c>
      <c r="X59" s="6">
        <f>'Long Term Deals'!CA59</f>
        <v>36020.565552699227</v>
      </c>
      <c r="Y59" s="57">
        <f>[2]Sheet1!$AL100</f>
        <v>762567.14303902641</v>
      </c>
      <c r="Z59" s="1">
        <f>[3]Sheet1!$O72</f>
        <v>-24669.528818494</v>
      </c>
      <c r="AA59" s="1">
        <f>'[4]Long Term Deals'!$Z58</f>
        <v>-43972.901883593106</v>
      </c>
      <c r="AB59" s="60">
        <f t="shared" si="5"/>
        <v>1357047.8316705844</v>
      </c>
      <c r="AC59" s="60">
        <f t="shared" si="3"/>
        <v>594480.68863155798</v>
      </c>
      <c r="AD59" s="60">
        <f t="shared" si="4"/>
        <v>649804.62724935624</v>
      </c>
      <c r="AE59" s="28">
        <f>(W59-Z59+AA59)/(B59+C59+D59)/'Prices&amp;Fuel'!H59</f>
        <v>8.7519621709133605E-2</v>
      </c>
      <c r="AF59" s="3">
        <v>226000</v>
      </c>
      <c r="AG59" s="1">
        <f>((((I59*'Prices&amp;Fuel'!B59+'Prices&amp;Fuel'!C59*FPL!J59+FPL!K59*'Prices&amp;Fuel'!D59))+(L59*'Prices&amp;Fuel'!B59+'Prices&amp;Fuel'!C59*FPL!M59))*'Prices&amp;Fuel'!H59)+(I59+J59+K59)*'Prices&amp;Fuel'!H59*FPL!T59+Q59/2</f>
        <v>14306617.025</v>
      </c>
      <c r="AH59" s="1">
        <f>(N59*'Prices&amp;Fuel'!B59+'Prices&amp;Fuel'!C59*O59+P59*'Prices&amp;Fuel'!D59)*'Prices&amp;Fuel'!H59+(N59+O59+P59)*'Prices&amp;Fuel'!H59*FPL!T59+Q59/2</f>
        <v>7015485.8027634975</v>
      </c>
      <c r="AI59" s="1">
        <f>R59*'Prices&amp;Fuel'!H59*'Prices&amp;Fuel'!Q59</f>
        <v>0</v>
      </c>
      <c r="AJ59" s="52">
        <f>SUM(AG59:AI59)-'Long Term Deals'!AZ59</f>
        <v>0</v>
      </c>
    </row>
    <row r="60" spans="1:36" ht="10.199999999999999" x14ac:dyDescent="0.2">
      <c r="A60" s="10">
        <f t="shared" si="1"/>
        <v>37421.916666666533</v>
      </c>
      <c r="B60" s="1">
        <f>'Long Term Deals'!AF60</f>
        <v>155269.92287917738</v>
      </c>
      <c r="C60" s="1">
        <f>'Long Term Deals'!AG60</f>
        <v>0</v>
      </c>
      <c r="D60" s="1">
        <f>'Long Term Deals'!AH60</f>
        <v>77120.822622107968</v>
      </c>
      <c r="E60" s="1">
        <f>'Long Term Deals'!AI60</f>
        <v>0</v>
      </c>
      <c r="F60" s="1">
        <f>'Long Term Deals'!AJ60</f>
        <v>0</v>
      </c>
      <c r="G60" s="1">
        <f>'Long Term Deals'!AK60</f>
        <v>0</v>
      </c>
      <c r="H60" s="1">
        <f>'Long Term Deals'!AL60</f>
        <v>0</v>
      </c>
      <c r="I60" s="1">
        <f>'Long Term Deals'!AM60</f>
        <v>37635</v>
      </c>
      <c r="J60" s="1">
        <f>'Long Term Deals'!AN60</f>
        <v>0</v>
      </c>
      <c r="K60" s="1">
        <f>'Long Term Deals'!AO60</f>
        <v>38560</v>
      </c>
      <c r="L60" s="1">
        <f>'Long Term Deals'!AP60</f>
        <v>80000</v>
      </c>
      <c r="M60" s="1">
        <f>'Long Term Deals'!AQ60</f>
        <v>0</v>
      </c>
      <c r="N60" s="1">
        <f>'Long Term Deals'!AR60</f>
        <v>37634.922879177378</v>
      </c>
      <c r="O60" s="1">
        <f>'Long Term Deals'!AS60</f>
        <v>0</v>
      </c>
      <c r="P60" s="1">
        <f>'Long Term Deals'!AT60</f>
        <v>38560.822622107968</v>
      </c>
      <c r="Q60" s="1">
        <f>'Long Term Deals'!AU60</f>
        <v>0</v>
      </c>
      <c r="R60" s="1">
        <f>'Long Term Deals'!AV60</f>
        <v>0</v>
      </c>
      <c r="S60" s="20">
        <f>'Long Term Deals'!AW60</f>
        <v>0.09</v>
      </c>
      <c r="T60" s="20">
        <f>'Long Term Deals'!AX60</f>
        <v>2.5000000000000001E-2</v>
      </c>
      <c r="U60" s="1">
        <f>'Long Term Deals'!AY60</f>
        <v>30396092.544987142</v>
      </c>
      <c r="V60" s="1">
        <f>'Long Term Deals'!AZ60</f>
        <v>29767249.357326478</v>
      </c>
      <c r="W60" s="6">
        <f t="shared" si="2"/>
        <v>628843.18766066432</v>
      </c>
      <c r="X60" s="6">
        <f>'Long Term Deals'!CA60</f>
        <v>34858.611825192798</v>
      </c>
      <c r="Y60" s="57">
        <f>[2]Sheet1!$AL101</f>
        <v>737968.20294099324</v>
      </c>
      <c r="Z60" s="1">
        <f>[3]Sheet1!$O73</f>
        <v>-23873.737566284544</v>
      </c>
      <c r="AA60" s="1">
        <f>'[4]Long Term Deals'!$Z59</f>
        <v>-42554.421177670738</v>
      </c>
      <c r="AB60" s="60">
        <f t="shared" si="5"/>
        <v>1313272.0951650785</v>
      </c>
      <c r="AC60" s="60">
        <f t="shared" si="3"/>
        <v>575303.89222408528</v>
      </c>
      <c r="AD60" s="60">
        <f t="shared" si="4"/>
        <v>628843.1876606642</v>
      </c>
      <c r="AE60" s="28">
        <f>(W60-Z60+AA60)/(B60+C60+D60)/'Prices&amp;Fuel'!H60</f>
        <v>8.7519621709133189E-2</v>
      </c>
      <c r="AF60" s="3">
        <v>226000</v>
      </c>
      <c r="AG60" s="1">
        <f>((((I60*'Prices&amp;Fuel'!B60+'Prices&amp;Fuel'!C60*FPL!J60+FPL!K60*'Prices&amp;Fuel'!D60))+(L60*'Prices&amp;Fuel'!B60+'Prices&amp;Fuel'!C60*FPL!M60))*'Prices&amp;Fuel'!H60)+(I60+J60+K60)*'Prices&amp;Fuel'!H60*FPL!T60+Q60/2</f>
        <v>19983576.75</v>
      </c>
      <c r="AH60" s="1">
        <f>(N60*'Prices&amp;Fuel'!B60+'Prices&amp;Fuel'!C60*O60+P60*'Prices&amp;Fuel'!D60)*'Prices&amp;Fuel'!H60+(N60+O60+P60)*'Prices&amp;Fuel'!H60*FPL!T60+Q60/2</f>
        <v>9783672.6073264778</v>
      </c>
      <c r="AI60" s="1">
        <f>R60*'Prices&amp;Fuel'!H60*'Prices&amp;Fuel'!Q60</f>
        <v>0</v>
      </c>
      <c r="AJ60" s="52">
        <f>SUM(AG60:AI60)-'Long Term Deals'!AZ60</f>
        <v>0</v>
      </c>
    </row>
    <row r="61" spans="1:36" ht="10.199999999999999" x14ac:dyDescent="0.2">
      <c r="A61" s="10">
        <f t="shared" si="1"/>
        <v>37452.333333333198</v>
      </c>
      <c r="B61" s="1">
        <f>'Long Term Deals'!AF61</f>
        <v>155269.92287917738</v>
      </c>
      <c r="C61" s="1">
        <f>'Long Term Deals'!AG61</f>
        <v>0</v>
      </c>
      <c r="D61" s="1">
        <f>'Long Term Deals'!AH61</f>
        <v>77120.822622107968</v>
      </c>
      <c r="E61" s="1">
        <f>'Long Term Deals'!AI61</f>
        <v>0</v>
      </c>
      <c r="F61" s="1">
        <f>'Long Term Deals'!AJ61</f>
        <v>0</v>
      </c>
      <c r="G61" s="1">
        <f>'Long Term Deals'!AK61</f>
        <v>0</v>
      </c>
      <c r="H61" s="1">
        <f>'Long Term Deals'!AL61</f>
        <v>0</v>
      </c>
      <c r="I61" s="1">
        <f>'Long Term Deals'!AM61</f>
        <v>37635</v>
      </c>
      <c r="J61" s="1">
        <f>'Long Term Deals'!AN61</f>
        <v>0</v>
      </c>
      <c r="K61" s="1">
        <f>'Long Term Deals'!AO61</f>
        <v>38560</v>
      </c>
      <c r="L61" s="1">
        <f>'Long Term Deals'!AP61</f>
        <v>80000</v>
      </c>
      <c r="M61" s="1">
        <f>'Long Term Deals'!AQ61</f>
        <v>0</v>
      </c>
      <c r="N61" s="1">
        <f>'Long Term Deals'!AR61</f>
        <v>37634.922879177378</v>
      </c>
      <c r="O61" s="1">
        <f>'Long Term Deals'!AS61</f>
        <v>0</v>
      </c>
      <c r="P61" s="1">
        <f>'Long Term Deals'!AT61</f>
        <v>38560.822622107968</v>
      </c>
      <c r="Q61" s="1">
        <f>'Long Term Deals'!AU61</f>
        <v>0</v>
      </c>
      <c r="R61" s="1">
        <f>'Long Term Deals'!AV61</f>
        <v>0</v>
      </c>
      <c r="S61" s="20">
        <f>'Long Term Deals'!AW61</f>
        <v>0.09</v>
      </c>
      <c r="T61" s="20">
        <f>'Long Term Deals'!AX61</f>
        <v>2.5000000000000001E-2</v>
      </c>
      <c r="U61" s="1">
        <f>'Long Term Deals'!AY61</f>
        <v>31337254.498714652</v>
      </c>
      <c r="V61" s="1">
        <f>'Long Term Deals'!AZ61</f>
        <v>30687449.871465296</v>
      </c>
      <c r="W61" s="6">
        <f t="shared" si="2"/>
        <v>649804.62724935636</v>
      </c>
      <c r="X61" s="6">
        <f>'Long Term Deals'!CA61</f>
        <v>36020.565552699227</v>
      </c>
      <c r="Y61" s="57">
        <f>[2]Sheet1!$AL102</f>
        <v>762567.14303902641</v>
      </c>
      <c r="Z61" s="1">
        <f>[3]Sheet1!$O74</f>
        <v>-24669.528818494</v>
      </c>
      <c r="AA61" s="1">
        <f>'[4]Long Term Deals'!$Z60</f>
        <v>-43972.901883593106</v>
      </c>
      <c r="AB61" s="60">
        <f t="shared" si="5"/>
        <v>1357047.8316705844</v>
      </c>
      <c r="AC61" s="60">
        <f t="shared" si="3"/>
        <v>594480.68863155798</v>
      </c>
      <c r="AD61" s="60">
        <f t="shared" si="4"/>
        <v>649804.62724935624</v>
      </c>
      <c r="AE61" s="28">
        <f>(W61-Z61+AA61)/(B61+C61+D61)/'Prices&amp;Fuel'!H61</f>
        <v>8.7519621709133605E-2</v>
      </c>
      <c r="AF61" s="3">
        <v>226000</v>
      </c>
      <c r="AG61" s="1">
        <f>((((I61*'Prices&amp;Fuel'!B61+'Prices&amp;Fuel'!C61*FPL!J61+FPL!K61*'Prices&amp;Fuel'!D61))+(L61*'Prices&amp;Fuel'!B61+'Prices&amp;Fuel'!C61*FPL!M61))*'Prices&amp;Fuel'!H61)+(I61+J61+K61)*'Prices&amp;Fuel'!H61*FPL!T61+Q61/2</f>
        <v>20601275.525000002</v>
      </c>
      <c r="AH61" s="1">
        <f>(N61*'Prices&amp;Fuel'!B61+'Prices&amp;Fuel'!C61*O61+P61*'Prices&amp;Fuel'!D61)*'Prices&amp;Fuel'!H61+(N61+O61+P61)*'Prices&amp;Fuel'!H61*FPL!T61+Q61/2</f>
        <v>10086174.346465293</v>
      </c>
      <c r="AI61" s="1">
        <f>R61*'Prices&amp;Fuel'!H61*'Prices&amp;Fuel'!Q61</f>
        <v>0</v>
      </c>
      <c r="AJ61" s="52">
        <f>SUM(AG61:AI61)-'Long Term Deals'!AZ61</f>
        <v>0</v>
      </c>
    </row>
    <row r="62" spans="1:36" ht="10.199999999999999" x14ac:dyDescent="0.2">
      <c r="A62" s="10">
        <f t="shared" si="1"/>
        <v>37482.749999999862</v>
      </c>
      <c r="B62" s="1">
        <f>'Long Term Deals'!AF62</f>
        <v>155269.92287917738</v>
      </c>
      <c r="C62" s="1">
        <f>'Long Term Deals'!AG62</f>
        <v>0</v>
      </c>
      <c r="D62" s="1">
        <f>'Long Term Deals'!AH62</f>
        <v>77120.822622107968</v>
      </c>
      <c r="E62" s="1">
        <f>'Long Term Deals'!AI62</f>
        <v>0</v>
      </c>
      <c r="F62" s="1">
        <f>'Long Term Deals'!AJ62</f>
        <v>0</v>
      </c>
      <c r="G62" s="1">
        <f>'Long Term Deals'!AK62</f>
        <v>0</v>
      </c>
      <c r="H62" s="1">
        <f>'Long Term Deals'!AL62</f>
        <v>0</v>
      </c>
      <c r="I62" s="1">
        <f>'Long Term Deals'!AM62</f>
        <v>37635</v>
      </c>
      <c r="J62" s="1">
        <f>'Long Term Deals'!AN62</f>
        <v>0</v>
      </c>
      <c r="K62" s="1">
        <f>'Long Term Deals'!AO62</f>
        <v>38560</v>
      </c>
      <c r="L62" s="1">
        <f>'Long Term Deals'!AP62</f>
        <v>80000</v>
      </c>
      <c r="M62" s="1">
        <f>'Long Term Deals'!AQ62</f>
        <v>0</v>
      </c>
      <c r="N62" s="1">
        <f>'Long Term Deals'!AR62</f>
        <v>37634.922879177378</v>
      </c>
      <c r="O62" s="1">
        <f>'Long Term Deals'!AS62</f>
        <v>0</v>
      </c>
      <c r="P62" s="1">
        <f>'Long Term Deals'!AT62</f>
        <v>38560.822622107968</v>
      </c>
      <c r="Q62" s="1">
        <f>'Long Term Deals'!AU62</f>
        <v>0</v>
      </c>
      <c r="R62" s="1">
        <f>'Long Term Deals'!AV62</f>
        <v>0</v>
      </c>
      <c r="S62" s="20">
        <f>'Long Term Deals'!AW62</f>
        <v>0.09</v>
      </c>
      <c r="T62" s="20">
        <f>'Long Term Deals'!AX62</f>
        <v>2.5000000000000001E-2</v>
      </c>
      <c r="U62" s="1">
        <f>'Long Term Deals'!AY62</f>
        <v>27447033.419023138</v>
      </c>
      <c r="V62" s="1">
        <f>'Long Term Deals'!AZ62</f>
        <v>26797228.791773781</v>
      </c>
      <c r="W62" s="6">
        <f t="shared" si="2"/>
        <v>649804.62724935636</v>
      </c>
      <c r="X62" s="6">
        <f>'Long Term Deals'!CA62</f>
        <v>36020.565552699227</v>
      </c>
      <c r="Y62" s="57">
        <f>[2]Sheet1!$AL103</f>
        <v>762567.14303902641</v>
      </c>
      <c r="Z62" s="1">
        <f>[3]Sheet1!$O75</f>
        <v>-24669.528818494</v>
      </c>
      <c r="AA62" s="1">
        <f>'[4]Long Term Deals'!$Z61</f>
        <v>-43972.901883593106</v>
      </c>
      <c r="AB62" s="60">
        <f t="shared" si="5"/>
        <v>1357047.8316705844</v>
      </c>
      <c r="AC62" s="60">
        <f t="shared" si="3"/>
        <v>594480.68863155798</v>
      </c>
      <c r="AD62" s="60">
        <f t="shared" si="4"/>
        <v>649804.62724935624</v>
      </c>
      <c r="AE62" s="28">
        <f>(W62-Z62+AA62)/(B62+C62+D62)/'Prices&amp;Fuel'!H62</f>
        <v>8.7519621709133605E-2</v>
      </c>
      <c r="AF62" s="3">
        <v>226000</v>
      </c>
      <c r="AG62" s="1">
        <f>((((I62*'Prices&amp;Fuel'!B62+'Prices&amp;Fuel'!C62*FPL!J62+FPL!K62*'Prices&amp;Fuel'!D62))+(L62*'Prices&amp;Fuel'!B62+'Prices&amp;Fuel'!C62*FPL!M62))*'Prices&amp;Fuel'!H62)+(I62+J62+K62)*'Prices&amp;Fuel'!H62*FPL!T62+Q62/2</f>
        <v>17986571.224999998</v>
      </c>
      <c r="AH62" s="1">
        <f>(N62*'Prices&amp;Fuel'!B62+'Prices&amp;Fuel'!C62*O62+P62*'Prices&amp;Fuel'!D62)*'Prices&amp;Fuel'!H62+(N62+O62+P62)*'Prices&amp;Fuel'!H62*FPL!T62+Q62/2</f>
        <v>8810657.5667737797</v>
      </c>
      <c r="AI62" s="1">
        <f>R62*'Prices&amp;Fuel'!H62*'Prices&amp;Fuel'!Q62</f>
        <v>0</v>
      </c>
      <c r="AJ62" s="52">
        <f>SUM(AG62:AI62)-'Long Term Deals'!AZ62</f>
        <v>0</v>
      </c>
    </row>
    <row r="63" spans="1:36" ht="10.199999999999999" x14ac:dyDescent="0.2">
      <c r="A63" s="10">
        <f t="shared" si="1"/>
        <v>37513.166666666526</v>
      </c>
      <c r="B63" s="1">
        <f>'Long Term Deals'!AF63</f>
        <v>155269.92287917738</v>
      </c>
      <c r="C63" s="1">
        <f>'Long Term Deals'!AG63</f>
        <v>0</v>
      </c>
      <c r="D63" s="1">
        <f>'Long Term Deals'!AH63</f>
        <v>77120.822622107968</v>
      </c>
      <c r="E63" s="1">
        <f>'Long Term Deals'!AI63</f>
        <v>0</v>
      </c>
      <c r="F63" s="1">
        <f>'Long Term Deals'!AJ63</f>
        <v>0</v>
      </c>
      <c r="G63" s="1">
        <f>'Long Term Deals'!AK63</f>
        <v>0</v>
      </c>
      <c r="H63" s="1">
        <f>'Long Term Deals'!AL63</f>
        <v>0</v>
      </c>
      <c r="I63" s="1">
        <f>'Long Term Deals'!AM63</f>
        <v>37635</v>
      </c>
      <c r="J63" s="1">
        <f>'Long Term Deals'!AN63</f>
        <v>0</v>
      </c>
      <c r="K63" s="1">
        <f>'Long Term Deals'!AO63</f>
        <v>38560</v>
      </c>
      <c r="L63" s="1">
        <f>'Long Term Deals'!AP63</f>
        <v>80000</v>
      </c>
      <c r="M63" s="1">
        <f>'Long Term Deals'!AQ63</f>
        <v>0</v>
      </c>
      <c r="N63" s="1">
        <f>'Long Term Deals'!AR63</f>
        <v>37634.922879177378</v>
      </c>
      <c r="O63" s="1">
        <f>'Long Term Deals'!AS63</f>
        <v>0</v>
      </c>
      <c r="P63" s="1">
        <f>'Long Term Deals'!AT63</f>
        <v>38560.822622107968</v>
      </c>
      <c r="Q63" s="1">
        <f>'Long Term Deals'!AU63</f>
        <v>0</v>
      </c>
      <c r="R63" s="1">
        <f>'Long Term Deals'!AV63</f>
        <v>0</v>
      </c>
      <c r="S63" s="20">
        <f>'Long Term Deals'!AW63</f>
        <v>0.09</v>
      </c>
      <c r="T63" s="20">
        <f>'Long Term Deals'!AX63</f>
        <v>2.5000000000000001E-2</v>
      </c>
      <c r="U63" s="1">
        <f>'Long Term Deals'!AY63</f>
        <v>31929871.465295628</v>
      </c>
      <c r="V63" s="1">
        <f>'Long Term Deals'!AZ63</f>
        <v>31301028.277634967</v>
      </c>
      <c r="W63" s="6">
        <f t="shared" si="2"/>
        <v>628843.18766066059</v>
      </c>
      <c r="X63" s="6">
        <f>'Long Term Deals'!CA63</f>
        <v>34858.611825192798</v>
      </c>
      <c r="Y63" s="57">
        <f>[2]Sheet1!$AL104</f>
        <v>737968.20294099324</v>
      </c>
      <c r="Z63" s="1">
        <f>[3]Sheet1!$O76</f>
        <v>-23873.737566284544</v>
      </c>
      <c r="AA63" s="1">
        <f>'[4]Long Term Deals'!$Z62</f>
        <v>-42554.421177670738</v>
      </c>
      <c r="AB63" s="60">
        <f t="shared" si="5"/>
        <v>1313272.0951650748</v>
      </c>
      <c r="AC63" s="60">
        <f t="shared" si="3"/>
        <v>575303.89222408156</v>
      </c>
      <c r="AD63" s="60">
        <f t="shared" si="4"/>
        <v>628843.18766066048</v>
      </c>
      <c r="AE63" s="28">
        <f>(W63-Z63+AA63)/(B63+C63+D63)/'Prices&amp;Fuel'!H63</f>
        <v>8.7519621709132661E-2</v>
      </c>
      <c r="AF63" s="3">
        <v>226000</v>
      </c>
      <c r="AG63" s="1">
        <f>((((I63*'Prices&amp;Fuel'!B63+'Prices&amp;Fuel'!C63*FPL!J63+FPL!K63*'Prices&amp;Fuel'!D63))+(L63*'Prices&amp;Fuel'!B63+'Prices&amp;Fuel'!C63*FPL!M63))*'Prices&amp;Fuel'!H63)+(I63+J63+K63)*'Prices&amp;Fuel'!H63*FPL!T63+Q63/2</f>
        <v>21014463.75</v>
      </c>
      <c r="AH63" s="1">
        <f>(N63*'Prices&amp;Fuel'!B63+'Prices&amp;Fuel'!C63*O63+P63*'Prices&amp;Fuel'!D63)*'Prices&amp;Fuel'!H63+(N63+O63+P63)*'Prices&amp;Fuel'!H63*FPL!T63+Q63/2</f>
        <v>10286564.527634962</v>
      </c>
      <c r="AI63" s="1">
        <f>R63*'Prices&amp;Fuel'!H63*'Prices&amp;Fuel'!Q63</f>
        <v>0</v>
      </c>
      <c r="AJ63" s="52">
        <f>SUM(AG63:AI63)-'Long Term Deals'!AZ63</f>
        <v>0</v>
      </c>
    </row>
    <row r="64" spans="1:36" ht="10.199999999999999" x14ac:dyDescent="0.2">
      <c r="A64" s="10">
        <f t="shared" si="1"/>
        <v>37543.58333333319</v>
      </c>
      <c r="B64" s="1">
        <f>'Long Term Deals'!AF64</f>
        <v>58611.825192802062</v>
      </c>
      <c r="C64" s="1">
        <f>'Long Term Deals'!AG64</f>
        <v>0</v>
      </c>
      <c r="D64" s="1">
        <f>'Long Term Deals'!AH64</f>
        <v>77120.822622107968</v>
      </c>
      <c r="E64" s="1">
        <f>'Long Term Deals'!AI64</f>
        <v>0</v>
      </c>
      <c r="F64" s="1">
        <f>'Long Term Deals'!AJ64</f>
        <v>0</v>
      </c>
      <c r="G64" s="1">
        <f>'Long Term Deals'!AK64</f>
        <v>0</v>
      </c>
      <c r="H64" s="1">
        <f>'Long Term Deals'!AL64</f>
        <v>0</v>
      </c>
      <c r="I64" s="1">
        <f>'Long Term Deals'!AM64</f>
        <v>0</v>
      </c>
      <c r="J64" s="1">
        <f>'Long Term Deals'!AN64</f>
        <v>0</v>
      </c>
      <c r="K64" s="1">
        <f>'Long Term Deals'!AO64</f>
        <v>38560</v>
      </c>
      <c r="L64" s="1">
        <f>'Long Term Deals'!AP64</f>
        <v>58611.825192802062</v>
      </c>
      <c r="M64" s="1">
        <f>'Long Term Deals'!AQ64</f>
        <v>0</v>
      </c>
      <c r="N64" s="1">
        <f>'Long Term Deals'!AR64</f>
        <v>0</v>
      </c>
      <c r="O64" s="1">
        <f>'Long Term Deals'!AS64</f>
        <v>0</v>
      </c>
      <c r="P64" s="1">
        <f>'Long Term Deals'!AT64</f>
        <v>38560.822622107968</v>
      </c>
      <c r="Q64" s="1">
        <f>'Long Term Deals'!AU64</f>
        <v>0</v>
      </c>
      <c r="R64" s="1">
        <f>'Long Term Deals'!AV64</f>
        <v>0</v>
      </c>
      <c r="S64" s="20">
        <f>'Long Term Deals'!AW64</f>
        <v>0.09</v>
      </c>
      <c r="T64" s="20">
        <f>'Long Term Deals'!AX64</f>
        <v>2.5000000000000001E-2</v>
      </c>
      <c r="U64" s="1">
        <f>'Long Term Deals'!AY64</f>
        <v>22191856.041131105</v>
      </c>
      <c r="V64" s="1">
        <f>'Long Term Deals'!AZ64</f>
        <v>21753393.316195376</v>
      </c>
      <c r="W64" s="6">
        <f t="shared" si="2"/>
        <v>438462.72493572906</v>
      </c>
      <c r="X64" s="6">
        <f>'Long Term Deals'!CA64</f>
        <v>21038.560411311057</v>
      </c>
      <c r="Y64" s="57">
        <f>[2]Sheet1!$AL105</f>
        <v>762567.14303902641</v>
      </c>
      <c r="Z64" s="1">
        <f>[3]Sheet1!$O77</f>
        <v>-14408.751345315075</v>
      </c>
      <c r="AA64" s="1">
        <f>'[4]Long Term Deals'!$Z63</f>
        <v>-34895.062969705476</v>
      </c>
      <c r="AB64" s="60">
        <f t="shared" si="5"/>
        <v>1159504.9959390541</v>
      </c>
      <c r="AC64" s="60">
        <f t="shared" si="3"/>
        <v>396937.85290002765</v>
      </c>
      <c r="AD64" s="60">
        <f t="shared" si="4"/>
        <v>438462.72493572911</v>
      </c>
      <c r="AE64" s="28">
        <f>(W64-Z64+AA64)/(B64+C64+D64)/'Prices&amp;Fuel'!H64</f>
        <v>9.9335792264241635E-2</v>
      </c>
      <c r="AF64" s="3">
        <v>132000</v>
      </c>
      <c r="AG64" s="1">
        <f>((((I64*'Prices&amp;Fuel'!B64+'Prices&amp;Fuel'!C64*FPL!J64+FPL!K64*'Prices&amp;Fuel'!D64))+(L64*'Prices&amp;Fuel'!B64+'Prices&amp;Fuel'!C64*FPL!M64))*'Prices&amp;Fuel'!H64)+(I64+J64+K64)*'Prices&amp;Fuel'!H64*FPL!T64+Q64/2</f>
        <v>15555319.49203085</v>
      </c>
      <c r="AH64" s="1">
        <f>(N64*'Prices&amp;Fuel'!B64+'Prices&amp;Fuel'!C64*O64+P64*'Prices&amp;Fuel'!D64)*'Prices&amp;Fuel'!H64+(N64+O64+P64)*'Prices&amp;Fuel'!H64*FPL!T64+Q64/2</f>
        <v>6198073.8241645237</v>
      </c>
      <c r="AI64" s="1">
        <f>R64*'Prices&amp;Fuel'!H64*'Prices&amp;Fuel'!Q64</f>
        <v>0</v>
      </c>
      <c r="AJ64" s="52">
        <f>SUM(AG64:AI64)-'Long Term Deals'!AZ64</f>
        <v>0</v>
      </c>
    </row>
    <row r="65" spans="1:36" ht="10.199999999999999" x14ac:dyDescent="0.2">
      <c r="A65" s="10">
        <f t="shared" si="1"/>
        <v>37573.999999999854</v>
      </c>
      <c r="B65" s="1">
        <f>'Long Term Deals'!AF65</f>
        <v>58611.825192802062</v>
      </c>
      <c r="C65" s="1">
        <f>'Long Term Deals'!AG65</f>
        <v>0</v>
      </c>
      <c r="D65" s="1">
        <f>'Long Term Deals'!AH65</f>
        <v>77120.822622107968</v>
      </c>
      <c r="E65" s="1">
        <f>'Long Term Deals'!AI65</f>
        <v>0</v>
      </c>
      <c r="F65" s="1">
        <f>'Long Term Deals'!AJ65</f>
        <v>0</v>
      </c>
      <c r="G65" s="1">
        <f>'Long Term Deals'!AK65</f>
        <v>0</v>
      </c>
      <c r="H65" s="1">
        <f>'Long Term Deals'!AL65</f>
        <v>0</v>
      </c>
      <c r="I65" s="1">
        <f>'Long Term Deals'!AM65</f>
        <v>0</v>
      </c>
      <c r="J65" s="1">
        <f>'Long Term Deals'!AN65</f>
        <v>0</v>
      </c>
      <c r="K65" s="1">
        <f>'Long Term Deals'!AO65</f>
        <v>38560</v>
      </c>
      <c r="L65" s="1">
        <f>'Long Term Deals'!AP65</f>
        <v>58611.825192802062</v>
      </c>
      <c r="M65" s="1">
        <f>'Long Term Deals'!AQ65</f>
        <v>0</v>
      </c>
      <c r="N65" s="1">
        <f>'Long Term Deals'!AR65</f>
        <v>0</v>
      </c>
      <c r="O65" s="1">
        <f>'Long Term Deals'!AS65</f>
        <v>0</v>
      </c>
      <c r="P65" s="1">
        <f>'Long Term Deals'!AT65</f>
        <v>38560.822622107968</v>
      </c>
      <c r="Q65" s="1">
        <f>'Long Term Deals'!AU65</f>
        <v>0</v>
      </c>
      <c r="R65" s="1">
        <f>'Long Term Deals'!AV65</f>
        <v>0</v>
      </c>
      <c r="S65" s="20">
        <f>'Long Term Deals'!AW65</f>
        <v>0.09</v>
      </c>
      <c r="T65" s="20">
        <f>'Long Term Deals'!AX65</f>
        <v>2.5000000000000001E-2</v>
      </c>
      <c r="U65" s="1">
        <f>'Long Term Deals'!AY65</f>
        <v>14431465.295629822</v>
      </c>
      <c r="V65" s="1">
        <f>'Long Term Deals'!AZ65</f>
        <v>14007146.529562984</v>
      </c>
      <c r="W65" s="6">
        <f t="shared" si="2"/>
        <v>424318.76606683806</v>
      </c>
      <c r="X65" s="6">
        <f>'Long Term Deals'!CA65</f>
        <v>20359.897172236506</v>
      </c>
      <c r="Y65" s="57">
        <f>[2]Sheet1!$AL106</f>
        <v>737968.20294099324</v>
      </c>
      <c r="Z65" s="1">
        <f>[3]Sheet1!$O78</f>
        <v>-13943.952914821071</v>
      </c>
      <c r="AA65" s="1">
        <f>'[4]Long Term Deals'!$Z64</f>
        <v>-33769.415777134331</v>
      </c>
      <c r="AB65" s="60">
        <f t="shared" si="5"/>
        <v>1122101.6089732815</v>
      </c>
      <c r="AC65" s="60">
        <f t="shared" si="3"/>
        <v>384133.40603228821</v>
      </c>
      <c r="AD65" s="60">
        <f t="shared" si="4"/>
        <v>424318.766066838</v>
      </c>
      <c r="AE65" s="28">
        <f>(W65-Z65+AA65)/(B65+C65+D65)/'Prices&amp;Fuel'!H65</f>
        <v>9.9335792264242509E-2</v>
      </c>
      <c r="AF65" s="3">
        <v>132000</v>
      </c>
      <c r="AG65" s="1">
        <f>((((I65*'Prices&amp;Fuel'!B65+'Prices&amp;Fuel'!C65*FPL!J65+FPL!K65*'Prices&amp;Fuel'!D65))+(L65*'Prices&amp;Fuel'!B65+'Prices&amp;Fuel'!C65*FPL!M65))*'Prices&amp;Fuel'!H65)+(I65+J65+K65)*'Prices&amp;Fuel'!H65*FPL!T65+Q65/2</f>
        <v>10010317.264781492</v>
      </c>
      <c r="AH65" s="1">
        <f>(N65*'Prices&amp;Fuel'!B65+'Prices&amp;Fuel'!C65*O65+P65*'Prices&amp;Fuel'!D65)*'Prices&amp;Fuel'!H65+(N65+O65+P65)*'Prices&amp;Fuel'!H65*FPL!T65+Q65/2</f>
        <v>3996829.2647814914</v>
      </c>
      <c r="AI65" s="1">
        <f>R65*'Prices&amp;Fuel'!H65*'Prices&amp;Fuel'!Q65</f>
        <v>0</v>
      </c>
      <c r="AJ65" s="52">
        <f>SUM(AG65:AI65)-'Long Term Deals'!AZ65</f>
        <v>0</v>
      </c>
    </row>
    <row r="66" spans="1:36" ht="10.199999999999999" x14ac:dyDescent="0.2">
      <c r="A66" s="10">
        <f t="shared" si="1"/>
        <v>37604.416666666519</v>
      </c>
      <c r="B66" s="1">
        <f>'Long Term Deals'!AF66</f>
        <v>58611.825192802062</v>
      </c>
      <c r="C66" s="1">
        <f>'Long Term Deals'!AG66</f>
        <v>0</v>
      </c>
      <c r="D66" s="1">
        <f>'Long Term Deals'!AH66</f>
        <v>77120.822622107968</v>
      </c>
      <c r="E66" s="1">
        <f>'Long Term Deals'!AI66</f>
        <v>0</v>
      </c>
      <c r="F66" s="1">
        <f>'Long Term Deals'!AJ66</f>
        <v>0</v>
      </c>
      <c r="G66" s="1">
        <f>'Long Term Deals'!AK66</f>
        <v>0</v>
      </c>
      <c r="H66" s="1">
        <f>'Long Term Deals'!AL66</f>
        <v>0</v>
      </c>
      <c r="I66" s="1">
        <f>'Long Term Deals'!AM66</f>
        <v>0</v>
      </c>
      <c r="J66" s="1">
        <f>'Long Term Deals'!AN66</f>
        <v>0</v>
      </c>
      <c r="K66" s="1">
        <f>'Long Term Deals'!AO66</f>
        <v>38560</v>
      </c>
      <c r="L66" s="1">
        <f>'Long Term Deals'!AP66</f>
        <v>58611.825192802062</v>
      </c>
      <c r="M66" s="1">
        <f>'Long Term Deals'!AQ66</f>
        <v>0</v>
      </c>
      <c r="N66" s="1">
        <f>'Long Term Deals'!AR66</f>
        <v>0</v>
      </c>
      <c r="O66" s="1">
        <f>'Long Term Deals'!AS66</f>
        <v>0</v>
      </c>
      <c r="P66" s="1">
        <f>'Long Term Deals'!AT66</f>
        <v>38560.822622107968</v>
      </c>
      <c r="Q66" s="1">
        <f>'Long Term Deals'!AU66</f>
        <v>0</v>
      </c>
      <c r="R66" s="1">
        <f>'Long Term Deals'!AV66</f>
        <v>0</v>
      </c>
      <c r="S66" s="20">
        <f>'Long Term Deals'!AW66</f>
        <v>0.09</v>
      </c>
      <c r="T66" s="20">
        <f>'Long Term Deals'!AX66</f>
        <v>2.5000000000000001E-2</v>
      </c>
      <c r="U66" s="1">
        <f>'Long Term Deals'!AY66</f>
        <v>11209727.506426737</v>
      </c>
      <c r="V66" s="1">
        <f>'Long Term Deals'!AZ66</f>
        <v>10771264.781491004</v>
      </c>
      <c r="W66" s="6">
        <f t="shared" si="2"/>
        <v>438462.72493573278</v>
      </c>
      <c r="X66" s="6">
        <f>'Long Term Deals'!CA66</f>
        <v>21038.560411311057</v>
      </c>
      <c r="Y66" s="57">
        <f>[2]Sheet1!$AL107</f>
        <v>762567.14303902641</v>
      </c>
      <c r="Z66" s="1">
        <f>[3]Sheet1!$O79</f>
        <v>-14408.751345315075</v>
      </c>
      <c r="AA66" s="1">
        <f>'[4]Long Term Deals'!$Z65</f>
        <v>-34895.062969705476</v>
      </c>
      <c r="AB66" s="60">
        <f t="shared" si="5"/>
        <v>1159504.9959390578</v>
      </c>
      <c r="AC66" s="60">
        <f t="shared" si="3"/>
        <v>396937.85290003137</v>
      </c>
      <c r="AD66" s="60">
        <f t="shared" si="4"/>
        <v>438462.72493573284</v>
      </c>
      <c r="AE66" s="28">
        <f>(W66-Z66+AA66)/(B66+C66+D66)/'Prices&amp;Fuel'!H66</f>
        <v>9.9335792264242523E-2</v>
      </c>
      <c r="AF66" s="3">
        <v>132000</v>
      </c>
      <c r="AG66" s="1">
        <f>((((I66*'Prices&amp;Fuel'!B66+'Prices&amp;Fuel'!C66*FPL!J66+FPL!K66*'Prices&amp;Fuel'!D66))+(L66*'Prices&amp;Fuel'!B66+'Prices&amp;Fuel'!C66*FPL!M66))*'Prices&amp;Fuel'!H66)+(I66+J66+K66)*'Prices&amp;Fuel'!H66*FPL!T66+Q66/2</f>
        <v>7693147.1156812357</v>
      </c>
      <c r="AH66" s="1">
        <f>(N66*'Prices&amp;Fuel'!B66+'Prices&amp;Fuel'!C66*O66+P66*'Prices&amp;Fuel'!D66)*'Prices&amp;Fuel'!H66+(N66+O66+P66)*'Prices&amp;Fuel'!H66*FPL!T66+Q66/2</f>
        <v>3078117.6658097692</v>
      </c>
      <c r="AI66" s="1">
        <f>R66*'Prices&amp;Fuel'!H66*'Prices&amp;Fuel'!Q66</f>
        <v>0</v>
      </c>
      <c r="AJ66" s="52">
        <f>SUM(AG66:AI66)-'Long Term Deals'!AZ66</f>
        <v>0</v>
      </c>
    </row>
    <row r="67" spans="1:36" ht="10.199999999999999" x14ac:dyDescent="0.2">
      <c r="A67" s="10">
        <f t="shared" si="1"/>
        <v>37634.833333333183</v>
      </c>
      <c r="B67" s="1">
        <f>'Long Term Deals'!AF67</f>
        <v>58611.825192802062</v>
      </c>
      <c r="C67" s="1">
        <f>'Long Term Deals'!AG67</f>
        <v>0</v>
      </c>
      <c r="D67" s="1">
        <f>'Long Term Deals'!AH67</f>
        <v>77120.822622107968</v>
      </c>
      <c r="E67" s="1">
        <f>'Long Term Deals'!AI67</f>
        <v>0</v>
      </c>
      <c r="F67" s="1">
        <f>'Long Term Deals'!AJ67</f>
        <v>0</v>
      </c>
      <c r="G67" s="1">
        <f>'Long Term Deals'!AK67</f>
        <v>0</v>
      </c>
      <c r="H67" s="1">
        <f>'Long Term Deals'!AL67</f>
        <v>0</v>
      </c>
      <c r="I67" s="1">
        <f>'Long Term Deals'!AM67</f>
        <v>0</v>
      </c>
      <c r="J67" s="1">
        <f>'Long Term Deals'!AN67</f>
        <v>0</v>
      </c>
      <c r="K67" s="1">
        <f>'Long Term Deals'!AO67</f>
        <v>38560</v>
      </c>
      <c r="L67" s="1">
        <f>'Long Term Deals'!AP67</f>
        <v>58611.825192802062</v>
      </c>
      <c r="M67" s="1">
        <f>'Long Term Deals'!AQ67</f>
        <v>0</v>
      </c>
      <c r="N67" s="1">
        <f>'Long Term Deals'!AR67</f>
        <v>0</v>
      </c>
      <c r="O67" s="1">
        <f>'Long Term Deals'!AS67</f>
        <v>0</v>
      </c>
      <c r="P67" s="1">
        <f>'Long Term Deals'!AT67</f>
        <v>38560.822622107968</v>
      </c>
      <c r="Q67" s="1">
        <f>'Long Term Deals'!AU67</f>
        <v>0</v>
      </c>
      <c r="R67" s="1">
        <f>'Long Term Deals'!AV67</f>
        <v>0</v>
      </c>
      <c r="S67" s="20">
        <f>'Long Term Deals'!AW67</f>
        <v>0.08</v>
      </c>
      <c r="T67" s="20">
        <f>'Long Term Deals'!AX67</f>
        <v>2.5000000000000001E-2</v>
      </c>
      <c r="U67" s="1">
        <f>'Long Term Deals'!AY67</f>
        <v>9874620.4627249371</v>
      </c>
      <c r="V67" s="1">
        <f>'Long Term Deals'!AZ67</f>
        <v>9478234.8586118277</v>
      </c>
      <c r="W67" s="6">
        <f t="shared" si="2"/>
        <v>396385.60411310941</v>
      </c>
      <c r="X67" s="6">
        <f>'Long Term Deals'!CA67</f>
        <v>21038.560411311057</v>
      </c>
      <c r="Y67" s="57">
        <f>[2]Sheet1!$AL108</f>
        <v>762567.14303902641</v>
      </c>
      <c r="Z67" s="1">
        <f>[3]Sheet1!$O81</f>
        <v>-56616.074707873078</v>
      </c>
      <c r="AA67" s="1">
        <f>'[4]Long Term Deals'!$Z66</f>
        <v>-34895.062969705476</v>
      </c>
      <c r="AB67" s="60">
        <f t="shared" si="5"/>
        <v>1159635.1984789923</v>
      </c>
      <c r="AC67" s="60">
        <f t="shared" si="3"/>
        <v>397068.05543996592</v>
      </c>
      <c r="AD67" s="60">
        <f t="shared" si="4"/>
        <v>396385.60411310941</v>
      </c>
      <c r="AE67" s="28">
        <f>(W67-Z67+AA67)/(B67+C67+D67)/'Prices&amp;Fuel'!H67</f>
        <v>9.9366736049698631E-2</v>
      </c>
      <c r="AF67" s="3">
        <v>132000</v>
      </c>
      <c r="AG67" s="1">
        <f>((((I67*'Prices&amp;Fuel'!B67+'Prices&amp;Fuel'!C67*FPL!J67+FPL!K67*'Prices&amp;Fuel'!D67))+(L67*'Prices&amp;Fuel'!B67+'Prices&amp;Fuel'!C67*FPL!M67))*'Prices&amp;Fuel'!H67)+(I67+J67+K67)*'Prices&amp;Fuel'!H67*FPL!T67+Q67/2</f>
        <v>6767459.1573470458</v>
      </c>
      <c r="AH67" s="1">
        <f>(N67*'Prices&amp;Fuel'!B67+'Prices&amp;Fuel'!C67*O67+P67*'Prices&amp;Fuel'!D67)*'Prices&amp;Fuel'!H67+(N67+O67+P67)*'Prices&amp;Fuel'!H67*FPL!T67+Q67/2</f>
        <v>2710775.7012647819</v>
      </c>
      <c r="AI67" s="1">
        <f>R67*'Prices&amp;Fuel'!H67*'Prices&amp;Fuel'!Q67</f>
        <v>0</v>
      </c>
      <c r="AJ67" s="52">
        <f>SUM(AG67:AI67)-'Long Term Deals'!AZ67</f>
        <v>0</v>
      </c>
    </row>
    <row r="68" spans="1:36" ht="10.199999999999999" x14ac:dyDescent="0.2">
      <c r="A68" s="10">
        <f t="shared" si="1"/>
        <v>37665.249999999847</v>
      </c>
      <c r="B68" s="1">
        <f>'Long Term Deals'!AF68</f>
        <v>58611.825192802062</v>
      </c>
      <c r="C68" s="1">
        <f>'Long Term Deals'!AG68</f>
        <v>0</v>
      </c>
      <c r="D68" s="1">
        <f>'Long Term Deals'!AH68</f>
        <v>77120.822622107968</v>
      </c>
      <c r="E68" s="1">
        <f>'Long Term Deals'!AI68</f>
        <v>0</v>
      </c>
      <c r="F68" s="1">
        <f>'Long Term Deals'!AJ68</f>
        <v>0</v>
      </c>
      <c r="G68" s="1">
        <f>'Long Term Deals'!AK68</f>
        <v>0</v>
      </c>
      <c r="H68" s="1">
        <f>'Long Term Deals'!AL68</f>
        <v>0</v>
      </c>
      <c r="I68" s="1">
        <f>'Long Term Deals'!AM68</f>
        <v>0</v>
      </c>
      <c r="J68" s="1">
        <f>'Long Term Deals'!AN68</f>
        <v>0</v>
      </c>
      <c r="K68" s="1">
        <f>'Long Term Deals'!AO68</f>
        <v>38560</v>
      </c>
      <c r="L68" s="1">
        <f>'Long Term Deals'!AP68</f>
        <v>58611.825192802062</v>
      </c>
      <c r="M68" s="1">
        <f>'Long Term Deals'!AQ68</f>
        <v>0</v>
      </c>
      <c r="N68" s="1">
        <f>'Long Term Deals'!AR68</f>
        <v>0</v>
      </c>
      <c r="O68" s="1">
        <f>'Long Term Deals'!AS68</f>
        <v>0</v>
      </c>
      <c r="P68" s="1">
        <f>'Long Term Deals'!AT68</f>
        <v>38560.822622107968</v>
      </c>
      <c r="Q68" s="1">
        <f>'Long Term Deals'!AU68</f>
        <v>0</v>
      </c>
      <c r="R68" s="1">
        <f>'Long Term Deals'!AV68</f>
        <v>0</v>
      </c>
      <c r="S68" s="20">
        <f>'Long Term Deals'!AW68</f>
        <v>0.08</v>
      </c>
      <c r="T68" s="20">
        <f>'Long Term Deals'!AX68</f>
        <v>2.5000000000000001E-2</v>
      </c>
      <c r="U68" s="1">
        <f>'Long Term Deals'!AY68</f>
        <v>9955412.2365038581</v>
      </c>
      <c r="V68" s="1">
        <f>'Long Term Deals'!AZ68</f>
        <v>9597386.5295629837</v>
      </c>
      <c r="W68" s="6">
        <f t="shared" si="2"/>
        <v>358025.70694087446</v>
      </c>
      <c r="X68" s="6">
        <f>'Long Term Deals'!CA68</f>
        <v>19002.570694087408</v>
      </c>
      <c r="Y68" s="57">
        <f>[2]Sheet1!$AL109</f>
        <v>688770.32274492702</v>
      </c>
      <c r="Z68" s="1">
        <f>[3]Sheet1!$O82</f>
        <v>-51137.099736143427</v>
      </c>
      <c r="AA68" s="1">
        <f>'[4]Long Term Deals'!$Z67</f>
        <v>-31518.121391992048</v>
      </c>
      <c r="AB68" s="60">
        <f t="shared" si="5"/>
        <v>1047412.4373358655</v>
      </c>
      <c r="AC68" s="60">
        <f t="shared" si="3"/>
        <v>358642.11459093844</v>
      </c>
      <c r="AD68" s="60">
        <f t="shared" si="4"/>
        <v>358025.70694087446</v>
      </c>
      <c r="AE68" s="28">
        <f>(W68-Z68+AA68)/(B68+C68+D68)/'Prices&amp;Fuel'!H68</f>
        <v>9.936673604969902E-2</v>
      </c>
      <c r="AF68" s="3">
        <v>132000</v>
      </c>
      <c r="AG68" s="1">
        <f>((((I68*'Prices&amp;Fuel'!B68+'Prices&amp;Fuel'!C68*FPL!J68+FPL!K68*'Prices&amp;Fuel'!D68))+(L68*'Prices&amp;Fuel'!B68+'Prices&amp;Fuel'!C68*FPL!M68))*'Prices&amp;Fuel'!H68)+(I68+J68+K68)*'Prices&amp;Fuel'!H68*FPL!T68+Q68/2</f>
        <v>6854508.9434652971</v>
      </c>
      <c r="AH68" s="1">
        <f>(N68*'Prices&amp;Fuel'!B68+'Prices&amp;Fuel'!C68*O68+P68*'Prices&amp;Fuel'!D68)*'Prices&amp;Fuel'!H68+(N68+O68+P68)*'Prices&amp;Fuel'!H68*FPL!T68+Q68/2</f>
        <v>2742877.586097687</v>
      </c>
      <c r="AI68" s="1">
        <f>R68*'Prices&amp;Fuel'!H68*'Prices&amp;Fuel'!Q68</f>
        <v>0</v>
      </c>
      <c r="AJ68" s="52">
        <f>SUM(AG68:AI68)-'Long Term Deals'!AZ68</f>
        <v>0</v>
      </c>
    </row>
    <row r="69" spans="1:36" ht="10.199999999999999" x14ac:dyDescent="0.2">
      <c r="A69" s="10">
        <f t="shared" si="1"/>
        <v>37695.666666666511</v>
      </c>
      <c r="B69" s="1">
        <f>'Long Term Deals'!AF69</f>
        <v>58611.825192802062</v>
      </c>
      <c r="C69" s="1">
        <f>'Long Term Deals'!AG69</f>
        <v>0</v>
      </c>
      <c r="D69" s="1">
        <f>'Long Term Deals'!AH69</f>
        <v>77120.822622107968</v>
      </c>
      <c r="E69" s="1">
        <f>'Long Term Deals'!AI69</f>
        <v>0</v>
      </c>
      <c r="F69" s="1">
        <f>'Long Term Deals'!AJ69</f>
        <v>0</v>
      </c>
      <c r="G69" s="1">
        <f>'Long Term Deals'!AK69</f>
        <v>0</v>
      </c>
      <c r="H69" s="1">
        <f>'Long Term Deals'!AL69</f>
        <v>0</v>
      </c>
      <c r="I69" s="1">
        <f>'Long Term Deals'!AM69</f>
        <v>0</v>
      </c>
      <c r="J69" s="1">
        <f>'Long Term Deals'!AN69</f>
        <v>0</v>
      </c>
      <c r="K69" s="1">
        <f>'Long Term Deals'!AO69</f>
        <v>38560</v>
      </c>
      <c r="L69" s="1">
        <f>'Long Term Deals'!AP69</f>
        <v>58611.825192802062</v>
      </c>
      <c r="M69" s="1">
        <f>'Long Term Deals'!AQ69</f>
        <v>0</v>
      </c>
      <c r="N69" s="1">
        <f>'Long Term Deals'!AR69</f>
        <v>0</v>
      </c>
      <c r="O69" s="1">
        <f>'Long Term Deals'!AS69</f>
        <v>0</v>
      </c>
      <c r="P69" s="1">
        <f>'Long Term Deals'!AT69</f>
        <v>38560.822622107968</v>
      </c>
      <c r="Q69" s="1">
        <f>'Long Term Deals'!AU69</f>
        <v>0</v>
      </c>
      <c r="R69" s="1">
        <f>'Long Term Deals'!AV69</f>
        <v>0</v>
      </c>
      <c r="S69" s="20">
        <f>'Long Term Deals'!AW69</f>
        <v>0.08</v>
      </c>
      <c r="T69" s="20">
        <f>'Long Term Deals'!AX69</f>
        <v>2.5000000000000001E-2</v>
      </c>
      <c r="U69" s="1">
        <f>'Long Term Deals'!AY69</f>
        <v>11022063.547557842</v>
      </c>
      <c r="V69" s="1">
        <f>'Long Term Deals'!AZ69</f>
        <v>10625677.943444733</v>
      </c>
      <c r="W69" s="6">
        <f t="shared" si="2"/>
        <v>396385.60411310941</v>
      </c>
      <c r="X69" s="6">
        <f>'Long Term Deals'!CA69</f>
        <v>21038.560411311057</v>
      </c>
      <c r="Y69" s="57">
        <f>[2]Sheet1!$AL110</f>
        <v>762567.14303902641</v>
      </c>
      <c r="Z69" s="1">
        <f>[3]Sheet1!$O83</f>
        <v>-56616.074707873078</v>
      </c>
      <c r="AA69" s="1">
        <f>'[4]Long Term Deals'!$Z68</f>
        <v>-34895.062969705476</v>
      </c>
      <c r="AB69" s="60">
        <f t="shared" si="5"/>
        <v>1159635.1984789923</v>
      </c>
      <c r="AC69" s="60">
        <f t="shared" si="3"/>
        <v>397068.05543996592</v>
      </c>
      <c r="AD69" s="60">
        <f t="shared" si="4"/>
        <v>396385.60411310941</v>
      </c>
      <c r="AE69" s="28">
        <f>(W69-Z69+AA69)/(B69+C69+D69)/'Prices&amp;Fuel'!H69</f>
        <v>9.9366736049698631E-2</v>
      </c>
      <c r="AF69" s="3">
        <v>132000</v>
      </c>
      <c r="AG69" s="1">
        <f>((((I69*'Prices&amp;Fuel'!B69+'Prices&amp;Fuel'!C69*FPL!J69+FPL!K69*'Prices&amp;Fuel'!D69))+(L69*'Prices&amp;Fuel'!B69+'Prices&amp;Fuel'!C69*FPL!M69))*'Prices&amp;Fuel'!H69)+(I69+J69+K69)*'Prices&amp;Fuel'!H69*FPL!T69+Q69/2</f>
        <v>7588920.6159794359</v>
      </c>
      <c r="AH69" s="1">
        <f>(N69*'Prices&amp;Fuel'!B69+'Prices&amp;Fuel'!C69*O69+P69*'Prices&amp;Fuel'!D69)*'Prices&amp;Fuel'!H69+(N69+O69+P69)*'Prices&amp;Fuel'!H69*FPL!T69+Q69/2</f>
        <v>3036757.3274652963</v>
      </c>
      <c r="AI69" s="1">
        <f>R69*'Prices&amp;Fuel'!H69*'Prices&amp;Fuel'!Q69</f>
        <v>0</v>
      </c>
      <c r="AJ69" s="52">
        <f>SUM(AG69:AI69)-'Long Term Deals'!AZ69</f>
        <v>0</v>
      </c>
    </row>
    <row r="70" spans="1:36" ht="10.199999999999999" x14ac:dyDescent="0.2">
      <c r="A70" s="10">
        <f t="shared" ref="A70:A133" si="6">+A69+365/12</f>
        <v>37726.083333333176</v>
      </c>
      <c r="B70" s="1">
        <f>'Long Term Deals'!AF70</f>
        <v>58611.825192802062</v>
      </c>
      <c r="C70" s="1">
        <f>'Long Term Deals'!AG70</f>
        <v>0</v>
      </c>
      <c r="D70" s="1">
        <f>'Long Term Deals'!AH70</f>
        <v>77120.822622107968</v>
      </c>
      <c r="E70" s="1">
        <f>'Long Term Deals'!AI70</f>
        <v>0</v>
      </c>
      <c r="F70" s="1">
        <f>'Long Term Deals'!AJ70</f>
        <v>0</v>
      </c>
      <c r="G70" s="1">
        <f>'Long Term Deals'!AK70</f>
        <v>0</v>
      </c>
      <c r="H70" s="1">
        <f>'Long Term Deals'!AL70</f>
        <v>0</v>
      </c>
      <c r="I70" s="1">
        <f>'Long Term Deals'!AM70</f>
        <v>0</v>
      </c>
      <c r="J70" s="1">
        <f>'Long Term Deals'!AN70</f>
        <v>0</v>
      </c>
      <c r="K70" s="1">
        <f>'Long Term Deals'!AO70</f>
        <v>38560</v>
      </c>
      <c r="L70" s="1">
        <f>'Long Term Deals'!AP70</f>
        <v>58611.825192802062</v>
      </c>
      <c r="M70" s="1">
        <f>'Long Term Deals'!AQ70</f>
        <v>0</v>
      </c>
      <c r="N70" s="1">
        <f>'Long Term Deals'!AR70</f>
        <v>0</v>
      </c>
      <c r="O70" s="1">
        <f>'Long Term Deals'!AS70</f>
        <v>0</v>
      </c>
      <c r="P70" s="1">
        <f>'Long Term Deals'!AT70</f>
        <v>38560.822622107968</v>
      </c>
      <c r="Q70" s="1">
        <f>'Long Term Deals'!AU70</f>
        <v>0</v>
      </c>
      <c r="R70" s="1">
        <f>'Long Term Deals'!AV70</f>
        <v>0</v>
      </c>
      <c r="S70" s="20">
        <f>'Long Term Deals'!AW70</f>
        <v>0.08</v>
      </c>
      <c r="T70" s="20">
        <f>'Long Term Deals'!AX70</f>
        <v>2.5000000000000001E-2</v>
      </c>
      <c r="U70" s="1">
        <f>'Long Term Deals'!AY70</f>
        <v>11776941.902313627</v>
      </c>
      <c r="V70" s="1">
        <f>'Long Term Deals'!AZ70</f>
        <v>11393342.930591263</v>
      </c>
      <c r="W70" s="6">
        <f t="shared" ref="W70:W133" si="7">U70-V70</f>
        <v>383598.97172236443</v>
      </c>
      <c r="X70" s="6">
        <f>'Long Term Deals'!CA70</f>
        <v>20359.897172236506</v>
      </c>
      <c r="Y70" s="57">
        <f>[2]Sheet1!$AL111</f>
        <v>737968.20294099324</v>
      </c>
      <c r="Z70" s="1">
        <f>[3]Sheet1!$O84</f>
        <v>-54789.749717296538</v>
      </c>
      <c r="AA70" s="1">
        <f>'[4]Long Term Deals'!$Z69</f>
        <v>-33769.415777134331</v>
      </c>
      <c r="AB70" s="60">
        <f t="shared" si="5"/>
        <v>1122227.6114312832</v>
      </c>
      <c r="AC70" s="60">
        <f t="shared" ref="AC70:AC133" si="8">AB70-Y70</f>
        <v>384259.40849028993</v>
      </c>
      <c r="AD70" s="60">
        <f t="shared" ref="AD70:AD133" si="9">AC70+Z70-AA70+X70</f>
        <v>383598.97172236425</v>
      </c>
      <c r="AE70" s="28">
        <f>(W70-Z70+AA70)/(B70+C70+D70)/'Prices&amp;Fuel'!H70</f>
        <v>9.936673604969877E-2</v>
      </c>
      <c r="AF70" s="3">
        <v>132000</v>
      </c>
      <c r="AG70" s="1">
        <f>((((I70*'Prices&amp;Fuel'!B70+'Prices&amp;Fuel'!C70*FPL!J70+FPL!K70*'Prices&amp;Fuel'!D70))+(L70*'Prices&amp;Fuel'!B70+'Prices&amp;Fuel'!C70*FPL!M70))*'Prices&amp;Fuel'!H70)+(I70+J70+K70)*'Prices&amp;Fuel'!H70*FPL!T70+Q70/2</f>
        <v>8139079.4270437043</v>
      </c>
      <c r="AH70" s="1">
        <f>(N70*'Prices&amp;Fuel'!B70+'Prices&amp;Fuel'!C70*O70+P70*'Prices&amp;Fuel'!D70)*'Prices&amp;Fuel'!H70+(N70+O70+P70)*'Prices&amp;Fuel'!H70*FPL!T70+Q70/2</f>
        <v>3254263.503547559</v>
      </c>
      <c r="AI70" s="1">
        <f>R70*'Prices&amp;Fuel'!H70*'Prices&amp;Fuel'!Q70</f>
        <v>0</v>
      </c>
      <c r="AJ70" s="52">
        <f>SUM(AG70:AI70)-'Long Term Deals'!AZ70</f>
        <v>0</v>
      </c>
    </row>
    <row r="71" spans="1:36" ht="10.199999999999999" x14ac:dyDescent="0.2">
      <c r="A71" s="10">
        <f t="shared" si="6"/>
        <v>37756.49999999984</v>
      </c>
      <c r="B71" s="1">
        <f>'Long Term Deals'!AF71</f>
        <v>155269.92287917738</v>
      </c>
      <c r="C71" s="1">
        <f>'Long Term Deals'!AG71</f>
        <v>0</v>
      </c>
      <c r="D71" s="1">
        <f>'Long Term Deals'!AH71</f>
        <v>77120.822622107968</v>
      </c>
      <c r="E71" s="1">
        <f>'Long Term Deals'!AI71</f>
        <v>0</v>
      </c>
      <c r="F71" s="1">
        <f>'Long Term Deals'!AJ71</f>
        <v>0</v>
      </c>
      <c r="G71" s="1">
        <f>'Long Term Deals'!AK71</f>
        <v>0</v>
      </c>
      <c r="H71" s="1">
        <f>'Long Term Deals'!AL71</f>
        <v>0</v>
      </c>
      <c r="I71" s="1">
        <f>'Long Term Deals'!AM71</f>
        <v>37635</v>
      </c>
      <c r="J71" s="1">
        <f>'Long Term Deals'!AN71</f>
        <v>0</v>
      </c>
      <c r="K71" s="1">
        <f>'Long Term Deals'!AO71</f>
        <v>38560</v>
      </c>
      <c r="L71" s="1">
        <f>'Long Term Deals'!AP71</f>
        <v>80000</v>
      </c>
      <c r="M71" s="1">
        <f>'Long Term Deals'!AQ71</f>
        <v>0</v>
      </c>
      <c r="N71" s="1">
        <f>'Long Term Deals'!AR71</f>
        <v>37634.922879177378</v>
      </c>
      <c r="O71" s="1">
        <f>'Long Term Deals'!AS71</f>
        <v>0</v>
      </c>
      <c r="P71" s="1">
        <f>'Long Term Deals'!AT71</f>
        <v>38560.822622107968</v>
      </c>
      <c r="Q71" s="1">
        <f>'Long Term Deals'!AU71</f>
        <v>0</v>
      </c>
      <c r="R71" s="1">
        <f>'Long Term Deals'!AV71</f>
        <v>0</v>
      </c>
      <c r="S71" s="20">
        <f>'Long Term Deals'!AW71</f>
        <v>0.08</v>
      </c>
      <c r="T71" s="20">
        <f>'Long Term Deals'!AX71</f>
        <v>2.5000000000000001E-2</v>
      </c>
      <c r="U71" s="1">
        <f>'Long Term Deals'!AY71</f>
        <v>22115989.717223655</v>
      </c>
      <c r="V71" s="1">
        <f>'Long Term Deals'!AZ71</f>
        <v>21538226.221079696</v>
      </c>
      <c r="W71" s="6">
        <f t="shared" si="7"/>
        <v>577763.49614395946</v>
      </c>
      <c r="X71" s="6">
        <f>'Long Term Deals'!CA71</f>
        <v>36020.565552699227</v>
      </c>
      <c r="Y71" s="57">
        <f>[2]Sheet1!$AL112</f>
        <v>762567.14303902641</v>
      </c>
      <c r="Z71" s="1">
        <f>[3]Sheet1!$O85</f>
        <v>-96933.582454388787</v>
      </c>
      <c r="AA71" s="1">
        <f>'[4]Long Term Deals'!$Z70</f>
        <v>-43972.901883593106</v>
      </c>
      <c r="AB71" s="60">
        <f t="shared" si="5"/>
        <v>1357270.7542010823</v>
      </c>
      <c r="AC71" s="60">
        <f t="shared" si="8"/>
        <v>594703.61116205587</v>
      </c>
      <c r="AD71" s="60">
        <f t="shared" si="9"/>
        <v>577763.49614395946</v>
      </c>
      <c r="AE71" s="28">
        <f>(W71-Z71+AA71)/(B71+C71+D71)/'Prices&amp;Fuel'!H71</f>
        <v>8.7550565494590255E-2</v>
      </c>
      <c r="AF71" s="3">
        <v>226000</v>
      </c>
      <c r="AG71" s="1">
        <f>((((I71*'Prices&amp;Fuel'!B71+'Prices&amp;Fuel'!C71*FPL!J71+FPL!K71*'Prices&amp;Fuel'!D71))+(L71*'Prices&amp;Fuel'!B71+'Prices&amp;Fuel'!C71*FPL!M71))*'Prices&amp;Fuel'!H71)+(I71+J71+K71)*'Prices&amp;Fuel'!H71*FPL!T71+Q71/2</f>
        <v>14451878.375000004</v>
      </c>
      <c r="AH71" s="1">
        <f>(N71*'Prices&amp;Fuel'!B71+'Prices&amp;Fuel'!C71*O71+P71*'Prices&amp;Fuel'!D71)*'Prices&amp;Fuel'!H71+(N71+O71+P71)*'Prices&amp;Fuel'!H71*FPL!T71+Q71/2</f>
        <v>7086347.8460796932</v>
      </c>
      <c r="AI71" s="1">
        <f>R71*'Prices&amp;Fuel'!H71*'Prices&amp;Fuel'!Q71</f>
        <v>0</v>
      </c>
      <c r="AJ71" s="52">
        <f>SUM(AG71:AI71)-'Long Term Deals'!AZ71</f>
        <v>0</v>
      </c>
    </row>
    <row r="72" spans="1:36" ht="10.199999999999999" x14ac:dyDescent="0.2">
      <c r="A72" s="10">
        <f t="shared" si="6"/>
        <v>37786.916666666504</v>
      </c>
      <c r="B72" s="1">
        <f>'Long Term Deals'!AF72</f>
        <v>155269.92287917738</v>
      </c>
      <c r="C72" s="1">
        <f>'Long Term Deals'!AG72</f>
        <v>0</v>
      </c>
      <c r="D72" s="1">
        <f>'Long Term Deals'!AH72</f>
        <v>77120.822622107968</v>
      </c>
      <c r="E72" s="1">
        <f>'Long Term Deals'!AI72</f>
        <v>0</v>
      </c>
      <c r="F72" s="1">
        <f>'Long Term Deals'!AJ72</f>
        <v>0</v>
      </c>
      <c r="G72" s="1">
        <f>'Long Term Deals'!AK72</f>
        <v>0</v>
      </c>
      <c r="H72" s="1">
        <f>'Long Term Deals'!AL72</f>
        <v>0</v>
      </c>
      <c r="I72" s="1">
        <f>'Long Term Deals'!AM72</f>
        <v>37635</v>
      </c>
      <c r="J72" s="1">
        <f>'Long Term Deals'!AN72</f>
        <v>0</v>
      </c>
      <c r="K72" s="1">
        <f>'Long Term Deals'!AO72</f>
        <v>38560</v>
      </c>
      <c r="L72" s="1">
        <f>'Long Term Deals'!AP72</f>
        <v>80000</v>
      </c>
      <c r="M72" s="1">
        <f>'Long Term Deals'!AQ72</f>
        <v>0</v>
      </c>
      <c r="N72" s="1">
        <f>'Long Term Deals'!AR72</f>
        <v>37634.922879177378</v>
      </c>
      <c r="O72" s="1">
        <f>'Long Term Deals'!AS72</f>
        <v>0</v>
      </c>
      <c r="P72" s="1">
        <f>'Long Term Deals'!AT72</f>
        <v>38560.822622107968</v>
      </c>
      <c r="Q72" s="1">
        <f>'Long Term Deals'!AU72</f>
        <v>0</v>
      </c>
      <c r="R72" s="1">
        <f>'Long Term Deals'!AV72</f>
        <v>0</v>
      </c>
      <c r="S72" s="20">
        <f>'Long Term Deals'!AW72</f>
        <v>0.08</v>
      </c>
      <c r="T72" s="20">
        <f>'Long Term Deals'!AX72</f>
        <v>2.5000000000000001E-2</v>
      </c>
      <c r="U72" s="1">
        <f>'Long Term Deals'!AY72</f>
        <v>30626856.555269923</v>
      </c>
      <c r="V72" s="1">
        <f>'Long Term Deals'!AZ72</f>
        <v>30067730.59125964</v>
      </c>
      <c r="W72" s="6">
        <f t="shared" si="7"/>
        <v>559125.96401028335</v>
      </c>
      <c r="X72" s="6">
        <f>'Long Term Deals'!CA72</f>
        <v>34858.611825192798</v>
      </c>
      <c r="Y72" s="57">
        <f>[2]Sheet1!$AL113</f>
        <v>737968.20294099324</v>
      </c>
      <c r="Z72" s="1">
        <f>[3]Sheet1!$O86</f>
        <v>-93806.692697795632</v>
      </c>
      <c r="AA72" s="1">
        <f>'[4]Long Term Deals'!$Z71</f>
        <v>-42554.421177670738</v>
      </c>
      <c r="AB72" s="60">
        <f t="shared" si="5"/>
        <v>1313487.8266462088</v>
      </c>
      <c r="AC72" s="60">
        <f t="shared" si="8"/>
        <v>575519.62370521552</v>
      </c>
      <c r="AD72" s="60">
        <f t="shared" si="9"/>
        <v>559125.96401028347</v>
      </c>
      <c r="AE72" s="28">
        <f>(W72-Z72+AA72)/(B72+C72+D72)/'Prices&amp;Fuel'!H72</f>
        <v>8.7550565494590255E-2</v>
      </c>
      <c r="AF72" s="3">
        <v>226000</v>
      </c>
      <c r="AG72" s="1">
        <f>((((I72*'Prices&amp;Fuel'!B72+'Prices&amp;Fuel'!C72*FPL!J72+FPL!K72*'Prices&amp;Fuel'!D72))+(L72*'Prices&amp;Fuel'!B72+'Prices&amp;Fuel'!C72*FPL!M72))*'Prices&amp;Fuel'!H72)+(I72+J72+K72)*'Prices&amp;Fuel'!H72*FPL!T72+Q72/2</f>
        <v>20185536.885000002</v>
      </c>
      <c r="AH72" s="1">
        <f>(N72*'Prices&amp;Fuel'!B72+'Prices&amp;Fuel'!C72*O72+P72*'Prices&amp;Fuel'!D72)*'Prices&amp;Fuel'!H72+(N72+O72+P72)*'Prices&amp;Fuel'!H72*FPL!T72+Q72/2</f>
        <v>9882193.7062596399</v>
      </c>
      <c r="AI72" s="1">
        <f>R72*'Prices&amp;Fuel'!H72*'Prices&amp;Fuel'!Q72</f>
        <v>0</v>
      </c>
      <c r="AJ72" s="52">
        <f>SUM(AG72:AI72)-'Long Term Deals'!AZ72</f>
        <v>0</v>
      </c>
    </row>
    <row r="73" spans="1:36" ht="10.199999999999999" x14ac:dyDescent="0.2">
      <c r="A73" s="10">
        <f t="shared" si="6"/>
        <v>37817.333333333168</v>
      </c>
      <c r="B73" s="1">
        <f>'Long Term Deals'!AF73</f>
        <v>155269.92287917738</v>
      </c>
      <c r="C73" s="1">
        <f>'Long Term Deals'!AG73</f>
        <v>0</v>
      </c>
      <c r="D73" s="1">
        <f>'Long Term Deals'!AH73</f>
        <v>77120.822622107968</v>
      </c>
      <c r="E73" s="1">
        <f>'Long Term Deals'!AI73</f>
        <v>0</v>
      </c>
      <c r="F73" s="1">
        <f>'Long Term Deals'!AJ73</f>
        <v>0</v>
      </c>
      <c r="G73" s="1">
        <f>'Long Term Deals'!AK73</f>
        <v>0</v>
      </c>
      <c r="H73" s="1">
        <f>'Long Term Deals'!AL73</f>
        <v>0</v>
      </c>
      <c r="I73" s="1">
        <f>'Long Term Deals'!AM73</f>
        <v>37635</v>
      </c>
      <c r="J73" s="1">
        <f>'Long Term Deals'!AN73</f>
        <v>0</v>
      </c>
      <c r="K73" s="1">
        <f>'Long Term Deals'!AO73</f>
        <v>38560</v>
      </c>
      <c r="L73" s="1">
        <f>'Long Term Deals'!AP73</f>
        <v>80000</v>
      </c>
      <c r="M73" s="1">
        <f>'Long Term Deals'!AQ73</f>
        <v>0</v>
      </c>
      <c r="N73" s="1">
        <f>'Long Term Deals'!AR73</f>
        <v>37634.922879177378</v>
      </c>
      <c r="O73" s="1">
        <f>'Long Term Deals'!AS73</f>
        <v>0</v>
      </c>
      <c r="P73" s="1">
        <f>'Long Term Deals'!AT73</f>
        <v>38560.822622107968</v>
      </c>
      <c r="Q73" s="1">
        <f>'Long Term Deals'!AU73</f>
        <v>0</v>
      </c>
      <c r="R73" s="1">
        <f>'Long Term Deals'!AV73</f>
        <v>0</v>
      </c>
      <c r="S73" s="20">
        <f>'Long Term Deals'!AW73</f>
        <v>0.08</v>
      </c>
      <c r="T73" s="20">
        <f>'Long Term Deals'!AX73</f>
        <v>2.5000000000000001E-2</v>
      </c>
      <c r="U73" s="1">
        <f>'Long Term Deals'!AY73</f>
        <v>31574990.231362469</v>
      </c>
      <c r="V73" s="1">
        <f>'Long Term Deals'!AZ73</f>
        <v>30997226.73521851</v>
      </c>
      <c r="W73" s="6">
        <f t="shared" si="7"/>
        <v>577763.49614395946</v>
      </c>
      <c r="X73" s="6">
        <f>'Long Term Deals'!CA73</f>
        <v>36020.565552699227</v>
      </c>
      <c r="Y73" s="57">
        <f>[2]Sheet1!$AL114</f>
        <v>762567.14303902641</v>
      </c>
      <c r="Z73" s="1">
        <f>[3]Sheet1!$O87</f>
        <v>-96933.582454388787</v>
      </c>
      <c r="AA73" s="1">
        <f>'[4]Long Term Deals'!$Z72</f>
        <v>-43972.901883593106</v>
      </c>
      <c r="AB73" s="60">
        <f t="shared" si="5"/>
        <v>1357270.7542010823</v>
      </c>
      <c r="AC73" s="60">
        <f t="shared" si="8"/>
        <v>594703.61116205587</v>
      </c>
      <c r="AD73" s="60">
        <f t="shared" si="9"/>
        <v>577763.49614395946</v>
      </c>
      <c r="AE73" s="28">
        <f>(W73-Z73+AA73)/(B73+C73+D73)/'Prices&amp;Fuel'!H73</f>
        <v>8.7550565494590255E-2</v>
      </c>
      <c r="AF73" s="3">
        <v>226000</v>
      </c>
      <c r="AG73" s="1">
        <f>((((I73*'Prices&amp;Fuel'!B73+'Prices&amp;Fuel'!C73*FPL!J73+FPL!K73*'Prices&amp;Fuel'!D73))+(L73*'Prices&amp;Fuel'!B73+'Prices&amp;Fuel'!C73*FPL!M73))*'Prices&amp;Fuel'!H73)+(I73+J73+K73)*'Prices&amp;Fuel'!H73*FPL!T73+Q73/2</f>
        <v>20809483.460000001</v>
      </c>
      <c r="AH73" s="1">
        <f>(N73*'Prices&amp;Fuel'!B73+'Prices&amp;Fuel'!C73*O73+P73*'Prices&amp;Fuel'!D73)*'Prices&amp;Fuel'!H73+(N73+O73+P73)*'Prices&amp;Fuel'!H73*FPL!T73+Q73/2</f>
        <v>10187743.275218507</v>
      </c>
      <c r="AI73" s="1">
        <f>R73*'Prices&amp;Fuel'!H73*'Prices&amp;Fuel'!Q73</f>
        <v>0</v>
      </c>
      <c r="AJ73" s="52">
        <f>SUM(AG73:AI73)-'Long Term Deals'!AZ73</f>
        <v>0</v>
      </c>
    </row>
    <row r="74" spans="1:36" ht="10.199999999999999" x14ac:dyDescent="0.2">
      <c r="A74" s="10">
        <f t="shared" si="6"/>
        <v>37847.749999999833</v>
      </c>
      <c r="B74" s="1">
        <f>'Long Term Deals'!AF74</f>
        <v>155269.92287917738</v>
      </c>
      <c r="C74" s="1">
        <f>'Long Term Deals'!AG74</f>
        <v>0</v>
      </c>
      <c r="D74" s="1">
        <f>'Long Term Deals'!AH74</f>
        <v>77120.822622107968</v>
      </c>
      <c r="E74" s="1">
        <f>'Long Term Deals'!AI74</f>
        <v>0</v>
      </c>
      <c r="F74" s="1">
        <f>'Long Term Deals'!AJ74</f>
        <v>0</v>
      </c>
      <c r="G74" s="1">
        <f>'Long Term Deals'!AK74</f>
        <v>0</v>
      </c>
      <c r="H74" s="1">
        <f>'Long Term Deals'!AL74</f>
        <v>0</v>
      </c>
      <c r="I74" s="1">
        <f>'Long Term Deals'!AM74</f>
        <v>37635</v>
      </c>
      <c r="J74" s="1">
        <f>'Long Term Deals'!AN74</f>
        <v>0</v>
      </c>
      <c r="K74" s="1">
        <f>'Long Term Deals'!AO74</f>
        <v>38560</v>
      </c>
      <c r="L74" s="1">
        <f>'Long Term Deals'!AP74</f>
        <v>80000</v>
      </c>
      <c r="M74" s="1">
        <f>'Long Term Deals'!AQ74</f>
        <v>0</v>
      </c>
      <c r="N74" s="1">
        <f>'Long Term Deals'!AR74</f>
        <v>37634.922879177378</v>
      </c>
      <c r="O74" s="1">
        <f>'Long Term Deals'!AS74</f>
        <v>0</v>
      </c>
      <c r="P74" s="1">
        <f>'Long Term Deals'!AT74</f>
        <v>38560.822622107968</v>
      </c>
      <c r="Q74" s="1">
        <f>'Long Term Deals'!AU74</f>
        <v>0</v>
      </c>
      <c r="R74" s="1">
        <f>'Long Term Deals'!AV74</f>
        <v>0</v>
      </c>
      <c r="S74" s="20">
        <f>'Long Term Deals'!AW74</f>
        <v>0.08</v>
      </c>
      <c r="T74" s="20">
        <f>'Long Term Deals'!AX74</f>
        <v>2.5000000000000001E-2</v>
      </c>
      <c r="U74" s="1">
        <f>'Long Term Deals'!AY74</f>
        <v>27645866.94087404</v>
      </c>
      <c r="V74" s="1">
        <f>'Long Term Deals'!AZ74</f>
        <v>27068103.444730081</v>
      </c>
      <c r="W74" s="6">
        <f t="shared" si="7"/>
        <v>577763.49614395946</v>
      </c>
      <c r="X74" s="6">
        <f>'Long Term Deals'!CA74</f>
        <v>36020.565552699227</v>
      </c>
      <c r="Y74" s="57">
        <f>[2]Sheet1!$AL115</f>
        <v>762567.14303902641</v>
      </c>
      <c r="Z74" s="1">
        <f>[3]Sheet1!$O88</f>
        <v>-96933.582454388787</v>
      </c>
      <c r="AA74" s="1">
        <f>'[4]Long Term Deals'!$Z73</f>
        <v>-43972.901883593106</v>
      </c>
      <c r="AB74" s="60">
        <f t="shared" si="5"/>
        <v>1357270.7542010823</v>
      </c>
      <c r="AC74" s="60">
        <f t="shared" si="8"/>
        <v>594703.61116205587</v>
      </c>
      <c r="AD74" s="60">
        <f t="shared" si="9"/>
        <v>577763.49614395946</v>
      </c>
      <c r="AE74" s="28">
        <f>(W74-Z74+AA74)/(B74+C74+D74)/'Prices&amp;Fuel'!H74</f>
        <v>8.7550565494590255E-2</v>
      </c>
      <c r="AF74" s="3">
        <v>226000</v>
      </c>
      <c r="AG74" s="1">
        <f>((((I74*'Prices&amp;Fuel'!B74+'Prices&amp;Fuel'!C74*FPL!J74+FPL!K74*'Prices&amp;Fuel'!D74))+(L74*'Prices&amp;Fuel'!B74+'Prices&amp;Fuel'!C74*FPL!M74))*'Prices&amp;Fuel'!H74)+(I74+J74+K74)*'Prices&amp;Fuel'!H74*FPL!T74+Q74/2</f>
        <v>18168632.116999999</v>
      </c>
      <c r="AH74" s="1">
        <f>(N74*'Prices&amp;Fuel'!B74+'Prices&amp;Fuel'!C74*O74+P74*'Prices&amp;Fuel'!D74)*'Prices&amp;Fuel'!H74+(N74+O74+P74)*'Prices&amp;Fuel'!H74*FPL!T74+Q74/2</f>
        <v>8899471.3277300783</v>
      </c>
      <c r="AI74" s="1">
        <f>R74*'Prices&amp;Fuel'!H74*'Prices&amp;Fuel'!Q74</f>
        <v>0</v>
      </c>
      <c r="AJ74" s="52">
        <f>SUM(AG74:AI74)-'Long Term Deals'!AZ74</f>
        <v>0</v>
      </c>
    </row>
    <row r="75" spans="1:36" ht="10.199999999999999" x14ac:dyDescent="0.2">
      <c r="A75" s="10">
        <f t="shared" si="6"/>
        <v>37878.166666666497</v>
      </c>
      <c r="B75" s="1">
        <f>'Long Term Deals'!AF75</f>
        <v>155269.92287917738</v>
      </c>
      <c r="C75" s="1">
        <f>'Long Term Deals'!AG75</f>
        <v>0</v>
      </c>
      <c r="D75" s="1">
        <f>'Long Term Deals'!AH75</f>
        <v>77120.822622107968</v>
      </c>
      <c r="E75" s="1">
        <f>'Long Term Deals'!AI75</f>
        <v>0</v>
      </c>
      <c r="F75" s="1">
        <f>'Long Term Deals'!AJ75</f>
        <v>0</v>
      </c>
      <c r="G75" s="1">
        <f>'Long Term Deals'!AK75</f>
        <v>0</v>
      </c>
      <c r="H75" s="1">
        <f>'Long Term Deals'!AL75</f>
        <v>0</v>
      </c>
      <c r="I75" s="1">
        <f>'Long Term Deals'!AM75</f>
        <v>37635</v>
      </c>
      <c r="J75" s="1">
        <f>'Long Term Deals'!AN75</f>
        <v>0</v>
      </c>
      <c r="K75" s="1">
        <f>'Long Term Deals'!AO75</f>
        <v>38560</v>
      </c>
      <c r="L75" s="1">
        <f>'Long Term Deals'!AP75</f>
        <v>80000</v>
      </c>
      <c r="M75" s="1">
        <f>'Long Term Deals'!AQ75</f>
        <v>0</v>
      </c>
      <c r="N75" s="1">
        <f>'Long Term Deals'!AR75</f>
        <v>37634.922879177378</v>
      </c>
      <c r="O75" s="1">
        <f>'Long Term Deals'!AS75</f>
        <v>0</v>
      </c>
      <c r="P75" s="1">
        <f>'Long Term Deals'!AT75</f>
        <v>38560.822622107968</v>
      </c>
      <c r="Q75" s="1">
        <f>'Long Term Deals'!AU75</f>
        <v>0</v>
      </c>
      <c r="R75" s="1">
        <f>'Long Term Deals'!AV75</f>
        <v>0</v>
      </c>
      <c r="S75" s="20">
        <f>'Long Term Deals'!AW75</f>
        <v>0.08</v>
      </c>
      <c r="T75" s="20">
        <f>'Long Term Deals'!AX75</f>
        <v>2.5000000000000001E-2</v>
      </c>
      <c r="U75" s="1">
        <f>'Long Term Deals'!AY75</f>
        <v>32175973.264781497</v>
      </c>
      <c r="V75" s="1">
        <f>'Long Term Deals'!AZ75</f>
        <v>31616847.300771218</v>
      </c>
      <c r="W75" s="6">
        <f t="shared" si="7"/>
        <v>559125.96401027963</v>
      </c>
      <c r="X75" s="6">
        <f>'Long Term Deals'!CA75</f>
        <v>34858.611825192798</v>
      </c>
      <c r="Y75" s="57">
        <f>[2]Sheet1!$AL116</f>
        <v>737968.20294099324</v>
      </c>
      <c r="Z75" s="1">
        <f>[3]Sheet1!$O89</f>
        <v>-93806.692697795632</v>
      </c>
      <c r="AA75" s="1">
        <f>'[4]Long Term Deals'!$Z74</f>
        <v>-42554.421177670738</v>
      </c>
      <c r="AB75" s="60">
        <f t="shared" si="5"/>
        <v>1313487.826646205</v>
      </c>
      <c r="AC75" s="60">
        <f t="shared" si="8"/>
        <v>575519.62370521179</v>
      </c>
      <c r="AD75" s="60">
        <f t="shared" si="9"/>
        <v>559125.96401027974</v>
      </c>
      <c r="AE75" s="28">
        <f>(W75-Z75+AA75)/(B75+C75+D75)/'Prices&amp;Fuel'!H75</f>
        <v>8.7550565494589713E-2</v>
      </c>
      <c r="AF75" s="3">
        <v>226000</v>
      </c>
      <c r="AG75" s="1">
        <f>((((I75*'Prices&amp;Fuel'!B75+'Prices&amp;Fuel'!C75*FPL!J75+FPL!K75*'Prices&amp;Fuel'!D75))+(L75*'Prices&amp;Fuel'!B75+'Prices&amp;Fuel'!C75*FPL!M75))*'Prices&amp;Fuel'!H75)+(I75+J75+K75)*'Prices&amp;Fuel'!H75*FPL!T75+Q75/2</f>
        <v>21226732.755000003</v>
      </c>
      <c r="AH75" s="1">
        <f>(N75*'Prices&amp;Fuel'!B75+'Prices&amp;Fuel'!C75*O75+P75*'Prices&amp;Fuel'!D75)*'Prices&amp;Fuel'!H75+(N75+O75+P75)*'Prices&amp;Fuel'!H75*FPL!T75+Q75/2</f>
        <v>10390114.54577121</v>
      </c>
      <c r="AI75" s="1">
        <f>R75*'Prices&amp;Fuel'!H75*'Prices&amp;Fuel'!Q75</f>
        <v>0</v>
      </c>
      <c r="AJ75" s="52">
        <f>SUM(AG75:AI75)-'Long Term Deals'!AZ75</f>
        <v>0</v>
      </c>
    </row>
    <row r="76" spans="1:36" ht="10.199999999999999" x14ac:dyDescent="0.2">
      <c r="A76" s="10">
        <f t="shared" si="6"/>
        <v>37908.583333333161</v>
      </c>
      <c r="B76" s="1">
        <f>'Long Term Deals'!AF76</f>
        <v>58611.825192802062</v>
      </c>
      <c r="C76" s="1">
        <f>'Long Term Deals'!AG76</f>
        <v>0</v>
      </c>
      <c r="D76" s="1">
        <f>'Long Term Deals'!AH76</f>
        <v>77120.822622107968</v>
      </c>
      <c r="E76" s="1">
        <f>'Long Term Deals'!AI76</f>
        <v>0</v>
      </c>
      <c r="F76" s="1">
        <f>'Long Term Deals'!AJ76</f>
        <v>0</v>
      </c>
      <c r="G76" s="1">
        <f>'Long Term Deals'!AK76</f>
        <v>0</v>
      </c>
      <c r="H76" s="1">
        <f>'Long Term Deals'!AL76</f>
        <v>0</v>
      </c>
      <c r="I76" s="1">
        <f>'Long Term Deals'!AM76</f>
        <v>0</v>
      </c>
      <c r="J76" s="1">
        <f>'Long Term Deals'!AN76</f>
        <v>0</v>
      </c>
      <c r="K76" s="1">
        <f>'Long Term Deals'!AO76</f>
        <v>38560</v>
      </c>
      <c r="L76" s="1">
        <f>'Long Term Deals'!AP76</f>
        <v>58611.825192802062</v>
      </c>
      <c r="M76" s="1">
        <f>'Long Term Deals'!AQ76</f>
        <v>0</v>
      </c>
      <c r="N76" s="1">
        <f>'Long Term Deals'!AR76</f>
        <v>0</v>
      </c>
      <c r="O76" s="1">
        <f>'Long Term Deals'!AS76</f>
        <v>0</v>
      </c>
      <c r="P76" s="1">
        <f>'Long Term Deals'!AT76</f>
        <v>38560.822622107968</v>
      </c>
      <c r="Q76" s="1">
        <f>'Long Term Deals'!AU76</f>
        <v>0</v>
      </c>
      <c r="R76" s="1">
        <f>'Long Term Deals'!AV76</f>
        <v>0</v>
      </c>
      <c r="S76" s="20">
        <f>'Long Term Deals'!AW76</f>
        <v>0.08</v>
      </c>
      <c r="T76" s="20">
        <f>'Long Term Deals'!AX76</f>
        <v>2.5000000000000001E-2</v>
      </c>
      <c r="U76" s="1">
        <f>'Long Term Deals'!AY76</f>
        <v>22369000.719794348</v>
      </c>
      <c r="V76" s="1">
        <f>'Long Term Deals'!AZ76</f>
        <v>21972615.115681238</v>
      </c>
      <c r="W76" s="6">
        <f t="shared" si="7"/>
        <v>396385.60411310941</v>
      </c>
      <c r="X76" s="6">
        <f>'Long Term Deals'!CA76</f>
        <v>21038.560411311057</v>
      </c>
      <c r="Y76" s="57">
        <f>[2]Sheet1!$AL117</f>
        <v>762567.14303902641</v>
      </c>
      <c r="Z76" s="1">
        <f>[3]Sheet1!$O90</f>
        <v>-56616.074707873078</v>
      </c>
      <c r="AA76" s="1">
        <f>'[4]Long Term Deals'!$Z75</f>
        <v>-34895.062969705476</v>
      </c>
      <c r="AB76" s="60">
        <f t="shared" si="5"/>
        <v>1159635.1984789923</v>
      </c>
      <c r="AC76" s="60">
        <f t="shared" si="8"/>
        <v>397068.05543996592</v>
      </c>
      <c r="AD76" s="60">
        <f t="shared" si="9"/>
        <v>396385.60411310941</v>
      </c>
      <c r="AE76" s="28">
        <f>(W76-Z76+AA76)/(B76+C76+D76)/'Prices&amp;Fuel'!H76</f>
        <v>9.9366736049698631E-2</v>
      </c>
      <c r="AF76" s="3">
        <v>132000</v>
      </c>
      <c r="AG76" s="1">
        <f>((((I76*'Prices&amp;Fuel'!B76+'Prices&amp;Fuel'!C76*FPL!J76+FPL!K76*'Prices&amp;Fuel'!D76))+(L76*'Prices&amp;Fuel'!B76+'Prices&amp;Fuel'!C76*FPL!M76))*'Prices&amp;Fuel'!H76)+(I76+J76+K76)*'Prices&amp;Fuel'!H76*FPL!T76+Q76/2</f>
        <v>15712261.706899745</v>
      </c>
      <c r="AH76" s="1">
        <f>(N76*'Prices&amp;Fuel'!B76+'Prices&amp;Fuel'!C76*O76+P76*'Prices&amp;Fuel'!D76)*'Prices&amp;Fuel'!H76+(N76+O76+P76)*'Prices&amp;Fuel'!H76*FPL!T76+Q76/2</f>
        <v>6260353.4087814912</v>
      </c>
      <c r="AI76" s="1">
        <f>R76*'Prices&amp;Fuel'!H76*'Prices&amp;Fuel'!Q76</f>
        <v>0</v>
      </c>
      <c r="AJ76" s="52">
        <f>SUM(AG76:AI76)-'Long Term Deals'!AZ76</f>
        <v>0</v>
      </c>
    </row>
    <row r="77" spans="1:36" ht="10.199999999999999" x14ac:dyDescent="0.2">
      <c r="A77" s="10">
        <f t="shared" si="6"/>
        <v>37938.999999999825</v>
      </c>
      <c r="B77" s="1">
        <f>'Long Term Deals'!AF77</f>
        <v>58611.825192802062</v>
      </c>
      <c r="C77" s="1">
        <f>'Long Term Deals'!AG77</f>
        <v>0</v>
      </c>
      <c r="D77" s="1">
        <f>'Long Term Deals'!AH77</f>
        <v>77120.822622107968</v>
      </c>
      <c r="E77" s="1">
        <f>'Long Term Deals'!AI77</f>
        <v>0</v>
      </c>
      <c r="F77" s="1">
        <f>'Long Term Deals'!AJ77</f>
        <v>0</v>
      </c>
      <c r="G77" s="1">
        <f>'Long Term Deals'!AK77</f>
        <v>0</v>
      </c>
      <c r="H77" s="1">
        <f>'Long Term Deals'!AL77</f>
        <v>0</v>
      </c>
      <c r="I77" s="1">
        <f>'Long Term Deals'!AM77</f>
        <v>0</v>
      </c>
      <c r="J77" s="1">
        <f>'Long Term Deals'!AN77</f>
        <v>0</v>
      </c>
      <c r="K77" s="1">
        <f>'Long Term Deals'!AO77</f>
        <v>38560</v>
      </c>
      <c r="L77" s="1">
        <f>'Long Term Deals'!AP77</f>
        <v>58611.825192802062</v>
      </c>
      <c r="M77" s="1">
        <f>'Long Term Deals'!AQ77</f>
        <v>0</v>
      </c>
      <c r="N77" s="1">
        <f>'Long Term Deals'!AR77</f>
        <v>0</v>
      </c>
      <c r="O77" s="1">
        <f>'Long Term Deals'!AS77</f>
        <v>0</v>
      </c>
      <c r="P77" s="1">
        <f>'Long Term Deals'!AT77</f>
        <v>38560.822622107968</v>
      </c>
      <c r="Q77" s="1">
        <f>'Long Term Deals'!AU77</f>
        <v>0</v>
      </c>
      <c r="R77" s="1">
        <f>'Long Term Deals'!AV77</f>
        <v>0</v>
      </c>
      <c r="S77" s="20">
        <f>'Long Term Deals'!AW77</f>
        <v>0.08</v>
      </c>
      <c r="T77" s="20">
        <f>'Long Term Deals'!AX77</f>
        <v>2.5000000000000001E-2</v>
      </c>
      <c r="U77" s="1">
        <f>'Long Term Deals'!AY77</f>
        <v>14532450.385604115</v>
      </c>
      <c r="V77" s="1">
        <f>'Long Term Deals'!AZ77</f>
        <v>14148851.413881751</v>
      </c>
      <c r="W77" s="6">
        <f t="shared" si="7"/>
        <v>383598.97172236443</v>
      </c>
      <c r="X77" s="6">
        <f>'Long Term Deals'!CA77</f>
        <v>20359.897172236506</v>
      </c>
      <c r="Y77" s="57">
        <f>[2]Sheet1!$AL118</f>
        <v>737968.20294099324</v>
      </c>
      <c r="Z77" s="1">
        <f>[3]Sheet1!$O91</f>
        <v>-54789.749717296538</v>
      </c>
      <c r="AA77" s="1">
        <f>'[4]Long Term Deals'!$Z76</f>
        <v>-33769.415777134331</v>
      </c>
      <c r="AB77" s="60">
        <f t="shared" si="5"/>
        <v>1122227.6114312832</v>
      </c>
      <c r="AC77" s="60">
        <f t="shared" si="8"/>
        <v>384259.40849028993</v>
      </c>
      <c r="AD77" s="60">
        <f t="shared" si="9"/>
        <v>383598.97172236425</v>
      </c>
      <c r="AE77" s="28">
        <f>(W77-Z77+AA77)/(B77+C77+D77)/'Prices&amp;Fuel'!H77</f>
        <v>9.936673604969877E-2</v>
      </c>
      <c r="AF77" s="3">
        <v>132000</v>
      </c>
      <c r="AG77" s="1">
        <f>((((I77*'Prices&amp;Fuel'!B77+'Prices&amp;Fuel'!C77*FPL!J77+FPL!K77*'Prices&amp;Fuel'!D77))+(L77*'Prices&amp;Fuel'!B77+'Prices&amp;Fuel'!C77*FPL!M77))*'Prices&amp;Fuel'!H77)+(I77+J77+K77)*'Prices&amp;Fuel'!H77*FPL!T77+Q77/2</f>
        <v>10111764.65028278</v>
      </c>
      <c r="AH77" s="1">
        <f>(N77*'Prices&amp;Fuel'!B77+'Prices&amp;Fuel'!C77*O77+P77*'Prices&amp;Fuel'!D77)*'Prices&amp;Fuel'!H77+(N77+O77+P77)*'Prices&amp;Fuel'!H77*FPL!T77+Q77/2</f>
        <v>4037086.7635989725</v>
      </c>
      <c r="AI77" s="1">
        <f>R77*'Prices&amp;Fuel'!H77*'Prices&amp;Fuel'!Q77</f>
        <v>0</v>
      </c>
      <c r="AJ77" s="52">
        <f>SUM(AG77:AI77)-'Long Term Deals'!AZ77</f>
        <v>0</v>
      </c>
    </row>
    <row r="78" spans="1:36" ht="10.199999999999999" x14ac:dyDescent="0.2">
      <c r="A78" s="10">
        <f t="shared" si="6"/>
        <v>37969.41666666649</v>
      </c>
      <c r="B78" s="1">
        <f>'Long Term Deals'!AF78</f>
        <v>58611.825192802062</v>
      </c>
      <c r="C78" s="1">
        <f>'Long Term Deals'!AG78</f>
        <v>0</v>
      </c>
      <c r="D78" s="1">
        <f>'Long Term Deals'!AH78</f>
        <v>77120.822622107968</v>
      </c>
      <c r="E78" s="1">
        <f>'Long Term Deals'!AI78</f>
        <v>0</v>
      </c>
      <c r="F78" s="1">
        <f>'Long Term Deals'!AJ78</f>
        <v>0</v>
      </c>
      <c r="G78" s="1">
        <f>'Long Term Deals'!AK78</f>
        <v>0</v>
      </c>
      <c r="H78" s="1">
        <f>'Long Term Deals'!AL78</f>
        <v>0</v>
      </c>
      <c r="I78" s="1">
        <f>'Long Term Deals'!AM78</f>
        <v>0</v>
      </c>
      <c r="J78" s="1">
        <f>'Long Term Deals'!AN78</f>
        <v>0</v>
      </c>
      <c r="K78" s="1">
        <f>'Long Term Deals'!AO78</f>
        <v>38560</v>
      </c>
      <c r="L78" s="1">
        <f>'Long Term Deals'!AP78</f>
        <v>58611.825192802062</v>
      </c>
      <c r="M78" s="1">
        <f>'Long Term Deals'!AQ78</f>
        <v>0</v>
      </c>
      <c r="N78" s="1">
        <f>'Long Term Deals'!AR78</f>
        <v>0</v>
      </c>
      <c r="O78" s="1">
        <f>'Long Term Deals'!AS78</f>
        <v>0</v>
      </c>
      <c r="P78" s="1">
        <f>'Long Term Deals'!AT78</f>
        <v>38560.822622107968</v>
      </c>
      <c r="Q78" s="1">
        <f>'Long Term Deals'!AU78</f>
        <v>0</v>
      </c>
      <c r="R78" s="1">
        <f>'Long Term Deals'!AV78</f>
        <v>0</v>
      </c>
      <c r="S78" s="20">
        <f>'Long Term Deals'!AW78</f>
        <v>0.08</v>
      </c>
      <c r="T78" s="20">
        <f>'Long Term Deals'!AX78</f>
        <v>2.5000000000000001E-2</v>
      </c>
      <c r="U78" s="1">
        <f>'Long Term Deals'!AY78</f>
        <v>11277050.899742935</v>
      </c>
      <c r="V78" s="1">
        <f>'Long Term Deals'!AZ78</f>
        <v>10880665.295629824</v>
      </c>
      <c r="W78" s="6">
        <f t="shared" si="7"/>
        <v>396385.60411311127</v>
      </c>
      <c r="X78" s="6">
        <f>'Long Term Deals'!CA78</f>
        <v>21038.560411311057</v>
      </c>
      <c r="Y78" s="57">
        <f>[2]Sheet1!$AL119</f>
        <v>762567.14303902641</v>
      </c>
      <c r="Z78" s="1">
        <f>[3]Sheet1!$O92</f>
        <v>-56616.074707873078</v>
      </c>
      <c r="AA78" s="1">
        <f>'[4]Long Term Deals'!$Z77</f>
        <v>-34895.062969705476</v>
      </c>
      <c r="AB78" s="60">
        <f t="shared" ref="AB78:AB141" si="10">-Z78+AA78+Y78+W78-X78</f>
        <v>1159635.1984789942</v>
      </c>
      <c r="AC78" s="60">
        <f t="shared" si="8"/>
        <v>397068.05543996778</v>
      </c>
      <c r="AD78" s="60">
        <f t="shared" si="9"/>
        <v>396385.60411311127</v>
      </c>
      <c r="AE78" s="28">
        <f>(W78-Z78+AA78)/(B78+C78+D78)/'Prices&amp;Fuel'!H78</f>
        <v>9.9366736049699075E-2</v>
      </c>
      <c r="AF78" s="3">
        <v>132000</v>
      </c>
      <c r="AG78" s="1">
        <f>((((I78*'Prices&amp;Fuel'!B78+'Prices&amp;Fuel'!C78*FPL!J78+FPL!K78*'Prices&amp;Fuel'!D78))+(L78*'Prices&amp;Fuel'!B78+'Prices&amp;Fuel'!C78*FPL!M78))*'Prices&amp;Fuel'!H78)+(I78+J78+K78)*'Prices&amp;Fuel'!H78*FPL!T78+Q78/2</f>
        <v>7771467.6067866357</v>
      </c>
      <c r="AH78" s="1">
        <f>(N78*'Prices&amp;Fuel'!B78+'Prices&amp;Fuel'!C78*O78+P78*'Prices&amp;Fuel'!D78)*'Prices&amp;Fuel'!H78+(N78+O78+P78)*'Prices&amp;Fuel'!H78*FPL!T78+Q78/2</f>
        <v>3109197.6888431888</v>
      </c>
      <c r="AI78" s="1">
        <f>R78*'Prices&amp;Fuel'!H78*'Prices&amp;Fuel'!Q78</f>
        <v>0</v>
      </c>
      <c r="AJ78" s="52">
        <f>SUM(AG78:AI78)-'Long Term Deals'!AZ78</f>
        <v>0</v>
      </c>
    </row>
    <row r="79" spans="1:36" ht="10.199999999999999" x14ac:dyDescent="0.2">
      <c r="A79" s="10">
        <f t="shared" si="6"/>
        <v>37999.833333333154</v>
      </c>
      <c r="B79" s="1">
        <f>'Long Term Deals'!AF79</f>
        <v>58611.825192802062</v>
      </c>
      <c r="C79" s="1">
        <f>'Long Term Deals'!AG79</f>
        <v>0</v>
      </c>
      <c r="D79" s="1">
        <f>'Long Term Deals'!AH79</f>
        <v>77120.822622107968</v>
      </c>
      <c r="E79" s="1">
        <f>'Long Term Deals'!AI79</f>
        <v>0</v>
      </c>
      <c r="F79" s="1">
        <f>'Long Term Deals'!AJ79</f>
        <v>0</v>
      </c>
      <c r="G79" s="1">
        <f>'Long Term Deals'!AK79</f>
        <v>0</v>
      </c>
      <c r="H79" s="1">
        <f>'Long Term Deals'!AL79</f>
        <v>0</v>
      </c>
      <c r="I79" s="1">
        <f>'Long Term Deals'!AM79</f>
        <v>0</v>
      </c>
      <c r="J79" s="1">
        <f>'Long Term Deals'!AN79</f>
        <v>0</v>
      </c>
      <c r="K79" s="1">
        <f>'Long Term Deals'!AO79</f>
        <v>38560</v>
      </c>
      <c r="L79" s="1">
        <f>'Long Term Deals'!AP79</f>
        <v>58611.825192802062</v>
      </c>
      <c r="M79" s="1">
        <f>'Long Term Deals'!AQ79</f>
        <v>0</v>
      </c>
      <c r="N79" s="1">
        <f>'Long Term Deals'!AR79</f>
        <v>0</v>
      </c>
      <c r="O79" s="1">
        <f>'Long Term Deals'!AS79</f>
        <v>0</v>
      </c>
      <c r="P79" s="1">
        <f>'Long Term Deals'!AT79</f>
        <v>38560.822622107968</v>
      </c>
      <c r="Q79" s="1">
        <f>'Long Term Deals'!AU79</f>
        <v>0</v>
      </c>
      <c r="R79" s="1">
        <f>'Long Term Deals'!AV79</f>
        <v>0</v>
      </c>
      <c r="S79" s="20">
        <f>'Long Term Deals'!AW79</f>
        <v>7.0000000000000007E-2</v>
      </c>
      <c r="T79" s="20">
        <f>'Long Term Deals'!AX79</f>
        <v>2.5000000000000001E-2</v>
      </c>
      <c r="U79" s="1">
        <f>'Long Term Deals'!AY79</f>
        <v>9929013.5568123423</v>
      </c>
      <c r="V79" s="1">
        <f>'Long Term Deals'!AZ79</f>
        <v>9574705.0735218544</v>
      </c>
      <c r="W79" s="6">
        <f t="shared" si="7"/>
        <v>354308.4832904879</v>
      </c>
      <c r="X79" s="6">
        <f>'Long Term Deals'!CA79</f>
        <v>21038.560411311057</v>
      </c>
      <c r="Y79" s="57">
        <f>[2]Sheet1!$AL120</f>
        <v>762567.14303902641</v>
      </c>
      <c r="Z79" s="1">
        <f>[3]Sheet1!$O94</f>
        <v>-98823.398070431052</v>
      </c>
      <c r="AA79" s="1">
        <f>'[4]Long Term Deals'!$Z78</f>
        <v>-34895.062969705476</v>
      </c>
      <c r="AB79" s="60">
        <f t="shared" si="10"/>
        <v>1159765.401018929</v>
      </c>
      <c r="AC79" s="60">
        <f t="shared" si="8"/>
        <v>397198.25797990256</v>
      </c>
      <c r="AD79" s="60">
        <f t="shared" si="9"/>
        <v>354308.48329048802</v>
      </c>
      <c r="AE79" s="28">
        <f>(W79-Z79+AA79)/(B79+C79+D79)/'Prices&amp;Fuel'!H79</f>
        <v>9.9397679835155184E-2</v>
      </c>
      <c r="AF79" s="3">
        <v>132000</v>
      </c>
      <c r="AG79" s="1">
        <f>((((I79*'Prices&amp;Fuel'!B79+'Prices&amp;Fuel'!C79*FPL!J79+FPL!K79*'Prices&amp;Fuel'!D79))+(L79*'Prices&amp;Fuel'!B79+'Prices&amp;Fuel'!C79*FPL!M79))*'Prices&amp;Fuel'!H79)+(I79+J79+K79)*'Prices&amp;Fuel'!H79*FPL!T79+Q79/2</f>
        <v>6836522.768869102</v>
      </c>
      <c r="AH79" s="1">
        <f>(N79*'Prices&amp;Fuel'!B79+'Prices&amp;Fuel'!C79*O79+P79*'Prices&amp;Fuel'!D79)*'Prices&amp;Fuel'!H79+(N79+O79+P79)*'Prices&amp;Fuel'!H79*FPL!T79+Q79/2</f>
        <v>2738182.3046527514</v>
      </c>
      <c r="AI79" s="1">
        <f>R79*'Prices&amp;Fuel'!H79*'Prices&amp;Fuel'!Q79</f>
        <v>0</v>
      </c>
      <c r="AJ79" s="52">
        <f>SUM(AG79:AI79)-'Long Term Deals'!AZ79</f>
        <v>0</v>
      </c>
    </row>
    <row r="80" spans="1:36" ht="10.199999999999999" x14ac:dyDescent="0.2">
      <c r="A80" s="10">
        <f t="shared" si="6"/>
        <v>38030.249999999818</v>
      </c>
      <c r="B80" s="1">
        <f>'Long Term Deals'!AF80</f>
        <v>58611.825192802062</v>
      </c>
      <c r="C80" s="1">
        <f>'Long Term Deals'!AG80</f>
        <v>0</v>
      </c>
      <c r="D80" s="1">
        <f>'Long Term Deals'!AH80</f>
        <v>77120.822622107968</v>
      </c>
      <c r="E80" s="1">
        <f>'Long Term Deals'!AI80</f>
        <v>0</v>
      </c>
      <c r="F80" s="1">
        <f>'Long Term Deals'!AJ80</f>
        <v>0</v>
      </c>
      <c r="G80" s="1">
        <f>'Long Term Deals'!AK80</f>
        <v>0</v>
      </c>
      <c r="H80" s="1">
        <f>'Long Term Deals'!AL80</f>
        <v>0</v>
      </c>
      <c r="I80" s="1">
        <f>'Long Term Deals'!AM80</f>
        <v>0</v>
      </c>
      <c r="J80" s="1">
        <f>'Long Term Deals'!AN80</f>
        <v>0</v>
      </c>
      <c r="K80" s="1">
        <f>'Long Term Deals'!AO80</f>
        <v>38560</v>
      </c>
      <c r="L80" s="1">
        <f>'Long Term Deals'!AP80</f>
        <v>58611.825192802062</v>
      </c>
      <c r="M80" s="1">
        <f>'Long Term Deals'!AQ80</f>
        <v>0</v>
      </c>
      <c r="N80" s="1">
        <f>'Long Term Deals'!AR80</f>
        <v>0</v>
      </c>
      <c r="O80" s="1">
        <f>'Long Term Deals'!AS80</f>
        <v>0</v>
      </c>
      <c r="P80" s="1">
        <f>'Long Term Deals'!AT80</f>
        <v>38560.822622107968</v>
      </c>
      <c r="Q80" s="1">
        <f>'Long Term Deals'!AU80</f>
        <v>0</v>
      </c>
      <c r="R80" s="1">
        <f>'Long Term Deals'!AV80</f>
        <v>0</v>
      </c>
      <c r="S80" s="20">
        <f>'Long Term Deals'!AW80</f>
        <v>7.0000000000000007E-2</v>
      </c>
      <c r="T80" s="20">
        <f>'Long Term Deals'!AX80</f>
        <v>2.5000000000000001E-2</v>
      </c>
      <c r="U80" s="1">
        <f>'Long Term Deals'!AY80</f>
        <v>10372580.680719795</v>
      </c>
      <c r="V80" s="1">
        <f>'Long Term Deals'!AZ80</f>
        <v>10041130.809254501</v>
      </c>
      <c r="W80" s="6">
        <f t="shared" si="7"/>
        <v>331449.87146529369</v>
      </c>
      <c r="X80" s="6">
        <f>'Long Term Deals'!CA80</f>
        <v>19681.233933161955</v>
      </c>
      <c r="Y80" s="57">
        <f>[2]Sheet1!$AL121</f>
        <v>713369.26284296019</v>
      </c>
      <c r="Z80" s="1">
        <f>[3]Sheet1!$O95</f>
        <v>-92447.694969112941</v>
      </c>
      <c r="AA80" s="1">
        <f>'[4]Long Term Deals'!$Z79</f>
        <v>-32643.768584563186</v>
      </c>
      <c r="AB80" s="60">
        <f t="shared" si="10"/>
        <v>1084941.8267596415</v>
      </c>
      <c r="AC80" s="60">
        <f t="shared" si="8"/>
        <v>371572.56391668133</v>
      </c>
      <c r="AD80" s="60">
        <f t="shared" si="9"/>
        <v>331449.87146529352</v>
      </c>
      <c r="AE80" s="28">
        <f>(W80-Z80+AA80)/(B80+C80+D80)/'Prices&amp;Fuel'!H80</f>
        <v>9.9397679835154837E-2</v>
      </c>
      <c r="AF80" s="3">
        <v>132000</v>
      </c>
      <c r="AG80" s="1">
        <f>((((I80*'Prices&amp;Fuel'!B80+'Prices&amp;Fuel'!C80*FPL!J80+FPL!K80*'Prices&amp;Fuel'!D80))+(L80*'Prices&amp;Fuel'!B80+'Prices&amp;Fuel'!C80*FPL!M80))*'Prices&amp;Fuel'!H80)+(I80+J80+K80)*'Prices&amp;Fuel'!H80*FPL!T80+Q80/2</f>
        <v>7171605.3684047312</v>
      </c>
      <c r="AH80" s="1">
        <f>(N80*'Prices&amp;Fuel'!B80+'Prices&amp;Fuel'!C80*O80+P80*'Prices&amp;Fuel'!D80)*'Prices&amp;Fuel'!H80+(N80+O80+P80)*'Prices&amp;Fuel'!H80*FPL!T80+Q80/2</f>
        <v>2869525.4408497689</v>
      </c>
      <c r="AI80" s="1">
        <f>R80*'Prices&amp;Fuel'!H80*'Prices&amp;Fuel'!Q80</f>
        <v>0</v>
      </c>
      <c r="AJ80" s="52">
        <f>SUM(AG80:AI80)-'Long Term Deals'!AZ80</f>
        <v>0</v>
      </c>
    </row>
    <row r="81" spans="1:36" ht="10.199999999999999" x14ac:dyDescent="0.2">
      <c r="A81" s="10">
        <f t="shared" si="6"/>
        <v>38060.666666666482</v>
      </c>
      <c r="B81" s="1">
        <f>'Long Term Deals'!AF81</f>
        <v>58611.825192802062</v>
      </c>
      <c r="C81" s="1">
        <f>'Long Term Deals'!AG81</f>
        <v>0</v>
      </c>
      <c r="D81" s="1">
        <f>'Long Term Deals'!AH81</f>
        <v>77120.822622107968</v>
      </c>
      <c r="E81" s="1">
        <f>'Long Term Deals'!AI81</f>
        <v>0</v>
      </c>
      <c r="F81" s="1">
        <f>'Long Term Deals'!AJ81</f>
        <v>0</v>
      </c>
      <c r="G81" s="1">
        <f>'Long Term Deals'!AK81</f>
        <v>0</v>
      </c>
      <c r="H81" s="1">
        <f>'Long Term Deals'!AL81</f>
        <v>0</v>
      </c>
      <c r="I81" s="1">
        <f>'Long Term Deals'!AM81</f>
        <v>0</v>
      </c>
      <c r="J81" s="1">
        <f>'Long Term Deals'!AN81</f>
        <v>0</v>
      </c>
      <c r="K81" s="1">
        <f>'Long Term Deals'!AO81</f>
        <v>38560</v>
      </c>
      <c r="L81" s="1">
        <f>'Long Term Deals'!AP81</f>
        <v>58611.825192802062</v>
      </c>
      <c r="M81" s="1">
        <f>'Long Term Deals'!AQ81</f>
        <v>0</v>
      </c>
      <c r="N81" s="1">
        <f>'Long Term Deals'!AR81</f>
        <v>0</v>
      </c>
      <c r="O81" s="1">
        <f>'Long Term Deals'!AS81</f>
        <v>0</v>
      </c>
      <c r="P81" s="1">
        <f>'Long Term Deals'!AT81</f>
        <v>38560.822622107968</v>
      </c>
      <c r="Q81" s="1">
        <f>'Long Term Deals'!AU81</f>
        <v>0</v>
      </c>
      <c r="R81" s="1">
        <f>'Long Term Deals'!AV81</f>
        <v>0</v>
      </c>
      <c r="S81" s="20">
        <f>'Long Term Deals'!AW81</f>
        <v>7.0000000000000007E-2</v>
      </c>
      <c r="T81" s="20">
        <f>'Long Term Deals'!AX81</f>
        <v>2.5000000000000001E-2</v>
      </c>
      <c r="U81" s="1">
        <f>'Long Term Deals'!AY81</f>
        <v>11087931.072493572</v>
      </c>
      <c r="V81" s="1">
        <f>'Long Term Deals'!AZ81</f>
        <v>10733622.589203086</v>
      </c>
      <c r="W81" s="6">
        <f t="shared" si="7"/>
        <v>354308.48329048604</v>
      </c>
      <c r="X81" s="6">
        <f>'Long Term Deals'!CA81</f>
        <v>21038.560411311057</v>
      </c>
      <c r="Y81" s="57">
        <f>[2]Sheet1!$AL122</f>
        <v>762567.14303902641</v>
      </c>
      <c r="Z81" s="1">
        <f>[3]Sheet1!$O96</f>
        <v>-98823.398070431052</v>
      </c>
      <c r="AA81" s="1">
        <f>'[4]Long Term Deals'!$Z80</f>
        <v>-34895.062969705476</v>
      </c>
      <c r="AB81" s="60">
        <f t="shared" si="10"/>
        <v>1159765.4010189271</v>
      </c>
      <c r="AC81" s="60">
        <f t="shared" si="8"/>
        <v>397198.25797990069</v>
      </c>
      <c r="AD81" s="60">
        <f t="shared" si="9"/>
        <v>354308.48329048615</v>
      </c>
      <c r="AE81" s="28">
        <f>(W81-Z81+AA81)/(B81+C81+D81)/'Prices&amp;Fuel'!H81</f>
        <v>9.9397679835154754E-2</v>
      </c>
      <c r="AF81" s="3">
        <v>132000</v>
      </c>
      <c r="AG81" s="1">
        <f>((((I81*'Prices&amp;Fuel'!B81+'Prices&amp;Fuel'!C81*FPL!J81+FPL!K81*'Prices&amp;Fuel'!D81))+(L81*'Prices&amp;Fuel'!B81+'Prices&amp;Fuel'!C81*FPL!M81))*'Prices&amp;Fuel'!H81)+(I81+J81+K81)*'Prices&amp;Fuel'!H81*FPL!T81+Q81/2</f>
        <v>7666198.8420878155</v>
      </c>
      <c r="AH81" s="1">
        <f>(N81*'Prices&amp;Fuel'!B81+'Prices&amp;Fuel'!C81*O81+P81*'Prices&amp;Fuel'!D81)*'Prices&amp;Fuel'!H81+(N81+O81+P81)*'Prices&amp;Fuel'!H81*FPL!T81+Q81/2</f>
        <v>3067423.7471152702</v>
      </c>
      <c r="AI81" s="1">
        <f>R81*'Prices&amp;Fuel'!H81*'Prices&amp;Fuel'!Q81</f>
        <v>0</v>
      </c>
      <c r="AJ81" s="52">
        <f>SUM(AG81:AI81)-'Long Term Deals'!AZ81</f>
        <v>0</v>
      </c>
    </row>
    <row r="82" spans="1:36" ht="10.199999999999999" x14ac:dyDescent="0.2">
      <c r="A82" s="10">
        <f t="shared" si="6"/>
        <v>38091.083333333147</v>
      </c>
      <c r="B82" s="1">
        <f>'Long Term Deals'!AF82</f>
        <v>58611.825192802062</v>
      </c>
      <c r="C82" s="1">
        <f>'Long Term Deals'!AG82</f>
        <v>0</v>
      </c>
      <c r="D82" s="1">
        <f>'Long Term Deals'!AH82</f>
        <v>77120.822622107968</v>
      </c>
      <c r="E82" s="1">
        <f>'Long Term Deals'!AI82</f>
        <v>0</v>
      </c>
      <c r="F82" s="1">
        <f>'Long Term Deals'!AJ82</f>
        <v>0</v>
      </c>
      <c r="G82" s="1">
        <f>'Long Term Deals'!AK82</f>
        <v>0</v>
      </c>
      <c r="H82" s="1">
        <f>'Long Term Deals'!AL82</f>
        <v>0</v>
      </c>
      <c r="I82" s="1">
        <f>'Long Term Deals'!AM82</f>
        <v>0</v>
      </c>
      <c r="J82" s="1">
        <f>'Long Term Deals'!AN82</f>
        <v>0</v>
      </c>
      <c r="K82" s="1">
        <f>'Long Term Deals'!AO82</f>
        <v>38560</v>
      </c>
      <c r="L82" s="1">
        <f>'Long Term Deals'!AP82</f>
        <v>58611.825192802062</v>
      </c>
      <c r="M82" s="1">
        <f>'Long Term Deals'!AQ82</f>
        <v>0</v>
      </c>
      <c r="N82" s="1">
        <f>'Long Term Deals'!AR82</f>
        <v>0</v>
      </c>
      <c r="O82" s="1">
        <f>'Long Term Deals'!AS82</f>
        <v>0</v>
      </c>
      <c r="P82" s="1">
        <f>'Long Term Deals'!AT82</f>
        <v>38560.822622107968</v>
      </c>
      <c r="Q82" s="1">
        <f>'Long Term Deals'!AU82</f>
        <v>0</v>
      </c>
      <c r="R82" s="1">
        <f>'Long Term Deals'!AV82</f>
        <v>0</v>
      </c>
      <c r="S82" s="20">
        <f>'Long Term Deals'!AW82</f>
        <v>7.0000000000000007E-2</v>
      </c>
      <c r="T82" s="20">
        <f>'Long Term Deals'!AX82</f>
        <v>2.5000000000000001E-2</v>
      </c>
      <c r="U82" s="1">
        <f>'Long Term Deals'!AY82</f>
        <v>11851788.956298202</v>
      </c>
      <c r="V82" s="1">
        <f>'Long Term Deals'!AZ82</f>
        <v>11508909.778920311</v>
      </c>
      <c r="W82" s="6">
        <f t="shared" si="7"/>
        <v>342879.1773778908</v>
      </c>
      <c r="X82" s="6">
        <f>'Long Term Deals'!CA82</f>
        <v>20359.897172236506</v>
      </c>
      <c r="Y82" s="57">
        <f>[2]Sheet1!$AL123</f>
        <v>737968.20294099324</v>
      </c>
      <c r="Z82" s="1">
        <f>[3]Sheet1!$O97</f>
        <v>-95635.546519772019</v>
      </c>
      <c r="AA82" s="1">
        <f>'[4]Long Term Deals'!$Z81</f>
        <v>-33769.415777134331</v>
      </c>
      <c r="AB82" s="60">
        <f t="shared" si="10"/>
        <v>1122353.6138892851</v>
      </c>
      <c r="AC82" s="60">
        <f t="shared" si="8"/>
        <v>384385.41094829189</v>
      </c>
      <c r="AD82" s="60">
        <f t="shared" si="9"/>
        <v>342879.17737789074</v>
      </c>
      <c r="AE82" s="28">
        <f>(W82-Z82+AA82)/(B82+C82+D82)/'Prices&amp;Fuel'!H82</f>
        <v>9.9397679835155017E-2</v>
      </c>
      <c r="AF82" s="3">
        <v>132000</v>
      </c>
      <c r="AG82" s="1">
        <f>((((I82*'Prices&amp;Fuel'!B82+'Prices&amp;Fuel'!C82*FPL!J82+FPL!K82*'Prices&amp;Fuel'!D82))+(L82*'Prices&amp;Fuel'!B82+'Prices&amp;Fuel'!C82*FPL!M82))*'Prices&amp;Fuel'!H82)+(I82+J82+K82)*'Prices&amp;Fuel'!H82*FPL!T82+Q82/2</f>
        <v>8221814.4341676123</v>
      </c>
      <c r="AH82" s="1">
        <f>(N82*'Prices&amp;Fuel'!B82+'Prices&amp;Fuel'!C82*O82+P82*'Prices&amp;Fuel'!D82)*'Prices&amp;Fuel'!H82+(N82+O82+P82)*'Prices&amp;Fuel'!H82*FPL!T82+Q82/2</f>
        <v>3287095.3447527001</v>
      </c>
      <c r="AI82" s="1">
        <f>R82*'Prices&amp;Fuel'!H82*'Prices&amp;Fuel'!Q82</f>
        <v>0</v>
      </c>
      <c r="AJ82" s="52">
        <f>SUM(AG82:AI82)-'Long Term Deals'!AZ82</f>
        <v>0</v>
      </c>
    </row>
    <row r="83" spans="1:36" ht="10.199999999999999" x14ac:dyDescent="0.2">
      <c r="A83" s="10">
        <f t="shared" si="6"/>
        <v>38121.499999999811</v>
      </c>
      <c r="B83" s="1">
        <f>'Long Term Deals'!AF83</f>
        <v>155269.92287917738</v>
      </c>
      <c r="C83" s="1">
        <f>'Long Term Deals'!AG83</f>
        <v>0</v>
      </c>
      <c r="D83" s="1">
        <f>'Long Term Deals'!AH83</f>
        <v>77120.822622107968</v>
      </c>
      <c r="E83" s="1">
        <f>'Long Term Deals'!AI83</f>
        <v>0</v>
      </c>
      <c r="F83" s="1">
        <f>'Long Term Deals'!AJ83</f>
        <v>0</v>
      </c>
      <c r="G83" s="1">
        <f>'Long Term Deals'!AK83</f>
        <v>0</v>
      </c>
      <c r="H83" s="1">
        <f>'Long Term Deals'!AL83</f>
        <v>0</v>
      </c>
      <c r="I83" s="1">
        <f>'Long Term Deals'!AM83</f>
        <v>37635</v>
      </c>
      <c r="J83" s="1">
        <f>'Long Term Deals'!AN83</f>
        <v>0</v>
      </c>
      <c r="K83" s="1">
        <f>'Long Term Deals'!AO83</f>
        <v>38560</v>
      </c>
      <c r="L83" s="1">
        <f>'Long Term Deals'!AP83</f>
        <v>80000</v>
      </c>
      <c r="M83" s="1">
        <f>'Long Term Deals'!AQ83</f>
        <v>0</v>
      </c>
      <c r="N83" s="1">
        <f>'Long Term Deals'!AR83</f>
        <v>37634.922879177378</v>
      </c>
      <c r="O83" s="1">
        <f>'Long Term Deals'!AS83</f>
        <v>0</v>
      </c>
      <c r="P83" s="1">
        <f>'Long Term Deals'!AT83</f>
        <v>38560.822622107968</v>
      </c>
      <c r="Q83" s="1">
        <f>'Long Term Deals'!AU83</f>
        <v>0</v>
      </c>
      <c r="R83" s="1">
        <f>'Long Term Deals'!AV83</f>
        <v>0</v>
      </c>
      <c r="S83" s="20">
        <f>'Long Term Deals'!AW83</f>
        <v>7.0000000000000007E-2</v>
      </c>
      <c r="T83" s="20">
        <f>'Long Term Deals'!AX83</f>
        <v>2.5000000000000001E-2</v>
      </c>
      <c r="U83" s="1">
        <f>'Long Term Deals'!AY83</f>
        <v>22262233.213367611</v>
      </c>
      <c r="V83" s="1">
        <f>'Long Term Deals'!AZ83</f>
        <v>21756510.848329056</v>
      </c>
      <c r="W83" s="6">
        <f t="shared" si="7"/>
        <v>505722.36503855512</v>
      </c>
      <c r="X83" s="6">
        <f>'Long Term Deals'!CA83</f>
        <v>36020.565552699227</v>
      </c>
      <c r="Y83" s="57">
        <f>[2]Sheet1!$AL124</f>
        <v>762567.14303902641</v>
      </c>
      <c r="Z83" s="1">
        <f>[3]Sheet1!$O98</f>
        <v>-169197.63609028351</v>
      </c>
      <c r="AA83" s="1">
        <f>'[4]Long Term Deals'!$Z82</f>
        <v>-43972.901883593106</v>
      </c>
      <c r="AB83" s="60">
        <f t="shared" si="10"/>
        <v>1357493.6767315727</v>
      </c>
      <c r="AC83" s="60">
        <f t="shared" si="8"/>
        <v>594926.53369254631</v>
      </c>
      <c r="AD83" s="60">
        <f t="shared" si="9"/>
        <v>505722.36503855512</v>
      </c>
      <c r="AE83" s="28">
        <f>(W83-Z83+AA83)/(B83+C83+D83)/'Prices&amp;Fuel'!H83</f>
        <v>8.7581509280045863E-2</v>
      </c>
      <c r="AF83" s="3">
        <v>226000</v>
      </c>
      <c r="AG83" s="1">
        <f>((((I83*'Prices&amp;Fuel'!B83+'Prices&amp;Fuel'!C83*FPL!J83+FPL!K83*'Prices&amp;Fuel'!D83))+(L83*'Prices&amp;Fuel'!B83+'Prices&amp;Fuel'!C83*FPL!M83))*'Prices&amp;Fuel'!H83)+(I83+J83+K83)*'Prices&amp;Fuel'!H83*FPL!T83+Q83/2</f>
        <v>14598592.338500004</v>
      </c>
      <c r="AH83" s="1">
        <f>(N83*'Prices&amp;Fuel'!B83+'Prices&amp;Fuel'!C83*O83+P83*'Prices&amp;Fuel'!D83)*'Prices&amp;Fuel'!H83+(N83+O83+P83)*'Prices&amp;Fuel'!H83*FPL!T83+Q83/2</f>
        <v>7157918.5098290499</v>
      </c>
      <c r="AI83" s="1">
        <f>R83*'Prices&amp;Fuel'!H83*'Prices&amp;Fuel'!Q83</f>
        <v>0</v>
      </c>
      <c r="AJ83" s="52">
        <f>SUM(AG83:AI83)-'Long Term Deals'!AZ83</f>
        <v>0</v>
      </c>
    </row>
    <row r="84" spans="1:36" ht="10.199999999999999" x14ac:dyDescent="0.2">
      <c r="A84" s="10">
        <f t="shared" si="6"/>
        <v>38151.916666666475</v>
      </c>
      <c r="B84" s="1">
        <f>'Long Term Deals'!AF84</f>
        <v>155269.92287917738</v>
      </c>
      <c r="C84" s="1">
        <f>'Long Term Deals'!AG84</f>
        <v>0</v>
      </c>
      <c r="D84" s="1">
        <f>'Long Term Deals'!AH84</f>
        <v>77120.822622107968</v>
      </c>
      <c r="E84" s="1">
        <f>'Long Term Deals'!AI84</f>
        <v>0</v>
      </c>
      <c r="F84" s="1">
        <f>'Long Term Deals'!AJ84</f>
        <v>0</v>
      </c>
      <c r="G84" s="1">
        <f>'Long Term Deals'!AK84</f>
        <v>0</v>
      </c>
      <c r="H84" s="1">
        <f>'Long Term Deals'!AL84</f>
        <v>0</v>
      </c>
      <c r="I84" s="1">
        <f>'Long Term Deals'!AM84</f>
        <v>37635</v>
      </c>
      <c r="J84" s="1">
        <f>'Long Term Deals'!AN84</f>
        <v>0</v>
      </c>
      <c r="K84" s="1">
        <f>'Long Term Deals'!AO84</f>
        <v>38560</v>
      </c>
      <c r="L84" s="1">
        <f>'Long Term Deals'!AP84</f>
        <v>80000</v>
      </c>
      <c r="M84" s="1">
        <f>'Long Term Deals'!AQ84</f>
        <v>0</v>
      </c>
      <c r="N84" s="1">
        <f>'Long Term Deals'!AR84</f>
        <v>37634.922879177378</v>
      </c>
      <c r="O84" s="1">
        <f>'Long Term Deals'!AS84</f>
        <v>0</v>
      </c>
      <c r="P84" s="1">
        <f>'Long Term Deals'!AT84</f>
        <v>38560.822622107968</v>
      </c>
      <c r="Q84" s="1">
        <f>'Long Term Deals'!AU84</f>
        <v>0</v>
      </c>
      <c r="R84" s="1">
        <f>'Long Term Deals'!AV84</f>
        <v>0</v>
      </c>
      <c r="S84" s="20">
        <f>'Long Term Deals'!AW84</f>
        <v>7.0000000000000007E-2</v>
      </c>
      <c r="T84" s="20">
        <f>'Long Term Deals'!AX84</f>
        <v>2.5000000000000001E-2</v>
      </c>
      <c r="U84" s="1">
        <f>'Long Term Deals'!AY84</f>
        <v>30860625.377892025</v>
      </c>
      <c r="V84" s="1">
        <f>'Long Term Deals'!AZ84</f>
        <v>30371216.63753213</v>
      </c>
      <c r="W84" s="6">
        <f t="shared" si="7"/>
        <v>489408.74035989493</v>
      </c>
      <c r="X84" s="6">
        <f>'Long Term Deals'!CA84</f>
        <v>34858.611825192798</v>
      </c>
      <c r="Y84" s="57">
        <f>[2]Sheet1!$AL125</f>
        <v>737968.20294099324</v>
      </c>
      <c r="Z84" s="1">
        <f>[3]Sheet1!$O99</f>
        <v>-163739.64782930666</v>
      </c>
      <c r="AA84" s="1">
        <f>'[4]Long Term Deals'!$Z83</f>
        <v>-42554.421177670738</v>
      </c>
      <c r="AB84" s="60">
        <f t="shared" si="10"/>
        <v>1313703.5581273313</v>
      </c>
      <c r="AC84" s="60">
        <f t="shared" si="8"/>
        <v>575735.35518633807</v>
      </c>
      <c r="AD84" s="60">
        <f t="shared" si="9"/>
        <v>489408.74035989493</v>
      </c>
      <c r="AE84" s="28">
        <f>(W84-Z84+AA84)/(B84+C84+D84)/'Prices&amp;Fuel'!H84</f>
        <v>8.758150928004628E-2</v>
      </c>
      <c r="AF84" s="3">
        <v>226000</v>
      </c>
      <c r="AG84" s="1">
        <f>((((I84*'Prices&amp;Fuel'!B84+'Prices&amp;Fuel'!C84*FPL!J84+FPL!K84*'Prices&amp;Fuel'!D84))+(L84*'Prices&amp;Fuel'!B84+'Prices&amp;Fuel'!C84*FPL!M84))*'Prices&amp;Fuel'!H84)+(I84+J84+K84)*'Prices&amp;Fuel'!H84*FPL!T84+Q84/2</f>
        <v>20389516.621350002</v>
      </c>
      <c r="AH84" s="1">
        <f>(N84*'Prices&amp;Fuel'!B84+'Prices&amp;Fuel'!C84*O84+P84*'Prices&amp;Fuel'!D84)*'Prices&amp;Fuel'!H84+(N84+O84+P84)*'Prices&amp;Fuel'!H84*FPL!T84+Q84/2</f>
        <v>9981700.0161821321</v>
      </c>
      <c r="AI84" s="1">
        <f>R84*'Prices&amp;Fuel'!H84*'Prices&amp;Fuel'!Q84</f>
        <v>0</v>
      </c>
      <c r="AJ84" s="52">
        <f>SUM(AG84:AI84)-'Long Term Deals'!AZ84</f>
        <v>0</v>
      </c>
    </row>
    <row r="85" spans="1:36" ht="10.199999999999999" x14ac:dyDescent="0.2">
      <c r="A85" s="10">
        <f t="shared" si="6"/>
        <v>38182.333333333139</v>
      </c>
      <c r="B85" s="1">
        <f>'Long Term Deals'!AF85</f>
        <v>155269.92287917738</v>
      </c>
      <c r="C85" s="1">
        <f>'Long Term Deals'!AG85</f>
        <v>0</v>
      </c>
      <c r="D85" s="1">
        <f>'Long Term Deals'!AH85</f>
        <v>77120.822622107968</v>
      </c>
      <c r="E85" s="1">
        <f>'Long Term Deals'!AI85</f>
        <v>0</v>
      </c>
      <c r="F85" s="1">
        <f>'Long Term Deals'!AJ85</f>
        <v>0</v>
      </c>
      <c r="G85" s="1">
        <f>'Long Term Deals'!AK85</f>
        <v>0</v>
      </c>
      <c r="H85" s="1">
        <f>'Long Term Deals'!AL85</f>
        <v>0</v>
      </c>
      <c r="I85" s="1">
        <f>'Long Term Deals'!AM85</f>
        <v>37635</v>
      </c>
      <c r="J85" s="1">
        <f>'Long Term Deals'!AN85</f>
        <v>0</v>
      </c>
      <c r="K85" s="1">
        <f>'Long Term Deals'!AO85</f>
        <v>38560</v>
      </c>
      <c r="L85" s="1">
        <f>'Long Term Deals'!AP85</f>
        <v>80000</v>
      </c>
      <c r="M85" s="1">
        <f>'Long Term Deals'!AQ85</f>
        <v>0</v>
      </c>
      <c r="N85" s="1">
        <f>'Long Term Deals'!AR85</f>
        <v>37634.922879177378</v>
      </c>
      <c r="O85" s="1">
        <f>'Long Term Deals'!AS85</f>
        <v>0</v>
      </c>
      <c r="P85" s="1">
        <f>'Long Term Deals'!AT85</f>
        <v>38560.822622107968</v>
      </c>
      <c r="Q85" s="1">
        <f>'Long Term Deals'!AU85</f>
        <v>0</v>
      </c>
      <c r="R85" s="1">
        <f>'Long Term Deals'!AV85</f>
        <v>0</v>
      </c>
      <c r="S85" s="20">
        <f>'Long Term Deals'!AW85</f>
        <v>7.0000000000000007E-2</v>
      </c>
      <c r="T85" s="20">
        <f>'Long Term Deals'!AX85</f>
        <v>2.5000000000000001E-2</v>
      </c>
      <c r="U85" s="1">
        <f>'Long Term Deals'!AY85</f>
        <v>31815823.732647818</v>
      </c>
      <c r="V85" s="1">
        <f>'Long Term Deals'!AZ85</f>
        <v>31310101.367609259</v>
      </c>
      <c r="W85" s="6">
        <f t="shared" si="7"/>
        <v>505722.36503855884</v>
      </c>
      <c r="X85" s="6">
        <f>'Long Term Deals'!CA85</f>
        <v>36020.565552699227</v>
      </c>
      <c r="Y85" s="57">
        <f>[2]Sheet1!$AL126</f>
        <v>762567.14303902641</v>
      </c>
      <c r="Z85" s="1">
        <f>[3]Sheet1!$O100</f>
        <v>-169197.63609028351</v>
      </c>
      <c r="AA85" s="1">
        <f>'[4]Long Term Deals'!$Z84</f>
        <v>-43972.901883593106</v>
      </c>
      <c r="AB85" s="60">
        <f t="shared" si="10"/>
        <v>1357493.6767315764</v>
      </c>
      <c r="AC85" s="60">
        <f t="shared" si="8"/>
        <v>594926.53369255003</v>
      </c>
      <c r="AD85" s="60">
        <f t="shared" si="9"/>
        <v>505722.36503855884</v>
      </c>
      <c r="AE85" s="28">
        <f>(W85-Z85+AA85)/(B85+C85+D85)/'Prices&amp;Fuel'!H85</f>
        <v>8.7581509280046377E-2</v>
      </c>
      <c r="AF85" s="3">
        <v>226000</v>
      </c>
      <c r="AG85" s="1">
        <f>((((I85*'Prices&amp;Fuel'!B85+'Prices&amp;Fuel'!C85*FPL!J85+FPL!K85*'Prices&amp;Fuel'!D85))+(L85*'Prices&amp;Fuel'!B85+'Prices&amp;Fuel'!C85*FPL!M85))*'Prices&amp;Fuel'!H85)+(I85+J85+K85)*'Prices&amp;Fuel'!H85*FPL!T85+Q85/2</f>
        <v>21019773.474350002</v>
      </c>
      <c r="AH85" s="1">
        <f>(N85*'Prices&amp;Fuel'!B85+'Prices&amp;Fuel'!C85*O85+P85*'Prices&amp;Fuel'!D85)*'Prices&amp;Fuel'!H85+(N85+O85+P85)*'Prices&amp;Fuel'!H85*FPL!T85+Q85/2</f>
        <v>10290327.893259255</v>
      </c>
      <c r="AI85" s="1">
        <f>R85*'Prices&amp;Fuel'!H85*'Prices&amp;Fuel'!Q85</f>
        <v>0</v>
      </c>
      <c r="AJ85" s="52">
        <f>SUM(AG85:AI85)-'Long Term Deals'!AZ85</f>
        <v>0</v>
      </c>
    </row>
    <row r="86" spans="1:36" ht="10.199999999999999" x14ac:dyDescent="0.2">
      <c r="A86" s="10">
        <f t="shared" si="6"/>
        <v>38212.749999999804</v>
      </c>
      <c r="B86" s="1">
        <f>'Long Term Deals'!AF86</f>
        <v>155269.92287917738</v>
      </c>
      <c r="C86" s="1">
        <f>'Long Term Deals'!AG86</f>
        <v>0</v>
      </c>
      <c r="D86" s="1">
        <f>'Long Term Deals'!AH86</f>
        <v>77120.822622107968</v>
      </c>
      <c r="E86" s="1">
        <f>'Long Term Deals'!AI86</f>
        <v>0</v>
      </c>
      <c r="F86" s="1">
        <f>'Long Term Deals'!AJ86</f>
        <v>0</v>
      </c>
      <c r="G86" s="1">
        <f>'Long Term Deals'!AK86</f>
        <v>0</v>
      </c>
      <c r="H86" s="1">
        <f>'Long Term Deals'!AL86</f>
        <v>0</v>
      </c>
      <c r="I86" s="1">
        <f>'Long Term Deals'!AM86</f>
        <v>37635</v>
      </c>
      <c r="J86" s="1">
        <f>'Long Term Deals'!AN86</f>
        <v>0</v>
      </c>
      <c r="K86" s="1">
        <f>'Long Term Deals'!AO86</f>
        <v>38560</v>
      </c>
      <c r="L86" s="1">
        <f>'Long Term Deals'!AP86</f>
        <v>80000</v>
      </c>
      <c r="M86" s="1">
        <f>'Long Term Deals'!AQ86</f>
        <v>0</v>
      </c>
      <c r="N86" s="1">
        <f>'Long Term Deals'!AR86</f>
        <v>37634.922879177378</v>
      </c>
      <c r="O86" s="1">
        <f>'Long Term Deals'!AS86</f>
        <v>0</v>
      </c>
      <c r="P86" s="1">
        <f>'Long Term Deals'!AT86</f>
        <v>38560.822622107968</v>
      </c>
      <c r="Q86" s="1">
        <f>'Long Term Deals'!AU86</f>
        <v>0</v>
      </c>
      <c r="R86" s="1">
        <f>'Long Term Deals'!AV86</f>
        <v>0</v>
      </c>
      <c r="S86" s="20">
        <f>'Long Term Deals'!AW86</f>
        <v>7.0000000000000007E-2</v>
      </c>
      <c r="T86" s="20">
        <f>'Long Term Deals'!AX86</f>
        <v>2.5000000000000001E-2</v>
      </c>
      <c r="U86" s="1">
        <f>'Long Term Deals'!AY86</f>
        <v>27847409.2092545</v>
      </c>
      <c r="V86" s="1">
        <f>'Long Term Deals'!AZ86</f>
        <v>27341686.844215937</v>
      </c>
      <c r="W86" s="6">
        <f t="shared" si="7"/>
        <v>505722.36503856257</v>
      </c>
      <c r="X86" s="6">
        <f>'Long Term Deals'!CA86</f>
        <v>36020.565552699227</v>
      </c>
      <c r="Y86" s="57">
        <f>[2]Sheet1!$AL127</f>
        <v>762567.14303902641</v>
      </c>
      <c r="Z86" s="1">
        <f>[3]Sheet1!$O101</f>
        <v>-169197.63609028351</v>
      </c>
      <c r="AA86" s="1">
        <f>'[4]Long Term Deals'!$Z85</f>
        <v>-43972.901883593106</v>
      </c>
      <c r="AB86" s="60">
        <f t="shared" si="10"/>
        <v>1357493.6767315802</v>
      </c>
      <c r="AC86" s="60">
        <f t="shared" si="8"/>
        <v>594926.53369255376</v>
      </c>
      <c r="AD86" s="60">
        <f t="shared" si="9"/>
        <v>505722.36503856257</v>
      </c>
      <c r="AE86" s="28">
        <f>(W86-Z86+AA86)/(B86+C86+D86)/'Prices&amp;Fuel'!H86</f>
        <v>8.758150928004689E-2</v>
      </c>
      <c r="AF86" s="3">
        <v>226000</v>
      </c>
      <c r="AG86" s="1">
        <f>((((I86*'Prices&amp;Fuel'!B86+'Prices&amp;Fuel'!C86*FPL!J86+FPL!K86*'Prices&amp;Fuel'!D86))+(L86*'Prices&amp;Fuel'!B86+'Prices&amp;Fuel'!C86*FPL!M86))*'Prices&amp;Fuel'!H86)+(I86+J86+K86)*'Prices&amp;Fuel'!H86*FPL!T86+Q86/2</f>
        <v>18352513.617920004</v>
      </c>
      <c r="AH86" s="1">
        <f>(N86*'Prices&amp;Fuel'!B86+'Prices&amp;Fuel'!C86*O86+P86*'Prices&amp;Fuel'!D86)*'Prices&amp;Fuel'!H86+(N86+O86+P86)*'Prices&amp;Fuel'!H86*FPL!T86+Q86/2</f>
        <v>8989173.2262959387</v>
      </c>
      <c r="AI86" s="1">
        <f>R86*'Prices&amp;Fuel'!H86*'Prices&amp;Fuel'!Q86</f>
        <v>0</v>
      </c>
      <c r="AJ86" s="52">
        <f>SUM(AG86:AI86)-'Long Term Deals'!AZ86</f>
        <v>0</v>
      </c>
    </row>
    <row r="87" spans="1:36" ht="10.199999999999999" x14ac:dyDescent="0.2">
      <c r="A87" s="10">
        <f t="shared" si="6"/>
        <v>38243.166666666468</v>
      </c>
      <c r="B87" s="1">
        <f>'Long Term Deals'!AF87</f>
        <v>155269.92287917738</v>
      </c>
      <c r="C87" s="1">
        <f>'Long Term Deals'!AG87</f>
        <v>0</v>
      </c>
      <c r="D87" s="1">
        <f>'Long Term Deals'!AH87</f>
        <v>77120.822622107968</v>
      </c>
      <c r="E87" s="1">
        <f>'Long Term Deals'!AI87</f>
        <v>0</v>
      </c>
      <c r="F87" s="1">
        <f>'Long Term Deals'!AJ87</f>
        <v>0</v>
      </c>
      <c r="G87" s="1">
        <f>'Long Term Deals'!AK87</f>
        <v>0</v>
      </c>
      <c r="H87" s="1">
        <f>'Long Term Deals'!AL87</f>
        <v>0</v>
      </c>
      <c r="I87" s="1">
        <f>'Long Term Deals'!AM87</f>
        <v>37635</v>
      </c>
      <c r="J87" s="1">
        <f>'Long Term Deals'!AN87</f>
        <v>0</v>
      </c>
      <c r="K87" s="1">
        <f>'Long Term Deals'!AO87</f>
        <v>38560</v>
      </c>
      <c r="L87" s="1">
        <f>'Long Term Deals'!AP87</f>
        <v>80000</v>
      </c>
      <c r="M87" s="1">
        <f>'Long Term Deals'!AQ87</f>
        <v>0</v>
      </c>
      <c r="N87" s="1">
        <f>'Long Term Deals'!AR87</f>
        <v>37634.922879177378</v>
      </c>
      <c r="O87" s="1">
        <f>'Long Term Deals'!AS87</f>
        <v>0</v>
      </c>
      <c r="P87" s="1">
        <f>'Long Term Deals'!AT87</f>
        <v>38560.822622107968</v>
      </c>
      <c r="Q87" s="1">
        <f>'Long Term Deals'!AU87</f>
        <v>0</v>
      </c>
      <c r="R87" s="1">
        <f>'Long Term Deals'!AV87</f>
        <v>0</v>
      </c>
      <c r="S87" s="20">
        <f>'Long Term Deals'!AW87</f>
        <v>7.0000000000000007E-2</v>
      </c>
      <c r="T87" s="20">
        <f>'Long Term Deals'!AX87</f>
        <v>2.5000000000000001E-2</v>
      </c>
      <c r="U87" s="1">
        <f>'Long Term Deals'!AY87</f>
        <v>32425233.25449872</v>
      </c>
      <c r="V87" s="1">
        <f>'Long Term Deals'!AZ87</f>
        <v>31935824.514138825</v>
      </c>
      <c r="W87" s="6">
        <f t="shared" si="7"/>
        <v>489408.74035989493</v>
      </c>
      <c r="X87" s="6">
        <f>'Long Term Deals'!CA87</f>
        <v>34858.611825192798</v>
      </c>
      <c r="Y87" s="57">
        <f>[2]Sheet1!$AL128</f>
        <v>737968.20294099324</v>
      </c>
      <c r="Z87" s="1">
        <f>[3]Sheet1!$O102</f>
        <v>-163739.64782930666</v>
      </c>
      <c r="AA87" s="1">
        <f>'[4]Long Term Deals'!$Z86</f>
        <v>-42554.421177670738</v>
      </c>
      <c r="AB87" s="60">
        <f t="shared" si="10"/>
        <v>1313703.5581273313</v>
      </c>
      <c r="AC87" s="60">
        <f t="shared" si="8"/>
        <v>575735.35518633807</v>
      </c>
      <c r="AD87" s="60">
        <f t="shared" si="9"/>
        <v>489408.74035989493</v>
      </c>
      <c r="AE87" s="28">
        <f>(W87-Z87+AA87)/(B87+C87+D87)/'Prices&amp;Fuel'!H87</f>
        <v>8.758150928004628E-2</v>
      </c>
      <c r="AF87" s="3">
        <v>226000</v>
      </c>
      <c r="AG87" s="1">
        <f>((((I87*'Prices&amp;Fuel'!B87+'Prices&amp;Fuel'!C87*FPL!J87+FPL!K87*'Prices&amp;Fuel'!D87))+(L87*'Prices&amp;Fuel'!B87+'Prices&amp;Fuel'!C87*FPL!M87))*'Prices&amp;Fuel'!H87)+(I87+J87+K87)*'Prices&amp;Fuel'!H87*FPL!T87+Q87/2</f>
        <v>21441124.450050004</v>
      </c>
      <c r="AH87" s="1">
        <f>(N87*'Prices&amp;Fuel'!B87+'Prices&amp;Fuel'!C87*O87+P87*'Prices&amp;Fuel'!D87)*'Prices&amp;Fuel'!H87+(N87+O87+P87)*'Prices&amp;Fuel'!H87*FPL!T87+Q87/2</f>
        <v>10494700.06408882</v>
      </c>
      <c r="AI87" s="1">
        <f>R87*'Prices&amp;Fuel'!H87*'Prices&amp;Fuel'!Q87</f>
        <v>0</v>
      </c>
      <c r="AJ87" s="52">
        <f>SUM(AG87:AI87)-'Long Term Deals'!AZ87</f>
        <v>0</v>
      </c>
    </row>
    <row r="88" spans="1:36" ht="10.199999999999999" x14ac:dyDescent="0.2">
      <c r="A88" s="10">
        <f t="shared" si="6"/>
        <v>38273.583333333132</v>
      </c>
      <c r="B88" s="1">
        <f>'Long Term Deals'!AF88</f>
        <v>58611.825192802062</v>
      </c>
      <c r="C88" s="1">
        <f>'Long Term Deals'!AG88</f>
        <v>0</v>
      </c>
      <c r="D88" s="1">
        <f>'Long Term Deals'!AH88</f>
        <v>77120.822622107968</v>
      </c>
      <c r="E88" s="1">
        <f>'Long Term Deals'!AI88</f>
        <v>0</v>
      </c>
      <c r="F88" s="1">
        <f>'Long Term Deals'!AJ88</f>
        <v>0</v>
      </c>
      <c r="G88" s="1">
        <f>'Long Term Deals'!AK88</f>
        <v>0</v>
      </c>
      <c r="H88" s="1">
        <f>'Long Term Deals'!AL88</f>
        <v>0</v>
      </c>
      <c r="I88" s="1">
        <f>'Long Term Deals'!AM88</f>
        <v>0</v>
      </c>
      <c r="J88" s="1">
        <f>'Long Term Deals'!AN88</f>
        <v>0</v>
      </c>
      <c r="K88" s="1">
        <f>'Long Term Deals'!AO88</f>
        <v>38560</v>
      </c>
      <c r="L88" s="1">
        <f>'Long Term Deals'!AP88</f>
        <v>58611.825192802062</v>
      </c>
      <c r="M88" s="1">
        <f>'Long Term Deals'!AQ88</f>
        <v>0</v>
      </c>
      <c r="N88" s="1">
        <f>'Long Term Deals'!AR88</f>
        <v>0</v>
      </c>
      <c r="O88" s="1">
        <f>'Long Term Deals'!AS88</f>
        <v>0</v>
      </c>
      <c r="P88" s="1">
        <f>'Long Term Deals'!AT88</f>
        <v>38560.822622107968</v>
      </c>
      <c r="Q88" s="1">
        <f>'Long Term Deals'!AU88</f>
        <v>0</v>
      </c>
      <c r="R88" s="1">
        <f>'Long Term Deals'!AV88</f>
        <v>0</v>
      </c>
      <c r="S88" s="20">
        <f>'Long Term Deals'!AW88</f>
        <v>7.0000000000000007E-2</v>
      </c>
      <c r="T88" s="20">
        <f>'Long Term Deals'!AX88</f>
        <v>2.5000000000000001E-2</v>
      </c>
      <c r="U88" s="1">
        <f>'Long Term Deals'!AY88</f>
        <v>22548337.616452448</v>
      </c>
      <c r="V88" s="1">
        <f>'Long Term Deals'!AZ88</f>
        <v>22194029.133161958</v>
      </c>
      <c r="W88" s="6">
        <f t="shared" si="7"/>
        <v>354308.48329048976</v>
      </c>
      <c r="X88" s="6">
        <f>'Long Term Deals'!CA88</f>
        <v>21038.560411311057</v>
      </c>
      <c r="Y88" s="57">
        <f>[2]Sheet1!$AL129</f>
        <v>762567.14303902641</v>
      </c>
      <c r="Z88" s="1">
        <f>[3]Sheet1!$O103</f>
        <v>-98823.398070431052</v>
      </c>
      <c r="AA88" s="1">
        <f>'[4]Long Term Deals'!$Z87</f>
        <v>-34895.062969705476</v>
      </c>
      <c r="AB88" s="60">
        <f t="shared" si="10"/>
        <v>1159765.4010189308</v>
      </c>
      <c r="AC88" s="60">
        <f t="shared" si="8"/>
        <v>397198.25797990442</v>
      </c>
      <c r="AD88" s="60">
        <f t="shared" si="9"/>
        <v>354308.48329048988</v>
      </c>
      <c r="AE88" s="28">
        <f>(W88-Z88+AA88)/(B88+C88+D88)/'Prices&amp;Fuel'!H88</f>
        <v>9.9397679835155628E-2</v>
      </c>
      <c r="AF88" s="3">
        <v>132000</v>
      </c>
      <c r="AG88" s="1">
        <f>((((I88*'Prices&amp;Fuel'!B88+'Prices&amp;Fuel'!C88*FPL!J88+FPL!K88*'Prices&amp;Fuel'!D88))+(L88*'Prices&amp;Fuel'!B88+'Prices&amp;Fuel'!C88*FPL!M88))*'Prices&amp;Fuel'!H88)+(I88+J88+K88)*'Prices&amp;Fuel'!H88*FPL!T88+Q88/2</f>
        <v>15870773.343917331</v>
      </c>
      <c r="AH88" s="1">
        <f>(N88*'Prices&amp;Fuel'!B88+'Prices&amp;Fuel'!C88*O88+P88*'Prices&amp;Fuel'!D88)*'Prices&amp;Fuel'!H88+(N88+O88+P88)*'Prices&amp;Fuel'!H88*FPL!T88+Q88/2</f>
        <v>6323255.7892446276</v>
      </c>
      <c r="AI88" s="1">
        <f>R88*'Prices&amp;Fuel'!H88*'Prices&amp;Fuel'!Q88</f>
        <v>0</v>
      </c>
      <c r="AJ88" s="52">
        <f>SUM(AG88:AI88)-'Long Term Deals'!AZ88</f>
        <v>0</v>
      </c>
    </row>
    <row r="89" spans="1:36" ht="10.199999999999999" x14ac:dyDescent="0.2">
      <c r="A89" s="10">
        <f t="shared" si="6"/>
        <v>38303.999999999796</v>
      </c>
      <c r="B89" s="1">
        <f>'Long Term Deals'!AF89</f>
        <v>58611.825192802062</v>
      </c>
      <c r="C89" s="1">
        <f>'Long Term Deals'!AG89</f>
        <v>0</v>
      </c>
      <c r="D89" s="1">
        <f>'Long Term Deals'!AH89</f>
        <v>77120.822622107968</v>
      </c>
      <c r="E89" s="1">
        <f>'Long Term Deals'!AI89</f>
        <v>0</v>
      </c>
      <c r="F89" s="1">
        <f>'Long Term Deals'!AJ89</f>
        <v>0</v>
      </c>
      <c r="G89" s="1">
        <f>'Long Term Deals'!AK89</f>
        <v>0</v>
      </c>
      <c r="H89" s="1">
        <f>'Long Term Deals'!AL89</f>
        <v>0</v>
      </c>
      <c r="I89" s="1">
        <f>'Long Term Deals'!AM89</f>
        <v>0</v>
      </c>
      <c r="J89" s="1">
        <f>'Long Term Deals'!AN89</f>
        <v>0</v>
      </c>
      <c r="K89" s="1">
        <f>'Long Term Deals'!AO89</f>
        <v>38560</v>
      </c>
      <c r="L89" s="1">
        <f>'Long Term Deals'!AP89</f>
        <v>58611.825192802062</v>
      </c>
      <c r="M89" s="1">
        <f>'Long Term Deals'!AQ89</f>
        <v>0</v>
      </c>
      <c r="N89" s="1">
        <f>'Long Term Deals'!AR89</f>
        <v>0</v>
      </c>
      <c r="O89" s="1">
        <f>'Long Term Deals'!AS89</f>
        <v>0</v>
      </c>
      <c r="P89" s="1">
        <f>'Long Term Deals'!AT89</f>
        <v>38560.822622107968</v>
      </c>
      <c r="Q89" s="1">
        <f>'Long Term Deals'!AU89</f>
        <v>0</v>
      </c>
      <c r="R89" s="1">
        <f>'Long Term Deals'!AV89</f>
        <v>0</v>
      </c>
      <c r="S89" s="20">
        <f>'Long Term Deals'!AW89</f>
        <v>7.0000000000000007E-2</v>
      </c>
      <c r="T89" s="20">
        <f>'Long Term Deals'!AX89</f>
        <v>2.5000000000000001E-2</v>
      </c>
      <c r="U89" s="1">
        <f>'Long Term Deals'!AY89</f>
        <v>14634852.524421597</v>
      </c>
      <c r="V89" s="1">
        <f>'Long Term Deals'!AZ89</f>
        <v>14291973.347043704</v>
      </c>
      <c r="W89" s="6">
        <f t="shared" si="7"/>
        <v>342879.17737789266</v>
      </c>
      <c r="X89" s="6">
        <f>'Long Term Deals'!CA89</f>
        <v>20359.897172236506</v>
      </c>
      <c r="Y89" s="57">
        <f>[2]Sheet1!$AL130</f>
        <v>737968.20294099324</v>
      </c>
      <c r="Z89" s="1">
        <f>[3]Sheet1!$O104</f>
        <v>-95635.546519772019</v>
      </c>
      <c r="AA89" s="1">
        <f>'[4]Long Term Deals'!$Z88</f>
        <v>-33769.415777134331</v>
      </c>
      <c r="AB89" s="60">
        <f t="shared" si="10"/>
        <v>1122353.613889287</v>
      </c>
      <c r="AC89" s="60">
        <f t="shared" si="8"/>
        <v>384385.41094829375</v>
      </c>
      <c r="AD89" s="60">
        <f t="shared" si="9"/>
        <v>342879.1773778926</v>
      </c>
      <c r="AE89" s="28">
        <f>(W89-Z89+AA89)/(B89+C89+D89)/'Prices&amp;Fuel'!H89</f>
        <v>9.9397679835155475E-2</v>
      </c>
      <c r="AF89" s="3">
        <v>132000</v>
      </c>
      <c r="AG89" s="1">
        <f>((((I89*'Prices&amp;Fuel'!B89+'Prices&amp;Fuel'!C89*FPL!J89+FPL!K89*'Prices&amp;Fuel'!D89))+(L89*'Prices&amp;Fuel'!B89+'Prices&amp;Fuel'!C89*FPL!M89))*'Prices&amp;Fuel'!H89)+(I89+J89+K89)*'Prices&amp;Fuel'!H89*FPL!T89+Q89/2</f>
        <v>10214226.509639077</v>
      </c>
      <c r="AH89" s="1">
        <f>(N89*'Prices&amp;Fuel'!B89+'Prices&amp;Fuel'!C89*O89+P89*'Prices&amp;Fuel'!D89)*'Prices&amp;Fuel'!H89+(N89+O89+P89)*'Prices&amp;Fuel'!H89*FPL!T89+Q89/2</f>
        <v>4077746.8374046283</v>
      </c>
      <c r="AI89" s="1">
        <f>R89*'Prices&amp;Fuel'!H89*'Prices&amp;Fuel'!Q89</f>
        <v>0</v>
      </c>
      <c r="AJ89" s="52">
        <f>SUM(AG89:AI89)-'Long Term Deals'!AZ89</f>
        <v>0</v>
      </c>
    </row>
    <row r="90" spans="1:36" ht="10.199999999999999" x14ac:dyDescent="0.2">
      <c r="A90" s="10">
        <f t="shared" si="6"/>
        <v>38334.416666666461</v>
      </c>
      <c r="B90" s="1">
        <f>'Long Term Deals'!AF90</f>
        <v>58611.825192802062</v>
      </c>
      <c r="C90" s="1">
        <f>'Long Term Deals'!AG90</f>
        <v>0</v>
      </c>
      <c r="D90" s="1">
        <f>'Long Term Deals'!AH90</f>
        <v>77120.822622107968</v>
      </c>
      <c r="E90" s="1">
        <f>'Long Term Deals'!AI90</f>
        <v>0</v>
      </c>
      <c r="F90" s="1">
        <f>'Long Term Deals'!AJ90</f>
        <v>0</v>
      </c>
      <c r="G90" s="1">
        <f>'Long Term Deals'!AK90</f>
        <v>0</v>
      </c>
      <c r="H90" s="1">
        <f>'Long Term Deals'!AL90</f>
        <v>0</v>
      </c>
      <c r="I90" s="1">
        <f>'Long Term Deals'!AM90</f>
        <v>0</v>
      </c>
      <c r="J90" s="1">
        <f>'Long Term Deals'!AN90</f>
        <v>0</v>
      </c>
      <c r="K90" s="1">
        <f>'Long Term Deals'!AO90</f>
        <v>38560</v>
      </c>
      <c r="L90" s="1">
        <f>'Long Term Deals'!AP90</f>
        <v>58611.825192802062</v>
      </c>
      <c r="M90" s="1">
        <f>'Long Term Deals'!AQ90</f>
        <v>0</v>
      </c>
      <c r="N90" s="1">
        <f>'Long Term Deals'!AR90</f>
        <v>0</v>
      </c>
      <c r="O90" s="1">
        <f>'Long Term Deals'!AS90</f>
        <v>0</v>
      </c>
      <c r="P90" s="1">
        <f>'Long Term Deals'!AT90</f>
        <v>38560.822622107968</v>
      </c>
      <c r="Q90" s="1">
        <f>'Long Term Deals'!AU90</f>
        <v>0</v>
      </c>
      <c r="R90" s="1">
        <f>'Long Term Deals'!AV90</f>
        <v>0</v>
      </c>
      <c r="S90" s="20">
        <f>'Long Term Deals'!AW90</f>
        <v>7.0000000000000007E-2</v>
      </c>
      <c r="T90" s="20">
        <f>'Long Term Deals'!AX90</f>
        <v>2.5000000000000001E-2</v>
      </c>
      <c r="U90" s="1">
        <f>'Long Term Deals'!AY90</f>
        <v>11345468.298200518</v>
      </c>
      <c r="V90" s="1">
        <f>'Long Term Deals'!AZ90</f>
        <v>10991159.81491003</v>
      </c>
      <c r="W90" s="6">
        <f t="shared" si="7"/>
        <v>354308.4832904879</v>
      </c>
      <c r="X90" s="6">
        <f>'Long Term Deals'!CA90</f>
        <v>21038.560411311057</v>
      </c>
      <c r="Y90" s="57">
        <f>[2]Sheet1!$AL131</f>
        <v>762567.14303902641</v>
      </c>
      <c r="Z90" s="1">
        <f>[3]Sheet1!$O105</f>
        <v>-98823.398070431052</v>
      </c>
      <c r="AA90" s="1">
        <f>'[4]Long Term Deals'!$Z89</f>
        <v>-34895.062969705476</v>
      </c>
      <c r="AB90" s="60">
        <f t="shared" si="10"/>
        <v>1159765.401018929</v>
      </c>
      <c r="AC90" s="60">
        <f t="shared" si="8"/>
        <v>397198.25797990256</v>
      </c>
      <c r="AD90" s="60">
        <f t="shared" si="9"/>
        <v>354308.48329048802</v>
      </c>
      <c r="AE90" s="28">
        <f>(W90-Z90+AA90)/(B90+C90+D90)/'Prices&amp;Fuel'!H90</f>
        <v>9.9397679835155184E-2</v>
      </c>
      <c r="AF90" s="3">
        <v>132000</v>
      </c>
      <c r="AG90" s="1">
        <f>((((I90*'Prices&amp;Fuel'!B90+'Prices&amp;Fuel'!C90*FPL!J90+FPL!K90*'Prices&amp;Fuel'!D90))+(L90*'Prices&amp;Fuel'!B90+'Prices&amp;Fuel'!C90*FPL!M90))*'Prices&amp;Fuel'!H90)+(I90+J90+K90)*'Prices&amp;Fuel'!H90*FPL!T90+Q90/2</f>
        <v>7850571.3028030889</v>
      </c>
      <c r="AH90" s="1">
        <f>(N90*'Prices&amp;Fuel'!B90+'Prices&amp;Fuel'!C90*O90+P90*'Prices&amp;Fuel'!D90)*'Prices&amp;Fuel'!H90+(N90+O90+P90)*'Prices&amp;Fuel'!H90*FPL!T90+Q90/2</f>
        <v>3140588.512106942</v>
      </c>
      <c r="AI90" s="1">
        <f>R90*'Prices&amp;Fuel'!H90*'Prices&amp;Fuel'!Q90</f>
        <v>0</v>
      </c>
      <c r="AJ90" s="52">
        <f>SUM(AG90:AI90)-'Long Term Deals'!AZ90</f>
        <v>0</v>
      </c>
    </row>
    <row r="91" spans="1:36" ht="10.199999999999999" x14ac:dyDescent="0.2">
      <c r="A91" s="10">
        <f t="shared" si="6"/>
        <v>38364.833333333125</v>
      </c>
      <c r="B91" s="1">
        <f>'Long Term Deals'!AF91</f>
        <v>58611.825192802062</v>
      </c>
      <c r="C91" s="1">
        <f>'Long Term Deals'!AG91</f>
        <v>0</v>
      </c>
      <c r="D91" s="1">
        <f>'Long Term Deals'!AH91</f>
        <v>77120.822622107968</v>
      </c>
      <c r="E91" s="1">
        <f>'Long Term Deals'!AI91</f>
        <v>0</v>
      </c>
      <c r="F91" s="1">
        <f>'Long Term Deals'!AJ91</f>
        <v>0</v>
      </c>
      <c r="G91" s="1">
        <f>'Long Term Deals'!AK91</f>
        <v>0</v>
      </c>
      <c r="H91" s="1">
        <f>'Long Term Deals'!AL91</f>
        <v>0</v>
      </c>
      <c r="I91" s="1">
        <f>'Long Term Deals'!AM91</f>
        <v>0</v>
      </c>
      <c r="J91" s="1">
        <f>'Long Term Deals'!AN91</f>
        <v>0</v>
      </c>
      <c r="K91" s="1">
        <f>'Long Term Deals'!AO91</f>
        <v>38560</v>
      </c>
      <c r="L91" s="1">
        <f>'Long Term Deals'!AP91</f>
        <v>58611.825192802062</v>
      </c>
      <c r="M91" s="1">
        <f>'Long Term Deals'!AQ91</f>
        <v>0</v>
      </c>
      <c r="N91" s="1">
        <f>'Long Term Deals'!AR91</f>
        <v>0</v>
      </c>
      <c r="O91" s="1">
        <f>'Long Term Deals'!AS91</f>
        <v>0</v>
      </c>
      <c r="P91" s="1">
        <f>'Long Term Deals'!AT91</f>
        <v>38560.822622107968</v>
      </c>
      <c r="Q91" s="1">
        <f>'Long Term Deals'!AU91</f>
        <v>0</v>
      </c>
      <c r="R91" s="1">
        <f>'Long Term Deals'!AV91</f>
        <v>0</v>
      </c>
      <c r="S91" s="20">
        <f>'Long Term Deals'!AW91</f>
        <v>0.06</v>
      </c>
      <c r="T91" s="20">
        <f>'Long Term Deals'!AX91</f>
        <v>2.5000000000000001E-2</v>
      </c>
      <c r="U91" s="1">
        <f>'Long Term Deals'!AY91</f>
        <v>9984371.3530488461</v>
      </c>
      <c r="V91" s="1">
        <f>'Long Term Deals'!AZ91</f>
        <v>9672139.9905809779</v>
      </c>
      <c r="W91" s="6">
        <f t="shared" si="7"/>
        <v>312231.36246786825</v>
      </c>
      <c r="X91" s="6">
        <f>'Long Term Deals'!CA91</f>
        <v>21038.560411311057</v>
      </c>
      <c r="Y91" s="57">
        <f>[2]Sheet1!$AL132</f>
        <v>762567.14303902641</v>
      </c>
      <c r="Z91" s="1">
        <f>[3]Sheet1!$O107</f>
        <v>-141030.72143298911</v>
      </c>
      <c r="AA91" s="1">
        <f>'[4]Long Term Deals'!$Z90</f>
        <v>-34895.062969705476</v>
      </c>
      <c r="AB91" s="60">
        <f t="shared" si="10"/>
        <v>1159895.6035588675</v>
      </c>
      <c r="AC91" s="60">
        <f t="shared" si="8"/>
        <v>397328.46051984106</v>
      </c>
      <c r="AD91" s="60">
        <f t="shared" si="9"/>
        <v>312231.36246786849</v>
      </c>
      <c r="AE91" s="28">
        <f>(W91-Z91+AA91)/(B91+C91+D91)/'Prices&amp;Fuel'!H91</f>
        <v>9.9428623620612194E-2</v>
      </c>
      <c r="AF91" s="3">
        <v>132000</v>
      </c>
      <c r="AG91" s="1">
        <f>((((I91*'Prices&amp;Fuel'!B91+'Prices&amp;Fuel'!C91*FPL!J91+FPL!K91*'Prices&amp;Fuel'!D91))+(L91*'Prices&amp;Fuel'!B91+'Prices&amp;Fuel'!C91*FPL!M91))*'Prices&amp;Fuel'!H91)+(I91+J91+K91)*'Prices&amp;Fuel'!H91*FPL!T91+Q91/2</f>
        <v>6906277.0165063785</v>
      </c>
      <c r="AH91" s="1">
        <f>(N91*'Prices&amp;Fuel'!B91+'Prices&amp;Fuel'!C91*O91+P91*'Prices&amp;Fuel'!D91)*'Prices&amp;Fuel'!H91+(N91+O91+P91)*'Prices&amp;Fuel'!H91*FPL!T91+Q91/2</f>
        <v>2765862.9740746003</v>
      </c>
      <c r="AI91" s="1">
        <f>R91*'Prices&amp;Fuel'!H91*'Prices&amp;Fuel'!Q91</f>
        <v>0</v>
      </c>
      <c r="AJ91" s="52">
        <f>SUM(AG91:AI91)-'Long Term Deals'!AZ91</f>
        <v>0</v>
      </c>
    </row>
    <row r="92" spans="1:36" ht="10.199999999999999" x14ac:dyDescent="0.2">
      <c r="A92" s="10">
        <f t="shared" si="6"/>
        <v>38395.249999999789</v>
      </c>
      <c r="B92" s="1">
        <f>'Long Term Deals'!AF92</f>
        <v>58611.825192802062</v>
      </c>
      <c r="C92" s="1">
        <f>'Long Term Deals'!AG92</f>
        <v>0</v>
      </c>
      <c r="D92" s="1">
        <f>'Long Term Deals'!AH92</f>
        <v>77120.822622107968</v>
      </c>
      <c r="E92" s="1">
        <f>'Long Term Deals'!AI92</f>
        <v>0</v>
      </c>
      <c r="F92" s="1">
        <f>'Long Term Deals'!AJ92</f>
        <v>0</v>
      </c>
      <c r="G92" s="1">
        <f>'Long Term Deals'!AK92</f>
        <v>0</v>
      </c>
      <c r="H92" s="1">
        <f>'Long Term Deals'!AL92</f>
        <v>0</v>
      </c>
      <c r="I92" s="1">
        <f>'Long Term Deals'!AM92</f>
        <v>0</v>
      </c>
      <c r="J92" s="1">
        <f>'Long Term Deals'!AN92</f>
        <v>0</v>
      </c>
      <c r="K92" s="1">
        <f>'Long Term Deals'!AO92</f>
        <v>38560</v>
      </c>
      <c r="L92" s="1">
        <f>'Long Term Deals'!AP92</f>
        <v>58611.825192802062</v>
      </c>
      <c r="M92" s="1">
        <f>'Long Term Deals'!AQ92</f>
        <v>0</v>
      </c>
      <c r="N92" s="1">
        <f>'Long Term Deals'!AR92</f>
        <v>0</v>
      </c>
      <c r="O92" s="1">
        <f>'Long Term Deals'!AS92</f>
        <v>0</v>
      </c>
      <c r="P92" s="1">
        <f>'Long Term Deals'!AT92</f>
        <v>38560.822622107968</v>
      </c>
      <c r="Q92" s="1">
        <f>'Long Term Deals'!AU92</f>
        <v>0</v>
      </c>
      <c r="R92" s="1">
        <f>'Long Term Deals'!AV92</f>
        <v>0</v>
      </c>
      <c r="S92" s="20">
        <f>'Long Term Deals'!AW92</f>
        <v>0.06</v>
      </c>
      <c r="T92" s="20">
        <f>'Long Term Deals'!AX92</f>
        <v>2.5000000000000001E-2</v>
      </c>
      <c r="U92" s="1">
        <f>'Long Term Deals'!AY92</f>
        <v>10075373.717059126</v>
      </c>
      <c r="V92" s="1">
        <f>'Long Term Deals'!AZ92</f>
        <v>9793358.2928946018</v>
      </c>
      <c r="W92" s="6">
        <f t="shared" si="7"/>
        <v>282015.4241645243</v>
      </c>
      <c r="X92" s="6">
        <f>'Long Term Deals'!CA92</f>
        <v>19002.570694087408</v>
      </c>
      <c r="Y92" s="57">
        <f>[2]Sheet1!$AL133</f>
        <v>688770.32274492702</v>
      </c>
      <c r="Z92" s="1">
        <f>[3]Sheet1!$O108</f>
        <v>-127382.58710076439</v>
      </c>
      <c r="AA92" s="1">
        <f>'[4]Long Term Deals'!$Z91</f>
        <v>-31518.121391992048</v>
      </c>
      <c r="AB92" s="60">
        <f t="shared" si="10"/>
        <v>1047647.6419241362</v>
      </c>
      <c r="AC92" s="60">
        <f t="shared" si="8"/>
        <v>358877.31917920918</v>
      </c>
      <c r="AD92" s="60">
        <f t="shared" si="9"/>
        <v>282015.42416452424</v>
      </c>
      <c r="AE92" s="28">
        <f>(W92-Z92+AA92)/(B92+C92+D92)/'Prices&amp;Fuel'!H92</f>
        <v>9.9428623620611736E-2</v>
      </c>
      <c r="AF92" s="3">
        <v>132000</v>
      </c>
      <c r="AG92" s="1">
        <f>((((I92*'Prices&amp;Fuel'!B92+'Prices&amp;Fuel'!C92*FPL!J92+FPL!K92*'Prices&amp;Fuel'!D92))+(L92*'Prices&amp;Fuel'!B92+'Prices&amp;Fuel'!C92*FPL!M92))*'Prices&amp;Fuel'!H92)+(I92+J92+K92)*'Prices&amp;Fuel'!H92*FPL!T92+Q92/2</f>
        <v>6994806.3165420592</v>
      </c>
      <c r="AH92" s="1">
        <f>(N92*'Prices&amp;Fuel'!B92+'Prices&amp;Fuel'!C92*O92+P92*'Prices&amp;Fuel'!D92)*'Prices&amp;Fuel'!H92+(N92+O92+P92)*'Prices&amp;Fuel'!H92*FPL!T92+Q92/2</f>
        <v>2798551.9763525431</v>
      </c>
      <c r="AI92" s="1">
        <f>R92*'Prices&amp;Fuel'!H92*'Prices&amp;Fuel'!Q92</f>
        <v>0</v>
      </c>
      <c r="AJ92" s="52">
        <f>SUM(AG92:AI92)-'Long Term Deals'!AZ92</f>
        <v>0</v>
      </c>
    </row>
    <row r="93" spans="1:36" ht="10.199999999999999" x14ac:dyDescent="0.2">
      <c r="A93" s="10">
        <f t="shared" si="6"/>
        <v>38425.666666666453</v>
      </c>
      <c r="B93" s="1">
        <f>'Long Term Deals'!AF93</f>
        <v>58611.825192802062</v>
      </c>
      <c r="C93" s="1">
        <f>'Long Term Deals'!AG93</f>
        <v>0</v>
      </c>
      <c r="D93" s="1">
        <f>'Long Term Deals'!AH93</f>
        <v>77120.822622107968</v>
      </c>
      <c r="E93" s="1">
        <f>'Long Term Deals'!AI93</f>
        <v>0</v>
      </c>
      <c r="F93" s="1">
        <f>'Long Term Deals'!AJ93</f>
        <v>0</v>
      </c>
      <c r="G93" s="1">
        <f>'Long Term Deals'!AK93</f>
        <v>0</v>
      </c>
      <c r="H93" s="1">
        <f>'Long Term Deals'!AL93</f>
        <v>0</v>
      </c>
      <c r="I93" s="1">
        <f>'Long Term Deals'!AM93</f>
        <v>0</v>
      </c>
      <c r="J93" s="1">
        <f>'Long Term Deals'!AN93</f>
        <v>0</v>
      </c>
      <c r="K93" s="1">
        <f>'Long Term Deals'!AO93</f>
        <v>38560</v>
      </c>
      <c r="L93" s="1">
        <f>'Long Term Deals'!AP93</f>
        <v>58611.825192802062</v>
      </c>
      <c r="M93" s="1">
        <f>'Long Term Deals'!AQ93</f>
        <v>0</v>
      </c>
      <c r="N93" s="1">
        <f>'Long Term Deals'!AR93</f>
        <v>0</v>
      </c>
      <c r="O93" s="1">
        <f>'Long Term Deals'!AS93</f>
        <v>0</v>
      </c>
      <c r="P93" s="1">
        <f>'Long Term Deals'!AT93</f>
        <v>38560.822622107968</v>
      </c>
      <c r="Q93" s="1">
        <f>'Long Term Deals'!AU93</f>
        <v>0</v>
      </c>
      <c r="R93" s="1">
        <f>'Long Term Deals'!AV93</f>
        <v>0</v>
      </c>
      <c r="S93" s="20">
        <f>'Long Term Deals'!AW93</f>
        <v>0.06</v>
      </c>
      <c r="T93" s="20">
        <f>'Long Term Deals'!AX93</f>
        <v>2.5000000000000001E-2</v>
      </c>
      <c r="U93" s="1">
        <f>'Long Term Deals'!AY93</f>
        <v>11154878.043886891</v>
      </c>
      <c r="V93" s="1">
        <f>'Long Term Deals'!AZ93</f>
        <v>10842646.681419024</v>
      </c>
      <c r="W93" s="6">
        <f t="shared" si="7"/>
        <v>312231.36246786639</v>
      </c>
      <c r="X93" s="6">
        <f>'Long Term Deals'!CA93</f>
        <v>21038.560411311057</v>
      </c>
      <c r="Y93" s="57">
        <f>[2]Sheet1!$AL134</f>
        <v>762567.14303902641</v>
      </c>
      <c r="Z93" s="1">
        <f>[3]Sheet1!$O109</f>
        <v>-141030.72143298911</v>
      </c>
      <c r="AA93" s="1">
        <f>'[4]Long Term Deals'!$Z92</f>
        <v>-34895.062969705476</v>
      </c>
      <c r="AB93" s="60">
        <f t="shared" si="10"/>
        <v>1159895.6035588656</v>
      </c>
      <c r="AC93" s="60">
        <f t="shared" si="8"/>
        <v>397328.46051983919</v>
      </c>
      <c r="AD93" s="60">
        <f t="shared" si="9"/>
        <v>312231.36246786662</v>
      </c>
      <c r="AE93" s="28">
        <f>(W93-Z93+AA93)/(B93+C93+D93)/'Prices&amp;Fuel'!H93</f>
        <v>9.9428623620611764E-2</v>
      </c>
      <c r="AF93" s="3">
        <v>132000</v>
      </c>
      <c r="AG93" s="1">
        <f>((((I93*'Prices&amp;Fuel'!B93+'Prices&amp;Fuel'!C93*FPL!J93+FPL!K93*'Prices&amp;Fuel'!D93))+(L93*'Prices&amp;Fuel'!B93+'Prices&amp;Fuel'!C93*FPL!M93))*'Prices&amp;Fuel'!H93)+(I93+J93+K93)*'Prices&amp;Fuel'!H93*FPL!T93+Q93/2</f>
        <v>7744249.8504572799</v>
      </c>
      <c r="AH93" s="1">
        <f>(N93*'Prices&amp;Fuel'!B93+'Prices&amp;Fuel'!C93*O93+P93*'Prices&amp;Fuel'!D93)*'Prices&amp;Fuel'!H93+(N93+O93+P93)*'Prices&amp;Fuel'!H93*FPL!T93+Q93/2</f>
        <v>3098396.8309617438</v>
      </c>
      <c r="AI93" s="1">
        <f>R93*'Prices&amp;Fuel'!H93*'Prices&amp;Fuel'!Q93</f>
        <v>0</v>
      </c>
      <c r="AJ93" s="52">
        <f>SUM(AG93:AI93)-'Long Term Deals'!AZ93</f>
        <v>0</v>
      </c>
    </row>
    <row r="94" spans="1:36" ht="10.199999999999999" x14ac:dyDescent="0.2">
      <c r="A94" s="10">
        <f t="shared" si="6"/>
        <v>38456.083333333117</v>
      </c>
      <c r="B94" s="1">
        <f>'Long Term Deals'!AF94</f>
        <v>58611.825192802062</v>
      </c>
      <c r="C94" s="1">
        <f>'Long Term Deals'!AG94</f>
        <v>0</v>
      </c>
      <c r="D94" s="1">
        <f>'Long Term Deals'!AH94</f>
        <v>77120.822622107968</v>
      </c>
      <c r="E94" s="1">
        <f>'Long Term Deals'!AI94</f>
        <v>0</v>
      </c>
      <c r="F94" s="1">
        <f>'Long Term Deals'!AJ94</f>
        <v>0</v>
      </c>
      <c r="G94" s="1">
        <f>'Long Term Deals'!AK94</f>
        <v>0</v>
      </c>
      <c r="H94" s="1">
        <f>'Long Term Deals'!AL94</f>
        <v>0</v>
      </c>
      <c r="I94" s="1">
        <f>'Long Term Deals'!AM94</f>
        <v>0</v>
      </c>
      <c r="J94" s="1">
        <f>'Long Term Deals'!AN94</f>
        <v>0</v>
      </c>
      <c r="K94" s="1">
        <f>'Long Term Deals'!AO94</f>
        <v>38560</v>
      </c>
      <c r="L94" s="1">
        <f>'Long Term Deals'!AP94</f>
        <v>58611.825192802062</v>
      </c>
      <c r="M94" s="1">
        <f>'Long Term Deals'!AQ94</f>
        <v>0</v>
      </c>
      <c r="N94" s="1">
        <f>'Long Term Deals'!AR94</f>
        <v>0</v>
      </c>
      <c r="O94" s="1">
        <f>'Long Term Deals'!AS94</f>
        <v>0</v>
      </c>
      <c r="P94" s="1">
        <f>'Long Term Deals'!AT94</f>
        <v>38560.822622107968</v>
      </c>
      <c r="Q94" s="1">
        <f>'Long Term Deals'!AU94</f>
        <v>0</v>
      </c>
      <c r="R94" s="1">
        <f>'Long Term Deals'!AV94</f>
        <v>0</v>
      </c>
      <c r="S94" s="20">
        <f>'Long Term Deals'!AW94</f>
        <v>0.06</v>
      </c>
      <c r="T94" s="20">
        <f>'Long Term Deals'!AX94</f>
        <v>2.5000000000000001E-2</v>
      </c>
      <c r="U94" s="1">
        <f>'Long Term Deals'!AY94</f>
        <v>11927791.67876607</v>
      </c>
      <c r="V94" s="1">
        <f>'Long Term Deals'!AZ94</f>
        <v>11625632.295732651</v>
      </c>
      <c r="W94" s="6">
        <f t="shared" si="7"/>
        <v>302159.38303341903</v>
      </c>
      <c r="X94" s="6">
        <f>'Long Term Deals'!CA94</f>
        <v>20359.897172236506</v>
      </c>
      <c r="Y94" s="57">
        <f>[2]Sheet1!$AL135</f>
        <v>737968.20294099324</v>
      </c>
      <c r="Z94" s="1">
        <f>[3]Sheet1!$O110</f>
        <v>-136481.34332224756</v>
      </c>
      <c r="AA94" s="1">
        <f>'[4]Long Term Deals'!$Z93</f>
        <v>-33769.415777134331</v>
      </c>
      <c r="AB94" s="60">
        <f t="shared" si="10"/>
        <v>1122479.6163472889</v>
      </c>
      <c r="AC94" s="60">
        <f t="shared" si="8"/>
        <v>384511.4134062957</v>
      </c>
      <c r="AD94" s="60">
        <f t="shared" si="9"/>
        <v>302159.38303341897</v>
      </c>
      <c r="AE94" s="28">
        <f>(W94-Z94+AA94)/(B94+C94+D94)/'Prices&amp;Fuel'!H94</f>
        <v>9.9428623620611764E-2</v>
      </c>
      <c r="AF94" s="3">
        <v>132000</v>
      </c>
      <c r="AG94" s="1">
        <f>((((I94*'Prices&amp;Fuel'!B94+'Prices&amp;Fuel'!C94*FPL!J94+FPL!K94*'Prices&amp;Fuel'!D94))+(L94*'Prices&amp;Fuel'!B94+'Prices&amp;Fuel'!C94*FPL!M94))*'Prices&amp;Fuel'!H94)+(I94+J94+K94)*'Prices&amp;Fuel'!H94*FPL!T94+Q94/2</f>
        <v>8305376.7913627587</v>
      </c>
      <c r="AH94" s="1">
        <f>(N94*'Prices&amp;Fuel'!B94+'Prices&amp;Fuel'!C94*O94+P94*'Prices&amp;Fuel'!D94)*'Prices&amp;Fuel'!H94+(N94+O94+P94)*'Prices&amp;Fuel'!H94*FPL!T94+Q94/2</f>
        <v>3320255.5043698926</v>
      </c>
      <c r="AI94" s="1">
        <f>R94*'Prices&amp;Fuel'!H94*'Prices&amp;Fuel'!Q94</f>
        <v>0</v>
      </c>
      <c r="AJ94" s="52">
        <f>SUM(AG94:AI94)-'Long Term Deals'!AZ94</f>
        <v>0</v>
      </c>
    </row>
    <row r="95" spans="1:36" ht="10.199999999999999" x14ac:dyDescent="0.2">
      <c r="A95" s="10">
        <f t="shared" si="6"/>
        <v>38486.499999999782</v>
      </c>
      <c r="B95" s="1">
        <f>'Long Term Deals'!AF95</f>
        <v>155269.92287917738</v>
      </c>
      <c r="C95" s="1">
        <f>'Long Term Deals'!AG95</f>
        <v>0</v>
      </c>
      <c r="D95" s="1">
        <f>'Long Term Deals'!AH95</f>
        <v>77120.822622107968</v>
      </c>
      <c r="E95" s="1">
        <f>'Long Term Deals'!AI95</f>
        <v>0</v>
      </c>
      <c r="F95" s="1">
        <f>'Long Term Deals'!AJ95</f>
        <v>0</v>
      </c>
      <c r="G95" s="1">
        <f>'Long Term Deals'!AK95</f>
        <v>0</v>
      </c>
      <c r="H95" s="1">
        <f>'Long Term Deals'!AL95</f>
        <v>0</v>
      </c>
      <c r="I95" s="1">
        <f>'Long Term Deals'!AM95</f>
        <v>37635</v>
      </c>
      <c r="J95" s="1">
        <f>'Long Term Deals'!AN95</f>
        <v>0</v>
      </c>
      <c r="K95" s="1">
        <f>'Long Term Deals'!AO95</f>
        <v>38560</v>
      </c>
      <c r="L95" s="1">
        <f>'Long Term Deals'!AP95</f>
        <v>80000</v>
      </c>
      <c r="M95" s="1">
        <f>'Long Term Deals'!AQ95</f>
        <v>0</v>
      </c>
      <c r="N95" s="1">
        <f>'Long Term Deals'!AR95</f>
        <v>37634.922879177378</v>
      </c>
      <c r="O95" s="1">
        <f>'Long Term Deals'!AS95</f>
        <v>0</v>
      </c>
      <c r="P95" s="1">
        <f>'Long Term Deals'!AT95</f>
        <v>38560.822622107968</v>
      </c>
      <c r="Q95" s="1">
        <f>'Long Term Deals'!AU95</f>
        <v>0</v>
      </c>
      <c r="R95" s="1">
        <f>'Long Term Deals'!AV95</f>
        <v>0</v>
      </c>
      <c r="S95" s="20">
        <f>'Long Term Deals'!AW95</f>
        <v>0.06</v>
      </c>
      <c r="T95" s="20">
        <f>'Long Term Deals'!AX95</f>
        <v>2.5000000000000001E-2</v>
      </c>
      <c r="U95" s="1">
        <f>'Long Term Deals'!AY95</f>
        <v>22410659.555784069</v>
      </c>
      <c r="V95" s="1">
        <f>'Long Term Deals'!AZ95</f>
        <v>21976978.321850903</v>
      </c>
      <c r="W95" s="6">
        <f t="shared" si="7"/>
        <v>433681.23393316567</v>
      </c>
      <c r="X95" s="6">
        <f>'Long Term Deals'!CA95</f>
        <v>36020.565552699227</v>
      </c>
      <c r="Y95" s="57">
        <f>[2]Sheet1!$AL136</f>
        <v>762567.14303902641</v>
      </c>
      <c r="Z95" s="1">
        <f>[3]Sheet1!$O111</f>
        <v>-241461.68972617836</v>
      </c>
      <c r="AA95" s="1">
        <f>'[4]Long Term Deals'!$Z94</f>
        <v>-43972.901883593106</v>
      </c>
      <c r="AB95" s="60">
        <f t="shared" si="10"/>
        <v>1357716.5992620781</v>
      </c>
      <c r="AC95" s="60">
        <f t="shared" si="8"/>
        <v>595149.45622305165</v>
      </c>
      <c r="AD95" s="60">
        <f t="shared" si="9"/>
        <v>433681.23393316561</v>
      </c>
      <c r="AE95" s="28">
        <f>(W95-Z95+AA95)/(B95+C95+D95)/'Prices&amp;Fuel'!H95</f>
        <v>8.7612453065503526E-2</v>
      </c>
      <c r="AF95" s="3">
        <v>226000</v>
      </c>
      <c r="AG95" s="1">
        <f>((((I95*'Prices&amp;Fuel'!B95+'Prices&amp;Fuel'!C95*FPL!J95+FPL!K95*'Prices&amp;Fuel'!D95))+(L95*'Prices&amp;Fuel'!B95+'Prices&amp;Fuel'!C95*FPL!M95))*'Prices&amp;Fuel'!H95)+(I95+J95+K95)*'Prices&amp;Fuel'!H95*FPL!T95+Q95/2</f>
        <v>14746773.441635003</v>
      </c>
      <c r="AH95" s="1">
        <f>(N95*'Prices&amp;Fuel'!B95+'Prices&amp;Fuel'!C95*O95+P95*'Prices&amp;Fuel'!D95)*'Prices&amp;Fuel'!H95+(N95+O95+P95)*'Prices&amp;Fuel'!H95*FPL!T95+Q95/2</f>
        <v>7230204.8802159019</v>
      </c>
      <c r="AI95" s="1">
        <f>R95*'Prices&amp;Fuel'!H95*'Prices&amp;Fuel'!Q95</f>
        <v>0</v>
      </c>
      <c r="AJ95" s="52">
        <f>SUM(AG95:AI95)-'Long Term Deals'!AZ95</f>
        <v>0</v>
      </c>
    </row>
    <row r="96" spans="1:36" ht="10.199999999999999" x14ac:dyDescent="0.2">
      <c r="A96" s="10">
        <f t="shared" si="6"/>
        <v>38516.916666666446</v>
      </c>
      <c r="B96" s="1">
        <f>'Long Term Deals'!AF96</f>
        <v>155269.92287917738</v>
      </c>
      <c r="C96" s="1">
        <f>'Long Term Deals'!AG96</f>
        <v>0</v>
      </c>
      <c r="D96" s="1">
        <f>'Long Term Deals'!AH96</f>
        <v>77120.822622107968</v>
      </c>
      <c r="E96" s="1">
        <f>'Long Term Deals'!AI96</f>
        <v>0</v>
      </c>
      <c r="F96" s="1">
        <f>'Long Term Deals'!AJ96</f>
        <v>0</v>
      </c>
      <c r="G96" s="1">
        <f>'Long Term Deals'!AK96</f>
        <v>0</v>
      </c>
      <c r="H96" s="1">
        <f>'Long Term Deals'!AL96</f>
        <v>0</v>
      </c>
      <c r="I96" s="1">
        <f>'Long Term Deals'!AM96</f>
        <v>37635</v>
      </c>
      <c r="J96" s="1">
        <f>'Long Term Deals'!AN96</f>
        <v>0</v>
      </c>
      <c r="K96" s="1">
        <f>'Long Term Deals'!AO96</f>
        <v>38560</v>
      </c>
      <c r="L96" s="1">
        <f>'Long Term Deals'!AP96</f>
        <v>80000</v>
      </c>
      <c r="M96" s="1">
        <f>'Long Term Deals'!AQ96</f>
        <v>0</v>
      </c>
      <c r="N96" s="1">
        <f>'Long Term Deals'!AR96</f>
        <v>37634.922879177378</v>
      </c>
      <c r="O96" s="1">
        <f>'Long Term Deals'!AS96</f>
        <v>0</v>
      </c>
      <c r="P96" s="1">
        <f>'Long Term Deals'!AT96</f>
        <v>38560.822622107968</v>
      </c>
      <c r="Q96" s="1">
        <f>'Long Term Deals'!AU96</f>
        <v>0</v>
      </c>
      <c r="R96" s="1">
        <f>'Long Term Deals'!AV96</f>
        <v>0</v>
      </c>
      <c r="S96" s="20">
        <f>'Long Term Deals'!AW96</f>
        <v>0.06</v>
      </c>
      <c r="T96" s="20">
        <f>'Long Term Deals'!AX96</f>
        <v>2.5000000000000001E-2</v>
      </c>
      <c r="U96" s="1">
        <f>'Long Term Deals'!AY96</f>
        <v>31097429.060976855</v>
      </c>
      <c r="V96" s="1">
        <f>'Long Term Deals'!AZ96</f>
        <v>30677737.544267349</v>
      </c>
      <c r="W96" s="6">
        <f t="shared" si="7"/>
        <v>419691.51670950651</v>
      </c>
      <c r="X96" s="6">
        <f>'Long Term Deals'!CA96</f>
        <v>34858.611825192798</v>
      </c>
      <c r="Y96" s="57">
        <f>[2]Sheet1!$AL137</f>
        <v>737968.20294099324</v>
      </c>
      <c r="Z96" s="1">
        <f>[3]Sheet1!$O112</f>
        <v>-233672.60296081781</v>
      </c>
      <c r="AA96" s="1">
        <f>'[4]Long Term Deals'!$Z95</f>
        <v>-42554.421177670738</v>
      </c>
      <c r="AB96" s="60">
        <f t="shared" si="10"/>
        <v>1313919.2896084539</v>
      </c>
      <c r="AC96" s="60">
        <f t="shared" si="8"/>
        <v>575951.08666746062</v>
      </c>
      <c r="AD96" s="60">
        <f t="shared" si="9"/>
        <v>419691.5167095064</v>
      </c>
      <c r="AE96" s="28">
        <f>(W96-Z96+AA96)/(B96+C96+D96)/'Prices&amp;Fuel'!H96</f>
        <v>8.7612453065502291E-2</v>
      </c>
      <c r="AF96" s="3">
        <v>226000</v>
      </c>
      <c r="AG96" s="1">
        <f>((((I96*'Prices&amp;Fuel'!B96+'Prices&amp;Fuel'!C96*FPL!J96+FPL!K96*'Prices&amp;Fuel'!D96))+(L96*'Prices&amp;Fuel'!B96+'Prices&amp;Fuel'!C96*FPL!M96))*'Prices&amp;Fuel'!H96)+(I96+J96+K96)*'Prices&amp;Fuel'!H96*FPL!T96+Q96/2</f>
        <v>20595536.155063499</v>
      </c>
      <c r="AH96" s="1">
        <f>(N96*'Prices&amp;Fuel'!B96+'Prices&amp;Fuel'!C96*O96+P96*'Prices&amp;Fuel'!D96)*'Prices&amp;Fuel'!H96+(N96+O96+P96)*'Prices&amp;Fuel'!H96*FPL!T96+Q96/2</f>
        <v>10082201.38920385</v>
      </c>
      <c r="AI96" s="1">
        <f>R96*'Prices&amp;Fuel'!H96*'Prices&amp;Fuel'!Q96</f>
        <v>0</v>
      </c>
      <c r="AJ96" s="52">
        <f>SUM(AG96:AI96)-'Long Term Deals'!AZ96</f>
        <v>0</v>
      </c>
    </row>
    <row r="97" spans="1:36" ht="10.199999999999999" x14ac:dyDescent="0.2">
      <c r="A97" s="10">
        <f t="shared" si="6"/>
        <v>38547.33333333311</v>
      </c>
      <c r="B97" s="1">
        <f>'Long Term Deals'!AF97</f>
        <v>155269.92287917738</v>
      </c>
      <c r="C97" s="1">
        <f>'Long Term Deals'!AG97</f>
        <v>0</v>
      </c>
      <c r="D97" s="1">
        <f>'Long Term Deals'!AH97</f>
        <v>77120.822622107968</v>
      </c>
      <c r="E97" s="1">
        <f>'Long Term Deals'!AI97</f>
        <v>0</v>
      </c>
      <c r="F97" s="1">
        <f>'Long Term Deals'!AJ97</f>
        <v>0</v>
      </c>
      <c r="G97" s="1">
        <f>'Long Term Deals'!AK97</f>
        <v>0</v>
      </c>
      <c r="H97" s="1">
        <f>'Long Term Deals'!AL97</f>
        <v>0</v>
      </c>
      <c r="I97" s="1">
        <f>'Long Term Deals'!AM97</f>
        <v>37635</v>
      </c>
      <c r="J97" s="1">
        <f>'Long Term Deals'!AN97</f>
        <v>0</v>
      </c>
      <c r="K97" s="1">
        <f>'Long Term Deals'!AO97</f>
        <v>38560</v>
      </c>
      <c r="L97" s="1">
        <f>'Long Term Deals'!AP97</f>
        <v>80000</v>
      </c>
      <c r="M97" s="1">
        <f>'Long Term Deals'!AQ97</f>
        <v>0</v>
      </c>
      <c r="N97" s="1">
        <f>'Long Term Deals'!AR97</f>
        <v>37634.922879177378</v>
      </c>
      <c r="O97" s="1">
        <f>'Long Term Deals'!AS97</f>
        <v>0</v>
      </c>
      <c r="P97" s="1">
        <f>'Long Term Deals'!AT97</f>
        <v>38560.822622107968</v>
      </c>
      <c r="Q97" s="1">
        <f>'Long Term Deals'!AU97</f>
        <v>0</v>
      </c>
      <c r="R97" s="1">
        <f>'Long Term Deals'!AV97</f>
        <v>0</v>
      </c>
      <c r="S97" s="20">
        <f>'Long Term Deals'!AW97</f>
        <v>0.06</v>
      </c>
      <c r="T97" s="20">
        <f>'Long Term Deals'!AX97</f>
        <v>2.5000000000000001E-2</v>
      </c>
      <c r="U97" s="1">
        <f>'Long Term Deals'!AY97</f>
        <v>32059785.980257064</v>
      </c>
      <c r="V97" s="1">
        <f>'Long Term Deals'!AZ97</f>
        <v>31626104.746323906</v>
      </c>
      <c r="W97" s="6">
        <f t="shared" si="7"/>
        <v>433681.23393315822</v>
      </c>
      <c r="X97" s="6">
        <f>'Long Term Deals'!CA97</f>
        <v>36020.565552699227</v>
      </c>
      <c r="Y97" s="57">
        <f>[2]Sheet1!$AL138</f>
        <v>762567.14303902641</v>
      </c>
      <c r="Z97" s="1">
        <f>[3]Sheet1!$O113</f>
        <v>-241461.68972617836</v>
      </c>
      <c r="AA97" s="1">
        <f>'[4]Long Term Deals'!$Z96</f>
        <v>-43972.901883593106</v>
      </c>
      <c r="AB97" s="60">
        <f t="shared" si="10"/>
        <v>1357716.5992620706</v>
      </c>
      <c r="AC97" s="60">
        <f t="shared" si="8"/>
        <v>595149.4562230442</v>
      </c>
      <c r="AD97" s="60">
        <f t="shared" si="9"/>
        <v>433681.23393315816</v>
      </c>
      <c r="AE97" s="28">
        <f>(W97-Z97+AA97)/(B97+C97+D97)/'Prices&amp;Fuel'!H97</f>
        <v>8.7612453065502499E-2</v>
      </c>
      <c r="AF97" s="3">
        <v>200000</v>
      </c>
      <c r="AG97" s="1">
        <f>((((I97*'Prices&amp;Fuel'!B97+'Prices&amp;Fuel'!C97*FPL!J97+FPL!K97*'Prices&amp;Fuel'!D97))+(L97*'Prices&amp;Fuel'!B97+'Prices&amp;Fuel'!C97*FPL!M97))*'Prices&amp;Fuel'!H97)+(I97+J97+K97)*'Prices&amp;Fuel'!H97*FPL!T97+Q97/2</f>
        <v>21232166.388843499</v>
      </c>
      <c r="AH97" s="1">
        <f>(N97*'Prices&amp;Fuel'!B97+'Prices&amp;Fuel'!C97*O97+P97*'Prices&amp;Fuel'!D97)*'Prices&amp;Fuel'!H97+(N97+O97+P97)*'Prices&amp;Fuel'!H97*FPL!T97+Q97/2</f>
        <v>10393938.357480407</v>
      </c>
      <c r="AI97" s="1">
        <f>R97*'Prices&amp;Fuel'!H97*'Prices&amp;Fuel'!Q97</f>
        <v>0</v>
      </c>
      <c r="AJ97" s="52">
        <f>SUM(AG97:AI97)-'Long Term Deals'!AZ97</f>
        <v>0</v>
      </c>
    </row>
    <row r="98" spans="1:36" ht="10.199999999999999" x14ac:dyDescent="0.2">
      <c r="A98" s="10">
        <f t="shared" si="6"/>
        <v>38577.749999999774</v>
      </c>
      <c r="B98" s="1">
        <f>'Long Term Deals'!AF98</f>
        <v>128534.70437017996</v>
      </c>
      <c r="C98" s="1">
        <f>'Long Term Deals'!AG98</f>
        <v>0</v>
      </c>
      <c r="D98" s="1">
        <f>'Long Term Deals'!AH98</f>
        <v>77120.822622107968</v>
      </c>
      <c r="E98" s="1">
        <f>'Long Term Deals'!AI98</f>
        <v>0</v>
      </c>
      <c r="F98" s="1">
        <f>'Long Term Deals'!AJ98</f>
        <v>0</v>
      </c>
      <c r="G98" s="1">
        <f>'Long Term Deals'!AK98</f>
        <v>0</v>
      </c>
      <c r="H98" s="1">
        <f>'Long Term Deals'!AL98</f>
        <v>0</v>
      </c>
      <c r="I98" s="1">
        <f>'Long Term Deals'!AM98</f>
        <v>24267</v>
      </c>
      <c r="J98" s="1">
        <f>'Long Term Deals'!AN98</f>
        <v>0</v>
      </c>
      <c r="K98" s="1">
        <f>'Long Term Deals'!AO98</f>
        <v>38560</v>
      </c>
      <c r="L98" s="1">
        <f>'Long Term Deals'!AP98</f>
        <v>80000</v>
      </c>
      <c r="M98" s="1">
        <f>'Long Term Deals'!AQ98</f>
        <v>0</v>
      </c>
      <c r="N98" s="1">
        <f>'Long Term Deals'!AR98</f>
        <v>24267.704370179956</v>
      </c>
      <c r="O98" s="1">
        <f>'Long Term Deals'!AS98</f>
        <v>0</v>
      </c>
      <c r="P98" s="1">
        <f>'Long Term Deals'!AT98</f>
        <v>38560.822622107968</v>
      </c>
      <c r="Q98" s="1">
        <f>'Long Term Deals'!AU98</f>
        <v>0</v>
      </c>
      <c r="R98" s="1">
        <f>'Long Term Deals'!AV98</f>
        <v>0</v>
      </c>
      <c r="S98" s="20">
        <f>'Long Term Deals'!AW98</f>
        <v>0.06</v>
      </c>
      <c r="T98" s="20">
        <f>'Long Term Deals'!AX98</f>
        <v>2.5000000000000001E-2</v>
      </c>
      <c r="U98" s="1">
        <f>'Long Term Deals'!AY98</f>
        <v>24841004.536760926</v>
      </c>
      <c r="V98" s="1">
        <f>'Long Term Deals'!AZ98</f>
        <v>24436331.014910027</v>
      </c>
      <c r="W98" s="6">
        <f t="shared" si="7"/>
        <v>404673.52185089886</v>
      </c>
      <c r="X98" s="6">
        <f>'Long Term Deals'!CA98</f>
        <v>31876.606683804628</v>
      </c>
      <c r="Y98" s="57">
        <f>[2]Sheet1!$AL139</f>
        <v>762567.14303902641</v>
      </c>
      <c r="Z98" s="1">
        <f>[3]Sheet1!$O114</f>
        <v>-213682.91126210472</v>
      </c>
      <c r="AA98" s="1">
        <f>'[4]Long Term Deals'!$Z97</f>
        <v>-43972.901883593106</v>
      </c>
      <c r="AB98" s="60">
        <f t="shared" si="10"/>
        <v>1305074.0675846322</v>
      </c>
      <c r="AC98" s="60">
        <f t="shared" si="8"/>
        <v>542506.92454560578</v>
      </c>
      <c r="AD98" s="60">
        <f t="shared" si="9"/>
        <v>404673.5218508988</v>
      </c>
      <c r="AE98" s="28">
        <f>(W98-Z98+AA98)/(B98+C98+D98)/'Prices&amp;Fuel'!H98</f>
        <v>9.0094836148484153E-2</v>
      </c>
      <c r="AF98" s="3">
        <v>200000</v>
      </c>
      <c r="AG98" s="1">
        <f>((((I98*'Prices&amp;Fuel'!B98+'Prices&amp;Fuel'!C98*FPL!J98+FPL!K98*'Prices&amp;Fuel'!D98))+(L98*'Prices&amp;Fuel'!B98+'Prices&amp;Fuel'!C98*FPL!M98))*'Prices&amp;Fuel'!H98)+(I98+J98+K98)*'Prices&amp;Fuel'!H98*FPL!T98+Q98/2</f>
        <v>16947349.901051123</v>
      </c>
      <c r="AH98" s="1">
        <f>(N98*'Prices&amp;Fuel'!B98+'Prices&amp;Fuel'!C98*O98+P98*'Prices&amp;Fuel'!D98)*'Prices&amp;Fuel'!H98+(N98+O98+P98)*'Prices&amp;Fuel'!H98*FPL!T98+Q98/2</f>
        <v>7488981.1138589066</v>
      </c>
      <c r="AI98" s="1">
        <f>R98*'Prices&amp;Fuel'!H98*'Prices&amp;Fuel'!Q98</f>
        <v>0</v>
      </c>
      <c r="AJ98" s="52">
        <f>SUM(AG98:AI98)-'Long Term Deals'!AZ98</f>
        <v>0</v>
      </c>
    </row>
    <row r="99" spans="1:36" ht="10.199999999999999" x14ac:dyDescent="0.2">
      <c r="A99" s="10">
        <f t="shared" si="6"/>
        <v>38608.166666666439</v>
      </c>
      <c r="B99" s="1">
        <f>'Long Term Deals'!AF99</f>
        <v>128534.70437017996</v>
      </c>
      <c r="C99" s="1">
        <f>'Long Term Deals'!AG99</f>
        <v>0</v>
      </c>
      <c r="D99" s="1">
        <f>'Long Term Deals'!AH99</f>
        <v>77120.822622107968</v>
      </c>
      <c r="E99" s="1">
        <f>'Long Term Deals'!AI99</f>
        <v>0</v>
      </c>
      <c r="F99" s="1">
        <f>'Long Term Deals'!AJ99</f>
        <v>0</v>
      </c>
      <c r="G99" s="1">
        <f>'Long Term Deals'!AK99</f>
        <v>0</v>
      </c>
      <c r="H99" s="1">
        <f>'Long Term Deals'!AL99</f>
        <v>0</v>
      </c>
      <c r="I99" s="1">
        <f>'Long Term Deals'!AM99</f>
        <v>64267</v>
      </c>
      <c r="J99" s="1">
        <f>'Long Term Deals'!AN99</f>
        <v>0</v>
      </c>
      <c r="K99" s="1">
        <f>'Long Term Deals'!AO99</f>
        <v>38560</v>
      </c>
      <c r="L99" s="1">
        <f>'Long Term Deals'!AP99</f>
        <v>0</v>
      </c>
      <c r="M99" s="1">
        <f>'Long Term Deals'!AQ99</f>
        <v>0</v>
      </c>
      <c r="N99" s="1">
        <f>'Long Term Deals'!AR99</f>
        <v>64267.704370179956</v>
      </c>
      <c r="O99" s="1">
        <f>'Long Term Deals'!AS99</f>
        <v>0</v>
      </c>
      <c r="P99" s="1">
        <f>'Long Term Deals'!AT99</f>
        <v>38560.822622107968</v>
      </c>
      <c r="Q99" s="1">
        <f>'Long Term Deals'!AU99</f>
        <v>0</v>
      </c>
      <c r="R99" s="1">
        <f>'Long Term Deals'!AV99</f>
        <v>0</v>
      </c>
      <c r="S99" s="20">
        <f>'Long Term Deals'!AW99</f>
        <v>0.06</v>
      </c>
      <c r="T99" s="20">
        <f>'Long Term Deals'!AX99</f>
        <v>2.5000000000000001E-2</v>
      </c>
      <c r="U99" s="1">
        <f>'Long Term Deals'!AY99</f>
        <v>28934273.706940878</v>
      </c>
      <c r="V99" s="1">
        <f>'Long Term Deals'!AZ99</f>
        <v>28602654.169665821</v>
      </c>
      <c r="W99" s="6">
        <f t="shared" si="7"/>
        <v>331619.53727505729</v>
      </c>
      <c r="X99" s="6">
        <f>'Long Term Deals'!CA99</f>
        <v>30848.329048843189</v>
      </c>
      <c r="Y99" s="57">
        <f>[2]Sheet1!$AL140</f>
        <v>0</v>
      </c>
      <c r="Z99" s="1">
        <f>[3]Sheet1!$O115</f>
        <v>-206789.91412461747</v>
      </c>
      <c r="AA99" s="1">
        <f>'[4]Long Term Deals'!$Z98</f>
        <v>17445.578822329902</v>
      </c>
      <c r="AB99" s="60">
        <f t="shared" si="10"/>
        <v>525006.70117316139</v>
      </c>
      <c r="AC99" s="60">
        <f t="shared" si="8"/>
        <v>525006.70117316139</v>
      </c>
      <c r="AD99" s="60">
        <f t="shared" si="9"/>
        <v>331619.53727505723</v>
      </c>
      <c r="AE99" s="28">
        <f>(W99-Z99+AA99)/(B99+C99+D99)/'Prices&amp;Fuel'!H99</f>
        <v>9.0094836148483251E-2</v>
      </c>
      <c r="AF99" s="3">
        <v>200000</v>
      </c>
      <c r="AG99" s="1">
        <f>((((I99*'Prices&amp;Fuel'!B99+'Prices&amp;Fuel'!C99*FPL!J99+FPL!K99*'Prices&amp;Fuel'!D99))+(L99*'Prices&amp;Fuel'!B99+'Prices&amp;Fuel'!C99*FPL!M99))*'Prices&amp;Fuel'!H99)+(I99+J99+K99)*'Prices&amp;Fuel'!H99*FPL!T99+Q99/2</f>
        <v>14301220.859979304</v>
      </c>
      <c r="AH99" s="1">
        <f>(N99*'Prices&amp;Fuel'!B99+'Prices&amp;Fuel'!C99*O99+P99*'Prices&amp;Fuel'!D99)*'Prices&amp;Fuel'!H99+(N99+O99+P99)*'Prices&amp;Fuel'!H99*FPL!T99+Q99/2</f>
        <v>14301433.309686514</v>
      </c>
      <c r="AI99" s="1">
        <f>R99*'Prices&amp;Fuel'!H99*'Prices&amp;Fuel'!Q99</f>
        <v>0</v>
      </c>
      <c r="AJ99" s="52">
        <f>SUM(AG99:AI99)-'Long Term Deals'!AZ99</f>
        <v>0</v>
      </c>
    </row>
    <row r="100" spans="1:36" ht="10.199999999999999" x14ac:dyDescent="0.2">
      <c r="A100" s="10">
        <f t="shared" si="6"/>
        <v>38638.583333333103</v>
      </c>
      <c r="B100" s="1">
        <f>'Long Term Deals'!AF100</f>
        <v>58611.825192802062</v>
      </c>
      <c r="C100" s="1">
        <f>'Long Term Deals'!AG100</f>
        <v>0</v>
      </c>
      <c r="D100" s="1">
        <f>'Long Term Deals'!AH100</f>
        <v>77120.822622107968</v>
      </c>
      <c r="E100" s="1">
        <f>'Long Term Deals'!AI100</f>
        <v>0</v>
      </c>
      <c r="F100" s="1">
        <f>'Long Term Deals'!AJ100</f>
        <v>0</v>
      </c>
      <c r="G100" s="1">
        <f>'Long Term Deals'!AK100</f>
        <v>0</v>
      </c>
      <c r="H100" s="1">
        <f>'Long Term Deals'!AL100</f>
        <v>0</v>
      </c>
      <c r="I100" s="1">
        <f>'Long Term Deals'!AM100</f>
        <v>29306</v>
      </c>
      <c r="J100" s="1">
        <f>'Long Term Deals'!AN100</f>
        <v>0</v>
      </c>
      <c r="K100" s="1">
        <f>'Long Term Deals'!AO100</f>
        <v>38560</v>
      </c>
      <c r="L100" s="1">
        <f>'Long Term Deals'!AP100</f>
        <v>0</v>
      </c>
      <c r="M100" s="1">
        <f>'Long Term Deals'!AQ100</f>
        <v>0</v>
      </c>
      <c r="N100" s="1">
        <f>'Long Term Deals'!AR100</f>
        <v>29305.825192802062</v>
      </c>
      <c r="O100" s="1">
        <f>'Long Term Deals'!AS100</f>
        <v>0</v>
      </c>
      <c r="P100" s="1">
        <f>'Long Term Deals'!AT100</f>
        <v>38560.822622107968</v>
      </c>
      <c r="Q100" s="1">
        <f>'Long Term Deals'!AU100</f>
        <v>0</v>
      </c>
      <c r="R100" s="1">
        <f>'Long Term Deals'!AV100</f>
        <v>0</v>
      </c>
      <c r="S100" s="20">
        <f>'Long Term Deals'!AW100</f>
        <v>0.06</v>
      </c>
      <c r="T100" s="20">
        <f>'Long Term Deals'!AX100</f>
        <v>2.5000000000000001E-2</v>
      </c>
      <c r="U100" s="1">
        <f>'Long Term Deals'!AY100</f>
        <v>22729888.653285347</v>
      </c>
      <c r="V100" s="1">
        <f>'Long Term Deals'!AZ100</f>
        <v>22463081.455341905</v>
      </c>
      <c r="W100" s="6">
        <f t="shared" si="7"/>
        <v>266807.19794344157</v>
      </c>
      <c r="X100" s="6">
        <f>'Long Term Deals'!CA100</f>
        <v>21038.560411311057</v>
      </c>
      <c r="Y100" s="57"/>
      <c r="Z100" s="1">
        <f>[3]Sheet1!$O116</f>
        <v>-141030.72143298911</v>
      </c>
      <c r="AA100" s="1">
        <f>'[4]Long Term Deals'!$Z99</f>
        <v>10529.101554715919</v>
      </c>
      <c r="AB100" s="60">
        <f t="shared" si="10"/>
        <v>397328.46051983553</v>
      </c>
      <c r="AC100" s="60">
        <f t="shared" si="8"/>
        <v>397328.46051983553</v>
      </c>
      <c r="AD100" s="60">
        <f t="shared" si="9"/>
        <v>266807.19794344157</v>
      </c>
      <c r="AE100" s="28">
        <f>(W100-Z100+AA100)/(B100+C100+D100)/'Prices&amp;Fuel'!H100</f>
        <v>9.9428623620610945E-2</v>
      </c>
      <c r="AF100" s="3">
        <v>132000</v>
      </c>
      <c r="AG100" s="1">
        <f>((((I100*'Prices&amp;Fuel'!B100+'Prices&amp;Fuel'!C100*FPL!J100+FPL!K100*'Prices&amp;Fuel'!D100))+(L100*'Prices&amp;Fuel'!B100+'Prices&amp;Fuel'!C100*FPL!M100))*'Prices&amp;Fuel'!H100)+(I100+J100+K100)*'Prices&amp;Fuel'!H100*FPL!T100+Q100/2</f>
        <v>11231487.052135661</v>
      </c>
      <c r="AH100" s="1">
        <f>(N100*'Prices&amp;Fuel'!B100+'Prices&amp;Fuel'!C100*O100+P100*'Prices&amp;Fuel'!D100)*'Prices&amp;Fuel'!H100+(N100+O100+P100)*'Prices&amp;Fuel'!H100*FPL!T100+Q100/2</f>
        <v>11231594.403206244</v>
      </c>
      <c r="AI100" s="1">
        <f>R100*'Prices&amp;Fuel'!H100*'Prices&amp;Fuel'!Q100</f>
        <v>0</v>
      </c>
      <c r="AJ100" s="52">
        <f>SUM(AG100:AI100)-'Long Term Deals'!AZ100</f>
        <v>0</v>
      </c>
    </row>
    <row r="101" spans="1:36" ht="10.199999999999999" x14ac:dyDescent="0.2">
      <c r="A101" s="10">
        <f t="shared" si="6"/>
        <v>38668.999999999767</v>
      </c>
      <c r="B101" s="1">
        <f>'Long Term Deals'!AF101</f>
        <v>58611.825192802062</v>
      </c>
      <c r="C101" s="1">
        <f>'Long Term Deals'!AG101</f>
        <v>0</v>
      </c>
      <c r="D101" s="1">
        <f>'Long Term Deals'!AH101</f>
        <v>77120.822622107968</v>
      </c>
      <c r="E101" s="1">
        <f>'Long Term Deals'!AI101</f>
        <v>0</v>
      </c>
      <c r="F101" s="1">
        <f>'Long Term Deals'!AJ101</f>
        <v>0</v>
      </c>
      <c r="G101" s="1">
        <f>'Long Term Deals'!AK101</f>
        <v>0</v>
      </c>
      <c r="H101" s="1">
        <f>'Long Term Deals'!AL101</f>
        <v>0</v>
      </c>
      <c r="I101" s="1">
        <f>'Long Term Deals'!AM101</f>
        <v>29306</v>
      </c>
      <c r="J101" s="1">
        <f>'Long Term Deals'!AN101</f>
        <v>0</v>
      </c>
      <c r="K101" s="1">
        <f>'Long Term Deals'!AO101</f>
        <v>38560</v>
      </c>
      <c r="L101" s="1">
        <f>'Long Term Deals'!AP101</f>
        <v>0</v>
      </c>
      <c r="M101" s="1">
        <f>'Long Term Deals'!AQ101</f>
        <v>0</v>
      </c>
      <c r="N101" s="1">
        <f>'Long Term Deals'!AR101</f>
        <v>29305.825192802062</v>
      </c>
      <c r="O101" s="1">
        <f>'Long Term Deals'!AS101</f>
        <v>0</v>
      </c>
      <c r="P101" s="1">
        <f>'Long Term Deals'!AT101</f>
        <v>38560.822622107968</v>
      </c>
      <c r="Q101" s="1">
        <f>'Long Term Deals'!AU101</f>
        <v>0</v>
      </c>
      <c r="R101" s="1">
        <f>'Long Term Deals'!AV101</f>
        <v>0</v>
      </c>
      <c r="S101" s="20">
        <f>'Long Term Deals'!AW101</f>
        <v>0.06</v>
      </c>
      <c r="T101" s="20">
        <f>'Long Term Deals'!AX101</f>
        <v>2.5000000000000001E-2</v>
      </c>
      <c r="U101" s="1">
        <f>'Long Term Deals'!AY101</f>
        <v>14738685.882570697</v>
      </c>
      <c r="V101" s="1">
        <f>'Long Term Deals'!AZ101</f>
        <v>14480485.368431877</v>
      </c>
      <c r="W101" s="6">
        <f t="shared" si="7"/>
        <v>258200.51413881965</v>
      </c>
      <c r="X101" s="6">
        <f>'Long Term Deals'!CA101</f>
        <v>20359.897172236506</v>
      </c>
      <c r="Y101" s="57"/>
      <c r="Z101" s="1">
        <f>[3]Sheet1!$O117</f>
        <v>-136481.34332224756</v>
      </c>
      <c r="AA101" s="1">
        <f>'[4]Long Term Deals'!$Z100</f>
        <v>10189.453117467026</v>
      </c>
      <c r="AB101" s="60">
        <f t="shared" si="10"/>
        <v>384511.41340629774</v>
      </c>
      <c r="AC101" s="60">
        <f t="shared" si="8"/>
        <v>384511.41340629774</v>
      </c>
      <c r="AD101" s="60">
        <f t="shared" si="9"/>
        <v>258200.51413881965</v>
      </c>
      <c r="AE101" s="28">
        <f>(W101-Z101+AA101)/(B101+C101+D101)/'Prices&amp;Fuel'!H101</f>
        <v>9.9428623620612264E-2</v>
      </c>
      <c r="AF101" s="3">
        <v>132000</v>
      </c>
      <c r="AG101" s="1">
        <f>((((I101*'Prices&amp;Fuel'!B101+'Prices&amp;Fuel'!C101*FPL!J101+FPL!K101*'Prices&amp;Fuel'!D101))+(L101*'Prices&amp;Fuel'!B101+'Prices&amp;Fuel'!C101*FPL!M101))*'Prices&amp;Fuel'!H101)+(I101+J101+K101)*'Prices&amp;Fuel'!H101*FPL!T101+Q101/2</f>
        <v>7240208.0603304012</v>
      </c>
      <c r="AH101" s="1">
        <f>(N101*'Prices&amp;Fuel'!B101+'Prices&amp;Fuel'!C101*O101+P101*'Prices&amp;Fuel'!D101)*'Prices&amp;Fuel'!H101+(N101+O101+P101)*'Prices&amp;Fuel'!H101*FPL!T101+Q101/2</f>
        <v>7240277.308101478</v>
      </c>
      <c r="AI101" s="1">
        <f>R101*'Prices&amp;Fuel'!H101*'Prices&amp;Fuel'!Q101</f>
        <v>0</v>
      </c>
      <c r="AJ101" s="52">
        <f>SUM(AG101:AI101)-'Long Term Deals'!AZ101</f>
        <v>0</v>
      </c>
    </row>
    <row r="102" spans="1:36" ht="10.199999999999999" x14ac:dyDescent="0.2">
      <c r="A102" s="10">
        <f t="shared" si="6"/>
        <v>38699.416666666431</v>
      </c>
      <c r="B102" s="1">
        <f>'Long Term Deals'!AF102</f>
        <v>58611.825192802062</v>
      </c>
      <c r="C102" s="1">
        <f>'Long Term Deals'!AG102</f>
        <v>0</v>
      </c>
      <c r="D102" s="1">
        <f>'Long Term Deals'!AH102</f>
        <v>77120.822622107968</v>
      </c>
      <c r="E102" s="1">
        <f>'Long Term Deals'!AI102</f>
        <v>0</v>
      </c>
      <c r="F102" s="1">
        <f>'Long Term Deals'!AJ102</f>
        <v>0</v>
      </c>
      <c r="G102" s="1">
        <f>'Long Term Deals'!AK102</f>
        <v>0</v>
      </c>
      <c r="H102" s="1">
        <f>'Long Term Deals'!AL102</f>
        <v>0</v>
      </c>
      <c r="I102" s="1">
        <f>'Long Term Deals'!AM102</f>
        <v>29306</v>
      </c>
      <c r="J102" s="1">
        <f>'Long Term Deals'!AN102</f>
        <v>0</v>
      </c>
      <c r="K102" s="1">
        <f>'Long Term Deals'!AO102</f>
        <v>38560</v>
      </c>
      <c r="L102" s="1">
        <f>'Long Term Deals'!AP102</f>
        <v>0</v>
      </c>
      <c r="M102" s="1">
        <f>'Long Term Deals'!AQ102</f>
        <v>0</v>
      </c>
      <c r="N102" s="1">
        <f>'Long Term Deals'!AR102</f>
        <v>29305.825192802062</v>
      </c>
      <c r="O102" s="1">
        <f>'Long Term Deals'!AS102</f>
        <v>0</v>
      </c>
      <c r="P102" s="1">
        <f>'Long Term Deals'!AT102</f>
        <v>38560.822622107968</v>
      </c>
      <c r="Q102" s="1">
        <f>'Long Term Deals'!AU102</f>
        <v>0</v>
      </c>
      <c r="R102" s="1">
        <f>'Long Term Deals'!AV102</f>
        <v>0</v>
      </c>
      <c r="S102" s="20">
        <f>'Long Term Deals'!AW102</f>
        <v>0.06</v>
      </c>
      <c r="T102" s="20">
        <f>'Long Term Deals'!AX102</f>
        <v>2.5000000000000001E-2</v>
      </c>
      <c r="U102" s="1">
        <f>'Long Term Deals'!AY102</f>
        <v>11414990.641850904</v>
      </c>
      <c r="V102" s="1">
        <f>'Long Term Deals'!AZ102</f>
        <v>11148183.443907458</v>
      </c>
      <c r="W102" s="6">
        <f t="shared" si="7"/>
        <v>266807.1979434453</v>
      </c>
      <c r="X102" s="6">
        <f>'Long Term Deals'!CA102</f>
        <v>21038.560411311057</v>
      </c>
      <c r="Y102" s="57"/>
      <c r="Z102" s="1">
        <f>[3]Sheet1!$O118</f>
        <v>-141030.72143298911</v>
      </c>
      <c r="AA102" s="1">
        <f>'[4]Long Term Deals'!$Z101</f>
        <v>10529.101554715919</v>
      </c>
      <c r="AB102" s="60">
        <f t="shared" si="10"/>
        <v>397328.46051983925</v>
      </c>
      <c r="AC102" s="60">
        <f t="shared" si="8"/>
        <v>397328.46051983925</v>
      </c>
      <c r="AD102" s="60">
        <f t="shared" si="9"/>
        <v>266807.1979434453</v>
      </c>
      <c r="AE102" s="28">
        <f>(W102-Z102+AA102)/(B102+C102+D102)/'Prices&amp;Fuel'!H102</f>
        <v>9.942862362061182E-2</v>
      </c>
      <c r="AF102" s="3">
        <v>132000</v>
      </c>
      <c r="AG102" s="1">
        <f>((((I102*'Prices&amp;Fuel'!B102+'Prices&amp;Fuel'!C102*FPL!J102+FPL!K102*'Prices&amp;Fuel'!D102))+(L102*'Prices&amp;Fuel'!B102+'Prices&amp;Fuel'!C102*FPL!M102))*'Prices&amp;Fuel'!H102)+(I102+J102+K102)*'Prices&amp;Fuel'!H102*FPL!T102+Q102/2</f>
        <v>5574065.0478796018</v>
      </c>
      <c r="AH102" s="1">
        <f>(N102*'Prices&amp;Fuel'!B102+'Prices&amp;Fuel'!C102*O102+P102*'Prices&amp;Fuel'!D102)*'Prices&amp;Fuel'!H102+(N102+O102+P102)*'Prices&amp;Fuel'!H102*FPL!T102+Q102/2</f>
        <v>5574118.3960278574</v>
      </c>
      <c r="AI102" s="1">
        <f>R102*'Prices&amp;Fuel'!H102*'Prices&amp;Fuel'!Q102</f>
        <v>0</v>
      </c>
      <c r="AJ102" s="52">
        <f>SUM(AG102:AI102)-'Long Term Deals'!AZ102</f>
        <v>0</v>
      </c>
    </row>
    <row r="103" spans="1:36" ht="10.199999999999999" x14ac:dyDescent="0.2">
      <c r="A103" s="10">
        <f t="shared" si="6"/>
        <v>38729.833333333096</v>
      </c>
      <c r="B103" s="1">
        <f>'Long Term Deals'!AF103</f>
        <v>58611.825192802062</v>
      </c>
      <c r="C103" s="1">
        <f>'Long Term Deals'!AG103</f>
        <v>0</v>
      </c>
      <c r="D103" s="1">
        <f>'Long Term Deals'!AH103</f>
        <v>77120.822622107968</v>
      </c>
      <c r="E103" s="1">
        <f>'Long Term Deals'!AI103</f>
        <v>0</v>
      </c>
      <c r="F103" s="1">
        <f>'Long Term Deals'!AJ103</f>
        <v>0</v>
      </c>
      <c r="G103" s="1">
        <f>'Long Term Deals'!AK103</f>
        <v>0</v>
      </c>
      <c r="H103" s="1">
        <f>'Long Term Deals'!AL103</f>
        <v>0</v>
      </c>
      <c r="I103" s="1">
        <f>'Long Term Deals'!AM103</f>
        <v>29306</v>
      </c>
      <c r="J103" s="1">
        <f>'Long Term Deals'!AN103</f>
        <v>0</v>
      </c>
      <c r="K103" s="1">
        <f>'Long Term Deals'!AO103</f>
        <v>38560</v>
      </c>
      <c r="L103" s="1">
        <f>'Long Term Deals'!AP103</f>
        <v>0</v>
      </c>
      <c r="M103" s="1">
        <f>'Long Term Deals'!AQ103</f>
        <v>0</v>
      </c>
      <c r="N103" s="1">
        <f>'Long Term Deals'!AR103</f>
        <v>29305.825192802062</v>
      </c>
      <c r="O103" s="1">
        <f>'Long Term Deals'!AS103</f>
        <v>0</v>
      </c>
      <c r="P103" s="1">
        <f>'Long Term Deals'!AT103</f>
        <v>38560.822622107968</v>
      </c>
      <c r="Q103" s="1">
        <f>'Long Term Deals'!AU103</f>
        <v>0</v>
      </c>
      <c r="R103" s="1">
        <f>'Long Term Deals'!AV103</f>
        <v>0</v>
      </c>
      <c r="S103" s="20">
        <f>'Long Term Deals'!AW103</f>
        <v>0.05</v>
      </c>
      <c r="T103" s="20">
        <f>'Long Term Deals'!AX103</f>
        <v>2.5000000000000001E-2</v>
      </c>
      <c r="U103" s="1">
        <f>'Long Term Deals'!AY103</f>
        <v>10040703.498455942</v>
      </c>
      <c r="V103" s="1">
        <f>'Long Term Deals'!AZ103</f>
        <v>9815973.4213351179</v>
      </c>
      <c r="W103" s="6">
        <f t="shared" si="7"/>
        <v>224730.07712082379</v>
      </c>
      <c r="X103" s="6">
        <f>'Long Term Deals'!CA103</f>
        <v>21038.560411311057</v>
      </c>
      <c r="Y103" s="57"/>
      <c r="Z103" s="1">
        <f>[3]Sheet1!$O120</f>
        <v>-183238.04479554712</v>
      </c>
      <c r="AA103" s="1">
        <f>'[4]Long Term Deals'!$Z102</f>
        <v>10529.101554715919</v>
      </c>
      <c r="AB103" s="60">
        <f t="shared" si="10"/>
        <v>397458.66305977578</v>
      </c>
      <c r="AC103" s="60">
        <f t="shared" si="8"/>
        <v>397458.66305977578</v>
      </c>
      <c r="AD103" s="60">
        <f t="shared" si="9"/>
        <v>224730.07712082379</v>
      </c>
      <c r="AE103" s="28">
        <f>(W103-Z103+AA103)/(B103+C103+D103)/'Prices&amp;Fuel'!H103</f>
        <v>9.94595674060684E-2</v>
      </c>
      <c r="AF103" s="3">
        <v>132000</v>
      </c>
      <c r="AG103" s="1">
        <f>((((I103*'Prices&amp;Fuel'!B103+'Prices&amp;Fuel'!C103*FPL!J103+FPL!K103*'Prices&amp;Fuel'!D103))+(L103*'Prices&amp;Fuel'!B103+'Prices&amp;Fuel'!C103*FPL!M103))*'Prices&amp;Fuel'!H103)+(I103+J103+K103)*'Prices&amp;Fuel'!H103*FPL!T103+Q103/2</f>
        <v>4907963.2157309856</v>
      </c>
      <c r="AH103" s="1">
        <f>(N103*'Prices&amp;Fuel'!B103+'Prices&amp;Fuel'!C103*O103+P103*'Prices&amp;Fuel'!D103)*'Prices&amp;Fuel'!H103+(N103+O103+P103)*'Prices&amp;Fuel'!H103*FPL!T103+Q103/2</f>
        <v>4908010.2056041332</v>
      </c>
      <c r="AI103" s="1">
        <f>R103*'Prices&amp;Fuel'!H103*'Prices&amp;Fuel'!Q103</f>
        <v>0</v>
      </c>
      <c r="AJ103" s="52">
        <f>SUM(AG103:AI103)-'Long Term Deals'!AZ103</f>
        <v>0</v>
      </c>
    </row>
    <row r="104" spans="1:36" ht="10.199999999999999" x14ac:dyDescent="0.2">
      <c r="A104" s="10">
        <f t="shared" si="6"/>
        <v>38760.24999999976</v>
      </c>
      <c r="B104" s="1">
        <f>'Long Term Deals'!AF104</f>
        <v>58611.825192802062</v>
      </c>
      <c r="C104" s="1">
        <f>'Long Term Deals'!AG104</f>
        <v>0</v>
      </c>
      <c r="D104" s="1">
        <f>'Long Term Deals'!AH104</f>
        <v>77120.822622107968</v>
      </c>
      <c r="E104" s="1">
        <f>'Long Term Deals'!AI104</f>
        <v>0</v>
      </c>
      <c r="F104" s="1">
        <f>'Long Term Deals'!AJ104</f>
        <v>0</v>
      </c>
      <c r="G104" s="1">
        <f>'Long Term Deals'!AK104</f>
        <v>0</v>
      </c>
      <c r="H104" s="1">
        <f>'Long Term Deals'!AL104</f>
        <v>0</v>
      </c>
      <c r="I104" s="1">
        <f>'Long Term Deals'!AM104</f>
        <v>29306</v>
      </c>
      <c r="J104" s="1">
        <f>'Long Term Deals'!AN104</f>
        <v>0</v>
      </c>
      <c r="K104" s="1">
        <f>'Long Term Deals'!AO104</f>
        <v>38560</v>
      </c>
      <c r="L104" s="1">
        <f>'Long Term Deals'!AP104</f>
        <v>0</v>
      </c>
      <c r="M104" s="1">
        <f>'Long Term Deals'!AQ104</f>
        <v>0</v>
      </c>
      <c r="N104" s="1">
        <f>'Long Term Deals'!AR104</f>
        <v>29305.825192802062</v>
      </c>
      <c r="O104" s="1">
        <f>'Long Term Deals'!AS104</f>
        <v>0</v>
      </c>
      <c r="P104" s="1">
        <f>'Long Term Deals'!AT104</f>
        <v>38560.822622107968</v>
      </c>
      <c r="Q104" s="1">
        <f>'Long Term Deals'!AU104</f>
        <v>0</v>
      </c>
      <c r="R104" s="1">
        <f>'Long Term Deals'!AV104</f>
        <v>0</v>
      </c>
      <c r="S104" s="20">
        <f>'Long Term Deals'!AW104</f>
        <v>0.05</v>
      </c>
      <c r="T104" s="20">
        <f>'Long Term Deals'!AX104</f>
        <v>2.5000000000000001E-2</v>
      </c>
      <c r="U104" s="1">
        <f>'Long Term Deals'!AY104</f>
        <v>10136826.68302149</v>
      </c>
      <c r="V104" s="1">
        <f>'Long Term Deals'!AZ104</f>
        <v>9933844.6778801046</v>
      </c>
      <c r="W104" s="6">
        <f t="shared" si="7"/>
        <v>202982.0051413849</v>
      </c>
      <c r="X104" s="6">
        <f>'Long Term Deals'!CA104</f>
        <v>19002.570694087408</v>
      </c>
      <c r="Y104" s="57"/>
      <c r="Z104" s="1">
        <f>[3]Sheet1!$O121</f>
        <v>-165505.33078307484</v>
      </c>
      <c r="AA104" s="1">
        <f>'[4]Long Term Deals'!$Z103</f>
        <v>9510.1562429692131</v>
      </c>
      <c r="AB104" s="60">
        <f t="shared" si="10"/>
        <v>358994.92147334153</v>
      </c>
      <c r="AC104" s="60">
        <f t="shared" si="8"/>
        <v>358994.92147334153</v>
      </c>
      <c r="AD104" s="60">
        <f t="shared" si="9"/>
        <v>202982.0051413849</v>
      </c>
      <c r="AE104" s="28">
        <f>(W104-Z104+AA104)/(B104+C104+D104)/'Prices&amp;Fuel'!H104</f>
        <v>9.9459567406067276E-2</v>
      </c>
      <c r="AF104" s="3">
        <v>132000</v>
      </c>
      <c r="AG104" s="1">
        <f>((((I104*'Prices&amp;Fuel'!B104+'Prices&amp;Fuel'!C104*FPL!J104+FPL!K104*'Prices&amp;Fuel'!D104))+(L104*'Prices&amp;Fuel'!B104+'Prices&amp;Fuel'!C104*FPL!M104))*'Prices&amp;Fuel'!H104)+(I104+J104+K104)*'Prices&amp;Fuel'!H104*FPL!T104+Q104/2</f>
        <v>4966898.5695379805</v>
      </c>
      <c r="AH104" s="1">
        <f>(N104*'Prices&amp;Fuel'!B104+'Prices&amp;Fuel'!C104*O104+P104*'Prices&amp;Fuel'!D104)*'Prices&amp;Fuel'!H104+(N104+O104+P104)*'Prices&amp;Fuel'!H104*FPL!T104+Q104/2</f>
        <v>4966946.1083421251</v>
      </c>
      <c r="AI104" s="1">
        <f>R104*'Prices&amp;Fuel'!H104*'Prices&amp;Fuel'!Q104</f>
        <v>0</v>
      </c>
      <c r="AJ104" s="52">
        <f>SUM(AG104:AI104)-'Long Term Deals'!AZ104</f>
        <v>0</v>
      </c>
    </row>
    <row r="105" spans="1:36" ht="10.199999999999999" x14ac:dyDescent="0.2">
      <c r="A105" s="10">
        <f t="shared" si="6"/>
        <v>38790.666666666424</v>
      </c>
      <c r="B105" s="1">
        <f>'Long Term Deals'!AF105</f>
        <v>58611.825192802062</v>
      </c>
      <c r="C105" s="1">
        <f>'Long Term Deals'!AG105</f>
        <v>0</v>
      </c>
      <c r="D105" s="1">
        <f>'Long Term Deals'!AH105</f>
        <v>77120.822622107968</v>
      </c>
      <c r="E105" s="1">
        <f>'Long Term Deals'!AI105</f>
        <v>0</v>
      </c>
      <c r="F105" s="1">
        <f>'Long Term Deals'!AJ105</f>
        <v>0</v>
      </c>
      <c r="G105" s="1">
        <f>'Long Term Deals'!AK105</f>
        <v>0</v>
      </c>
      <c r="H105" s="1">
        <f>'Long Term Deals'!AL105</f>
        <v>0</v>
      </c>
      <c r="I105" s="1">
        <f>'Long Term Deals'!AM105</f>
        <v>29306</v>
      </c>
      <c r="J105" s="1">
        <f>'Long Term Deals'!AN105</f>
        <v>0</v>
      </c>
      <c r="K105" s="1">
        <f>'Long Term Deals'!AO105</f>
        <v>38560</v>
      </c>
      <c r="L105" s="1">
        <f>'Long Term Deals'!AP105</f>
        <v>0</v>
      </c>
      <c r="M105" s="1">
        <f>'Long Term Deals'!AQ105</f>
        <v>0</v>
      </c>
      <c r="N105" s="1">
        <f>'Long Term Deals'!AR105</f>
        <v>29305.825192802062</v>
      </c>
      <c r="O105" s="1">
        <f>'Long Term Deals'!AS105</f>
        <v>0</v>
      </c>
      <c r="P105" s="1">
        <f>'Long Term Deals'!AT105</f>
        <v>38560.822622107968</v>
      </c>
      <c r="Q105" s="1">
        <f>'Long Term Deals'!AU105</f>
        <v>0</v>
      </c>
      <c r="R105" s="1">
        <f>'Long Term Deals'!AV105</f>
        <v>0</v>
      </c>
      <c r="S105" s="20">
        <f>'Long Term Deals'!AW105</f>
        <v>0.05</v>
      </c>
      <c r="T105" s="20">
        <f>'Long Term Deals'!AX105</f>
        <v>2.5000000000000001E-2</v>
      </c>
      <c r="U105" s="1">
        <f>'Long Term Deals'!AY105</f>
        <v>11222915.256202366</v>
      </c>
      <c r="V105" s="1">
        <f>'Long Term Deals'!AZ105</f>
        <v>10998185.179081544</v>
      </c>
      <c r="W105" s="6">
        <f t="shared" si="7"/>
        <v>224730.07712082192</v>
      </c>
      <c r="X105" s="6">
        <f>'Long Term Deals'!CA105</f>
        <v>21038.560411311057</v>
      </c>
      <c r="Z105" s="1">
        <f>[3]Sheet1!$O122</f>
        <v>-183238.04479554712</v>
      </c>
      <c r="AA105" s="1">
        <f>'[4]Long Term Deals'!$Z104</f>
        <v>10529.101554715919</v>
      </c>
      <c r="AB105" s="60">
        <f t="shared" si="10"/>
        <v>397458.66305977391</v>
      </c>
      <c r="AC105" s="60">
        <f t="shared" si="8"/>
        <v>397458.66305977391</v>
      </c>
      <c r="AD105" s="60">
        <f t="shared" si="9"/>
        <v>224730.07712082192</v>
      </c>
      <c r="AE105" s="28">
        <f>(W105-Z105+AA105)/(B105+C105+D105)/'Prices&amp;Fuel'!H105</f>
        <v>9.9459567406067956E-2</v>
      </c>
      <c r="AF105" s="3">
        <v>132000</v>
      </c>
      <c r="AG105" s="1">
        <f>((((I105*'Prices&amp;Fuel'!B105+'Prices&amp;Fuel'!C105*FPL!J105+FPL!K105*'Prices&amp;Fuel'!D105))+(L105*'Prices&amp;Fuel'!B105+'Prices&amp;Fuel'!C105*FPL!M105))*'Prices&amp;Fuel'!H105)+(I105+J105+K105)*'Prices&amp;Fuel'!H105*FPL!T105+Q105/2</f>
        <v>5499066.27341705</v>
      </c>
      <c r="AH105" s="1">
        <f>(N105*'Prices&amp;Fuel'!B105+'Prices&amp;Fuel'!C105*O105+P105*'Prices&amp;Fuel'!D105)*'Prices&amp;Fuel'!H105+(N105+O105+P105)*'Prices&amp;Fuel'!H105*FPL!T105+Q105/2</f>
        <v>5499118.9056644952</v>
      </c>
      <c r="AI105" s="1">
        <f>R105*'Prices&amp;Fuel'!H105*'Prices&amp;Fuel'!Q105</f>
        <v>0</v>
      </c>
      <c r="AJ105" s="52">
        <f>SUM(AG105:AI105)-'Long Term Deals'!AZ105</f>
        <v>0</v>
      </c>
    </row>
    <row r="106" spans="1:36" ht="10.199999999999999" x14ac:dyDescent="0.2">
      <c r="A106" s="10">
        <f t="shared" si="6"/>
        <v>38821.083333333088</v>
      </c>
      <c r="B106" s="1">
        <f>'Long Term Deals'!AF106</f>
        <v>58611.825192802062</v>
      </c>
      <c r="C106" s="1">
        <f>'Long Term Deals'!AG106</f>
        <v>0</v>
      </c>
      <c r="D106" s="1">
        <f>'Long Term Deals'!AH106</f>
        <v>77120.822622107968</v>
      </c>
      <c r="E106" s="1">
        <f>'Long Term Deals'!AI106</f>
        <v>0</v>
      </c>
      <c r="F106" s="1">
        <f>'Long Term Deals'!AJ106</f>
        <v>0</v>
      </c>
      <c r="G106" s="1">
        <f>'Long Term Deals'!AK106</f>
        <v>0</v>
      </c>
      <c r="H106" s="1">
        <f>'Long Term Deals'!AL106</f>
        <v>0</v>
      </c>
      <c r="I106" s="1">
        <f>'Long Term Deals'!AM106</f>
        <v>29306</v>
      </c>
      <c r="J106" s="1">
        <f>'Long Term Deals'!AN106</f>
        <v>0</v>
      </c>
      <c r="K106" s="1">
        <f>'Long Term Deals'!AO106</f>
        <v>38560</v>
      </c>
      <c r="L106" s="1">
        <f>'Long Term Deals'!AP106</f>
        <v>0</v>
      </c>
      <c r="M106" s="1">
        <f>'Long Term Deals'!AQ106</f>
        <v>0</v>
      </c>
      <c r="N106" s="1">
        <f>'Long Term Deals'!AR106</f>
        <v>29305.825192802062</v>
      </c>
      <c r="O106" s="1">
        <f>'Long Term Deals'!AS106</f>
        <v>0</v>
      </c>
      <c r="P106" s="1">
        <f>'Long Term Deals'!AT106</f>
        <v>38560.822622107968</v>
      </c>
      <c r="Q106" s="1">
        <f>'Long Term Deals'!AU106</f>
        <v>0</v>
      </c>
      <c r="R106" s="1">
        <f>'Long Term Deals'!AV106</f>
        <v>0</v>
      </c>
      <c r="S106" s="20">
        <f>'Long Term Deals'!AW106</f>
        <v>0.05</v>
      </c>
      <c r="T106" s="20">
        <f>'Long Term Deals'!AX106</f>
        <v>2.5000000000000001E-2</v>
      </c>
      <c r="U106" s="1">
        <f>'Long Term Deals'!AY106</f>
        <v>12004961.626402058</v>
      </c>
      <c r="V106" s="1">
        <f>'Long Term Deals'!AZ106</f>
        <v>11787480.906607714</v>
      </c>
      <c r="W106" s="6">
        <f t="shared" si="7"/>
        <v>217480.71979434416</v>
      </c>
      <c r="X106" s="6">
        <f>'Long Term Deals'!CA106</f>
        <v>20359.897172236506</v>
      </c>
      <c r="Z106" s="1">
        <f>[3]Sheet1!$O123</f>
        <v>-177327.14012472305</v>
      </c>
      <c r="AA106" s="1">
        <f>'[4]Long Term Deals'!$Z105</f>
        <v>10189.453117467026</v>
      </c>
      <c r="AB106" s="60">
        <f t="shared" si="10"/>
        <v>384637.41586429771</v>
      </c>
      <c r="AC106" s="60">
        <f t="shared" si="8"/>
        <v>384637.41586429771</v>
      </c>
      <c r="AD106" s="60">
        <f t="shared" si="9"/>
        <v>217480.71979434413</v>
      </c>
      <c r="AE106" s="28">
        <f>(W106-Z106+AA106)/(B106+C106+D106)/'Prices&amp;Fuel'!H106</f>
        <v>9.9459567406068053E-2</v>
      </c>
      <c r="AF106" s="3">
        <v>132000</v>
      </c>
      <c r="AG106" s="1">
        <f>((((I106*'Prices&amp;Fuel'!B106+'Prices&amp;Fuel'!C106*FPL!J106+FPL!K106*'Prices&amp;Fuel'!D106))+(L106*'Prices&amp;Fuel'!B106+'Prices&amp;Fuel'!C106*FPL!M106))*'Prices&amp;Fuel'!H106)+(I106+J106+K106)*'Prices&amp;Fuel'!H106*FPL!T106+Q106/2</f>
        <v>5893712.2559062392</v>
      </c>
      <c r="AH106" s="1">
        <f>(N106*'Prices&amp;Fuel'!B106+'Prices&amp;Fuel'!C106*O106+P106*'Prices&amp;Fuel'!D106)*'Prices&amp;Fuel'!H106+(N106+O106+P106)*'Prices&amp;Fuel'!H106*FPL!T106+Q106/2</f>
        <v>5893768.6507014763</v>
      </c>
      <c r="AI106" s="1">
        <f>R106*'Prices&amp;Fuel'!H106*'Prices&amp;Fuel'!Q106</f>
        <v>0</v>
      </c>
      <c r="AJ106" s="52">
        <f>SUM(AG106:AI106)-'Long Term Deals'!AZ106</f>
        <v>0</v>
      </c>
    </row>
    <row r="107" spans="1:36" ht="10.199999999999999" x14ac:dyDescent="0.2">
      <c r="A107" s="10">
        <f t="shared" si="6"/>
        <v>38851.499999999753</v>
      </c>
      <c r="B107" s="1">
        <f>'Long Term Deals'!AF107</f>
        <v>128534.70437017996</v>
      </c>
      <c r="C107" s="1">
        <f>'Long Term Deals'!AG107</f>
        <v>0</v>
      </c>
      <c r="D107" s="1">
        <f>'Long Term Deals'!AH107</f>
        <v>77120.822622107968</v>
      </c>
      <c r="E107" s="1">
        <f>'Long Term Deals'!AI107</f>
        <v>0</v>
      </c>
      <c r="F107" s="1">
        <f>'Long Term Deals'!AJ107</f>
        <v>0</v>
      </c>
      <c r="G107" s="1">
        <f>'Long Term Deals'!AK107</f>
        <v>0</v>
      </c>
      <c r="H107" s="1">
        <f>'Long Term Deals'!AL107</f>
        <v>0</v>
      </c>
      <c r="I107" s="1">
        <f>'Long Term Deals'!AM107</f>
        <v>64267</v>
      </c>
      <c r="J107" s="1">
        <f>'Long Term Deals'!AN107</f>
        <v>0</v>
      </c>
      <c r="K107" s="1">
        <f>'Long Term Deals'!AO107</f>
        <v>38560</v>
      </c>
      <c r="L107" s="1">
        <f>'Long Term Deals'!AP107</f>
        <v>0</v>
      </c>
      <c r="M107" s="1">
        <f>'Long Term Deals'!AQ107</f>
        <v>0</v>
      </c>
      <c r="N107" s="1">
        <f>'Long Term Deals'!AR107</f>
        <v>64267.704370179956</v>
      </c>
      <c r="O107" s="1">
        <f>'Long Term Deals'!AS107</f>
        <v>0</v>
      </c>
      <c r="P107" s="1">
        <f>'Long Term Deals'!AT107</f>
        <v>38560.822622107968</v>
      </c>
      <c r="Q107" s="1">
        <f>'Long Term Deals'!AU107</f>
        <v>0</v>
      </c>
      <c r="R107" s="1">
        <f>'Long Term Deals'!AV107</f>
        <v>0</v>
      </c>
      <c r="S107" s="20">
        <f>'Long Term Deals'!AW107</f>
        <v>0.05</v>
      </c>
      <c r="T107" s="20">
        <f>'Long Term Deals'!AX107</f>
        <v>2.5000000000000001E-2</v>
      </c>
      <c r="U107" s="1">
        <f>'Long Term Deals'!AY107</f>
        <v>19982246.360925458</v>
      </c>
      <c r="V107" s="1">
        <f>'Long Term Deals'!AZ107</f>
        <v>19703326.052442167</v>
      </c>
      <c r="W107" s="6">
        <f t="shared" si="7"/>
        <v>278920.30848329142</v>
      </c>
      <c r="X107" s="6">
        <f>'Long Term Deals'!CA107</f>
        <v>31876.606683804628</v>
      </c>
      <c r="Z107" s="1">
        <f>[3]Sheet1!$O124</f>
        <v>-277633.40120537439</v>
      </c>
      <c r="AA107" s="1">
        <f>'[4]Long Term Deals'!$Z106</f>
        <v>15953.184173812013</v>
      </c>
      <c r="AB107" s="60">
        <f t="shared" si="10"/>
        <v>540630.2871786732</v>
      </c>
      <c r="AC107" s="60">
        <f t="shared" si="8"/>
        <v>540630.2871786732</v>
      </c>
      <c r="AD107" s="60">
        <f t="shared" si="9"/>
        <v>278920.30848329142</v>
      </c>
      <c r="AE107" s="28">
        <f>(W107-Z107+AA107)/(B107+C107+D107)/'Prices&amp;Fuel'!H107</f>
        <v>8.9800476496977366E-2</v>
      </c>
      <c r="AF107" s="3">
        <v>200000</v>
      </c>
      <c r="AG107" s="1">
        <f>((((I107*'Prices&amp;Fuel'!B107+'Prices&amp;Fuel'!C107*FPL!J107+FPL!K107*'Prices&amp;Fuel'!D107))+(L107*'Prices&amp;Fuel'!B107+'Prices&amp;Fuel'!C107*FPL!M107))*'Prices&amp;Fuel'!H107)+(I107+J107+K107)*'Prices&amp;Fuel'!H107*FPL!T107+Q107/2</f>
        <v>9851589.8388731144</v>
      </c>
      <c r="AH107" s="1">
        <f>(N107*'Prices&amp;Fuel'!B107+'Prices&amp;Fuel'!C107*O107+P107*'Prices&amp;Fuel'!D107)*'Prices&amp;Fuel'!H107+(N107+O107+P107)*'Prices&amp;Fuel'!H107*FPL!T107+Q107/2</f>
        <v>9851736.2135690525</v>
      </c>
      <c r="AI107" s="1">
        <f>R107*'Prices&amp;Fuel'!H107*'Prices&amp;Fuel'!Q107</f>
        <v>0</v>
      </c>
      <c r="AJ107" s="52">
        <f>SUM(AG107:AI107)-'Long Term Deals'!AZ107</f>
        <v>0</v>
      </c>
    </row>
    <row r="108" spans="1:36" ht="10.199999999999999" x14ac:dyDescent="0.2">
      <c r="A108" s="10">
        <f t="shared" si="6"/>
        <v>38881.916666666417</v>
      </c>
      <c r="B108" s="1">
        <f>'Long Term Deals'!AF108</f>
        <v>128534.70437017996</v>
      </c>
      <c r="C108" s="1">
        <f>'Long Term Deals'!AG108</f>
        <v>0</v>
      </c>
      <c r="D108" s="1">
        <f>'Long Term Deals'!AH108</f>
        <v>77120.822622107968</v>
      </c>
      <c r="E108" s="1">
        <f>'Long Term Deals'!AI108</f>
        <v>0</v>
      </c>
      <c r="F108" s="1">
        <f>'Long Term Deals'!AJ108</f>
        <v>0</v>
      </c>
      <c r="G108" s="1">
        <f>'Long Term Deals'!AK108</f>
        <v>0</v>
      </c>
      <c r="H108" s="1">
        <f>'Long Term Deals'!AL108</f>
        <v>0</v>
      </c>
      <c r="I108" s="1">
        <f>'Long Term Deals'!AM108</f>
        <v>64267</v>
      </c>
      <c r="J108" s="1">
        <f>'Long Term Deals'!AN108</f>
        <v>0</v>
      </c>
      <c r="K108" s="1">
        <f>'Long Term Deals'!AO108</f>
        <v>38560</v>
      </c>
      <c r="L108" s="1">
        <f>'Long Term Deals'!AP108</f>
        <v>0</v>
      </c>
      <c r="M108" s="1">
        <f>'Long Term Deals'!AQ108</f>
        <v>0</v>
      </c>
      <c r="N108" s="1">
        <f>'Long Term Deals'!AR108</f>
        <v>64267.704370179956</v>
      </c>
      <c r="O108" s="1">
        <f>'Long Term Deals'!AS108</f>
        <v>0</v>
      </c>
      <c r="P108" s="1">
        <f>'Long Term Deals'!AT108</f>
        <v>38560.822622107968</v>
      </c>
      <c r="Q108" s="1">
        <f>'Long Term Deals'!AU108</f>
        <v>0</v>
      </c>
      <c r="R108" s="1">
        <f>'Long Term Deals'!AV108</f>
        <v>0</v>
      </c>
      <c r="S108" s="20">
        <f>'Long Term Deals'!AW108</f>
        <v>0.05</v>
      </c>
      <c r="T108" s="20">
        <f>'Long Term Deals'!AX108</f>
        <v>2.5000000000000001E-2</v>
      </c>
      <c r="U108" s="1">
        <f>'Long Term Deals'!AY108</f>
        <v>27748092.235064268</v>
      </c>
      <c r="V108" s="1">
        <f>'Long Term Deals'!AZ108</f>
        <v>27478169.355886891</v>
      </c>
      <c r="W108" s="6">
        <f t="shared" si="7"/>
        <v>269922.87917737663</v>
      </c>
      <c r="X108" s="6">
        <f>'Long Term Deals'!CA108</f>
        <v>30848.329048843189</v>
      </c>
      <c r="Z108" s="1">
        <f>[3]Sheet1!$O125</f>
        <v>-268677.48503745912</v>
      </c>
      <c r="AA108" s="1">
        <f>'[4]Long Term Deals'!$Z107</f>
        <v>15438.565329495468</v>
      </c>
      <c r="AB108" s="60">
        <f t="shared" si="10"/>
        <v>523190.60049548809</v>
      </c>
      <c r="AC108" s="60">
        <f t="shared" si="8"/>
        <v>523190.60049548809</v>
      </c>
      <c r="AD108" s="60">
        <f t="shared" si="9"/>
        <v>269922.87917737669</v>
      </c>
      <c r="AE108" s="28">
        <f>(W108-Z108+AA108)/(B108+C108+D108)/'Prices&amp;Fuel'!H108</f>
        <v>8.9800476496977005E-2</v>
      </c>
      <c r="AF108" s="3">
        <v>200000</v>
      </c>
      <c r="AG108" s="1">
        <f>((((I108*'Prices&amp;Fuel'!B108+'Prices&amp;Fuel'!C108*FPL!J108+FPL!K108*'Prices&amp;Fuel'!D108))+(L108*'Prices&amp;Fuel'!B108+'Prices&amp;Fuel'!C108*FPL!M108))*'Prices&amp;Fuel'!H108)+(I108+J108+K108)*'Prices&amp;Fuel'!H108*FPL!T108+Q108/2</f>
        <v>13738982.627739709</v>
      </c>
      <c r="AH108" s="1">
        <f>(N108*'Prices&amp;Fuel'!B108+'Prices&amp;Fuel'!C108*O108+P108*'Prices&amp;Fuel'!D108)*'Prices&amp;Fuel'!H108+(N108+O108+P108)*'Prices&amp;Fuel'!H108*FPL!T108+Q108/2</f>
        <v>13739186.728147177</v>
      </c>
      <c r="AI108" s="1">
        <f>R108*'Prices&amp;Fuel'!H108*'Prices&amp;Fuel'!Q108</f>
        <v>0</v>
      </c>
      <c r="AJ108" s="52">
        <f>SUM(AG108:AI108)-'Long Term Deals'!AZ108</f>
        <v>0</v>
      </c>
    </row>
    <row r="109" spans="1:36" ht="10.199999999999999" x14ac:dyDescent="0.2">
      <c r="A109" s="10">
        <f t="shared" si="6"/>
        <v>38912.333333333081</v>
      </c>
      <c r="B109" s="1">
        <f>'Long Term Deals'!AF109</f>
        <v>128534.70437017996</v>
      </c>
      <c r="C109" s="1">
        <f>'Long Term Deals'!AG109</f>
        <v>0</v>
      </c>
      <c r="D109" s="1">
        <f>'Long Term Deals'!AH109</f>
        <v>77120.822622107968</v>
      </c>
      <c r="E109" s="1">
        <f>'Long Term Deals'!AI109</f>
        <v>0</v>
      </c>
      <c r="F109" s="1">
        <f>'Long Term Deals'!AJ109</f>
        <v>0</v>
      </c>
      <c r="G109" s="1">
        <f>'Long Term Deals'!AK109</f>
        <v>0</v>
      </c>
      <c r="H109" s="1">
        <f>'Long Term Deals'!AL109</f>
        <v>0</v>
      </c>
      <c r="I109" s="1">
        <f>'Long Term Deals'!AM109</f>
        <v>64267</v>
      </c>
      <c r="J109" s="1">
        <f>'Long Term Deals'!AN109</f>
        <v>0</v>
      </c>
      <c r="K109" s="1">
        <f>'Long Term Deals'!AO109</f>
        <v>38560</v>
      </c>
      <c r="L109" s="1">
        <f>'Long Term Deals'!AP109</f>
        <v>0</v>
      </c>
      <c r="M109" s="1">
        <f>'Long Term Deals'!AQ109</f>
        <v>0</v>
      </c>
      <c r="N109" s="1">
        <f>'Long Term Deals'!AR109</f>
        <v>64267.704370179956</v>
      </c>
      <c r="O109" s="1">
        <f>'Long Term Deals'!AS109</f>
        <v>0</v>
      </c>
      <c r="P109" s="1">
        <f>'Long Term Deals'!AT109</f>
        <v>38560.822622107968</v>
      </c>
      <c r="Q109" s="1">
        <f>'Long Term Deals'!AU109</f>
        <v>0</v>
      </c>
      <c r="R109" s="1">
        <f>'Long Term Deals'!AV109</f>
        <v>0</v>
      </c>
      <c r="S109" s="20">
        <f>'Long Term Deals'!AW109</f>
        <v>0.05</v>
      </c>
      <c r="T109" s="20">
        <f>'Long Term Deals'!AX109</f>
        <v>2.5000000000000001E-2</v>
      </c>
      <c r="U109" s="1">
        <f>'Long Term Deals'!AY109</f>
        <v>28606686.793419022</v>
      </c>
      <c r="V109" s="1">
        <f>'Long Term Deals'!AZ109</f>
        <v>28327766.484935738</v>
      </c>
      <c r="W109" s="6">
        <f t="shared" si="7"/>
        <v>278920.30848328397</v>
      </c>
      <c r="X109" s="6">
        <f>'Long Term Deals'!CA109</f>
        <v>31876.606683804628</v>
      </c>
      <c r="Z109" s="1">
        <f>[3]Sheet1!$O126</f>
        <v>-277633.40120537439</v>
      </c>
      <c r="AA109" s="1">
        <f>'[4]Long Term Deals'!$Z108</f>
        <v>15953.184173812013</v>
      </c>
      <c r="AB109" s="60">
        <f t="shared" si="10"/>
        <v>540630.28717866575</v>
      </c>
      <c r="AC109" s="60">
        <f t="shared" si="8"/>
        <v>540630.28717866575</v>
      </c>
      <c r="AD109" s="60">
        <f t="shared" si="9"/>
        <v>278920.30848328397</v>
      </c>
      <c r="AE109" s="28">
        <f>(W109-Z109+AA109)/(B109+C109+D109)/'Prices&amp;Fuel'!H109</f>
        <v>8.9800476496976214E-2</v>
      </c>
      <c r="AF109" s="3">
        <v>200000</v>
      </c>
      <c r="AG109" s="1">
        <f>((((I109*'Prices&amp;Fuel'!B109+'Prices&amp;Fuel'!C109*FPL!J109+FPL!K109*'Prices&amp;Fuel'!D109))+(L109*'Prices&amp;Fuel'!B109+'Prices&amp;Fuel'!C109*FPL!M109))*'Prices&amp;Fuel'!H109)+(I109+J109+K109)*'Prices&amp;Fuel'!H109*FPL!T109+Q109/2</f>
        <v>14163778.036884792</v>
      </c>
      <c r="AH109" s="1">
        <f>(N109*'Prices&amp;Fuel'!B109+'Prices&amp;Fuel'!C109*O109+P109*'Prices&amp;Fuel'!D109)*'Prices&amp;Fuel'!H109+(N109+O109+P109)*'Prices&amp;Fuel'!H109*FPL!T109+Q109/2</f>
        <v>14163988.448050944</v>
      </c>
      <c r="AI109" s="1">
        <f>R109*'Prices&amp;Fuel'!H109*'Prices&amp;Fuel'!Q109</f>
        <v>0</v>
      </c>
      <c r="AJ109" s="52">
        <f>SUM(AG109:AI109)-'Long Term Deals'!AZ109</f>
        <v>0</v>
      </c>
    </row>
    <row r="110" spans="1:36" ht="10.199999999999999" x14ac:dyDescent="0.2">
      <c r="A110" s="10">
        <f t="shared" si="6"/>
        <v>38942.749999999745</v>
      </c>
      <c r="B110" s="1">
        <f>'Long Term Deals'!AF110</f>
        <v>128534.70437017996</v>
      </c>
      <c r="C110" s="1">
        <f>'Long Term Deals'!AG110</f>
        <v>0</v>
      </c>
      <c r="D110" s="1">
        <f>'Long Term Deals'!AH110</f>
        <v>77120.822622107968</v>
      </c>
      <c r="E110" s="1">
        <f>'Long Term Deals'!AI110</f>
        <v>0</v>
      </c>
      <c r="F110" s="1">
        <f>'Long Term Deals'!AJ110</f>
        <v>0</v>
      </c>
      <c r="G110" s="1">
        <f>'Long Term Deals'!AK110</f>
        <v>0</v>
      </c>
      <c r="H110" s="1">
        <f>'Long Term Deals'!AL110</f>
        <v>0</v>
      </c>
      <c r="I110" s="1">
        <f>'Long Term Deals'!AM110</f>
        <v>64267</v>
      </c>
      <c r="J110" s="1">
        <f>'Long Term Deals'!AN110</f>
        <v>0</v>
      </c>
      <c r="K110" s="1">
        <f>'Long Term Deals'!AO110</f>
        <v>38560</v>
      </c>
      <c r="L110" s="1">
        <f>'Long Term Deals'!AP110</f>
        <v>0</v>
      </c>
      <c r="M110" s="1">
        <f>'Long Term Deals'!AQ110</f>
        <v>0</v>
      </c>
      <c r="N110" s="1">
        <f>'Long Term Deals'!AR110</f>
        <v>64267.704370179956</v>
      </c>
      <c r="O110" s="1">
        <f>'Long Term Deals'!AS110</f>
        <v>0</v>
      </c>
      <c r="P110" s="1">
        <f>'Long Term Deals'!AT110</f>
        <v>38560.822622107968</v>
      </c>
      <c r="Q110" s="1">
        <f>'Long Term Deals'!AU110</f>
        <v>0</v>
      </c>
      <c r="R110" s="1">
        <f>'Long Term Deals'!AV110</f>
        <v>0</v>
      </c>
      <c r="S110" s="20">
        <f>'Long Term Deals'!AW110</f>
        <v>0.05</v>
      </c>
      <c r="T110" s="20">
        <f>'Long Term Deals'!AX110</f>
        <v>2.5000000000000001E-2</v>
      </c>
      <c r="U110" s="1">
        <f>'Long Term Deals'!AY110</f>
        <v>25024226.921460152</v>
      </c>
      <c r="V110" s="1">
        <f>'Long Term Deals'!AZ110</f>
        <v>24745306.612976864</v>
      </c>
      <c r="W110" s="6">
        <f t="shared" si="7"/>
        <v>278920.30848328769</v>
      </c>
      <c r="X110" s="6">
        <f>'Long Term Deals'!CA110</f>
        <v>31876.606683804628</v>
      </c>
      <c r="Z110" s="1">
        <f>[3]Sheet1!$O127</f>
        <v>-277633.40120537439</v>
      </c>
      <c r="AA110" s="1">
        <f>'[4]Long Term Deals'!$Z109</f>
        <v>15953.184173812013</v>
      </c>
      <c r="AB110" s="60">
        <f t="shared" si="10"/>
        <v>540630.28717866947</v>
      </c>
      <c r="AC110" s="60">
        <f t="shared" si="8"/>
        <v>540630.28717866947</v>
      </c>
      <c r="AD110" s="60">
        <f t="shared" si="9"/>
        <v>278920.30848328769</v>
      </c>
      <c r="AE110" s="28">
        <f>(W110-Z110+AA110)/(B110+C110+D110)/'Prices&amp;Fuel'!H110</f>
        <v>8.9800476496976783E-2</v>
      </c>
      <c r="AF110" s="3">
        <v>200000</v>
      </c>
      <c r="AG110" s="1">
        <f>((((I110*'Prices&amp;Fuel'!B110+'Prices&amp;Fuel'!C110*FPL!J110+FPL!K110*'Prices&amp;Fuel'!D110))+(L110*'Prices&amp;Fuel'!B110+'Prices&amp;Fuel'!C110*FPL!M110))*'Prices&amp;Fuel'!H110)+(I110+J110+K110)*'Prices&amp;Fuel'!H110*FPL!T110+Q110/2</f>
        <v>12372561.400787633</v>
      </c>
      <c r="AH110" s="1">
        <f>(N110*'Prices&amp;Fuel'!B110+'Prices&amp;Fuel'!C110*O110+P110*'Prices&amp;Fuel'!D110)*'Prices&amp;Fuel'!H110+(N110+O110+P110)*'Prices&amp;Fuel'!H110*FPL!T110+Q110/2</f>
        <v>12372745.212189237</v>
      </c>
      <c r="AI110" s="1">
        <f>R110*'Prices&amp;Fuel'!H110*'Prices&amp;Fuel'!Q110</f>
        <v>0</v>
      </c>
      <c r="AJ110" s="52">
        <f>SUM(AG110:AI110)-'Long Term Deals'!AZ110</f>
        <v>0</v>
      </c>
    </row>
    <row r="111" spans="1:36" ht="10.199999999999999" x14ac:dyDescent="0.2">
      <c r="A111" s="10">
        <f t="shared" si="6"/>
        <v>38973.16666666641</v>
      </c>
      <c r="B111" s="1">
        <f>'Long Term Deals'!AF111</f>
        <v>128534.70437017996</v>
      </c>
      <c r="C111" s="1">
        <f>'Long Term Deals'!AG111</f>
        <v>0</v>
      </c>
      <c r="D111" s="1">
        <f>'Long Term Deals'!AH111</f>
        <v>77120.822622107968</v>
      </c>
      <c r="E111" s="1">
        <f>'Long Term Deals'!AI111</f>
        <v>0</v>
      </c>
      <c r="F111" s="1">
        <f>'Long Term Deals'!AJ111</f>
        <v>0</v>
      </c>
      <c r="G111" s="1">
        <f>'Long Term Deals'!AK111</f>
        <v>0</v>
      </c>
      <c r="H111" s="1">
        <f>'Long Term Deals'!AL111</f>
        <v>0</v>
      </c>
      <c r="I111" s="1">
        <f>'Long Term Deals'!AM111</f>
        <v>64267</v>
      </c>
      <c r="J111" s="1">
        <f>'Long Term Deals'!AN111</f>
        <v>0</v>
      </c>
      <c r="K111" s="1">
        <f>'Long Term Deals'!AO111</f>
        <v>38560</v>
      </c>
      <c r="L111" s="1">
        <f>'Long Term Deals'!AP111</f>
        <v>0</v>
      </c>
      <c r="M111" s="1">
        <f>'Long Term Deals'!AQ111</f>
        <v>0</v>
      </c>
      <c r="N111" s="1">
        <f>'Long Term Deals'!AR111</f>
        <v>64267.704370179956</v>
      </c>
      <c r="O111" s="1">
        <f>'Long Term Deals'!AS111</f>
        <v>0</v>
      </c>
      <c r="P111" s="1">
        <f>'Long Term Deals'!AT111</f>
        <v>38560.822622107968</v>
      </c>
      <c r="Q111" s="1">
        <f>'Long Term Deals'!AU111</f>
        <v>0</v>
      </c>
      <c r="R111" s="1">
        <f>'Long Term Deals'!AV111</f>
        <v>0</v>
      </c>
      <c r="S111" s="20">
        <f>'Long Term Deals'!AW111</f>
        <v>0.05</v>
      </c>
      <c r="T111" s="20">
        <f>'Long Term Deals'!AX111</f>
        <v>2.5000000000000001E-2</v>
      </c>
      <c r="U111" s="1">
        <f>'Long Term Deals'!AY111</f>
        <v>29160531.611105401</v>
      </c>
      <c r="V111" s="1">
        <f>'Long Term Deals'!AZ111</f>
        <v>28890608.731928028</v>
      </c>
      <c r="W111" s="6">
        <f t="shared" si="7"/>
        <v>269922.8791773729</v>
      </c>
      <c r="X111" s="6">
        <f>'Long Term Deals'!CA111</f>
        <v>30848.329048843189</v>
      </c>
      <c r="Z111" s="1">
        <f>[3]Sheet1!$O128</f>
        <v>-268677.48503745912</v>
      </c>
      <c r="AA111" s="1">
        <f>'[4]Long Term Deals'!$Z110</f>
        <v>15438.565329495468</v>
      </c>
      <c r="AB111" s="60">
        <f t="shared" si="10"/>
        <v>523190.60049548437</v>
      </c>
      <c r="AC111" s="60">
        <f t="shared" si="8"/>
        <v>523190.60049548437</v>
      </c>
      <c r="AD111" s="60">
        <f t="shared" si="9"/>
        <v>269922.87917737296</v>
      </c>
      <c r="AE111" s="28">
        <f>(W111-Z111+AA111)/(B111+C111+D111)/'Prices&amp;Fuel'!H111</f>
        <v>8.9800476496976409E-2</v>
      </c>
      <c r="AF111" s="3">
        <v>200000</v>
      </c>
      <c r="AG111" s="1">
        <f>((((I111*'Prices&amp;Fuel'!B111+'Prices&amp;Fuel'!C111*FPL!J111+FPL!K111*'Prices&amp;Fuel'!D111))+(L111*'Prices&amp;Fuel'!B111+'Prices&amp;Fuel'!C111*FPL!M111))*'Prices&amp;Fuel'!H111)+(I111+J111+K111)*'Prices&amp;Fuel'!H111*FPL!T111+Q111/2</f>
        <v>14445197.072079096</v>
      </c>
      <c r="AH111" s="1">
        <f>(N111*'Prices&amp;Fuel'!B111+'Prices&amp;Fuel'!C111*O111+P111*'Prices&amp;Fuel'!D111)*'Prices&amp;Fuel'!H111+(N111+O111+P111)*'Prices&amp;Fuel'!H111*FPL!T111+Q111/2</f>
        <v>14445411.65984893</v>
      </c>
      <c r="AI111" s="1">
        <f>R111*'Prices&amp;Fuel'!H111*'Prices&amp;Fuel'!Q111</f>
        <v>0</v>
      </c>
      <c r="AJ111" s="52">
        <f>SUM(AG111:AI111)-'Long Term Deals'!AZ111</f>
        <v>0</v>
      </c>
    </row>
    <row r="112" spans="1:36" ht="10.199999999999999" x14ac:dyDescent="0.2">
      <c r="A112" s="10">
        <f t="shared" si="6"/>
        <v>39003.583333333074</v>
      </c>
      <c r="B112" s="1">
        <f>'Long Term Deals'!AF112</f>
        <v>58611.825192802062</v>
      </c>
      <c r="C112" s="1">
        <f>'Long Term Deals'!AG112</f>
        <v>0</v>
      </c>
      <c r="D112" s="1">
        <f>'Long Term Deals'!AH112</f>
        <v>77120.822622107968</v>
      </c>
      <c r="E112" s="1">
        <f>'Long Term Deals'!AI112</f>
        <v>0</v>
      </c>
      <c r="F112" s="1">
        <f>'Long Term Deals'!AJ112</f>
        <v>0</v>
      </c>
      <c r="G112" s="1">
        <f>'Long Term Deals'!AK112</f>
        <v>0</v>
      </c>
      <c r="H112" s="1">
        <f>'Long Term Deals'!AL112</f>
        <v>0</v>
      </c>
      <c r="I112" s="1">
        <f>'Long Term Deals'!AM112</f>
        <v>29306</v>
      </c>
      <c r="J112" s="1">
        <f>'Long Term Deals'!AN112</f>
        <v>0</v>
      </c>
      <c r="K112" s="1">
        <f>'Long Term Deals'!AO112</f>
        <v>38560</v>
      </c>
      <c r="L112" s="1">
        <f>'Long Term Deals'!AP112</f>
        <v>0</v>
      </c>
      <c r="M112" s="1">
        <f>'Long Term Deals'!AQ112</f>
        <v>0</v>
      </c>
      <c r="N112" s="1">
        <f>'Long Term Deals'!AR112</f>
        <v>29305.825192802062</v>
      </c>
      <c r="O112" s="1">
        <f>'Long Term Deals'!AS112</f>
        <v>0</v>
      </c>
      <c r="P112" s="1">
        <f>'Long Term Deals'!AT112</f>
        <v>38560.822622107968</v>
      </c>
      <c r="Q112" s="1">
        <f>'Long Term Deals'!AU112</f>
        <v>0</v>
      </c>
      <c r="R112" s="1">
        <f>'Long Term Deals'!AV112</f>
        <v>0</v>
      </c>
      <c r="S112" s="20">
        <f>'Long Term Deals'!AW112</f>
        <v>0.05</v>
      </c>
      <c r="T112" s="20">
        <f>'Long Term Deals'!AX112</f>
        <v>2.5000000000000001E-2</v>
      </c>
      <c r="U112" s="1">
        <f>'Long Term Deals'!AY112</f>
        <v>22913675.971694808</v>
      </c>
      <c r="V112" s="1">
        <f>'Long Term Deals'!AZ112</f>
        <v>22688945.894573987</v>
      </c>
      <c r="W112" s="6">
        <f t="shared" si="7"/>
        <v>224730.07712082192</v>
      </c>
      <c r="X112" s="6">
        <f>'Long Term Deals'!CA112</f>
        <v>21038.560411311057</v>
      </c>
      <c r="Z112" s="1">
        <f>[3]Sheet1!$O129</f>
        <v>-183238.04479554712</v>
      </c>
      <c r="AA112" s="1">
        <f>'[4]Long Term Deals'!$Z111</f>
        <v>10529.101554715919</v>
      </c>
      <c r="AB112" s="60">
        <f t="shared" si="10"/>
        <v>397458.66305977391</v>
      </c>
      <c r="AC112" s="60">
        <f t="shared" si="8"/>
        <v>397458.66305977391</v>
      </c>
      <c r="AD112" s="60">
        <f t="shared" si="9"/>
        <v>224730.07712082192</v>
      </c>
      <c r="AE112" s="28">
        <f>(W112-Z112+AA112)/(B112+C112+D112)/'Prices&amp;Fuel'!H112</f>
        <v>9.9459567406067956E-2</v>
      </c>
      <c r="AF112" s="3">
        <v>132000</v>
      </c>
      <c r="AG112" s="1">
        <f>((((I112*'Prices&amp;Fuel'!B112+'Prices&amp;Fuel'!C112*FPL!J112+FPL!K112*'Prices&amp;Fuel'!D112))+(L112*'Prices&amp;Fuel'!B112+'Prices&amp;Fuel'!C112*FPL!M112))*'Prices&amp;Fuel'!H112)+(I112+J112+K112)*'Prices&amp;Fuel'!H112*FPL!T112+Q112/2</f>
        <v>11344418.732757019</v>
      </c>
      <c r="AH112" s="1">
        <f>(N112*'Prices&amp;Fuel'!B112+'Prices&amp;Fuel'!C112*O112+P112*'Prices&amp;Fuel'!D112)*'Prices&amp;Fuel'!H112+(N112+O112+P112)*'Prices&amp;Fuel'!H112*FPL!T112+Q112/2</f>
        <v>11344527.16181697</v>
      </c>
      <c r="AI112" s="1">
        <f>R112*'Prices&amp;Fuel'!H112*'Prices&amp;Fuel'!Q112</f>
        <v>0</v>
      </c>
      <c r="AJ112" s="52">
        <f>SUM(AG112:AI112)-'Long Term Deals'!AZ112</f>
        <v>0</v>
      </c>
    </row>
    <row r="113" spans="1:36" ht="10.199999999999999" x14ac:dyDescent="0.2">
      <c r="A113" s="10">
        <f t="shared" si="6"/>
        <v>39033.999999999738</v>
      </c>
      <c r="B113" s="1">
        <f>'Long Term Deals'!AF113</f>
        <v>58611.825192802062</v>
      </c>
      <c r="C113" s="1">
        <f>'Long Term Deals'!AG113</f>
        <v>0</v>
      </c>
      <c r="D113" s="1">
        <f>'Long Term Deals'!AH113</f>
        <v>77120.822622107968</v>
      </c>
      <c r="E113" s="1">
        <f>'Long Term Deals'!AI113</f>
        <v>0</v>
      </c>
      <c r="F113" s="1">
        <f>'Long Term Deals'!AJ113</f>
        <v>0</v>
      </c>
      <c r="G113" s="1">
        <f>'Long Term Deals'!AK113</f>
        <v>0</v>
      </c>
      <c r="H113" s="1">
        <f>'Long Term Deals'!AL113</f>
        <v>0</v>
      </c>
      <c r="I113" s="1">
        <f>'Long Term Deals'!AM113</f>
        <v>29306</v>
      </c>
      <c r="J113" s="1">
        <f>'Long Term Deals'!AN113</f>
        <v>0</v>
      </c>
      <c r="K113" s="1">
        <f>'Long Term Deals'!AO113</f>
        <v>38560</v>
      </c>
      <c r="L113" s="1">
        <f>'Long Term Deals'!AP113</f>
        <v>0</v>
      </c>
      <c r="M113" s="1">
        <f>'Long Term Deals'!AQ113</f>
        <v>0</v>
      </c>
      <c r="N113" s="1">
        <f>'Long Term Deals'!AR113</f>
        <v>29305.825192802062</v>
      </c>
      <c r="O113" s="1">
        <f>'Long Term Deals'!AS113</f>
        <v>0</v>
      </c>
      <c r="P113" s="1">
        <f>'Long Term Deals'!AT113</f>
        <v>38560.822622107968</v>
      </c>
      <c r="Q113" s="1">
        <f>'Long Term Deals'!AU113</f>
        <v>0</v>
      </c>
      <c r="R113" s="1">
        <f>'Long Term Deals'!AV113</f>
        <v>0</v>
      </c>
      <c r="S113" s="20">
        <f>'Long Term Deals'!AW113</f>
        <v>0.05</v>
      </c>
      <c r="T113" s="20">
        <f>'Long Term Deals'!AX113</f>
        <v>2.5000000000000001E-2</v>
      </c>
      <c r="U113" s="1">
        <f>'Long Term Deals'!AY113</f>
        <v>14843964.772244733</v>
      </c>
      <c r="V113" s="1">
        <f>'Long Term Deals'!AZ113</f>
        <v>14626484.052450389</v>
      </c>
      <c r="W113" s="6">
        <f t="shared" si="7"/>
        <v>217480.71979434416</v>
      </c>
      <c r="X113" s="6">
        <f>'Long Term Deals'!CA113</f>
        <v>20359.897172236506</v>
      </c>
      <c r="Z113" s="1">
        <f>[3]Sheet1!$O130</f>
        <v>-177327.14012472305</v>
      </c>
      <c r="AA113" s="1">
        <f>'[4]Long Term Deals'!$Z112</f>
        <v>10189.453117467026</v>
      </c>
      <c r="AB113" s="60">
        <f t="shared" si="10"/>
        <v>384637.41586429771</v>
      </c>
      <c r="AC113" s="60">
        <f t="shared" si="8"/>
        <v>384637.41586429771</v>
      </c>
      <c r="AD113" s="60">
        <f t="shared" si="9"/>
        <v>217480.71979434413</v>
      </c>
      <c r="AE113" s="28">
        <f>(W113-Z113+AA113)/(B113+C113+D113)/'Prices&amp;Fuel'!H113</f>
        <v>9.9459567406068053E-2</v>
      </c>
      <c r="AF113" s="3">
        <v>132000</v>
      </c>
      <c r="AG113" s="1">
        <f>((((I113*'Prices&amp;Fuel'!B113+'Prices&amp;Fuel'!C113*FPL!J113+FPL!K113*'Prices&amp;Fuel'!D113))+(L113*'Prices&amp;Fuel'!B113+'Prices&amp;Fuel'!C113*FPL!M113))*'Prices&amp;Fuel'!H113)+(I113+J113+K113)*'Prices&amp;Fuel'!H113*FPL!T113+Q113/2</f>
        <v>7313207.0539337061</v>
      </c>
      <c r="AH113" s="1">
        <f>(N113*'Prices&amp;Fuel'!B113+'Prices&amp;Fuel'!C113*O113+P113*'Prices&amp;Fuel'!D113)*'Prices&amp;Fuel'!H113+(N113+O113+P113)*'Prices&amp;Fuel'!H113*FPL!T113+Q113/2</f>
        <v>7313276.9985166825</v>
      </c>
      <c r="AI113" s="1">
        <f>R113*'Prices&amp;Fuel'!H113*'Prices&amp;Fuel'!Q113</f>
        <v>0</v>
      </c>
      <c r="AJ113" s="52">
        <f>SUM(AG113:AI113)-'Long Term Deals'!AZ113</f>
        <v>0</v>
      </c>
    </row>
    <row r="114" spans="1:36" ht="10.199999999999999" x14ac:dyDescent="0.2">
      <c r="A114" s="10">
        <f t="shared" si="6"/>
        <v>39064.416666666402</v>
      </c>
      <c r="B114" s="1">
        <f>'Long Term Deals'!AF114</f>
        <v>58611.825192802062</v>
      </c>
      <c r="C114" s="1">
        <f>'Long Term Deals'!AG114</f>
        <v>0</v>
      </c>
      <c r="D114" s="1">
        <f>'Long Term Deals'!AH114</f>
        <v>77120.822622107968</v>
      </c>
      <c r="E114" s="1">
        <f>'Long Term Deals'!AI114</f>
        <v>0</v>
      </c>
      <c r="F114" s="1">
        <f>'Long Term Deals'!AJ114</f>
        <v>0</v>
      </c>
      <c r="G114" s="1">
        <f>'Long Term Deals'!AK114</f>
        <v>0</v>
      </c>
      <c r="H114" s="1">
        <f>'Long Term Deals'!AL114</f>
        <v>0</v>
      </c>
      <c r="I114" s="1">
        <f>'Long Term Deals'!AM114</f>
        <v>29306</v>
      </c>
      <c r="J114" s="1">
        <f>'Long Term Deals'!AN114</f>
        <v>0</v>
      </c>
      <c r="K114" s="1">
        <f>'Long Term Deals'!AO114</f>
        <v>38560</v>
      </c>
      <c r="L114" s="1">
        <f>'Long Term Deals'!AP114</f>
        <v>0</v>
      </c>
      <c r="M114" s="1">
        <f>'Long Term Deals'!AQ114</f>
        <v>0</v>
      </c>
      <c r="N114" s="1">
        <f>'Long Term Deals'!AR114</f>
        <v>29305.825192802062</v>
      </c>
      <c r="O114" s="1">
        <f>'Long Term Deals'!AS114</f>
        <v>0</v>
      </c>
      <c r="P114" s="1">
        <f>'Long Term Deals'!AT114</f>
        <v>38560.822622107968</v>
      </c>
      <c r="Q114" s="1">
        <f>'Long Term Deals'!AU114</f>
        <v>0</v>
      </c>
      <c r="R114" s="1">
        <f>'Long Term Deals'!AV114</f>
        <v>0</v>
      </c>
      <c r="S114" s="20">
        <f>'Long Term Deals'!AW114</f>
        <v>0.05</v>
      </c>
      <c r="T114" s="20">
        <f>'Long Term Deals'!AX114</f>
        <v>2.5000000000000001E-2</v>
      </c>
      <c r="U114" s="1">
        <f>'Long Term Deals'!AY114</f>
        <v>11485628.980146017</v>
      </c>
      <c r="V114" s="1">
        <f>'Long Term Deals'!AZ114</f>
        <v>11260898.903025195</v>
      </c>
      <c r="W114" s="6">
        <f t="shared" si="7"/>
        <v>224730.07712082192</v>
      </c>
      <c r="X114" s="6">
        <f>'Long Term Deals'!CA114</f>
        <v>21038.560411311057</v>
      </c>
      <c r="Z114" s="1">
        <f>[3]Sheet1!$O131</f>
        <v>-183238.04479554712</v>
      </c>
      <c r="AA114" s="1">
        <f>'[4]Long Term Deals'!$Z113</f>
        <v>10529.101554715919</v>
      </c>
      <c r="AB114" s="60">
        <f t="shared" si="10"/>
        <v>397458.66305977391</v>
      </c>
      <c r="AC114" s="60">
        <f t="shared" si="8"/>
        <v>397458.66305977391</v>
      </c>
      <c r="AD114" s="60">
        <f t="shared" si="9"/>
        <v>224730.07712082192</v>
      </c>
      <c r="AE114" s="28">
        <f>(W114-Z114+AA114)/(B114+C114+D114)/'Prices&amp;Fuel'!H114</f>
        <v>9.9459567406067956E-2</v>
      </c>
      <c r="AF114" s="3">
        <v>132000</v>
      </c>
      <c r="AG114" s="1">
        <f>((((I114*'Prices&amp;Fuel'!B114+'Prices&amp;Fuel'!C114*FPL!J114+FPL!K114*'Prices&amp;Fuel'!D114))+(L114*'Prices&amp;Fuel'!B114+'Prices&amp;Fuel'!C114*FPL!M114))*'Prices&amp;Fuel'!H114)+(I114+J114+K114)*'Prices&amp;Fuel'!H114*FPL!T114+Q114/2</f>
        <v>5630422.5084583983</v>
      </c>
      <c r="AH114" s="1">
        <f>(N114*'Prices&amp;Fuel'!B114+'Prices&amp;Fuel'!C114*O114+P114*'Prices&amp;Fuel'!D114)*'Prices&amp;Fuel'!H114+(N114+O114+P114)*'Prices&amp;Fuel'!H114*FPL!T114+Q114/2</f>
        <v>5630476.3945667995</v>
      </c>
      <c r="AI114" s="1">
        <f>R114*'Prices&amp;Fuel'!H114*'Prices&amp;Fuel'!Q114</f>
        <v>0</v>
      </c>
      <c r="AJ114" s="52">
        <f>SUM(AG114:AI114)-'Long Term Deals'!AZ114</f>
        <v>0</v>
      </c>
    </row>
    <row r="115" spans="1:36" ht="10.199999999999999" x14ac:dyDescent="0.2">
      <c r="A115" s="10">
        <f t="shared" si="6"/>
        <v>39094.833333333067</v>
      </c>
      <c r="B115" s="1">
        <f>'Long Term Deals'!AF115</f>
        <v>58611.825192802062</v>
      </c>
      <c r="C115" s="1">
        <f>'Long Term Deals'!AG115</f>
        <v>0</v>
      </c>
      <c r="D115" s="1">
        <f>'Long Term Deals'!AH115</f>
        <v>77120.822622107968</v>
      </c>
      <c r="E115" s="1">
        <f>'Long Term Deals'!AI115</f>
        <v>0</v>
      </c>
      <c r="F115" s="1">
        <f>'Long Term Deals'!AJ115</f>
        <v>0</v>
      </c>
      <c r="G115" s="1">
        <f>'Long Term Deals'!AK115</f>
        <v>0</v>
      </c>
      <c r="H115" s="1">
        <f>'Long Term Deals'!AL115</f>
        <v>0</v>
      </c>
      <c r="I115" s="1">
        <f>'Long Term Deals'!AM115</f>
        <v>29306</v>
      </c>
      <c r="J115" s="1">
        <f>'Long Term Deals'!AN115</f>
        <v>0</v>
      </c>
      <c r="K115" s="1">
        <f>'Long Term Deals'!AO115</f>
        <v>38560</v>
      </c>
      <c r="L115" s="1">
        <f>'Long Term Deals'!AP115</f>
        <v>0</v>
      </c>
      <c r="M115" s="1">
        <f>'Long Term Deals'!AQ115</f>
        <v>0</v>
      </c>
      <c r="N115" s="1">
        <f>'Long Term Deals'!AR115</f>
        <v>29305.825192802062</v>
      </c>
      <c r="O115" s="1">
        <f>'Long Term Deals'!AS115</f>
        <v>0</v>
      </c>
      <c r="P115" s="1">
        <f>'Long Term Deals'!AT115</f>
        <v>38560.822622107968</v>
      </c>
      <c r="Q115" s="1">
        <f>'Long Term Deals'!AU115</f>
        <v>0</v>
      </c>
      <c r="R115" s="1">
        <f>'Long Term Deals'!AV115</f>
        <v>0</v>
      </c>
      <c r="S115" s="20">
        <f>'Long Term Deals'!AW115</f>
        <v>0.04</v>
      </c>
      <c r="T115" s="20">
        <f>'Long Term Deals'!AX115</f>
        <v>2.5000000000000001E-2</v>
      </c>
      <c r="U115" s="1">
        <f>'Long Term Deals'!AY115</f>
        <v>10098019.736525333</v>
      </c>
      <c r="V115" s="1">
        <f>'Long Term Deals'!AZ115</f>
        <v>9915366.7802271321</v>
      </c>
      <c r="W115" s="6">
        <f t="shared" si="7"/>
        <v>182652.95629820041</v>
      </c>
      <c r="X115" s="6">
        <f>'Long Term Deals'!CA115</f>
        <v>21038.560411311057</v>
      </c>
      <c r="Z115" s="1">
        <f>[3]Sheet1!$O133</f>
        <v>-225445.36815810515</v>
      </c>
      <c r="AA115" s="1">
        <f>'[4]Long Term Deals'!$Z114</f>
        <v>10529.101554715919</v>
      </c>
      <c r="AB115" s="60">
        <f t="shared" si="10"/>
        <v>397588.86559971044</v>
      </c>
      <c r="AC115" s="60">
        <f t="shared" si="8"/>
        <v>397588.86559971044</v>
      </c>
      <c r="AD115" s="60">
        <f t="shared" si="9"/>
        <v>182652.95629820041</v>
      </c>
      <c r="AE115" s="28">
        <f>(W115-Z115+AA115)/(B115+C115+D115)/'Prices&amp;Fuel'!H115</f>
        <v>9.9490511191524522E-2</v>
      </c>
      <c r="AF115" s="3">
        <v>132000</v>
      </c>
      <c r="AG115" s="1">
        <f>((((I115*'Prices&amp;Fuel'!B115+'Prices&amp;Fuel'!C115*FPL!J115+FPL!K115*'Prices&amp;Fuel'!D115))+(L115*'Prices&amp;Fuel'!B115+'Prices&amp;Fuel'!C115*FPL!M115))*'Prices&amp;Fuel'!H115)+(I115+J115+K115)*'Prices&amp;Fuel'!H115*FPL!T115+Q115/2</f>
        <v>4957659.657988295</v>
      </c>
      <c r="AH115" s="1">
        <f>(N115*'Prices&amp;Fuel'!B115+'Prices&amp;Fuel'!C115*O115+P115*'Prices&amp;Fuel'!D115)*'Prices&amp;Fuel'!H115+(N115+O115+P115)*'Prices&amp;Fuel'!H115*FPL!T115+Q115/2</f>
        <v>4957707.1222388372</v>
      </c>
      <c r="AI115" s="1">
        <f>R115*'Prices&amp;Fuel'!H115*'Prices&amp;Fuel'!Q115</f>
        <v>0</v>
      </c>
      <c r="AJ115" s="52">
        <f>SUM(AG115:AI115)-'Long Term Deals'!AZ115</f>
        <v>0</v>
      </c>
    </row>
    <row r="116" spans="1:36" ht="10.199999999999999" x14ac:dyDescent="0.2">
      <c r="A116" s="10">
        <f t="shared" si="6"/>
        <v>39125.249999999731</v>
      </c>
      <c r="B116" s="1">
        <f>'Long Term Deals'!AF116</f>
        <v>58611.825192802062</v>
      </c>
      <c r="C116" s="1">
        <f>'Long Term Deals'!AG116</f>
        <v>0</v>
      </c>
      <c r="D116" s="1">
        <f>'Long Term Deals'!AH116</f>
        <v>77120.822622107968</v>
      </c>
      <c r="E116" s="1">
        <f>'Long Term Deals'!AI116</f>
        <v>0</v>
      </c>
      <c r="F116" s="1">
        <f>'Long Term Deals'!AJ116</f>
        <v>0</v>
      </c>
      <c r="G116" s="1">
        <f>'Long Term Deals'!AK116</f>
        <v>0</v>
      </c>
      <c r="H116" s="1">
        <f>'Long Term Deals'!AL116</f>
        <v>0</v>
      </c>
      <c r="I116" s="1">
        <f>'Long Term Deals'!AM116</f>
        <v>29306</v>
      </c>
      <c r="J116" s="1">
        <f>'Long Term Deals'!AN116</f>
        <v>0</v>
      </c>
      <c r="K116" s="1">
        <f>'Long Term Deals'!AO116</f>
        <v>38560</v>
      </c>
      <c r="L116" s="1">
        <f>'Long Term Deals'!AP116</f>
        <v>0</v>
      </c>
      <c r="M116" s="1">
        <f>'Long Term Deals'!AQ116</f>
        <v>0</v>
      </c>
      <c r="N116" s="1">
        <f>'Long Term Deals'!AR116</f>
        <v>29305.825192802062</v>
      </c>
      <c r="O116" s="1">
        <f>'Long Term Deals'!AS116</f>
        <v>0</v>
      </c>
      <c r="P116" s="1">
        <f>'Long Term Deals'!AT116</f>
        <v>38560.822622107968</v>
      </c>
      <c r="Q116" s="1">
        <f>'Long Term Deals'!AU116</f>
        <v>0</v>
      </c>
      <c r="R116" s="1">
        <f>'Long Term Deals'!AV116</f>
        <v>0</v>
      </c>
      <c r="S116" s="20">
        <f>'Long Term Deals'!AW116</f>
        <v>0.04</v>
      </c>
      <c r="T116" s="20">
        <f>'Long Term Deals'!AX116</f>
        <v>2.5000000000000001E-2</v>
      </c>
      <c r="U116" s="1">
        <f>'Long Term Deals'!AY116</f>
        <v>10199274.230057362</v>
      </c>
      <c r="V116" s="1">
        <f>'Long Term Deals'!AZ116</f>
        <v>10034297.366304148</v>
      </c>
      <c r="W116" s="6">
        <f t="shared" si="7"/>
        <v>164976.86375321448</v>
      </c>
      <c r="X116" s="6">
        <f>'Long Term Deals'!CA116</f>
        <v>19002.570694087408</v>
      </c>
      <c r="Z116" s="1">
        <f>[3]Sheet1!$O134</f>
        <v>-203628.07446538532</v>
      </c>
      <c r="AA116" s="1">
        <f>'[4]Long Term Deals'!$Z115</f>
        <v>9510.1562429692131</v>
      </c>
      <c r="AB116" s="60">
        <f t="shared" si="10"/>
        <v>359112.52376748156</v>
      </c>
      <c r="AC116" s="60">
        <f t="shared" si="8"/>
        <v>359112.52376748156</v>
      </c>
      <c r="AD116" s="60">
        <f t="shared" si="9"/>
        <v>164976.86375321442</v>
      </c>
      <c r="AE116" s="28">
        <f>(W116-Z116+AA116)/(B116+C116+D116)/'Prices&amp;Fuel'!H116</f>
        <v>9.9490511191524841E-2</v>
      </c>
      <c r="AF116" s="3">
        <v>132000</v>
      </c>
      <c r="AG116" s="1">
        <f>((((I116*'Prices&amp;Fuel'!B116+'Prices&amp;Fuel'!C116*FPL!J116+FPL!K116*'Prices&amp;Fuel'!D116))+(L116*'Prices&amp;Fuel'!B116+'Prices&amp;Fuel'!C116*FPL!M116))*'Prices&amp;Fuel'!H116)+(I116+J116+K116)*'Prices&amp;Fuel'!H116*FPL!T116+Q116/2</f>
        <v>5017124.6740333596</v>
      </c>
      <c r="AH116" s="1">
        <f>(N116*'Prices&amp;Fuel'!B116+'Prices&amp;Fuel'!C116*O116+P116*'Prices&amp;Fuel'!D116)*'Prices&amp;Fuel'!H116+(N116+O116+P116)*'Prices&amp;Fuel'!H116*FPL!T116+Q116/2</f>
        <v>5017172.6922707893</v>
      </c>
      <c r="AI116" s="1">
        <f>R116*'Prices&amp;Fuel'!H116*'Prices&amp;Fuel'!Q116</f>
        <v>0</v>
      </c>
      <c r="AJ116" s="52">
        <f>SUM(AG116:AI116)-'Long Term Deals'!AZ116</f>
        <v>0</v>
      </c>
    </row>
    <row r="117" spans="1:36" ht="10.199999999999999" x14ac:dyDescent="0.2">
      <c r="A117" s="10">
        <f t="shared" si="6"/>
        <v>39155.666666666395</v>
      </c>
      <c r="B117" s="1">
        <f>'Long Term Deals'!AF117</f>
        <v>58611.825192802062</v>
      </c>
      <c r="C117" s="1">
        <f>'Long Term Deals'!AG117</f>
        <v>0</v>
      </c>
      <c r="D117" s="1">
        <f>'Long Term Deals'!AH117</f>
        <v>77120.822622107968</v>
      </c>
      <c r="E117" s="1">
        <f>'Long Term Deals'!AI117</f>
        <v>0</v>
      </c>
      <c r="F117" s="1">
        <f>'Long Term Deals'!AJ117</f>
        <v>0</v>
      </c>
      <c r="G117" s="1">
        <f>'Long Term Deals'!AK117</f>
        <v>0</v>
      </c>
      <c r="H117" s="1">
        <f>'Long Term Deals'!AL117</f>
        <v>0</v>
      </c>
      <c r="I117" s="1">
        <f>'Long Term Deals'!AM117</f>
        <v>29306</v>
      </c>
      <c r="J117" s="1">
        <f>'Long Term Deals'!AN117</f>
        <v>0</v>
      </c>
      <c r="K117" s="1">
        <f>'Long Term Deals'!AO117</f>
        <v>38560</v>
      </c>
      <c r="L117" s="1">
        <f>'Long Term Deals'!AP117</f>
        <v>0</v>
      </c>
      <c r="M117" s="1">
        <f>'Long Term Deals'!AQ117</f>
        <v>0</v>
      </c>
      <c r="N117" s="1">
        <f>'Long Term Deals'!AR117</f>
        <v>29305.825192802062</v>
      </c>
      <c r="O117" s="1">
        <f>'Long Term Deals'!AS117</f>
        <v>0</v>
      </c>
      <c r="P117" s="1">
        <f>'Long Term Deals'!AT117</f>
        <v>38560.822622107968</v>
      </c>
      <c r="Q117" s="1">
        <f>'Long Term Deals'!AU117</f>
        <v>0</v>
      </c>
      <c r="R117" s="1">
        <f>'Long Term Deals'!AV117</f>
        <v>0</v>
      </c>
      <c r="S117" s="20">
        <f>'Long Term Deals'!AW117</f>
        <v>0.04</v>
      </c>
      <c r="T117" s="20">
        <f>'Long Term Deals'!AX117</f>
        <v>2.5000000000000001E-2</v>
      </c>
      <c r="U117" s="1">
        <f>'Long Term Deals'!AY117</f>
        <v>11292053.611849222</v>
      </c>
      <c r="V117" s="1">
        <f>'Long Term Deals'!AZ117</f>
        <v>11109400.65555102</v>
      </c>
      <c r="W117" s="6">
        <f t="shared" si="7"/>
        <v>182652.95629820228</v>
      </c>
      <c r="X117" s="6">
        <f>'Long Term Deals'!CA117</f>
        <v>21038.560411311057</v>
      </c>
      <c r="Z117" s="1">
        <f>[3]Sheet1!$O135</f>
        <v>-225445.36815810515</v>
      </c>
      <c r="AA117" s="1">
        <f>'[4]Long Term Deals'!$Z116</f>
        <v>10529.101554715919</v>
      </c>
      <c r="AB117" s="60">
        <f t="shared" si="10"/>
        <v>397588.8655997123</v>
      </c>
      <c r="AC117" s="60">
        <f t="shared" si="8"/>
        <v>397588.8655997123</v>
      </c>
      <c r="AD117" s="60">
        <f t="shared" si="9"/>
        <v>182652.95629820228</v>
      </c>
      <c r="AE117" s="28">
        <f>(W117-Z117+AA117)/(B117+C117+D117)/'Prices&amp;Fuel'!H117</f>
        <v>9.9490511191524966E-2</v>
      </c>
      <c r="AF117" s="3">
        <v>132000</v>
      </c>
      <c r="AG117" s="1">
        <f>((((I117*'Prices&amp;Fuel'!B117+'Prices&amp;Fuel'!C117*FPL!J117+FPL!K117*'Prices&amp;Fuel'!D117))+(L117*'Prices&amp;Fuel'!B117+'Prices&amp;Fuel'!C117*FPL!M117))*'Prices&amp;Fuel'!H117)+(I117+J117+K117)*'Prices&amp;Fuel'!H117*FPL!T117+Q117/2</f>
        <v>5554673.7462512199</v>
      </c>
      <c r="AH117" s="1">
        <f>(N117*'Prices&amp;Fuel'!B117+'Prices&amp;Fuel'!C117*O117+P117*'Prices&amp;Fuel'!D117)*'Prices&amp;Fuel'!H117+(N117+O117+P117)*'Prices&amp;Fuel'!H117*FPL!T117+Q117/2</f>
        <v>5554726.909299803</v>
      </c>
      <c r="AI117" s="1">
        <f>R117*'Prices&amp;Fuel'!H117*'Prices&amp;Fuel'!Q117</f>
        <v>0</v>
      </c>
      <c r="AJ117" s="52">
        <f>SUM(AG117:AI117)-'Long Term Deals'!AZ117</f>
        <v>0</v>
      </c>
    </row>
    <row r="118" spans="1:36" ht="10.199999999999999" x14ac:dyDescent="0.2">
      <c r="A118" s="10">
        <f t="shared" si="6"/>
        <v>39186.083333333059</v>
      </c>
      <c r="B118" s="1">
        <f>'Long Term Deals'!AF118</f>
        <v>58611.825192802062</v>
      </c>
      <c r="C118" s="1">
        <f>'Long Term Deals'!AG118</f>
        <v>0</v>
      </c>
      <c r="D118" s="1">
        <f>'Long Term Deals'!AH118</f>
        <v>77120.822622107968</v>
      </c>
      <c r="E118" s="1">
        <f>'Long Term Deals'!AI118</f>
        <v>0</v>
      </c>
      <c r="F118" s="1">
        <f>'Long Term Deals'!AJ118</f>
        <v>0</v>
      </c>
      <c r="G118" s="1">
        <f>'Long Term Deals'!AK118</f>
        <v>0</v>
      </c>
      <c r="H118" s="1">
        <f>'Long Term Deals'!AL118</f>
        <v>0</v>
      </c>
      <c r="I118" s="1">
        <f>'Long Term Deals'!AM118</f>
        <v>29306</v>
      </c>
      <c r="J118" s="1">
        <f>'Long Term Deals'!AN118</f>
        <v>0</v>
      </c>
      <c r="K118" s="1">
        <f>'Long Term Deals'!AO118</f>
        <v>38560</v>
      </c>
      <c r="L118" s="1">
        <f>'Long Term Deals'!AP118</f>
        <v>0</v>
      </c>
      <c r="M118" s="1">
        <f>'Long Term Deals'!AQ118</f>
        <v>0</v>
      </c>
      <c r="N118" s="1">
        <f>'Long Term Deals'!AR118</f>
        <v>29305.825192802062</v>
      </c>
      <c r="O118" s="1">
        <f>'Long Term Deals'!AS118</f>
        <v>0</v>
      </c>
      <c r="P118" s="1">
        <f>'Long Term Deals'!AT118</f>
        <v>38560.822622107968</v>
      </c>
      <c r="Q118" s="1">
        <f>'Long Term Deals'!AU118</f>
        <v>0</v>
      </c>
      <c r="R118" s="1">
        <f>'Long Term Deals'!AV118</f>
        <v>0</v>
      </c>
      <c r="S118" s="20">
        <f>'Long Term Deals'!AW118</f>
        <v>0.04</v>
      </c>
      <c r="T118" s="20">
        <f>'Long Term Deals'!AX118</f>
        <v>2.5000000000000001E-2</v>
      </c>
      <c r="U118" s="1">
        <f>'Long Term Deals'!AY118</f>
        <v>12083310.471457854</v>
      </c>
      <c r="V118" s="1">
        <f>'Long Term Deals'!AZ118</f>
        <v>11906549.546007982</v>
      </c>
      <c r="W118" s="6">
        <f t="shared" si="7"/>
        <v>176760.92544987239</v>
      </c>
      <c r="X118" s="6">
        <f>'Long Term Deals'!CA118</f>
        <v>20359.897172236506</v>
      </c>
      <c r="Z118" s="1">
        <f>[3]Sheet1!$O136</f>
        <v>-218172.93692719855</v>
      </c>
      <c r="AA118" s="1">
        <f>'[4]Long Term Deals'!$Z117</f>
        <v>10189.453117467026</v>
      </c>
      <c r="AB118" s="60">
        <f t="shared" si="10"/>
        <v>384763.41832230141</v>
      </c>
      <c r="AC118" s="60">
        <f t="shared" si="8"/>
        <v>384763.41832230141</v>
      </c>
      <c r="AD118" s="60">
        <f t="shared" si="9"/>
        <v>176760.92544987233</v>
      </c>
      <c r="AE118" s="28">
        <f>(W118-Z118+AA118)/(B118+C118+D118)/'Prices&amp;Fuel'!H118</f>
        <v>9.9490511191524772E-2</v>
      </c>
      <c r="AF118" s="3">
        <v>132000</v>
      </c>
      <c r="AG118" s="1">
        <f>((((I118*'Prices&amp;Fuel'!B118+'Prices&amp;Fuel'!C118*FPL!J118+FPL!K118*'Prices&amp;Fuel'!D118))+(L118*'Prices&amp;Fuel'!B118+'Prices&amp;Fuel'!C118*FPL!M118))*'Prices&amp;Fuel'!H118)+(I118+J118+K118)*'Prices&amp;Fuel'!H118*FPL!T118+Q118/2</f>
        <v>5953246.2914653011</v>
      </c>
      <c r="AH118" s="1">
        <f>(N118*'Prices&amp;Fuel'!B118+'Prices&amp;Fuel'!C118*O118+P118*'Prices&amp;Fuel'!D118)*'Prices&amp;Fuel'!H118+(N118+O118+P118)*'Prices&amp;Fuel'!H118*FPL!T118+Q118/2</f>
        <v>5953303.2545426795</v>
      </c>
      <c r="AI118" s="1">
        <f>R118*'Prices&amp;Fuel'!H118*'Prices&amp;Fuel'!Q118</f>
        <v>0</v>
      </c>
      <c r="AJ118" s="52">
        <f>SUM(AG118:AI118)-'Long Term Deals'!AZ118</f>
        <v>0</v>
      </c>
    </row>
    <row r="119" spans="1:36" ht="10.199999999999999" x14ac:dyDescent="0.2">
      <c r="A119" s="10">
        <f t="shared" si="6"/>
        <v>39216.499999999724</v>
      </c>
      <c r="B119" s="1">
        <f>'Long Term Deals'!AF119</f>
        <v>128534.70437017996</v>
      </c>
      <c r="C119" s="1">
        <f>'Long Term Deals'!AG119</f>
        <v>0</v>
      </c>
      <c r="D119" s="1">
        <f>'Long Term Deals'!AH119</f>
        <v>77120.822622107968</v>
      </c>
      <c r="E119" s="1">
        <f>'Long Term Deals'!AI119</f>
        <v>0</v>
      </c>
      <c r="F119" s="1">
        <f>'Long Term Deals'!AJ119</f>
        <v>0</v>
      </c>
      <c r="G119" s="1">
        <f>'Long Term Deals'!AK119</f>
        <v>0</v>
      </c>
      <c r="H119" s="1">
        <f>'Long Term Deals'!AL119</f>
        <v>0</v>
      </c>
      <c r="I119" s="1">
        <f>'Long Term Deals'!AM119</f>
        <v>64267</v>
      </c>
      <c r="J119" s="1">
        <f>'Long Term Deals'!AN119</f>
        <v>0</v>
      </c>
      <c r="K119" s="1">
        <f>'Long Term Deals'!AO119</f>
        <v>38560</v>
      </c>
      <c r="L119" s="1">
        <f>'Long Term Deals'!AP119</f>
        <v>0</v>
      </c>
      <c r="M119" s="1">
        <f>'Long Term Deals'!AQ119</f>
        <v>0</v>
      </c>
      <c r="N119" s="1">
        <f>'Long Term Deals'!AR119</f>
        <v>64267.704370179956</v>
      </c>
      <c r="O119" s="1">
        <f>'Long Term Deals'!AS119</f>
        <v>0</v>
      </c>
      <c r="P119" s="1">
        <f>'Long Term Deals'!AT119</f>
        <v>38560.822622107968</v>
      </c>
      <c r="Q119" s="1">
        <f>'Long Term Deals'!AU119</f>
        <v>0</v>
      </c>
      <c r="R119" s="1">
        <f>'Long Term Deals'!AV119</f>
        <v>0</v>
      </c>
      <c r="S119" s="20">
        <f>'Long Term Deals'!AW119</f>
        <v>0.04</v>
      </c>
      <c r="T119" s="20">
        <f>'Long Term Deals'!AX119</f>
        <v>2.5000000000000001E-2</v>
      </c>
      <c r="U119" s="1">
        <f>'Long Term Deals'!AY119</f>
        <v>20117518.696000006</v>
      </c>
      <c r="V119" s="1">
        <f>'Long Term Deals'!AZ119</f>
        <v>19902351.600884326</v>
      </c>
      <c r="W119" s="6">
        <f t="shared" si="7"/>
        <v>215167.09511568025</v>
      </c>
      <c r="X119" s="6">
        <f>'Long Term Deals'!CA119</f>
        <v>31876.606683804628</v>
      </c>
      <c r="Z119" s="1">
        <f>[3]Sheet1!$O137</f>
        <v>-341583.89114864415</v>
      </c>
      <c r="AA119" s="1">
        <f>'[4]Long Term Deals'!$Z118</f>
        <v>15953.184173812013</v>
      </c>
      <c r="AB119" s="60">
        <f t="shared" si="10"/>
        <v>540827.56375433179</v>
      </c>
      <c r="AC119" s="60">
        <f t="shared" si="8"/>
        <v>540827.56375433179</v>
      </c>
      <c r="AD119" s="60">
        <f t="shared" si="9"/>
        <v>215167.09511568025</v>
      </c>
      <c r="AE119" s="28">
        <f>(W119-Z119+AA119)/(B119+C119+D119)/'Prices&amp;Fuel'!H119</f>
        <v>8.9831420282433502E-2</v>
      </c>
      <c r="AF119" s="3">
        <v>200000</v>
      </c>
      <c r="AG119" s="1">
        <f>((((I119*'Prices&amp;Fuel'!B119+'Prices&amp;Fuel'!C119*FPL!J119+FPL!K119*'Prices&amp;Fuel'!D119))+(L119*'Prices&amp;Fuel'!B119+'Prices&amp;Fuel'!C119*FPL!M119))*'Prices&amp;Fuel'!H119)+(I119+J119+K119)*'Prices&amp;Fuel'!H119*FPL!T119+Q119/2</f>
        <v>9951101.8742118459</v>
      </c>
      <c r="AH119" s="1">
        <f>(N119*'Prices&amp;Fuel'!B119+'Prices&amp;Fuel'!C119*O119+P119*'Prices&amp;Fuel'!D119)*'Prices&amp;Fuel'!H119+(N119+O119+P119)*'Prices&amp;Fuel'!H119*FPL!T119+Q119/2</f>
        <v>9951249.7266724817</v>
      </c>
      <c r="AI119" s="1">
        <f>R119*'Prices&amp;Fuel'!H119*'Prices&amp;Fuel'!Q119</f>
        <v>0</v>
      </c>
      <c r="AJ119" s="52">
        <f>SUM(AG119:AI119)-'Long Term Deals'!AZ119</f>
        <v>0</v>
      </c>
    </row>
    <row r="120" spans="1:36" ht="10.199999999999999" x14ac:dyDescent="0.2">
      <c r="A120" s="10">
        <f t="shared" si="6"/>
        <v>39246.916666666388</v>
      </c>
      <c r="B120" s="1">
        <f>'Long Term Deals'!AF120</f>
        <v>128534.70437017996</v>
      </c>
      <c r="C120" s="1">
        <f>'Long Term Deals'!AG120</f>
        <v>0</v>
      </c>
      <c r="D120" s="1">
        <f>'Long Term Deals'!AH120</f>
        <v>77120.822622107968</v>
      </c>
      <c r="E120" s="1">
        <f>'Long Term Deals'!AI120</f>
        <v>0</v>
      </c>
      <c r="F120" s="1">
        <f>'Long Term Deals'!AJ120</f>
        <v>0</v>
      </c>
      <c r="G120" s="1">
        <f>'Long Term Deals'!AK120</f>
        <v>0</v>
      </c>
      <c r="H120" s="1">
        <f>'Long Term Deals'!AL120</f>
        <v>0</v>
      </c>
      <c r="I120" s="1">
        <f>'Long Term Deals'!AM120</f>
        <v>64267</v>
      </c>
      <c r="J120" s="1">
        <f>'Long Term Deals'!AN120</f>
        <v>0</v>
      </c>
      <c r="K120" s="1">
        <f>'Long Term Deals'!AO120</f>
        <v>38560</v>
      </c>
      <c r="L120" s="1">
        <f>'Long Term Deals'!AP120</f>
        <v>0</v>
      </c>
      <c r="M120" s="1">
        <f>'Long Term Deals'!AQ120</f>
        <v>0</v>
      </c>
      <c r="N120" s="1">
        <f>'Long Term Deals'!AR120</f>
        <v>64267.704370179956</v>
      </c>
      <c r="O120" s="1">
        <f>'Long Term Deals'!AS120</f>
        <v>0</v>
      </c>
      <c r="P120" s="1">
        <f>'Long Term Deals'!AT120</f>
        <v>38560.822622107968</v>
      </c>
      <c r="Q120" s="1">
        <f>'Long Term Deals'!AU120</f>
        <v>0</v>
      </c>
      <c r="R120" s="1">
        <f>'Long Term Deals'!AV120</f>
        <v>0</v>
      </c>
      <c r="S120" s="20">
        <f>'Long Term Deals'!AW120</f>
        <v>0.04</v>
      </c>
      <c r="T120" s="20">
        <f>'Long Term Deals'!AX120</f>
        <v>2.5000000000000001E-2</v>
      </c>
      <c r="U120" s="1">
        <f>'Long Term Deals'!AY120</f>
        <v>27963105.291091006</v>
      </c>
      <c r="V120" s="1">
        <f>'Long Term Deals'!AZ120</f>
        <v>27754879.07001131</v>
      </c>
      <c r="W120" s="6">
        <f t="shared" si="7"/>
        <v>208226.22107969597</v>
      </c>
      <c r="X120" s="6">
        <f>'Long Term Deals'!CA120</f>
        <v>30848.329048843189</v>
      </c>
      <c r="Z120" s="1">
        <f>[3]Sheet1!$O138</f>
        <v>-330565.05595030083</v>
      </c>
      <c r="AA120" s="1">
        <f>'[4]Long Term Deals'!$Z119</f>
        <v>15438.565329495468</v>
      </c>
      <c r="AB120" s="60">
        <f t="shared" si="10"/>
        <v>523381.51331064914</v>
      </c>
      <c r="AC120" s="60">
        <f t="shared" si="8"/>
        <v>523381.51331064914</v>
      </c>
      <c r="AD120" s="60">
        <f t="shared" si="9"/>
        <v>208226.22107969603</v>
      </c>
      <c r="AE120" s="28">
        <f>(W120-Z120+AA120)/(B120+C120+D120)/'Prices&amp;Fuel'!H120</f>
        <v>8.9831420282434363E-2</v>
      </c>
      <c r="AF120" s="3">
        <v>200000</v>
      </c>
      <c r="AG120" s="1">
        <f>((((I120*'Prices&amp;Fuel'!B120+'Prices&amp;Fuel'!C120*FPL!J120+FPL!K120*'Prices&amp;Fuel'!D120))+(L120*'Prices&amp;Fuel'!B120+'Prices&amp;Fuel'!C120*FPL!M120))*'Prices&amp;Fuel'!H120)+(I120+J120+K120)*'Prices&amp;Fuel'!H120*FPL!T120+Q120/2</f>
        <v>13877336.457517108</v>
      </c>
      <c r="AH120" s="1">
        <f>(N120*'Prices&amp;Fuel'!B120+'Prices&amp;Fuel'!C120*O120+P120*'Prices&amp;Fuel'!D120)*'Prices&amp;Fuel'!H120+(N120+O120+P120)*'Prices&amp;Fuel'!H120*FPL!T120+Q120/2</f>
        <v>13877542.612494206</v>
      </c>
      <c r="AI120" s="1">
        <f>R120*'Prices&amp;Fuel'!H120*'Prices&amp;Fuel'!Q120</f>
        <v>0</v>
      </c>
      <c r="AJ120" s="52">
        <f>SUM(AG120:AI120)-'Long Term Deals'!AZ120</f>
        <v>0</v>
      </c>
    </row>
    <row r="121" spans="1:36" ht="10.199999999999999" x14ac:dyDescent="0.2">
      <c r="A121" s="10">
        <f t="shared" si="6"/>
        <v>39277.333333333052</v>
      </c>
      <c r="B121" s="1">
        <f>'Long Term Deals'!AF121</f>
        <v>128534.70437017996</v>
      </c>
      <c r="C121" s="1">
        <f>'Long Term Deals'!AG121</f>
        <v>0</v>
      </c>
      <c r="D121" s="1">
        <f>'Long Term Deals'!AH121</f>
        <v>77120.822622107968</v>
      </c>
      <c r="E121" s="1">
        <f>'Long Term Deals'!AI121</f>
        <v>0</v>
      </c>
      <c r="F121" s="1">
        <f>'Long Term Deals'!AJ121</f>
        <v>0</v>
      </c>
      <c r="G121" s="1">
        <f>'Long Term Deals'!AK121</f>
        <v>0</v>
      </c>
      <c r="H121" s="1">
        <f>'Long Term Deals'!AL121</f>
        <v>0</v>
      </c>
      <c r="I121" s="1">
        <f>'Long Term Deals'!AM121</f>
        <v>64267</v>
      </c>
      <c r="J121" s="1">
        <f>'Long Term Deals'!AN121</f>
        <v>0</v>
      </c>
      <c r="K121" s="1">
        <f>'Long Term Deals'!AO121</f>
        <v>38560</v>
      </c>
      <c r="L121" s="1">
        <f>'Long Term Deals'!AP121</f>
        <v>0</v>
      </c>
      <c r="M121" s="1">
        <f>'Long Term Deals'!AQ121</f>
        <v>0</v>
      </c>
      <c r="N121" s="1">
        <f>'Long Term Deals'!AR121</f>
        <v>64267.704370179956</v>
      </c>
      <c r="O121" s="1">
        <f>'Long Term Deals'!AS121</f>
        <v>0</v>
      </c>
      <c r="P121" s="1">
        <f>'Long Term Deals'!AT121</f>
        <v>38560.822622107968</v>
      </c>
      <c r="Q121" s="1">
        <f>'Long Term Deals'!AU121</f>
        <v>0</v>
      </c>
      <c r="R121" s="1">
        <f>'Long Term Deals'!AV121</f>
        <v>0</v>
      </c>
      <c r="S121" s="20">
        <f>'Long Term Deals'!AW121</f>
        <v>0.04</v>
      </c>
      <c r="T121" s="20">
        <f>'Long Term Deals'!AX121</f>
        <v>2.5000000000000001E-2</v>
      </c>
      <c r="U121" s="1">
        <f>'Long Term Deals'!AY121</f>
        <v>28828203.532818511</v>
      </c>
      <c r="V121" s="1">
        <f>'Long Term Deals'!AZ121</f>
        <v>28613036.437702835</v>
      </c>
      <c r="W121" s="6">
        <f t="shared" si="7"/>
        <v>215167.09511567652</v>
      </c>
      <c r="X121" s="6">
        <f>'Long Term Deals'!CA121</f>
        <v>31876.606683804628</v>
      </c>
      <c r="Z121" s="1">
        <f>[3]Sheet1!$O139</f>
        <v>-341583.89114864415</v>
      </c>
      <c r="AA121" s="1">
        <f>'[4]Long Term Deals'!$Z120</f>
        <v>15953.184173812013</v>
      </c>
      <c r="AB121" s="60">
        <f t="shared" si="10"/>
        <v>540827.56375432806</v>
      </c>
      <c r="AC121" s="60">
        <f t="shared" si="8"/>
        <v>540827.56375432806</v>
      </c>
      <c r="AD121" s="60">
        <f t="shared" si="9"/>
        <v>215167.09511567652</v>
      </c>
      <c r="AE121" s="28">
        <f>(W121-Z121+AA121)/(B121+C121+D121)/'Prices&amp;Fuel'!H121</f>
        <v>8.9831420282432919E-2</v>
      </c>
      <c r="AF121" s="3">
        <v>200000</v>
      </c>
      <c r="AG121" s="1">
        <f>((((I121*'Prices&amp;Fuel'!B121+'Prices&amp;Fuel'!C121*FPL!J121+FPL!K121*'Prices&amp;Fuel'!D121))+(L121*'Prices&amp;Fuel'!B121+'Prices&amp;Fuel'!C121*FPL!M121))*'Prices&amp;Fuel'!H121)+(I121+J121+K121)*'Prices&amp;Fuel'!H121*FPL!T121+Q121/2</f>
        <v>14306411.954203641</v>
      </c>
      <c r="AH121" s="1">
        <f>(N121*'Prices&amp;Fuel'!B121+'Prices&amp;Fuel'!C121*O121+P121*'Prices&amp;Fuel'!D121)*'Prices&amp;Fuel'!H121+(N121+O121+P121)*'Prices&amp;Fuel'!H121*FPL!T121+Q121/2</f>
        <v>14306624.483499194</v>
      </c>
      <c r="AI121" s="1">
        <f>R121*'Prices&amp;Fuel'!H121*'Prices&amp;Fuel'!Q121</f>
        <v>0</v>
      </c>
      <c r="AJ121" s="52">
        <f>SUM(AG121:AI121)-'Long Term Deals'!AZ121</f>
        <v>0</v>
      </c>
    </row>
    <row r="122" spans="1:36" ht="10.199999999999999" x14ac:dyDescent="0.2">
      <c r="A122" s="10">
        <f t="shared" si="6"/>
        <v>39307.749999999716</v>
      </c>
      <c r="B122" s="1">
        <f>'Long Term Deals'!AF122</f>
        <v>128534.70437017996</v>
      </c>
      <c r="C122" s="1">
        <f>'Long Term Deals'!AG122</f>
        <v>0</v>
      </c>
      <c r="D122" s="1">
        <f>'Long Term Deals'!AH122</f>
        <v>77120.822622107968</v>
      </c>
      <c r="E122" s="1">
        <f>'Long Term Deals'!AI122</f>
        <v>0</v>
      </c>
      <c r="F122" s="1">
        <f>'Long Term Deals'!AJ122</f>
        <v>0</v>
      </c>
      <c r="G122" s="1">
        <f>'Long Term Deals'!AK122</f>
        <v>0</v>
      </c>
      <c r="H122" s="1">
        <f>'Long Term Deals'!AL122</f>
        <v>0</v>
      </c>
      <c r="I122" s="1">
        <f>'Long Term Deals'!AM122</f>
        <v>64267</v>
      </c>
      <c r="J122" s="1">
        <f>'Long Term Deals'!AN122</f>
        <v>0</v>
      </c>
      <c r="K122" s="1">
        <f>'Long Term Deals'!AO122</f>
        <v>38560</v>
      </c>
      <c r="L122" s="1">
        <f>'Long Term Deals'!AP122</f>
        <v>0</v>
      </c>
      <c r="M122" s="1">
        <f>'Long Term Deals'!AQ122</f>
        <v>0</v>
      </c>
      <c r="N122" s="1">
        <f>'Long Term Deals'!AR122</f>
        <v>64267.704370179956</v>
      </c>
      <c r="O122" s="1">
        <f>'Long Term Deals'!AS122</f>
        <v>0</v>
      </c>
      <c r="P122" s="1">
        <f>'Long Term Deals'!AT122</f>
        <v>38560.822622107968</v>
      </c>
      <c r="Q122" s="1">
        <f>'Long Term Deals'!AU122</f>
        <v>0</v>
      </c>
      <c r="R122" s="1">
        <f>'Long Term Deals'!AV122</f>
        <v>0</v>
      </c>
      <c r="S122" s="20">
        <f>'Long Term Deals'!AW122</f>
        <v>0.04</v>
      </c>
      <c r="T122" s="20">
        <f>'Long Term Deals'!AX122</f>
        <v>2.5000000000000001E-2</v>
      </c>
      <c r="U122" s="1">
        <f>'Long Term Deals'!AY122</f>
        <v>25209919.062140055</v>
      </c>
      <c r="V122" s="1">
        <f>'Long Term Deals'!AZ122</f>
        <v>24994751.967024371</v>
      </c>
      <c r="W122" s="6">
        <f t="shared" si="7"/>
        <v>215167.09511568397</v>
      </c>
      <c r="X122" s="6">
        <f>'Long Term Deals'!CA122</f>
        <v>31876.606683804628</v>
      </c>
      <c r="Z122" s="1">
        <f>[3]Sheet1!$O140</f>
        <v>-341583.89114864415</v>
      </c>
      <c r="AA122" s="1">
        <f>'[4]Long Term Deals'!$Z121</f>
        <v>15953.184173812013</v>
      </c>
      <c r="AB122" s="60">
        <f t="shared" si="10"/>
        <v>540827.56375433551</v>
      </c>
      <c r="AC122" s="60">
        <f t="shared" si="8"/>
        <v>540827.56375433551</v>
      </c>
      <c r="AD122" s="60">
        <f t="shared" si="9"/>
        <v>215167.09511568397</v>
      </c>
      <c r="AE122" s="28">
        <f>(W122-Z122+AA122)/(B122+C122+D122)/'Prices&amp;Fuel'!H122</f>
        <v>8.9831420282434071E-2</v>
      </c>
      <c r="AF122" s="3">
        <v>200000</v>
      </c>
      <c r="AG122" s="1">
        <f>((((I122*'Prices&amp;Fuel'!B122+'Prices&amp;Fuel'!C122*FPL!J122+FPL!K122*'Prices&amp;Fuel'!D122))+(L122*'Prices&amp;Fuel'!B122+'Prices&amp;Fuel'!C122*FPL!M122))*'Prices&amp;Fuel'!H122)+(I122+J122+K122)*'Prices&amp;Fuel'!H122*FPL!T122+Q122/2</f>
        <v>12497283.151745507</v>
      </c>
      <c r="AH122" s="1">
        <f>(N122*'Prices&amp;Fuel'!B122+'Prices&amp;Fuel'!C122*O122+P122*'Prices&amp;Fuel'!D122)*'Prices&amp;Fuel'!H122+(N122+O122+P122)*'Prices&amp;Fuel'!H122*FPL!T122+Q122/2</f>
        <v>12497468.815278864</v>
      </c>
      <c r="AI122" s="1">
        <f>R122*'Prices&amp;Fuel'!H122*'Prices&amp;Fuel'!Q122</f>
        <v>0</v>
      </c>
      <c r="AJ122" s="52">
        <f>SUM(AG122:AI122)-'Long Term Deals'!AZ122</f>
        <v>0</v>
      </c>
    </row>
    <row r="123" spans="1:36" ht="10.199999999999999" x14ac:dyDescent="0.2">
      <c r="A123" s="10">
        <f t="shared" si="6"/>
        <v>39338.16666666638</v>
      </c>
      <c r="B123" s="1">
        <f>'Long Term Deals'!AF123</f>
        <v>128534.70437017996</v>
      </c>
      <c r="C123" s="1">
        <f>'Long Term Deals'!AG123</f>
        <v>0</v>
      </c>
      <c r="D123" s="1">
        <f>'Long Term Deals'!AH123</f>
        <v>77120.822622107968</v>
      </c>
      <c r="E123" s="1">
        <f>'Long Term Deals'!AI123</f>
        <v>0</v>
      </c>
      <c r="F123" s="1">
        <f>'Long Term Deals'!AJ123</f>
        <v>0</v>
      </c>
      <c r="G123" s="1">
        <f>'Long Term Deals'!AK123</f>
        <v>0</v>
      </c>
      <c r="H123" s="1">
        <f>'Long Term Deals'!AL123</f>
        <v>0</v>
      </c>
      <c r="I123" s="1">
        <f>'Long Term Deals'!AM123</f>
        <v>64267</v>
      </c>
      <c r="J123" s="1">
        <f>'Long Term Deals'!AN123</f>
        <v>0</v>
      </c>
      <c r="K123" s="1">
        <f>'Long Term Deals'!AO123</f>
        <v>38560</v>
      </c>
      <c r="L123" s="1">
        <f>'Long Term Deals'!AP123</f>
        <v>0</v>
      </c>
      <c r="M123" s="1">
        <f>'Long Term Deals'!AQ123</f>
        <v>0</v>
      </c>
      <c r="N123" s="1">
        <f>'Long Term Deals'!AR123</f>
        <v>64267.704370179956</v>
      </c>
      <c r="O123" s="1">
        <f>'Long Term Deals'!AS123</f>
        <v>0</v>
      </c>
      <c r="P123" s="1">
        <f>'Long Term Deals'!AT123</f>
        <v>38560.822622107968</v>
      </c>
      <c r="Q123" s="1">
        <f>'Long Term Deals'!AU123</f>
        <v>0</v>
      </c>
      <c r="R123" s="1">
        <f>'Long Term Deals'!AV123</f>
        <v>0</v>
      </c>
      <c r="S123" s="20">
        <f>'Long Term Deals'!AW123</f>
        <v>0.04</v>
      </c>
      <c r="T123" s="20">
        <f>'Long Term Deals'!AX123</f>
        <v>2.5000000000000001E-2</v>
      </c>
      <c r="U123" s="1">
        <f>'Long Term Deals'!AY123</f>
        <v>29389669.06089256</v>
      </c>
      <c r="V123" s="1">
        <f>'Long Term Deals'!AZ123</f>
        <v>29181442.839812864</v>
      </c>
      <c r="W123" s="6">
        <f t="shared" si="7"/>
        <v>208226.22107969597</v>
      </c>
      <c r="X123" s="6">
        <f>'Long Term Deals'!CA123</f>
        <v>30848.329048843189</v>
      </c>
      <c r="Z123" s="1">
        <f>[3]Sheet1!$O141</f>
        <v>-330565.05595030083</v>
      </c>
      <c r="AA123" s="1">
        <f>'[4]Long Term Deals'!$Z122</f>
        <v>15438.565329495468</v>
      </c>
      <c r="AB123" s="60">
        <f t="shared" si="10"/>
        <v>523381.51331064914</v>
      </c>
      <c r="AC123" s="60">
        <f t="shared" si="8"/>
        <v>523381.51331064914</v>
      </c>
      <c r="AD123" s="60">
        <f t="shared" si="9"/>
        <v>208226.22107969603</v>
      </c>
      <c r="AE123" s="28">
        <f>(W123-Z123+AA123)/(B123+C123+D123)/'Prices&amp;Fuel'!H123</f>
        <v>8.9831420282434363E-2</v>
      </c>
      <c r="AF123" s="3">
        <v>200000</v>
      </c>
      <c r="AG123" s="1">
        <f>((((I123*'Prices&amp;Fuel'!B123+'Prices&amp;Fuel'!C123*FPL!J123+FPL!K123*'Prices&amp;Fuel'!D123))+(L123*'Prices&amp;Fuel'!B123+'Prices&amp;Fuel'!C123*FPL!M123))*'Prices&amp;Fuel'!H123)+(I123+J123+K123)*'Prices&amp;Fuel'!H123*FPL!T123+Q123/2</f>
        <v>14590613.046299888</v>
      </c>
      <c r="AH123" s="1">
        <f>(N123*'Prices&amp;Fuel'!B123+'Prices&amp;Fuel'!C123*O123+P123*'Prices&amp;Fuel'!D123)*'Prices&amp;Fuel'!H123+(N123+O123+P123)*'Prices&amp;Fuel'!H123*FPL!T123+Q123/2</f>
        <v>14590829.793512976</v>
      </c>
      <c r="AI123" s="1">
        <f>R123*'Prices&amp;Fuel'!H123*'Prices&amp;Fuel'!Q123</f>
        <v>0</v>
      </c>
      <c r="AJ123" s="52">
        <f>SUM(AG123:AI123)-'Long Term Deals'!AZ123</f>
        <v>0</v>
      </c>
    </row>
    <row r="124" spans="1:36" ht="10.199999999999999" x14ac:dyDescent="0.2">
      <c r="A124" s="10">
        <f t="shared" si="6"/>
        <v>39368.583333333045</v>
      </c>
      <c r="B124" s="1">
        <f>'Long Term Deals'!AF124</f>
        <v>58611.825192802062</v>
      </c>
      <c r="C124" s="1">
        <f>'Long Term Deals'!AG124</f>
        <v>0</v>
      </c>
      <c r="D124" s="1">
        <f>'Long Term Deals'!AH124</f>
        <v>77120.822622107968</v>
      </c>
      <c r="E124" s="1">
        <f>'Long Term Deals'!AI124</f>
        <v>0</v>
      </c>
      <c r="F124" s="1">
        <f>'Long Term Deals'!AJ124</f>
        <v>0</v>
      </c>
      <c r="G124" s="1">
        <f>'Long Term Deals'!AK124</f>
        <v>0</v>
      </c>
      <c r="H124" s="1">
        <f>'Long Term Deals'!AL124</f>
        <v>0</v>
      </c>
      <c r="I124" s="1">
        <f>'Long Term Deals'!AM124</f>
        <v>29306</v>
      </c>
      <c r="J124" s="1">
        <f>'Long Term Deals'!AN124</f>
        <v>0</v>
      </c>
      <c r="K124" s="1">
        <f>'Long Term Deals'!AO124</f>
        <v>38560</v>
      </c>
      <c r="L124" s="1">
        <f>'Long Term Deals'!AP124</f>
        <v>0</v>
      </c>
      <c r="M124" s="1">
        <f>'Long Term Deals'!AQ124</f>
        <v>0</v>
      </c>
      <c r="N124" s="1">
        <f>'Long Term Deals'!AR124</f>
        <v>29305.825192802062</v>
      </c>
      <c r="O124" s="1">
        <f>'Long Term Deals'!AS124</f>
        <v>0</v>
      </c>
      <c r="P124" s="1">
        <f>'Long Term Deals'!AT124</f>
        <v>38560.822622107968</v>
      </c>
      <c r="Q124" s="1">
        <f>'Long Term Deals'!AU124</f>
        <v>0</v>
      </c>
      <c r="R124" s="1">
        <f>'Long Term Deals'!AV124</f>
        <v>0</v>
      </c>
      <c r="S124" s="20">
        <f>'Long Term Deals'!AW124</f>
        <v>0.04</v>
      </c>
      <c r="T124" s="20">
        <f>'Long Term Deals'!AX124</f>
        <v>2.5000000000000001E-2</v>
      </c>
      <c r="U124" s="1">
        <f>'Long Term Deals'!AY124</f>
        <v>23099721.934496589</v>
      </c>
      <c r="V124" s="1">
        <f>'Long Term Deals'!AZ124</f>
        <v>22917068.978198394</v>
      </c>
      <c r="W124" s="6">
        <f t="shared" si="7"/>
        <v>182652.95629819483</v>
      </c>
      <c r="X124" s="6">
        <f>'Long Term Deals'!CA124</f>
        <v>21038.560411311057</v>
      </c>
      <c r="Z124" s="1">
        <f>[3]Sheet1!$O142</f>
        <v>-225445.36815810515</v>
      </c>
      <c r="AA124" s="1">
        <f>'[4]Long Term Deals'!$Z123</f>
        <v>10529.101554715919</v>
      </c>
      <c r="AB124" s="60">
        <f t="shared" si="10"/>
        <v>397588.86559970485</v>
      </c>
      <c r="AC124" s="60">
        <f t="shared" si="8"/>
        <v>397588.86559970485</v>
      </c>
      <c r="AD124" s="60">
        <f t="shared" si="9"/>
        <v>182652.95629819483</v>
      </c>
      <c r="AE124" s="28">
        <f>(W124-Z124+AA124)/(B124+C124+D124)/'Prices&amp;Fuel'!H124</f>
        <v>9.949051119152319E-2</v>
      </c>
      <c r="AF124" s="3">
        <v>132000</v>
      </c>
      <c r="AG124" s="1">
        <f>((((I124*'Prices&amp;Fuel'!B124+'Prices&amp;Fuel'!C124*FPL!J124+FPL!K124*'Prices&amp;Fuel'!D124))+(L124*'Prices&amp;Fuel'!B124+'Prices&amp;Fuel'!C124*FPL!M124))*'Prices&amp;Fuel'!H124)+(I124+J124+K124)*'Prices&amp;Fuel'!H124*FPL!T124+Q124/2</f>
        <v>11458479.730184587</v>
      </c>
      <c r="AH124" s="1">
        <f>(N124*'Prices&amp;Fuel'!B124+'Prices&amp;Fuel'!C124*O124+P124*'Prices&amp;Fuel'!D124)*'Prices&amp;Fuel'!H124+(N124+O124+P124)*'Prices&amp;Fuel'!H124*FPL!T124+Q124/2</f>
        <v>11458589.248013804</v>
      </c>
      <c r="AI124" s="1">
        <f>R124*'Prices&amp;Fuel'!H124*'Prices&amp;Fuel'!Q124</f>
        <v>0</v>
      </c>
      <c r="AJ124" s="52">
        <f>SUM(AG124:AI124)-'Long Term Deals'!AZ124</f>
        <v>0</v>
      </c>
    </row>
    <row r="125" spans="1:36" ht="10.199999999999999" x14ac:dyDescent="0.2">
      <c r="A125" s="10">
        <f t="shared" si="6"/>
        <v>39398.999999999709</v>
      </c>
      <c r="B125" s="1">
        <f>'Long Term Deals'!AF125</f>
        <v>58611.825192802062</v>
      </c>
      <c r="C125" s="1">
        <f>'Long Term Deals'!AG125</f>
        <v>0</v>
      </c>
      <c r="D125" s="1">
        <f>'Long Term Deals'!AH125</f>
        <v>77120.822622107968</v>
      </c>
      <c r="E125" s="1">
        <f>'Long Term Deals'!AI125</f>
        <v>0</v>
      </c>
      <c r="F125" s="1">
        <f>'Long Term Deals'!AJ125</f>
        <v>0</v>
      </c>
      <c r="G125" s="1">
        <f>'Long Term Deals'!AK125</f>
        <v>0</v>
      </c>
      <c r="H125" s="1">
        <f>'Long Term Deals'!AL125</f>
        <v>0</v>
      </c>
      <c r="I125" s="1">
        <f>'Long Term Deals'!AM125</f>
        <v>29306</v>
      </c>
      <c r="J125" s="1">
        <f>'Long Term Deals'!AN125</f>
        <v>0</v>
      </c>
      <c r="K125" s="1">
        <f>'Long Term Deals'!AO125</f>
        <v>38560</v>
      </c>
      <c r="L125" s="1">
        <f>'Long Term Deals'!AP125</f>
        <v>0</v>
      </c>
      <c r="M125" s="1">
        <f>'Long Term Deals'!AQ125</f>
        <v>0</v>
      </c>
      <c r="N125" s="1">
        <f>'Long Term Deals'!AR125</f>
        <v>29305.825192802062</v>
      </c>
      <c r="O125" s="1">
        <f>'Long Term Deals'!AS125</f>
        <v>0</v>
      </c>
      <c r="P125" s="1">
        <f>'Long Term Deals'!AT125</f>
        <v>38560.822622107968</v>
      </c>
      <c r="Q125" s="1">
        <f>'Long Term Deals'!AU125</f>
        <v>0</v>
      </c>
      <c r="R125" s="1">
        <f>'Long Term Deals'!AV125</f>
        <v>0</v>
      </c>
      <c r="S125" s="20">
        <f>'Long Term Deals'!AW125</f>
        <v>0.04</v>
      </c>
      <c r="T125" s="20">
        <f>'Long Term Deals'!AX125</f>
        <v>2.5000000000000001E-2</v>
      </c>
      <c r="U125" s="1">
        <f>'Long Term Deals'!AY125</f>
        <v>14950703.648758955</v>
      </c>
      <c r="V125" s="1">
        <f>'Long Term Deals'!AZ125</f>
        <v>14773942.723309085</v>
      </c>
      <c r="W125" s="6">
        <f t="shared" si="7"/>
        <v>176760.92544987053</v>
      </c>
      <c r="X125" s="6">
        <f>'Long Term Deals'!CA125</f>
        <v>20359.897172236506</v>
      </c>
      <c r="Z125" s="1">
        <f>[3]Sheet1!$O143</f>
        <v>-218172.93692719855</v>
      </c>
      <c r="AA125" s="1">
        <f>'[4]Long Term Deals'!$Z124</f>
        <v>10189.453117467026</v>
      </c>
      <c r="AB125" s="60">
        <f t="shared" si="10"/>
        <v>384763.41832229955</v>
      </c>
      <c r="AC125" s="60">
        <f t="shared" si="8"/>
        <v>384763.41832229955</v>
      </c>
      <c r="AD125" s="60">
        <f t="shared" si="9"/>
        <v>176760.92544987047</v>
      </c>
      <c r="AE125" s="28">
        <f>(W125-Z125+AA125)/(B125+C125+D125)/'Prices&amp;Fuel'!H125</f>
        <v>9.9490511191524314E-2</v>
      </c>
      <c r="AF125" s="3">
        <v>132000</v>
      </c>
      <c r="AG125" s="1">
        <f>((((I125*'Prices&amp;Fuel'!B125+'Prices&amp;Fuel'!C125*FPL!J125+FPL!K125*'Prices&amp;Fuel'!D125))+(L125*'Prices&amp;Fuel'!B125+'Prices&amp;Fuel'!C125*FPL!M125))*'Prices&amp;Fuel'!H125)+(I125+J125+K125)*'Prices&amp;Fuel'!H125*FPL!T125+Q125/2</f>
        <v>7386936.0374730434</v>
      </c>
      <c r="AH125" s="1">
        <f>(N125*'Prices&amp;Fuel'!B125+'Prices&amp;Fuel'!C125*O125+P125*'Prices&amp;Fuel'!D125)*'Prices&amp;Fuel'!H125+(N125+O125+P125)*'Prices&amp;Fuel'!H125*FPL!T125+Q125/2</f>
        <v>7387006.6858360404</v>
      </c>
      <c r="AI125" s="1">
        <f>R125*'Prices&amp;Fuel'!H125*'Prices&amp;Fuel'!Q125</f>
        <v>0</v>
      </c>
      <c r="AJ125" s="52">
        <f>SUM(AG125:AI125)-'Long Term Deals'!AZ125</f>
        <v>0</v>
      </c>
    </row>
    <row r="126" spans="1:36" ht="10.199999999999999" x14ac:dyDescent="0.2">
      <c r="A126" s="10">
        <f t="shared" si="6"/>
        <v>39429.416666666373</v>
      </c>
      <c r="B126" s="1">
        <f>'Long Term Deals'!AF126</f>
        <v>58611.825192802062</v>
      </c>
      <c r="C126" s="1">
        <f>'Long Term Deals'!AG126</f>
        <v>0</v>
      </c>
      <c r="D126" s="1">
        <f>'Long Term Deals'!AH126</f>
        <v>77120.822622107968</v>
      </c>
      <c r="E126" s="1">
        <f>'Long Term Deals'!AI126</f>
        <v>0</v>
      </c>
      <c r="F126" s="1">
        <f>'Long Term Deals'!AJ126</f>
        <v>0</v>
      </c>
      <c r="G126" s="1">
        <f>'Long Term Deals'!AK126</f>
        <v>0</v>
      </c>
      <c r="H126" s="1">
        <f>'Long Term Deals'!AL126</f>
        <v>0</v>
      </c>
      <c r="I126" s="1">
        <f>'Long Term Deals'!AM126</f>
        <v>29306</v>
      </c>
      <c r="J126" s="1">
        <f>'Long Term Deals'!AN126</f>
        <v>0</v>
      </c>
      <c r="K126" s="1">
        <f>'Long Term Deals'!AO126</f>
        <v>38560</v>
      </c>
      <c r="L126" s="1">
        <f>'Long Term Deals'!AP126</f>
        <v>0</v>
      </c>
      <c r="M126" s="1">
        <f>'Long Term Deals'!AQ126</f>
        <v>0</v>
      </c>
      <c r="N126" s="1">
        <f>'Long Term Deals'!AR126</f>
        <v>29305.825192802062</v>
      </c>
      <c r="O126" s="1">
        <f>'Long Term Deals'!AS126</f>
        <v>0</v>
      </c>
      <c r="P126" s="1">
        <f>'Long Term Deals'!AT126</f>
        <v>38560.822622107968</v>
      </c>
      <c r="Q126" s="1">
        <f>'Long Term Deals'!AU126</f>
        <v>0</v>
      </c>
      <c r="R126" s="1">
        <f>'Long Term Deals'!AV126</f>
        <v>0</v>
      </c>
      <c r="S126" s="20">
        <f>'Long Term Deals'!AW126</f>
        <v>0.04</v>
      </c>
      <c r="T126" s="20">
        <f>'Long Term Deals'!AX126</f>
        <v>2.5000000000000001E-2</v>
      </c>
      <c r="U126" s="1">
        <f>'Long Term Deals'!AY126</f>
        <v>11557394.473032311</v>
      </c>
      <c r="V126" s="1">
        <f>'Long Term Deals'!AZ126</f>
        <v>11374741.516734112</v>
      </c>
      <c r="W126" s="6">
        <f t="shared" si="7"/>
        <v>182652.95629819855</v>
      </c>
      <c r="X126" s="6">
        <f>'Long Term Deals'!CA126</f>
        <v>21038.560411311057</v>
      </c>
      <c r="Z126" s="1">
        <f>[3]Sheet1!$O144</f>
        <v>-225445.36815810515</v>
      </c>
      <c r="AA126" s="1">
        <f>'[4]Long Term Deals'!$Z125</f>
        <v>10529.101554715919</v>
      </c>
      <c r="AB126" s="60">
        <f t="shared" si="10"/>
        <v>397588.86559970857</v>
      </c>
      <c r="AC126" s="60">
        <f t="shared" si="8"/>
        <v>397588.86559970857</v>
      </c>
      <c r="AD126" s="60">
        <f t="shared" si="9"/>
        <v>182652.95629819855</v>
      </c>
      <c r="AE126" s="28">
        <f>(W126-Z126+AA126)/(B126+C126+D126)/'Prices&amp;Fuel'!H126</f>
        <v>9.9490511191524078E-2</v>
      </c>
      <c r="AF126" s="3">
        <v>132000</v>
      </c>
      <c r="AG126" s="1">
        <f>((((I126*'Prices&amp;Fuel'!B126+'Prices&amp;Fuel'!C126*FPL!J126+FPL!K126*'Prices&amp;Fuel'!D126))+(L126*'Prices&amp;Fuel'!B126+'Prices&amp;Fuel'!C126*FPL!M126))*'Prices&amp;Fuel'!H126)+(I126+J126+K126)*'Prices&amp;Fuel'!H126*FPL!T126+Q126/2</f>
        <v>5687343.5436429819</v>
      </c>
      <c r="AH126" s="1">
        <f>(N126*'Prices&amp;Fuel'!B126+'Prices&amp;Fuel'!C126*O126+P126*'Prices&amp;Fuel'!D126)*'Prices&amp;Fuel'!H126+(N126+O126+P126)*'Prices&amp;Fuel'!H126*FPL!T126+Q126/2</f>
        <v>5687397.9730911301</v>
      </c>
      <c r="AI126" s="1">
        <f>R126*'Prices&amp;Fuel'!H126*'Prices&amp;Fuel'!Q126</f>
        <v>0</v>
      </c>
      <c r="AJ126" s="52">
        <f>SUM(AG126:AI126)-'Long Term Deals'!AZ126</f>
        <v>0</v>
      </c>
    </row>
    <row r="127" spans="1:36" ht="10.199999999999999" x14ac:dyDescent="0.2">
      <c r="A127" s="10">
        <f t="shared" si="6"/>
        <v>39459.833333333037</v>
      </c>
      <c r="B127" s="1">
        <f>'Long Term Deals'!AF127</f>
        <v>58611.825192802062</v>
      </c>
      <c r="C127" s="1">
        <f>'Long Term Deals'!AG127</f>
        <v>0</v>
      </c>
      <c r="D127" s="1">
        <f>'Long Term Deals'!AH127</f>
        <v>77120.822622107968</v>
      </c>
      <c r="E127" s="1">
        <f>'Long Term Deals'!AI127</f>
        <v>0</v>
      </c>
      <c r="F127" s="1">
        <f>'Long Term Deals'!AJ127</f>
        <v>0</v>
      </c>
      <c r="G127" s="1">
        <f>'Long Term Deals'!AK127</f>
        <v>0</v>
      </c>
      <c r="H127" s="1">
        <f>'Long Term Deals'!AL127</f>
        <v>0</v>
      </c>
      <c r="I127" s="1">
        <f>'Long Term Deals'!AM127</f>
        <v>29306</v>
      </c>
      <c r="J127" s="1">
        <f>'Long Term Deals'!AN127</f>
        <v>0</v>
      </c>
      <c r="K127" s="1">
        <f>'Long Term Deals'!AO127</f>
        <v>38560</v>
      </c>
      <c r="L127" s="1">
        <f>'Long Term Deals'!AP127</f>
        <v>0</v>
      </c>
      <c r="M127" s="1">
        <f>'Long Term Deals'!AQ127</f>
        <v>0</v>
      </c>
      <c r="N127" s="1">
        <f>'Long Term Deals'!AR127</f>
        <v>29305.825192802062</v>
      </c>
      <c r="O127" s="1">
        <f>'Long Term Deals'!AS127</f>
        <v>0</v>
      </c>
      <c r="P127" s="1">
        <f>'Long Term Deals'!AT127</f>
        <v>38560.822622107968</v>
      </c>
      <c r="Q127" s="1">
        <f>'Long Term Deals'!AU127</f>
        <v>0</v>
      </c>
      <c r="R127" s="1">
        <f>'Long Term Deals'!AV127</f>
        <v>0</v>
      </c>
      <c r="S127" s="20">
        <f>'Long Term Deals'!AW127</f>
        <v>0.03</v>
      </c>
      <c r="T127" s="20">
        <f>'Long Term Deals'!AX127</f>
        <v>1.4999999999999999E-2</v>
      </c>
      <c r="U127" s="1">
        <f>'Long Term Deals'!AY127</f>
        <v>10156329.908183645</v>
      </c>
      <c r="V127" s="1">
        <f>'Long Term Deals'!AZ127</f>
        <v>9973676.951885445</v>
      </c>
      <c r="W127" s="6">
        <f t="shared" si="7"/>
        <v>182652.95629820041</v>
      </c>
      <c r="X127" s="6">
        <f>'Long Term Deals'!CA127</f>
        <v>21038.560411311057</v>
      </c>
      <c r="Z127" s="1">
        <f>[3]Sheet1!$O146</f>
        <v>-267652.69152066321</v>
      </c>
      <c r="AA127" s="1">
        <f>'[4]Long Term Deals'!$Z126</f>
        <v>-31548.019267906231</v>
      </c>
      <c r="AB127" s="60">
        <f t="shared" si="10"/>
        <v>397719.06813964638</v>
      </c>
      <c r="AC127" s="60">
        <f t="shared" si="8"/>
        <v>397719.06813964638</v>
      </c>
      <c r="AD127" s="60">
        <f t="shared" si="9"/>
        <v>182652.95629820044</v>
      </c>
      <c r="AE127" s="28">
        <f>(W127-Z127+AA127)/(B127+C127+D127)/'Prices&amp;Fuel'!H127</f>
        <v>9.9521454976980936E-2</v>
      </c>
      <c r="AF127" s="3">
        <v>132000</v>
      </c>
      <c r="AG127" s="1">
        <f>((((I127*'Prices&amp;Fuel'!B127+'Prices&amp;Fuel'!C127*FPL!J127+FPL!K127*'Prices&amp;Fuel'!D127))+(L127*'Prices&amp;Fuel'!B127+'Prices&amp;Fuel'!C127*FPL!M127))*'Prices&amp;Fuel'!H127)+(I127+J127+K127)*'Prices&amp;Fuel'!H127*FPL!T127+Q127/2</f>
        <v>4986814.6046681786</v>
      </c>
      <c r="AH127" s="1">
        <f>(N127*'Prices&amp;Fuel'!B127+'Prices&amp;Fuel'!C127*O127+P127*'Prices&amp;Fuel'!D127)*'Prices&amp;Fuel'!H127+(N127+O127+P127)*'Prices&amp;Fuel'!H127*FPL!T127+Q127/2</f>
        <v>4986862.3472172664</v>
      </c>
      <c r="AI127" s="1">
        <f>R127*'Prices&amp;Fuel'!H127*'Prices&amp;Fuel'!Q127</f>
        <v>0</v>
      </c>
      <c r="AJ127" s="52">
        <f>SUM(AG127:AI127)-'Long Term Deals'!AZ127</f>
        <v>0</v>
      </c>
    </row>
    <row r="128" spans="1:36" ht="10.199999999999999" x14ac:dyDescent="0.2">
      <c r="A128" s="10">
        <f t="shared" si="6"/>
        <v>39490.249999999702</v>
      </c>
      <c r="B128" s="1">
        <f>'Long Term Deals'!AF128</f>
        <v>58611.825192802062</v>
      </c>
      <c r="C128" s="1">
        <f>'Long Term Deals'!AG128</f>
        <v>0</v>
      </c>
      <c r="D128" s="1">
        <f>'Long Term Deals'!AH128</f>
        <v>77120.822622107968</v>
      </c>
      <c r="E128" s="1">
        <f>'Long Term Deals'!AI128</f>
        <v>0</v>
      </c>
      <c r="F128" s="1">
        <f>'Long Term Deals'!AJ128</f>
        <v>0</v>
      </c>
      <c r="G128" s="1">
        <f>'Long Term Deals'!AK128</f>
        <v>0</v>
      </c>
      <c r="H128" s="1">
        <f>'Long Term Deals'!AL128</f>
        <v>0</v>
      </c>
      <c r="I128" s="1">
        <f>'Long Term Deals'!AM128</f>
        <v>29306</v>
      </c>
      <c r="J128" s="1">
        <f>'Long Term Deals'!AN128</f>
        <v>0</v>
      </c>
      <c r="K128" s="1">
        <f>'Long Term Deals'!AO128</f>
        <v>38560</v>
      </c>
      <c r="L128" s="1">
        <f>'Long Term Deals'!AP128</f>
        <v>0</v>
      </c>
      <c r="M128" s="1">
        <f>'Long Term Deals'!AQ128</f>
        <v>0</v>
      </c>
      <c r="N128" s="1">
        <f>'Long Term Deals'!AR128</f>
        <v>29305.825192802062</v>
      </c>
      <c r="O128" s="1">
        <f>'Long Term Deals'!AS128</f>
        <v>0</v>
      </c>
      <c r="P128" s="1">
        <f>'Long Term Deals'!AT128</f>
        <v>38560.822622107968</v>
      </c>
      <c r="Q128" s="1">
        <f>'Long Term Deals'!AU128</f>
        <v>0</v>
      </c>
      <c r="R128" s="1">
        <f>'Long Term Deals'!AV128</f>
        <v>0</v>
      </c>
      <c r="S128" s="20">
        <f>'Long Term Deals'!AW128</f>
        <v>0.03</v>
      </c>
      <c r="T128" s="20">
        <f>'Long Term Deals'!AX128</f>
        <v>1.4999999999999999E-2</v>
      </c>
      <c r="U128" s="1">
        <f>'Long Term Deals'!AY128</f>
        <v>10629252.243405238</v>
      </c>
      <c r="V128" s="1">
        <f>'Long Term Deals'!AZ128</f>
        <v>10458383.348803697</v>
      </c>
      <c r="W128" s="6">
        <f t="shared" si="7"/>
        <v>170868.89460154064</v>
      </c>
      <c r="X128" s="6">
        <f>'Long Term Deals'!CA128</f>
        <v>19681.233933161955</v>
      </c>
      <c r="Z128" s="1">
        <f>[3]Sheet1!$O147</f>
        <v>-250384.77593868494</v>
      </c>
      <c r="AA128" s="1">
        <f>'[4]Long Term Deals'!$Z127</f>
        <v>-29512.663186105827</v>
      </c>
      <c r="AB128" s="60">
        <f t="shared" si="10"/>
        <v>372059.77342095779</v>
      </c>
      <c r="AC128" s="60">
        <f t="shared" si="8"/>
        <v>372059.77342095779</v>
      </c>
      <c r="AD128" s="60">
        <f t="shared" si="9"/>
        <v>170868.89460154064</v>
      </c>
      <c r="AE128" s="28">
        <f>(W128-Z128+AA128)/(B128+C128+D128)/'Prices&amp;Fuel'!H128</f>
        <v>9.952145497698052E-2</v>
      </c>
      <c r="AF128" s="3">
        <v>132000</v>
      </c>
      <c r="AG128" s="1">
        <f>((((I128*'Prices&amp;Fuel'!B128+'Prices&amp;Fuel'!C128*FPL!J128+FPL!K128*'Prices&amp;Fuel'!D128))+(L128*'Prices&amp;Fuel'!B128+'Prices&amp;Fuel'!C128*FPL!M128))*'Prices&amp;Fuel'!H128)+(I128+J128+K128)*'Prices&amp;Fuel'!H128*FPL!T128+Q128/2</f>
        <v>5229166.6509870384</v>
      </c>
      <c r="AH128" s="1">
        <f>(N128*'Prices&amp;Fuel'!B128+'Prices&amp;Fuel'!C128*O128+P128*'Prices&amp;Fuel'!D128)*'Prices&amp;Fuel'!H128+(N128+O128+P128)*'Prices&amp;Fuel'!H128*FPL!T128+Q128/2</f>
        <v>5229216.6978166578</v>
      </c>
      <c r="AI128" s="1">
        <f>R128*'Prices&amp;Fuel'!H128*'Prices&amp;Fuel'!Q128</f>
        <v>0</v>
      </c>
      <c r="AJ128" s="52">
        <f>SUM(AG128:AI128)-'Long Term Deals'!AZ128</f>
        <v>0</v>
      </c>
    </row>
    <row r="129" spans="1:36" ht="10.199999999999999" x14ac:dyDescent="0.2">
      <c r="A129" s="10">
        <f t="shared" si="6"/>
        <v>39520.666666666366</v>
      </c>
      <c r="B129" s="1">
        <f>'Long Term Deals'!AF129</f>
        <v>58611.825192802062</v>
      </c>
      <c r="C129" s="1">
        <f>'Long Term Deals'!AG129</f>
        <v>0</v>
      </c>
      <c r="D129" s="1">
        <f>'Long Term Deals'!AH129</f>
        <v>77120.822622107968</v>
      </c>
      <c r="E129" s="1">
        <f>'Long Term Deals'!AI129</f>
        <v>0</v>
      </c>
      <c r="F129" s="1">
        <f>'Long Term Deals'!AJ129</f>
        <v>0</v>
      </c>
      <c r="G129" s="1">
        <f>'Long Term Deals'!AK129</f>
        <v>0</v>
      </c>
      <c r="H129" s="1">
        <f>'Long Term Deals'!AL129</f>
        <v>0</v>
      </c>
      <c r="I129" s="1">
        <f>'Long Term Deals'!AM129</f>
        <v>29306</v>
      </c>
      <c r="J129" s="1">
        <f>'Long Term Deals'!AN129</f>
        <v>0</v>
      </c>
      <c r="K129" s="1">
        <f>'Long Term Deals'!AO129</f>
        <v>38560</v>
      </c>
      <c r="L129" s="1">
        <f>'Long Term Deals'!AP129</f>
        <v>0</v>
      </c>
      <c r="M129" s="1">
        <f>'Long Term Deals'!AQ129</f>
        <v>0</v>
      </c>
      <c r="N129" s="1">
        <f>'Long Term Deals'!AR129</f>
        <v>29305.825192802062</v>
      </c>
      <c r="O129" s="1">
        <f>'Long Term Deals'!AS129</f>
        <v>0</v>
      </c>
      <c r="P129" s="1">
        <f>'Long Term Deals'!AT129</f>
        <v>38560.822622107968</v>
      </c>
      <c r="Q129" s="1">
        <f>'Long Term Deals'!AU129</f>
        <v>0</v>
      </c>
      <c r="R129" s="1">
        <f>'Long Term Deals'!AV129</f>
        <v>0</v>
      </c>
      <c r="S129" s="20">
        <f>'Long Term Deals'!AW129</f>
        <v>0.03</v>
      </c>
      <c r="T129" s="20">
        <f>'Long Term Deals'!AX129</f>
        <v>1.4999999999999999E-2</v>
      </c>
      <c r="U129" s="1">
        <f>'Long Term Deals'!AY129</f>
        <v>11362304.122260772</v>
      </c>
      <c r="V129" s="1">
        <f>'Long Term Deals'!AZ129</f>
        <v>11179651.165962573</v>
      </c>
      <c r="W129" s="6">
        <f t="shared" si="7"/>
        <v>182652.95629819855</v>
      </c>
      <c r="X129" s="6">
        <f>'Long Term Deals'!CA129</f>
        <v>21038.560411311057</v>
      </c>
      <c r="Z129" s="1">
        <f>[3]Sheet1!$O148</f>
        <v>-267652.69152066321</v>
      </c>
      <c r="AA129" s="1">
        <f>'[4]Long Term Deals'!$Z128</f>
        <v>-31548.019267906231</v>
      </c>
      <c r="AB129" s="60">
        <f t="shared" si="10"/>
        <v>397719.06813964451</v>
      </c>
      <c r="AC129" s="60">
        <f t="shared" si="8"/>
        <v>397719.06813964451</v>
      </c>
      <c r="AD129" s="60">
        <f t="shared" si="9"/>
        <v>182652.95629819858</v>
      </c>
      <c r="AE129" s="28">
        <f>(W129-Z129+AA129)/(B129+C129+D129)/'Prices&amp;Fuel'!H129</f>
        <v>9.9521454976980492E-2</v>
      </c>
      <c r="AF129" s="3">
        <v>132000</v>
      </c>
      <c r="AG129" s="1">
        <f>((((I129*'Prices&amp;Fuel'!B129+'Prices&amp;Fuel'!C129*FPL!J129+FPL!K129*'Prices&amp;Fuel'!D129))+(L129*'Prices&amp;Fuel'!B129+'Prices&amp;Fuel'!C129*FPL!M129))*'Prices&amp;Fuel'!H129)+(I129+J129+K129)*'Prices&amp;Fuel'!H129*FPL!T129+Q129/2</f>
        <v>5589798.8338137316</v>
      </c>
      <c r="AH129" s="1">
        <f>(N129*'Prices&amp;Fuel'!B129+'Prices&amp;Fuel'!C129*O129+P129*'Prices&amp;Fuel'!D129)*'Prices&amp;Fuel'!H129+(N129+O129+P129)*'Prices&amp;Fuel'!H129*FPL!T129+Q129/2</f>
        <v>5589852.3321488407</v>
      </c>
      <c r="AI129" s="1">
        <f>R129*'Prices&amp;Fuel'!H129*'Prices&amp;Fuel'!Q129</f>
        <v>0</v>
      </c>
      <c r="AJ129" s="52">
        <f>SUM(AG129:AI129)-'Long Term Deals'!AZ129</f>
        <v>0</v>
      </c>
    </row>
    <row r="130" spans="1:36" ht="10.199999999999999" x14ac:dyDescent="0.2">
      <c r="A130" s="10">
        <f t="shared" si="6"/>
        <v>39551.08333333303</v>
      </c>
      <c r="B130" s="1">
        <f>'Long Term Deals'!AF130</f>
        <v>58611.825192802062</v>
      </c>
      <c r="C130" s="1">
        <f>'Long Term Deals'!AG130</f>
        <v>0</v>
      </c>
      <c r="D130" s="1">
        <f>'Long Term Deals'!AH130</f>
        <v>77120.822622107968</v>
      </c>
      <c r="E130" s="1">
        <f>'Long Term Deals'!AI130</f>
        <v>0</v>
      </c>
      <c r="F130" s="1">
        <f>'Long Term Deals'!AJ130</f>
        <v>0</v>
      </c>
      <c r="G130" s="1">
        <f>'Long Term Deals'!AK130</f>
        <v>0</v>
      </c>
      <c r="H130" s="1">
        <f>'Long Term Deals'!AL130</f>
        <v>0</v>
      </c>
      <c r="I130" s="1">
        <f>'Long Term Deals'!AM130</f>
        <v>29306</v>
      </c>
      <c r="J130" s="1">
        <f>'Long Term Deals'!AN130</f>
        <v>0</v>
      </c>
      <c r="K130" s="1">
        <f>'Long Term Deals'!AO130</f>
        <v>38560</v>
      </c>
      <c r="L130" s="1">
        <f>'Long Term Deals'!AP130</f>
        <v>0</v>
      </c>
      <c r="M130" s="1">
        <f>'Long Term Deals'!AQ130</f>
        <v>0</v>
      </c>
      <c r="N130" s="1">
        <f>'Long Term Deals'!AR130</f>
        <v>29305.825192802062</v>
      </c>
      <c r="O130" s="1">
        <f>'Long Term Deals'!AS130</f>
        <v>0</v>
      </c>
      <c r="P130" s="1">
        <f>'Long Term Deals'!AT130</f>
        <v>38560.822622107968</v>
      </c>
      <c r="Q130" s="1">
        <f>'Long Term Deals'!AU130</f>
        <v>0</v>
      </c>
      <c r="R130" s="1">
        <f>'Long Term Deals'!AV130</f>
        <v>0</v>
      </c>
      <c r="S130" s="20">
        <f>'Long Term Deals'!AW130</f>
        <v>0.03</v>
      </c>
      <c r="T130" s="20">
        <f>'Long Term Deals'!AX130</f>
        <v>1.4999999999999999E-2</v>
      </c>
      <c r="U130" s="1">
        <f>'Long Term Deals'!AY130</f>
        <v>12162850.002907649</v>
      </c>
      <c r="V130" s="1">
        <f>'Long Term Deals'!AZ130</f>
        <v>11986089.077457782</v>
      </c>
      <c r="W130" s="6">
        <f t="shared" si="7"/>
        <v>176760.9254498668</v>
      </c>
      <c r="X130" s="6">
        <f>'Long Term Deals'!CA130</f>
        <v>20359.897172236506</v>
      </c>
      <c r="Z130" s="1">
        <f>[3]Sheet1!$O149</f>
        <v>-259018.73372967407</v>
      </c>
      <c r="AA130" s="1">
        <f>'[4]Long Term Deals'!$Z129</f>
        <v>-30530.341227006029</v>
      </c>
      <c r="AB130" s="60">
        <f t="shared" si="10"/>
        <v>384889.42078029836</v>
      </c>
      <c r="AC130" s="60">
        <f t="shared" si="8"/>
        <v>384889.42078029836</v>
      </c>
      <c r="AD130" s="60">
        <f t="shared" si="9"/>
        <v>176760.9254498668</v>
      </c>
      <c r="AE130" s="28">
        <f>(W130-Z130+AA130)/(B130+C130+D130)/'Prices&amp;Fuel'!H130</f>
        <v>9.9521454976979812E-2</v>
      </c>
      <c r="AF130" s="3">
        <v>132000</v>
      </c>
      <c r="AG130" s="1">
        <f>((((I130*'Prices&amp;Fuel'!B130+'Prices&amp;Fuel'!C130*FPL!J130+FPL!K130*'Prices&amp;Fuel'!D130))+(L130*'Prices&amp;Fuel'!B130+'Prices&amp;Fuel'!C130*FPL!M130))*'Prices&amp;Fuel'!H130)+(I130+J130+K130)*'Prices&amp;Fuel'!H130*FPL!T130+Q130/2</f>
        <v>5993015.867379955</v>
      </c>
      <c r="AH130" s="1">
        <f>(N130*'Prices&amp;Fuel'!B130+'Prices&amp;Fuel'!C130*O130+P130*'Prices&amp;Fuel'!D130)*'Prices&amp;Fuel'!H130+(N130+O130+P130)*'Prices&amp;Fuel'!H130*FPL!T130+Q130/2</f>
        <v>5993073.2100778241</v>
      </c>
      <c r="AI130" s="1">
        <f>R130*'Prices&amp;Fuel'!H130*'Prices&amp;Fuel'!Q130</f>
        <v>0</v>
      </c>
      <c r="AJ130" s="52">
        <f>SUM(AG130:AI130)-'Long Term Deals'!AZ130</f>
        <v>0</v>
      </c>
    </row>
    <row r="131" spans="1:36" ht="10.199999999999999" x14ac:dyDescent="0.2">
      <c r="A131" s="10">
        <f t="shared" si="6"/>
        <v>39581.499999999694</v>
      </c>
      <c r="B131" s="1">
        <f>'Long Term Deals'!AF131</f>
        <v>128534.70437017996</v>
      </c>
      <c r="C131" s="1">
        <f>'Long Term Deals'!AG131</f>
        <v>0</v>
      </c>
      <c r="D131" s="1">
        <f>'Long Term Deals'!AH131</f>
        <v>77120.822622107968</v>
      </c>
      <c r="E131" s="1">
        <f>'Long Term Deals'!AI131</f>
        <v>0</v>
      </c>
      <c r="F131" s="1">
        <f>'Long Term Deals'!AJ131</f>
        <v>0</v>
      </c>
      <c r="G131" s="1">
        <f>'Long Term Deals'!AK131</f>
        <v>0</v>
      </c>
      <c r="H131" s="1">
        <f>'Long Term Deals'!AL131</f>
        <v>0</v>
      </c>
      <c r="I131" s="1">
        <f>'Long Term Deals'!AM131</f>
        <v>64267</v>
      </c>
      <c r="J131" s="1">
        <f>'Long Term Deals'!AN131</f>
        <v>0</v>
      </c>
      <c r="K131" s="1">
        <f>'Long Term Deals'!AO131</f>
        <v>38560</v>
      </c>
      <c r="L131" s="1">
        <f>'Long Term Deals'!AP131</f>
        <v>0</v>
      </c>
      <c r="M131" s="1">
        <f>'Long Term Deals'!AQ131</f>
        <v>0</v>
      </c>
      <c r="N131" s="1">
        <f>'Long Term Deals'!AR131</f>
        <v>64267.704370179956</v>
      </c>
      <c r="O131" s="1">
        <f>'Long Term Deals'!AS131</f>
        <v>0</v>
      </c>
      <c r="P131" s="1">
        <f>'Long Term Deals'!AT131</f>
        <v>38560.822622107968</v>
      </c>
      <c r="Q131" s="1">
        <f>'Long Term Deals'!AU131</f>
        <v>0</v>
      </c>
      <c r="R131" s="1">
        <f>'Long Term Deals'!AV131</f>
        <v>0</v>
      </c>
      <c r="S131" s="20">
        <f>'Long Term Deals'!AW131</f>
        <v>0.03</v>
      </c>
      <c r="T131" s="20">
        <f>'Long Term Deals'!AX131</f>
        <v>1.4999999999999999E-2</v>
      </c>
      <c r="U131" s="1">
        <f>'Long Term Deals'!AY131</f>
        <v>20254781.286558978</v>
      </c>
      <c r="V131" s="1">
        <f>'Long Term Deals'!AZ131</f>
        <v>20039614.191443298</v>
      </c>
      <c r="W131" s="6">
        <f t="shared" si="7"/>
        <v>215167.09511568025</v>
      </c>
      <c r="X131" s="6">
        <f>'Long Term Deals'!CA131</f>
        <v>31876.606683804628</v>
      </c>
      <c r="Z131" s="1">
        <f>[3]Sheet1!$O150</f>
        <v>-405534.38109191391</v>
      </c>
      <c r="AA131" s="1">
        <f>'[4]Long Term Deals'!$Z130</f>
        <v>-47800.029193797323</v>
      </c>
      <c r="AB131" s="60">
        <f t="shared" si="10"/>
        <v>541024.84032999212</v>
      </c>
      <c r="AC131" s="60">
        <f t="shared" si="8"/>
        <v>541024.84032999212</v>
      </c>
      <c r="AD131" s="60">
        <f t="shared" si="9"/>
        <v>215167.09511568016</v>
      </c>
      <c r="AE131" s="28">
        <f>(W131-Z131+AA131)/(B131+C131+D131)/'Prices&amp;Fuel'!H131</f>
        <v>8.9862364067889888E-2</v>
      </c>
      <c r="AF131" s="3">
        <v>200000</v>
      </c>
      <c r="AG131" s="1">
        <f>((((I131*'Prices&amp;Fuel'!B131+'Prices&amp;Fuel'!C131*FPL!J131+FPL!K131*'Prices&amp;Fuel'!D131))+(L131*'Prices&amp;Fuel'!B131+'Prices&amp;Fuel'!C131*FPL!M131))*'Prices&amp;Fuel'!H131)+(I131+J131+K131)*'Prices&amp;Fuel'!H131*FPL!T131+Q131/2</f>
        <v>10019732.659903962</v>
      </c>
      <c r="AH131" s="1">
        <f>(N131*'Prices&amp;Fuel'!B131+'Prices&amp;Fuel'!C131*O131+P131*'Prices&amp;Fuel'!D131)*'Prices&amp;Fuel'!H131+(N131+O131+P131)*'Prices&amp;Fuel'!H131*FPL!T131+Q131/2</f>
        <v>10019881.531539334</v>
      </c>
      <c r="AI131" s="1">
        <f>R131*'Prices&amp;Fuel'!H131*'Prices&amp;Fuel'!Q131</f>
        <v>0</v>
      </c>
      <c r="AJ131" s="52">
        <f>SUM(AG131:AI131)-'Long Term Deals'!AZ131</f>
        <v>0</v>
      </c>
    </row>
    <row r="132" spans="1:36" ht="10.199999999999999" x14ac:dyDescent="0.2">
      <c r="A132" s="10">
        <f t="shared" si="6"/>
        <v>39611.916666666359</v>
      </c>
      <c r="B132" s="1">
        <f>'Long Term Deals'!AF132</f>
        <v>128534.70437017996</v>
      </c>
      <c r="C132" s="1">
        <f>'Long Term Deals'!AG132</f>
        <v>0</v>
      </c>
      <c r="D132" s="1">
        <f>'Long Term Deals'!AH132</f>
        <v>77120.822622107968</v>
      </c>
      <c r="E132" s="1">
        <f>'Long Term Deals'!AI132</f>
        <v>0</v>
      </c>
      <c r="F132" s="1">
        <f>'Long Term Deals'!AJ132</f>
        <v>0</v>
      </c>
      <c r="G132" s="1">
        <f>'Long Term Deals'!AK132</f>
        <v>0</v>
      </c>
      <c r="H132" s="1">
        <f>'Long Term Deals'!AL132</f>
        <v>0</v>
      </c>
      <c r="I132" s="1">
        <f>'Long Term Deals'!AM132</f>
        <v>64267</v>
      </c>
      <c r="J132" s="1">
        <f>'Long Term Deals'!AN132</f>
        <v>0</v>
      </c>
      <c r="K132" s="1">
        <f>'Long Term Deals'!AO132</f>
        <v>38560</v>
      </c>
      <c r="L132" s="1">
        <f>'Long Term Deals'!AP132</f>
        <v>0</v>
      </c>
      <c r="M132" s="1">
        <f>'Long Term Deals'!AQ132</f>
        <v>0</v>
      </c>
      <c r="N132" s="1">
        <f>'Long Term Deals'!AR132</f>
        <v>64267.704370179956</v>
      </c>
      <c r="O132" s="1">
        <f>'Long Term Deals'!AS132</f>
        <v>0</v>
      </c>
      <c r="P132" s="1">
        <f>'Long Term Deals'!AT132</f>
        <v>38560.822622107968</v>
      </c>
      <c r="Q132" s="1">
        <f>'Long Term Deals'!AU132</f>
        <v>0</v>
      </c>
      <c r="R132" s="1">
        <f>'Long Term Deals'!AV132</f>
        <v>0</v>
      </c>
      <c r="S132" s="20">
        <f>'Long Term Deals'!AW132</f>
        <v>0.03</v>
      </c>
      <c r="T132" s="20">
        <f>'Long Term Deals'!AX132</f>
        <v>1.4999999999999999E-2</v>
      </c>
      <c r="U132" s="1">
        <f>'Long Term Deals'!AY132</f>
        <v>28180885.444258984</v>
      </c>
      <c r="V132" s="1">
        <f>'Long Term Deals'!AZ132</f>
        <v>27972659.223179288</v>
      </c>
      <c r="W132" s="6">
        <f t="shared" si="7"/>
        <v>208226.22107969597</v>
      </c>
      <c r="X132" s="6">
        <f>'Long Term Deals'!CA132</f>
        <v>30848.329048843189</v>
      </c>
      <c r="Z132" s="1">
        <f>[3]Sheet1!$O151</f>
        <v>-392452.62686314248</v>
      </c>
      <c r="AA132" s="1">
        <f>'[4]Long Term Deals'!$Z131</f>
        <v>-46258.092768190952</v>
      </c>
      <c r="AB132" s="60">
        <f t="shared" si="10"/>
        <v>523572.42612580437</v>
      </c>
      <c r="AC132" s="60">
        <f t="shared" si="8"/>
        <v>523572.42612580437</v>
      </c>
      <c r="AD132" s="60">
        <f t="shared" si="9"/>
        <v>208226.22107969603</v>
      </c>
      <c r="AE132" s="28">
        <f>(W132-Z132+AA132)/(B132+C132+D132)/'Prices&amp;Fuel'!H132</f>
        <v>8.986236406789079E-2</v>
      </c>
      <c r="AF132" s="3">
        <v>200000</v>
      </c>
      <c r="AG132" s="1">
        <f>((((I132*'Prices&amp;Fuel'!B132+'Prices&amp;Fuel'!C132*FPL!J132+FPL!K132*'Prices&amp;Fuel'!D132))+(L132*'Prices&amp;Fuel'!B132+'Prices&amp;Fuel'!C132*FPL!M132))*'Prices&amp;Fuel'!H132)+(I132+J132+K132)*'Prices&amp;Fuel'!H132*FPL!T132+Q132/2</f>
        <v>13986225.72559228</v>
      </c>
      <c r="AH132" s="1">
        <f>(N132*'Prices&amp;Fuel'!B132+'Prices&amp;Fuel'!C132*O132+P132*'Prices&amp;Fuel'!D132)*'Prices&amp;Fuel'!H132+(N132+O132+P132)*'Prices&amp;Fuel'!H132*FPL!T132+Q132/2</f>
        <v>13986433.497587012</v>
      </c>
      <c r="AI132" s="1">
        <f>R132*'Prices&amp;Fuel'!H132*'Prices&amp;Fuel'!Q132</f>
        <v>0</v>
      </c>
      <c r="AJ132" s="52">
        <f>SUM(AG132:AI132)-'Long Term Deals'!AZ132</f>
        <v>0</v>
      </c>
    </row>
    <row r="133" spans="1:36" ht="10.199999999999999" x14ac:dyDescent="0.2">
      <c r="A133" s="10">
        <f t="shared" si="6"/>
        <v>39642.333333333023</v>
      </c>
      <c r="B133" s="1">
        <f>'Long Term Deals'!AF133</f>
        <v>128534.70437017996</v>
      </c>
      <c r="C133" s="1">
        <f>'Long Term Deals'!AG133</f>
        <v>0</v>
      </c>
      <c r="D133" s="1">
        <f>'Long Term Deals'!AH133</f>
        <v>77120.822622107968</v>
      </c>
      <c r="E133" s="1">
        <f>'Long Term Deals'!AI133</f>
        <v>0</v>
      </c>
      <c r="F133" s="1">
        <f>'Long Term Deals'!AJ133</f>
        <v>0</v>
      </c>
      <c r="G133" s="1">
        <f>'Long Term Deals'!AK133</f>
        <v>0</v>
      </c>
      <c r="H133" s="1">
        <f>'Long Term Deals'!AL133</f>
        <v>0</v>
      </c>
      <c r="I133" s="1">
        <f>'Long Term Deals'!AM133</f>
        <v>64267</v>
      </c>
      <c r="J133" s="1">
        <f>'Long Term Deals'!AN133</f>
        <v>0</v>
      </c>
      <c r="K133" s="1">
        <f>'Long Term Deals'!AO133</f>
        <v>38560</v>
      </c>
      <c r="L133" s="1">
        <f>'Long Term Deals'!AP133</f>
        <v>0</v>
      </c>
      <c r="M133" s="1">
        <f>'Long Term Deals'!AQ133</f>
        <v>0</v>
      </c>
      <c r="N133" s="1">
        <f>'Long Term Deals'!AR133</f>
        <v>64267.704370179956</v>
      </c>
      <c r="O133" s="1">
        <f>'Long Term Deals'!AS133</f>
        <v>0</v>
      </c>
      <c r="P133" s="1">
        <f>'Long Term Deals'!AT133</f>
        <v>38560.822622107968</v>
      </c>
      <c r="Q133" s="1">
        <f>'Long Term Deals'!AU133</f>
        <v>0</v>
      </c>
      <c r="R133" s="1">
        <f>'Long Term Deals'!AV133</f>
        <v>0</v>
      </c>
      <c r="S133" s="20">
        <f>'Long Term Deals'!AW133</f>
        <v>0.03</v>
      </c>
      <c r="T133" s="20">
        <f>'Long Term Deals'!AX133</f>
        <v>1.4999999999999999E-2</v>
      </c>
      <c r="U133" s="1">
        <f>'Long Term Deals'!AY133</f>
        <v>29052572.97174567</v>
      </c>
      <c r="V133" s="1">
        <f>'Long Term Deals'!AZ133</f>
        <v>28837405.87662999</v>
      </c>
      <c r="W133" s="6">
        <f t="shared" si="7"/>
        <v>215167.09511568025</v>
      </c>
      <c r="X133" s="6">
        <f>'Long Term Deals'!CA133</f>
        <v>31876.606683804628</v>
      </c>
      <c r="Z133" s="1">
        <f>[3]Sheet1!$O152</f>
        <v>-405534.38109191391</v>
      </c>
      <c r="AA133" s="1">
        <f>'[4]Long Term Deals'!$Z132</f>
        <v>-47800.029193797323</v>
      </c>
      <c r="AB133" s="60">
        <f t="shared" si="10"/>
        <v>541024.84032999212</v>
      </c>
      <c r="AC133" s="60">
        <f t="shared" si="8"/>
        <v>541024.84032999212</v>
      </c>
      <c r="AD133" s="60">
        <f t="shared" si="9"/>
        <v>215167.09511568016</v>
      </c>
      <c r="AE133" s="28">
        <f>(W133-Z133+AA133)/(B133+C133+D133)/'Prices&amp;Fuel'!H133</f>
        <v>8.9862364067889888E-2</v>
      </c>
      <c r="AF133" s="3">
        <v>200000</v>
      </c>
      <c r="AG133" s="1">
        <f>((((I133*'Prices&amp;Fuel'!B133+'Prices&amp;Fuel'!C133*FPL!J133+FPL!K133*'Prices&amp;Fuel'!D133))+(L133*'Prices&amp;Fuel'!B133+'Prices&amp;Fuel'!C133*FPL!M133))*'Prices&amp;Fuel'!H133)+(I133+J133+K133)*'Prices&amp;Fuel'!H133*FPL!T133+Q133/2</f>
        <v>14418595.840695675</v>
      </c>
      <c r="AH133" s="1">
        <f>(N133*'Prices&amp;Fuel'!B133+'Prices&amp;Fuel'!C133*O133+P133*'Prices&amp;Fuel'!D133)*'Prices&amp;Fuel'!H133+(N133+O133+P133)*'Prices&amp;Fuel'!H133*FPL!T133+Q133/2</f>
        <v>14418810.03593431</v>
      </c>
      <c r="AI133" s="1">
        <f>R133*'Prices&amp;Fuel'!H133*'Prices&amp;Fuel'!Q133</f>
        <v>0</v>
      </c>
      <c r="AJ133" s="52">
        <f>SUM(AG133:AI133)-'Long Term Deals'!AZ133</f>
        <v>0</v>
      </c>
    </row>
    <row r="134" spans="1:36" ht="10.199999999999999" x14ac:dyDescent="0.2">
      <c r="A134" s="10">
        <f t="shared" ref="A134:A197" si="11">+A133+365/12</f>
        <v>39672.749999999687</v>
      </c>
      <c r="B134" s="1">
        <f>'Long Term Deals'!AF134</f>
        <v>128534.70437017996</v>
      </c>
      <c r="C134" s="1">
        <f>'Long Term Deals'!AG134</f>
        <v>0</v>
      </c>
      <c r="D134" s="1">
        <f>'Long Term Deals'!AH134</f>
        <v>77120.822622107968</v>
      </c>
      <c r="E134" s="1">
        <f>'Long Term Deals'!AI134</f>
        <v>0</v>
      </c>
      <c r="F134" s="1">
        <f>'Long Term Deals'!AJ134</f>
        <v>0</v>
      </c>
      <c r="G134" s="1">
        <f>'Long Term Deals'!AK134</f>
        <v>0</v>
      </c>
      <c r="H134" s="1">
        <f>'Long Term Deals'!AL134</f>
        <v>0</v>
      </c>
      <c r="I134" s="1">
        <f>'Long Term Deals'!AM134</f>
        <v>64267</v>
      </c>
      <c r="J134" s="1">
        <f>'Long Term Deals'!AN134</f>
        <v>0</v>
      </c>
      <c r="K134" s="1">
        <f>'Long Term Deals'!AO134</f>
        <v>38560</v>
      </c>
      <c r="L134" s="1">
        <f>'Long Term Deals'!AP134</f>
        <v>0</v>
      </c>
      <c r="M134" s="1">
        <f>'Long Term Deals'!AQ134</f>
        <v>0</v>
      </c>
      <c r="N134" s="1">
        <f>'Long Term Deals'!AR134</f>
        <v>64267.704370179956</v>
      </c>
      <c r="O134" s="1">
        <f>'Long Term Deals'!AS134</f>
        <v>0</v>
      </c>
      <c r="P134" s="1">
        <f>'Long Term Deals'!AT134</f>
        <v>38560.822622107968</v>
      </c>
      <c r="Q134" s="1">
        <f>'Long Term Deals'!AU134</f>
        <v>0</v>
      </c>
      <c r="R134" s="1">
        <f>'Long Term Deals'!AV134</f>
        <v>0</v>
      </c>
      <c r="S134" s="20">
        <f>'Long Term Deals'!AW134</f>
        <v>0.03</v>
      </c>
      <c r="T134" s="20">
        <f>'Long Term Deals'!AX134</f>
        <v>1.4999999999999999E-2</v>
      </c>
      <c r="U134" s="1">
        <f>'Long Term Deals'!AY134</f>
        <v>25398105.656360425</v>
      </c>
      <c r="V134" s="1">
        <f>'Long Term Deals'!AZ134</f>
        <v>25182938.561244749</v>
      </c>
      <c r="W134" s="6">
        <f t="shared" ref="W134:W152" si="12">U134-V134</f>
        <v>215167.09511567652</v>
      </c>
      <c r="X134" s="6">
        <f>'Long Term Deals'!CA134</f>
        <v>31876.606683804628</v>
      </c>
      <c r="Z134" s="1">
        <f>[3]Sheet1!$O153</f>
        <v>-405534.38109191391</v>
      </c>
      <c r="AA134" s="1">
        <f>'[4]Long Term Deals'!$Z133</f>
        <v>-47800.029193797323</v>
      </c>
      <c r="AB134" s="60">
        <f t="shared" si="10"/>
        <v>541024.84032998839</v>
      </c>
      <c r="AC134" s="60">
        <f t="shared" ref="AC134:AC152" si="13">AB134-Y134</f>
        <v>541024.84032998839</v>
      </c>
      <c r="AD134" s="60">
        <f t="shared" ref="AD134:AD152" si="14">AC134+Z134-AA134+X134</f>
        <v>215167.09511567643</v>
      </c>
      <c r="AE134" s="28">
        <f>(W134-Z134+AA134)/(B134+C134+D134)/'Prices&amp;Fuel'!H134</f>
        <v>8.9862364067889305E-2</v>
      </c>
      <c r="AF134" s="3">
        <v>200000</v>
      </c>
      <c r="AG134" s="1">
        <f>((((I134*'Prices&amp;Fuel'!B134+'Prices&amp;Fuel'!C134*FPL!J134+FPL!K134*'Prices&amp;Fuel'!D134))+(L134*'Prices&amp;Fuel'!B134+'Prices&amp;Fuel'!C134*FPL!M134))*'Prices&amp;Fuel'!H134)+(I134+J134+K134)*'Prices&amp;Fuel'!H134*FPL!T134+Q134/2</f>
        <v>12591375.750212966</v>
      </c>
      <c r="AH134" s="1">
        <f>(N134*'Prices&amp;Fuel'!B134+'Prices&amp;Fuel'!C134*O134+P134*'Prices&amp;Fuel'!D134)*'Prices&amp;Fuel'!H134+(N134+O134+P134)*'Prices&amp;Fuel'!H134*FPL!T134+Q134/2</f>
        <v>12591562.811031783</v>
      </c>
      <c r="AI134" s="1">
        <f>R134*'Prices&amp;Fuel'!H134*'Prices&amp;Fuel'!Q134</f>
        <v>0</v>
      </c>
      <c r="AJ134" s="52">
        <f>SUM(AG134:AI134)-'Long Term Deals'!AZ134</f>
        <v>0</v>
      </c>
    </row>
    <row r="135" spans="1:36" ht="10.199999999999999" x14ac:dyDescent="0.2">
      <c r="A135" s="10">
        <f t="shared" si="11"/>
        <v>39703.166666666351</v>
      </c>
      <c r="B135" s="1">
        <f>'Long Term Deals'!AF135</f>
        <v>128534.70437017996</v>
      </c>
      <c r="C135" s="1">
        <f>'Long Term Deals'!AG135</f>
        <v>0</v>
      </c>
      <c r="D135" s="1">
        <f>'Long Term Deals'!AH135</f>
        <v>77120.822622107968</v>
      </c>
      <c r="E135" s="1">
        <f>'Long Term Deals'!AI135</f>
        <v>0</v>
      </c>
      <c r="F135" s="1">
        <f>'Long Term Deals'!AJ135</f>
        <v>0</v>
      </c>
      <c r="G135" s="1">
        <f>'Long Term Deals'!AK135</f>
        <v>0</v>
      </c>
      <c r="H135" s="1">
        <f>'Long Term Deals'!AL135</f>
        <v>0</v>
      </c>
      <c r="I135" s="1">
        <f>'Long Term Deals'!AM135</f>
        <v>64267</v>
      </c>
      <c r="J135" s="1">
        <f>'Long Term Deals'!AN135</f>
        <v>0</v>
      </c>
      <c r="K135" s="1">
        <f>'Long Term Deals'!AO135</f>
        <v>38560</v>
      </c>
      <c r="L135" s="1">
        <f>'Long Term Deals'!AP135</f>
        <v>0</v>
      </c>
      <c r="M135" s="1">
        <f>'Long Term Deals'!AQ135</f>
        <v>0</v>
      </c>
      <c r="N135" s="1">
        <f>'Long Term Deals'!AR135</f>
        <v>64267.704370179956</v>
      </c>
      <c r="O135" s="1">
        <f>'Long Term Deals'!AS135</f>
        <v>0</v>
      </c>
      <c r="P135" s="1">
        <f>'Long Term Deals'!AT135</f>
        <v>38560.822622107968</v>
      </c>
      <c r="Q135" s="1">
        <f>'Long Term Deals'!AU135</f>
        <v>0</v>
      </c>
      <c r="R135" s="1">
        <f>'Long Term Deals'!AV135</f>
        <v>0</v>
      </c>
      <c r="S135" s="20">
        <f>'Long Term Deals'!AW135</f>
        <v>0.03</v>
      </c>
      <c r="T135" s="20">
        <f>'Long Term Deals'!AX135</f>
        <v>1.4999999999999999E-2</v>
      </c>
      <c r="U135" s="1">
        <f>'Long Term Deals'!AY135</f>
        <v>29621714.851758551</v>
      </c>
      <c r="V135" s="1">
        <f>'Long Term Deals'!AZ135</f>
        <v>29413488.630678859</v>
      </c>
      <c r="W135" s="6">
        <f t="shared" si="12"/>
        <v>208226.22107969224</v>
      </c>
      <c r="X135" s="6">
        <f>'Long Term Deals'!CA135</f>
        <v>30848.329048843189</v>
      </c>
      <c r="Z135" s="1">
        <f>[3]Sheet1!$O154</f>
        <v>-392452.62686314248</v>
      </c>
      <c r="AA135" s="1">
        <f>'[4]Long Term Deals'!$Z134</f>
        <v>-46258.092768190952</v>
      </c>
      <c r="AB135" s="60">
        <f t="shared" si="10"/>
        <v>523572.42612580064</v>
      </c>
      <c r="AC135" s="60">
        <f t="shared" si="13"/>
        <v>523572.42612580064</v>
      </c>
      <c r="AD135" s="60">
        <f t="shared" si="14"/>
        <v>208226.2210796923</v>
      </c>
      <c r="AE135" s="28">
        <f>(W135-Z135+AA135)/(B135+C135+D135)/'Prices&amp;Fuel'!H135</f>
        <v>8.986236406789018E-2</v>
      </c>
      <c r="AF135" s="3">
        <v>200000</v>
      </c>
      <c r="AG135" s="1">
        <f>((((I135*'Prices&amp;Fuel'!B135+'Prices&amp;Fuel'!C135*FPL!J135+FPL!K135*'Prices&amp;Fuel'!D135))+(L135*'Prices&amp;Fuel'!B135+'Prices&amp;Fuel'!C135*FPL!M135))*'Prices&amp;Fuel'!H135)+(I135+J135+K135)*'Prices&amp;Fuel'!H135*FPL!T135+Q135/2</f>
        <v>14706635.080262888</v>
      </c>
      <c r="AH135" s="1">
        <f>(N135*'Prices&amp;Fuel'!B135+'Prices&amp;Fuel'!C135*O135+P135*'Prices&amp;Fuel'!D135)*'Prices&amp;Fuel'!H135+(N135+O135+P135)*'Prices&amp;Fuel'!H135*FPL!T135+Q135/2</f>
        <v>14706853.550415972</v>
      </c>
      <c r="AI135" s="1">
        <f>R135*'Prices&amp;Fuel'!H135*'Prices&amp;Fuel'!Q135</f>
        <v>0</v>
      </c>
      <c r="AJ135" s="52">
        <f>SUM(AG135:AI135)-'Long Term Deals'!AZ135</f>
        <v>0</v>
      </c>
    </row>
    <row r="136" spans="1:36" ht="10.199999999999999" x14ac:dyDescent="0.2">
      <c r="A136" s="10">
        <f t="shared" si="11"/>
        <v>39733.583333333016</v>
      </c>
      <c r="B136" s="1">
        <f>'Long Term Deals'!AF136</f>
        <v>58611.825192802062</v>
      </c>
      <c r="C136" s="1">
        <f>'Long Term Deals'!AG136</f>
        <v>0</v>
      </c>
      <c r="D136" s="1">
        <f>'Long Term Deals'!AH136</f>
        <v>77120.822622107968</v>
      </c>
      <c r="E136" s="1">
        <f>'Long Term Deals'!AI136</f>
        <v>0</v>
      </c>
      <c r="F136" s="1">
        <f>'Long Term Deals'!AJ136</f>
        <v>0</v>
      </c>
      <c r="G136" s="1">
        <f>'Long Term Deals'!AK136</f>
        <v>0</v>
      </c>
      <c r="H136" s="1">
        <f>'Long Term Deals'!AL136</f>
        <v>0</v>
      </c>
      <c r="I136" s="1">
        <f>'Long Term Deals'!AM136</f>
        <v>29306</v>
      </c>
      <c r="J136" s="1">
        <f>'Long Term Deals'!AN136</f>
        <v>0</v>
      </c>
      <c r="K136" s="1">
        <f>'Long Term Deals'!AO136</f>
        <v>38560</v>
      </c>
      <c r="L136" s="1">
        <f>'Long Term Deals'!AP136</f>
        <v>0</v>
      </c>
      <c r="M136" s="1">
        <f>'Long Term Deals'!AQ136</f>
        <v>0</v>
      </c>
      <c r="N136" s="1">
        <f>'Long Term Deals'!AR136</f>
        <v>29305.825192802062</v>
      </c>
      <c r="O136" s="1">
        <f>'Long Term Deals'!AS136</f>
        <v>0</v>
      </c>
      <c r="P136" s="1">
        <f>'Long Term Deals'!AT136</f>
        <v>38560.822622107968</v>
      </c>
      <c r="Q136" s="1">
        <f>'Long Term Deals'!AU136</f>
        <v>0</v>
      </c>
      <c r="R136" s="1">
        <f>'Long Term Deals'!AV136</f>
        <v>0</v>
      </c>
      <c r="S136" s="20">
        <f>'Long Term Deals'!AW136</f>
        <v>0.03</v>
      </c>
      <c r="T136" s="20">
        <f>'Long Term Deals'!AX136</f>
        <v>1.4999999999999999E-2</v>
      </c>
      <c r="U136" s="1">
        <f>'Long Term Deals'!AY136</f>
        <v>23288049.128134616</v>
      </c>
      <c r="V136" s="1">
        <f>'Long Term Deals'!AZ136</f>
        <v>23105396.171836413</v>
      </c>
      <c r="W136" s="6">
        <f t="shared" si="12"/>
        <v>182652.95629820228</v>
      </c>
      <c r="X136" s="6">
        <f>'Long Term Deals'!CA136</f>
        <v>21038.560411311057</v>
      </c>
      <c r="Z136" s="1">
        <f>[3]Sheet1!$O155</f>
        <v>-267652.69152066321</v>
      </c>
      <c r="AA136" s="1">
        <f>'[4]Long Term Deals'!$Z135</f>
        <v>-31548.019267906231</v>
      </c>
      <c r="AB136" s="60">
        <f t="shared" si="10"/>
        <v>397719.06813964824</v>
      </c>
      <c r="AC136" s="60">
        <f t="shared" si="13"/>
        <v>397719.06813964824</v>
      </c>
      <c r="AD136" s="60">
        <f t="shared" si="14"/>
        <v>182652.95629820231</v>
      </c>
      <c r="AE136" s="28">
        <f>(W136-Z136+AA136)/(B136+C136+D136)/'Prices&amp;Fuel'!H136</f>
        <v>9.952145497698138E-2</v>
      </c>
      <c r="AF136" s="3">
        <v>132000</v>
      </c>
      <c r="AG136" s="1">
        <f>((((I136*'Prices&amp;Fuel'!B136+'Prices&amp;Fuel'!C136*FPL!J136+FPL!K136*'Prices&amp;Fuel'!D136))+(L136*'Prices&amp;Fuel'!B136+'Prices&amp;Fuel'!C136*FPL!M136))*'Prices&amp;Fuel'!H136)+(I136+J136+K136)*'Prices&amp;Fuel'!H136*FPL!T136+Q136/2</f>
        <v>11552642.877586434</v>
      </c>
      <c r="AH136" s="1">
        <f>(N136*'Prices&amp;Fuel'!B136+'Prices&amp;Fuel'!C136*O136+P136*'Prices&amp;Fuel'!D136)*'Prices&amp;Fuel'!H136+(N136+O136+P136)*'Prices&amp;Fuel'!H136*FPL!T136+Q136/2</f>
        <v>11552753.294249984</v>
      </c>
      <c r="AI136" s="1">
        <f>R136*'Prices&amp;Fuel'!H136*'Prices&amp;Fuel'!Q136</f>
        <v>0</v>
      </c>
      <c r="AJ136" s="52">
        <f>SUM(AG136:AI136)-'Long Term Deals'!AZ136</f>
        <v>0</v>
      </c>
    </row>
    <row r="137" spans="1:36" ht="10.199999999999999" x14ac:dyDescent="0.2">
      <c r="A137" s="10">
        <f t="shared" si="11"/>
        <v>39763.99999999968</v>
      </c>
      <c r="B137" s="1">
        <f>'Long Term Deals'!AF137</f>
        <v>58611.825192802062</v>
      </c>
      <c r="C137" s="1">
        <f>'Long Term Deals'!AG137</f>
        <v>0</v>
      </c>
      <c r="D137" s="1">
        <f>'Long Term Deals'!AH137</f>
        <v>77120.822622107968</v>
      </c>
      <c r="E137" s="1">
        <f>'Long Term Deals'!AI137</f>
        <v>0</v>
      </c>
      <c r="F137" s="1">
        <f>'Long Term Deals'!AJ137</f>
        <v>0</v>
      </c>
      <c r="G137" s="1">
        <f>'Long Term Deals'!AK137</f>
        <v>0</v>
      </c>
      <c r="H137" s="1">
        <f>'Long Term Deals'!AL137</f>
        <v>0</v>
      </c>
      <c r="I137" s="1">
        <f>'Long Term Deals'!AM137</f>
        <v>29306</v>
      </c>
      <c r="J137" s="1">
        <f>'Long Term Deals'!AN137</f>
        <v>0</v>
      </c>
      <c r="K137" s="1">
        <f>'Long Term Deals'!AO137</f>
        <v>38560</v>
      </c>
      <c r="L137" s="1">
        <f>'Long Term Deals'!AP137</f>
        <v>0</v>
      </c>
      <c r="M137" s="1">
        <f>'Long Term Deals'!AQ137</f>
        <v>0</v>
      </c>
      <c r="N137" s="1">
        <f>'Long Term Deals'!AR137</f>
        <v>29305.825192802062</v>
      </c>
      <c r="O137" s="1">
        <f>'Long Term Deals'!AS137</f>
        <v>0</v>
      </c>
      <c r="P137" s="1">
        <f>'Long Term Deals'!AT137</f>
        <v>38560.822622107968</v>
      </c>
      <c r="Q137" s="1">
        <f>'Long Term Deals'!AU137</f>
        <v>0</v>
      </c>
      <c r="R137" s="1">
        <f>'Long Term Deals'!AV137</f>
        <v>0</v>
      </c>
      <c r="S137" s="20">
        <f>'Long Term Deals'!AW137</f>
        <v>0.03</v>
      </c>
      <c r="T137" s="20">
        <f>'Long Term Deals'!AX137</f>
        <v>1.4999999999999999E-2</v>
      </c>
      <c r="U137" s="1">
        <f>'Long Term Deals'!AY137</f>
        <v>15058917.111981763</v>
      </c>
      <c r="V137" s="1">
        <f>'Long Term Deals'!AZ137</f>
        <v>14882156.186531892</v>
      </c>
      <c r="W137" s="6">
        <f t="shared" si="12"/>
        <v>176760.92544987053</v>
      </c>
      <c r="X137" s="6">
        <f>'Long Term Deals'!CA137</f>
        <v>20359.897172236506</v>
      </c>
      <c r="Z137" s="1">
        <f>[3]Sheet1!$O156</f>
        <v>-259018.73372967407</v>
      </c>
      <c r="AA137" s="1">
        <f>'[4]Long Term Deals'!$Z136</f>
        <v>-30530.341227006029</v>
      </c>
      <c r="AB137" s="60">
        <f t="shared" si="10"/>
        <v>384889.42078030208</v>
      </c>
      <c r="AC137" s="60">
        <f t="shared" si="13"/>
        <v>384889.42078030208</v>
      </c>
      <c r="AD137" s="60">
        <f t="shared" si="14"/>
        <v>176760.92544987053</v>
      </c>
      <c r="AE137" s="28">
        <f>(W137-Z137+AA137)/(B137+C137+D137)/'Prices&amp;Fuel'!H137</f>
        <v>9.9521454976980728E-2</v>
      </c>
      <c r="AF137" s="3">
        <v>132000</v>
      </c>
      <c r="AG137" s="1">
        <f>((((I137*'Prices&amp;Fuel'!B137+'Prices&amp;Fuel'!C137*FPL!J137+FPL!K137*'Prices&amp;Fuel'!D137))+(L137*'Prices&amp;Fuel'!B137+'Prices&amp;Fuel'!C137*FPL!M137))*'Prices&amp;Fuel'!H137)+(I137+J137+K137)*'Prices&amp;Fuel'!H137*FPL!T137+Q137/2</f>
        <v>7441042.5108477734</v>
      </c>
      <c r="AH137" s="1">
        <f>(N137*'Prices&amp;Fuel'!B137+'Prices&amp;Fuel'!C137*O137+P137*'Prices&amp;Fuel'!D137)*'Prices&amp;Fuel'!H137+(N137+O137+P137)*'Prices&amp;Fuel'!H137*FPL!T137+Q137/2</f>
        <v>7441113.6756841186</v>
      </c>
      <c r="AI137" s="1">
        <f>R137*'Prices&amp;Fuel'!H137*'Prices&amp;Fuel'!Q137</f>
        <v>0</v>
      </c>
      <c r="AJ137" s="52">
        <f>SUM(AG137:AI137)-'Long Term Deals'!AZ137</f>
        <v>0</v>
      </c>
    </row>
    <row r="138" spans="1:36" ht="10.199999999999999" x14ac:dyDescent="0.2">
      <c r="A138" s="10">
        <f t="shared" si="11"/>
        <v>39794.416666666344</v>
      </c>
      <c r="B138" s="1">
        <f>'Long Term Deals'!AF138</f>
        <v>58611.825192802062</v>
      </c>
      <c r="C138" s="1">
        <f>'Long Term Deals'!AG138</f>
        <v>0</v>
      </c>
      <c r="D138" s="1">
        <f>'Long Term Deals'!AH138</f>
        <v>77120.822622107968</v>
      </c>
      <c r="E138" s="1">
        <f>'Long Term Deals'!AI138</f>
        <v>0</v>
      </c>
      <c r="F138" s="1">
        <f>'Long Term Deals'!AJ138</f>
        <v>0</v>
      </c>
      <c r="G138" s="1">
        <f>'Long Term Deals'!AK138</f>
        <v>0</v>
      </c>
      <c r="H138" s="1">
        <f>'Long Term Deals'!AL138</f>
        <v>0</v>
      </c>
      <c r="I138" s="1">
        <f>'Long Term Deals'!AM138</f>
        <v>29306</v>
      </c>
      <c r="J138" s="1">
        <f>'Long Term Deals'!AN138</f>
        <v>0</v>
      </c>
      <c r="K138" s="1">
        <f>'Long Term Deals'!AO138</f>
        <v>38560</v>
      </c>
      <c r="L138" s="1">
        <f>'Long Term Deals'!AP138</f>
        <v>0</v>
      </c>
      <c r="M138" s="1">
        <f>'Long Term Deals'!AQ138</f>
        <v>0</v>
      </c>
      <c r="N138" s="1">
        <f>'Long Term Deals'!AR138</f>
        <v>29305.825192802062</v>
      </c>
      <c r="O138" s="1">
        <f>'Long Term Deals'!AS138</f>
        <v>0</v>
      </c>
      <c r="P138" s="1">
        <f>'Long Term Deals'!AT138</f>
        <v>38560.822622107968</v>
      </c>
      <c r="Q138" s="1">
        <f>'Long Term Deals'!AU138</f>
        <v>0</v>
      </c>
      <c r="R138" s="1">
        <f>'Long Term Deals'!AV138</f>
        <v>0</v>
      </c>
      <c r="S138" s="20">
        <f>'Long Term Deals'!AW138</f>
        <v>0.03</v>
      </c>
      <c r="T138" s="20">
        <f>'Long Term Deals'!AX138</f>
        <v>1.4999999999999999E-2</v>
      </c>
      <c r="U138" s="1">
        <f>'Long Term Deals'!AY138</f>
        <v>11630298.392055694</v>
      </c>
      <c r="V138" s="1">
        <f>'Long Term Deals'!AZ138</f>
        <v>11447645.435757495</v>
      </c>
      <c r="W138" s="6">
        <f t="shared" si="12"/>
        <v>182652.95629819855</v>
      </c>
      <c r="X138" s="6">
        <f>'Long Term Deals'!CA138</f>
        <v>21038.560411311057</v>
      </c>
      <c r="Z138" s="1">
        <f>[3]Sheet1!$O157</f>
        <v>-267652.69152066321</v>
      </c>
      <c r="AA138" s="1">
        <f>'[4]Long Term Deals'!$Z137</f>
        <v>-31548.019267906231</v>
      </c>
      <c r="AB138" s="60">
        <f t="shared" si="10"/>
        <v>397719.06813964451</v>
      </c>
      <c r="AC138" s="60">
        <f t="shared" si="13"/>
        <v>397719.06813964451</v>
      </c>
      <c r="AD138" s="60">
        <f t="shared" si="14"/>
        <v>182652.95629819858</v>
      </c>
      <c r="AE138" s="28">
        <f>(W138-Z138+AA138)/(B138+C138+D138)/'Prices&amp;Fuel'!H138</f>
        <v>9.9521454976980492E-2</v>
      </c>
      <c r="AF138" s="3">
        <v>132000</v>
      </c>
      <c r="AG138" s="1">
        <f>((((I138*'Prices&amp;Fuel'!B138+'Prices&amp;Fuel'!C138*FPL!J138+FPL!K138*'Prices&amp;Fuel'!D138))+(L138*'Prices&amp;Fuel'!B138+'Prices&amp;Fuel'!C138*FPL!M138))*'Prices&amp;Fuel'!H138)+(I138+J138+K138)*'Prices&amp;Fuel'!H138*FPL!T138+Q138/2</f>
        <v>5723795.3291794118</v>
      </c>
      <c r="AH138" s="1">
        <f>(N138*'Prices&amp;Fuel'!B138+'Prices&amp;Fuel'!C138*O138+P138*'Prices&amp;Fuel'!D138)*'Prices&amp;Fuel'!H138+(N138+O138+P138)*'Prices&amp;Fuel'!H138*FPL!T138+Q138/2</f>
        <v>5723850.1065780828</v>
      </c>
      <c r="AI138" s="1">
        <f>R138*'Prices&amp;Fuel'!H138*'Prices&amp;Fuel'!Q138</f>
        <v>0</v>
      </c>
      <c r="AJ138" s="52">
        <f>SUM(AG138:AI138)-'Long Term Deals'!AZ138</f>
        <v>0</v>
      </c>
    </row>
    <row r="139" spans="1:36" ht="10.199999999999999" x14ac:dyDescent="0.2">
      <c r="A139" s="10">
        <f t="shared" si="11"/>
        <v>39824.833333333008</v>
      </c>
      <c r="B139" s="1">
        <f>'Long Term Deals'!AF139</f>
        <v>58611.825192802062</v>
      </c>
      <c r="C139" s="1">
        <f>'Long Term Deals'!AG139</f>
        <v>0</v>
      </c>
      <c r="D139" s="1">
        <f>'Long Term Deals'!AH139</f>
        <v>77120.822622107968</v>
      </c>
      <c r="E139" s="1">
        <f>'Long Term Deals'!AI139</f>
        <v>0</v>
      </c>
      <c r="F139" s="1">
        <f>'Long Term Deals'!AJ139</f>
        <v>0</v>
      </c>
      <c r="G139" s="1">
        <f>'Long Term Deals'!AK139</f>
        <v>0</v>
      </c>
      <c r="H139" s="1">
        <f>'Long Term Deals'!AL139</f>
        <v>0</v>
      </c>
      <c r="I139" s="1">
        <f>'Long Term Deals'!AM139</f>
        <v>29306</v>
      </c>
      <c r="J139" s="1">
        <f>'Long Term Deals'!AN139</f>
        <v>0</v>
      </c>
      <c r="K139" s="1">
        <f>'Long Term Deals'!AO139</f>
        <v>38560</v>
      </c>
      <c r="L139" s="1">
        <f>'Long Term Deals'!AP139</f>
        <v>0</v>
      </c>
      <c r="M139" s="1">
        <f>'Long Term Deals'!AQ139</f>
        <v>0</v>
      </c>
      <c r="N139" s="1">
        <f>'Long Term Deals'!AR139</f>
        <v>29305.825192802062</v>
      </c>
      <c r="O139" s="1">
        <f>'Long Term Deals'!AS139</f>
        <v>0</v>
      </c>
      <c r="P139" s="1">
        <f>'Long Term Deals'!AT139</f>
        <v>38560.822622107968</v>
      </c>
      <c r="Q139" s="1">
        <f>'Long Term Deals'!AU139</f>
        <v>0</v>
      </c>
      <c r="R139" s="1">
        <f>'Long Term Deals'!AV139</f>
        <v>0</v>
      </c>
      <c r="S139" s="20">
        <f>'Long Term Deals'!AW139</f>
        <v>0.02</v>
      </c>
      <c r="T139" s="20">
        <f>'Long Term Deals'!AX139</f>
        <v>1.4999999999999999E-2</v>
      </c>
      <c r="U139" s="1">
        <f>'Long Term Deals'!AY139</f>
        <v>10215643.952766769</v>
      </c>
      <c r="V139" s="1">
        <f>'Long Term Deals'!AZ139</f>
        <v>10075068.11729119</v>
      </c>
      <c r="W139" s="6">
        <f t="shared" si="12"/>
        <v>140575.8354755789</v>
      </c>
      <c r="X139" s="6">
        <f>'Long Term Deals'!CA139</f>
        <v>21038.560411311057</v>
      </c>
      <c r="Z139" s="1">
        <f>[3]Sheet1!$O159</f>
        <v>-309860.01488322119</v>
      </c>
      <c r="AA139" s="1">
        <f>'[4]Long Term Deals'!$Z138</f>
        <v>-31548.019267906231</v>
      </c>
      <c r="AB139" s="60">
        <f t="shared" si="10"/>
        <v>397849.27067958278</v>
      </c>
      <c r="AC139" s="60">
        <f t="shared" si="13"/>
        <v>397849.27067958278</v>
      </c>
      <c r="AD139" s="60">
        <f t="shared" si="14"/>
        <v>140575.83547557888</v>
      </c>
      <c r="AE139" s="28">
        <f>(W139-Z139+AA139)/(B139+C139+D139)/'Prices&amp;Fuel'!H139</f>
        <v>9.9552398762437488E-2</v>
      </c>
      <c r="AF139" s="3">
        <v>132000</v>
      </c>
      <c r="AG139" s="1">
        <f>((((I139*'Prices&amp;Fuel'!B139+'Prices&amp;Fuel'!C139*FPL!J139+FPL!K139*'Prices&amp;Fuel'!D139))+(L139*'Prices&amp;Fuel'!B139+'Prices&amp;Fuel'!C139*FPL!M139))*'Prices&amp;Fuel'!H139)+(I139+J139+K139)*'Prices&amp;Fuel'!H139*FPL!T139+Q139/2</f>
        <v>5037509.9454148607</v>
      </c>
      <c r="AH139" s="1">
        <f>(N139*'Prices&amp;Fuel'!B139+'Prices&amp;Fuel'!C139*O139+P139*'Prices&amp;Fuel'!D139)*'Prices&amp;Fuel'!H139+(N139+O139+P139)*'Prices&amp;Fuel'!H139*FPL!T139+Q139/2</f>
        <v>5037558.171876329</v>
      </c>
      <c r="AI139" s="1">
        <f>R139*'Prices&amp;Fuel'!H139*'Prices&amp;Fuel'!Q139</f>
        <v>0</v>
      </c>
      <c r="AJ139" s="52">
        <f>SUM(AG139:AI139)-'Long Term Deals'!AZ139</f>
        <v>0</v>
      </c>
    </row>
    <row r="140" spans="1:36" ht="10.199999999999999" x14ac:dyDescent="0.2">
      <c r="A140" s="10">
        <f t="shared" si="11"/>
        <v>39855.249999999673</v>
      </c>
      <c r="B140" s="1">
        <f>'Long Term Deals'!AF140</f>
        <v>58611.825192802062</v>
      </c>
      <c r="C140" s="1">
        <f>'Long Term Deals'!AG140</f>
        <v>0</v>
      </c>
      <c r="D140" s="1">
        <f>'Long Term Deals'!AH140</f>
        <v>77120.822622107968</v>
      </c>
      <c r="E140" s="1">
        <f>'Long Term Deals'!AI140</f>
        <v>0</v>
      </c>
      <c r="F140" s="1">
        <f>'Long Term Deals'!AJ140</f>
        <v>0</v>
      </c>
      <c r="G140" s="1">
        <f>'Long Term Deals'!AK140</f>
        <v>0</v>
      </c>
      <c r="H140" s="1">
        <f>'Long Term Deals'!AL140</f>
        <v>0</v>
      </c>
      <c r="I140" s="1">
        <f>'Long Term Deals'!AM140</f>
        <v>29306</v>
      </c>
      <c r="J140" s="1">
        <f>'Long Term Deals'!AN140</f>
        <v>0</v>
      </c>
      <c r="K140" s="1">
        <f>'Long Term Deals'!AO140</f>
        <v>38560</v>
      </c>
      <c r="L140" s="1">
        <f>'Long Term Deals'!AP140</f>
        <v>0</v>
      </c>
      <c r="M140" s="1">
        <f>'Long Term Deals'!AQ140</f>
        <v>0</v>
      </c>
      <c r="N140" s="1">
        <f>'Long Term Deals'!AR140</f>
        <v>29305.825192802062</v>
      </c>
      <c r="O140" s="1">
        <f>'Long Term Deals'!AS140</f>
        <v>0</v>
      </c>
      <c r="P140" s="1">
        <f>'Long Term Deals'!AT140</f>
        <v>38560.822622107968</v>
      </c>
      <c r="Q140" s="1">
        <f>'Long Term Deals'!AU140</f>
        <v>0</v>
      </c>
      <c r="R140" s="1">
        <f>'Long Term Deals'!AV140</f>
        <v>0</v>
      </c>
      <c r="S140" s="20">
        <f>'Long Term Deals'!AW140</f>
        <v>0.02</v>
      </c>
      <c r="T140" s="20">
        <f>'Long Term Deals'!AX140</f>
        <v>1.4999999999999999E-2</v>
      </c>
      <c r="U140" s="1">
        <f>'Long Term Deals'!AY140</f>
        <v>10327192.950050667</v>
      </c>
      <c r="V140" s="1">
        <f>'Long Term Deals'!AZ140</f>
        <v>10200221.227685627</v>
      </c>
      <c r="W140" s="6">
        <f t="shared" si="12"/>
        <v>126971.72236504033</v>
      </c>
      <c r="X140" s="6">
        <f>'Long Term Deals'!CA140</f>
        <v>19002.570694087408</v>
      </c>
      <c r="Z140" s="1">
        <f>[3]Sheet1!$O160</f>
        <v>-279873.56183000625</v>
      </c>
      <c r="AA140" s="1">
        <f>'[4]Long Term Deals'!$Z139</f>
        <v>-28494.985145205632</v>
      </c>
      <c r="AB140" s="60">
        <f t="shared" si="10"/>
        <v>359347.72835575353</v>
      </c>
      <c r="AC140" s="60">
        <f t="shared" si="13"/>
        <v>359347.72835575353</v>
      </c>
      <c r="AD140" s="60">
        <f t="shared" si="14"/>
        <v>126971.72236504032</v>
      </c>
      <c r="AE140" s="28">
        <f>(W140-Z140+AA140)/(B140+C140+D140)/'Prices&amp;Fuel'!H140</f>
        <v>9.9552398762437835E-2</v>
      </c>
      <c r="AF140" s="3">
        <v>132000</v>
      </c>
      <c r="AG140" s="1">
        <f>((((I140*'Prices&amp;Fuel'!B140+'Prices&amp;Fuel'!C140*FPL!J140+FPL!K140*'Prices&amp;Fuel'!D140))+(L140*'Prices&amp;Fuel'!B140+'Prices&amp;Fuel'!C140*FPL!M140))*'Prices&amp;Fuel'!H140)+(I140+J140+K140)*'Prices&amp;Fuel'!H140*FPL!T140+Q140/2</f>
        <v>5100086.2087694285</v>
      </c>
      <c r="AH140" s="1">
        <f>(N140*'Prices&amp;Fuel'!B140+'Prices&amp;Fuel'!C140*O140+P140*'Prices&amp;Fuel'!D140)*'Prices&amp;Fuel'!H140+(N140+O140+P140)*'Prices&amp;Fuel'!H140*FPL!T140+Q140/2</f>
        <v>5100135.018916199</v>
      </c>
      <c r="AI140" s="1">
        <f>R140*'Prices&amp;Fuel'!H140*'Prices&amp;Fuel'!Q140</f>
        <v>0</v>
      </c>
      <c r="AJ140" s="52">
        <f>SUM(AG140:AI140)-'Long Term Deals'!AZ140</f>
        <v>0</v>
      </c>
    </row>
    <row r="141" spans="1:36" ht="10.199999999999999" x14ac:dyDescent="0.2">
      <c r="A141" s="10">
        <f t="shared" si="11"/>
        <v>39885.666666666337</v>
      </c>
      <c r="B141" s="1">
        <f>'Long Term Deals'!AF141</f>
        <v>58611.825192802062</v>
      </c>
      <c r="C141" s="1">
        <f>'Long Term Deals'!AG141</f>
        <v>0</v>
      </c>
      <c r="D141" s="1">
        <f>'Long Term Deals'!AH141</f>
        <v>77120.822622107968</v>
      </c>
      <c r="E141" s="1">
        <f>'Long Term Deals'!AI141</f>
        <v>0</v>
      </c>
      <c r="F141" s="1">
        <f>'Long Term Deals'!AJ141</f>
        <v>0</v>
      </c>
      <c r="G141" s="1">
        <f>'Long Term Deals'!AK141</f>
        <v>0</v>
      </c>
      <c r="H141" s="1">
        <f>'Long Term Deals'!AL141</f>
        <v>0</v>
      </c>
      <c r="I141" s="1">
        <f>'Long Term Deals'!AM141</f>
        <v>29306</v>
      </c>
      <c r="J141" s="1">
        <f>'Long Term Deals'!AN141</f>
        <v>0</v>
      </c>
      <c r="K141" s="1">
        <f>'Long Term Deals'!AO141</f>
        <v>38560</v>
      </c>
      <c r="L141" s="1">
        <f>'Long Term Deals'!AP141</f>
        <v>0</v>
      </c>
      <c r="M141" s="1">
        <f>'Long Term Deals'!AQ141</f>
        <v>0</v>
      </c>
      <c r="N141" s="1">
        <f>'Long Term Deals'!AR141</f>
        <v>29305.825192802062</v>
      </c>
      <c r="O141" s="1">
        <f>'Long Term Deals'!AS141</f>
        <v>0</v>
      </c>
      <c r="P141" s="1">
        <f>'Long Term Deals'!AT141</f>
        <v>38560.822622107968</v>
      </c>
      <c r="Q141" s="1">
        <f>'Long Term Deals'!AU141</f>
        <v>0</v>
      </c>
      <c r="R141" s="1">
        <f>'Long Term Deals'!AV141</f>
        <v>0</v>
      </c>
      <c r="S141" s="20">
        <f>'Long Term Deals'!AW141</f>
        <v>0.02</v>
      </c>
      <c r="T141" s="20">
        <f>'Long Term Deals'!AX141</f>
        <v>1.4999999999999999E-2</v>
      </c>
      <c r="U141" s="1">
        <f>'Long Term Deals'!AY141</f>
        <v>11433677.908984665</v>
      </c>
      <c r="V141" s="1">
        <f>'Long Term Deals'!AZ141</f>
        <v>11293102.07350909</v>
      </c>
      <c r="W141" s="6">
        <f t="shared" si="12"/>
        <v>140575.83547557518</v>
      </c>
      <c r="X141" s="6">
        <f>'Long Term Deals'!CA141</f>
        <v>21038.560411311057</v>
      </c>
      <c r="Z141" s="1">
        <f>[3]Sheet1!$O161</f>
        <v>-309860.01488322119</v>
      </c>
      <c r="AA141" s="1">
        <f>'[4]Long Term Deals'!$Z140</f>
        <v>-31548.019267906231</v>
      </c>
      <c r="AB141" s="60">
        <f t="shared" si="10"/>
        <v>397849.27067957906</v>
      </c>
      <c r="AC141" s="60">
        <f t="shared" si="13"/>
        <v>397849.27067957906</v>
      </c>
      <c r="AD141" s="60">
        <f t="shared" si="14"/>
        <v>140575.83547557515</v>
      </c>
      <c r="AE141" s="28">
        <f>(W141-Z141+AA141)/(B141+C141+D141)/'Prices&amp;Fuel'!H141</f>
        <v>9.95523987624366E-2</v>
      </c>
      <c r="AF141" s="3">
        <v>132000</v>
      </c>
      <c r="AG141" s="1">
        <f>((((I141*'Prices&amp;Fuel'!B141+'Prices&amp;Fuel'!C141*FPL!J141+FPL!K141*'Prices&amp;Fuel'!D141))+(L141*'Prices&amp;Fuel'!B141+'Prices&amp;Fuel'!C141*FPL!M141))*'Prices&amp;Fuel'!H141)+(I141+J141+K141)*'Prices&amp;Fuel'!H141*FPL!T141+Q141/2</f>
        <v>5646524.0168518675</v>
      </c>
      <c r="AH141" s="1">
        <f>(N141*'Prices&amp;Fuel'!B141+'Prices&amp;Fuel'!C141*O141+P141*'Prices&amp;Fuel'!D141)*'Prices&amp;Fuel'!H141+(N141+O141+P141)*'Prices&amp;Fuel'!H141*FPL!T141+Q141/2</f>
        <v>5646578.0566572193</v>
      </c>
      <c r="AI141" s="1">
        <f>R141*'Prices&amp;Fuel'!H141*'Prices&amp;Fuel'!Q141</f>
        <v>0</v>
      </c>
      <c r="AJ141" s="52">
        <f>SUM(AG141:AI141)-'Long Term Deals'!AZ141</f>
        <v>0</v>
      </c>
    </row>
    <row r="142" spans="1:36" ht="10.199999999999999" x14ac:dyDescent="0.2">
      <c r="A142" s="10">
        <f t="shared" si="11"/>
        <v>39916.083333333001</v>
      </c>
      <c r="B142" s="1">
        <f>'Long Term Deals'!AF142</f>
        <v>58611.825192802062</v>
      </c>
      <c r="C142" s="1">
        <f>'Long Term Deals'!AG142</f>
        <v>0</v>
      </c>
      <c r="D142" s="1">
        <f>'Long Term Deals'!AH142</f>
        <v>77120.822622107968</v>
      </c>
      <c r="E142" s="1">
        <f>'Long Term Deals'!AI142</f>
        <v>0</v>
      </c>
      <c r="F142" s="1">
        <f>'Long Term Deals'!AJ142</f>
        <v>0</v>
      </c>
      <c r="G142" s="1">
        <f>'Long Term Deals'!AK142</f>
        <v>0</v>
      </c>
      <c r="H142" s="1">
        <f>'Long Term Deals'!AL142</f>
        <v>0</v>
      </c>
      <c r="I142" s="1">
        <f>'Long Term Deals'!AM142</f>
        <v>29306</v>
      </c>
      <c r="J142" s="1">
        <f>'Long Term Deals'!AN142</f>
        <v>0</v>
      </c>
      <c r="K142" s="1">
        <f>'Long Term Deals'!AO142</f>
        <v>38560</v>
      </c>
      <c r="L142" s="1">
        <f>'Long Term Deals'!AP142</f>
        <v>0</v>
      </c>
      <c r="M142" s="1">
        <f>'Long Term Deals'!AQ142</f>
        <v>0</v>
      </c>
      <c r="N142" s="1">
        <f>'Long Term Deals'!AR142</f>
        <v>29305.825192802062</v>
      </c>
      <c r="O142" s="1">
        <f>'Long Term Deals'!AS142</f>
        <v>0</v>
      </c>
      <c r="P142" s="1">
        <f>'Long Term Deals'!AT142</f>
        <v>38560.822622107968</v>
      </c>
      <c r="Q142" s="1">
        <f>'Long Term Deals'!AU142</f>
        <v>0</v>
      </c>
      <c r="R142" s="1">
        <f>'Long Term Deals'!AV142</f>
        <v>0</v>
      </c>
      <c r="S142" s="20">
        <f>'Long Term Deals'!AW142</f>
        <v>0.02</v>
      </c>
      <c r="T142" s="20">
        <f>'Long Term Deals'!AX142</f>
        <v>1.4999999999999999E-2</v>
      </c>
      <c r="U142" s="1">
        <f>'Long Term Deals'!AY142</f>
        <v>12243592.12761539</v>
      </c>
      <c r="V142" s="1">
        <f>'Long Term Deals'!AZ142</f>
        <v>12107550.996509993</v>
      </c>
      <c r="W142" s="6">
        <f t="shared" si="12"/>
        <v>136041.1311053969</v>
      </c>
      <c r="X142" s="6">
        <f>'Long Term Deals'!CA142</f>
        <v>20359.897172236506</v>
      </c>
      <c r="Z142" s="1">
        <f>[3]Sheet1!$O162</f>
        <v>-299864.5305321496</v>
      </c>
      <c r="AA142" s="1">
        <f>'[4]Long Term Deals'!$Z141</f>
        <v>-30530.341227006029</v>
      </c>
      <c r="AB142" s="60">
        <f t="shared" ref="AB142:AB152" si="15">-Z142+AA142+Y142+W142-X142</f>
        <v>385015.42323830392</v>
      </c>
      <c r="AC142" s="60">
        <f t="shared" si="13"/>
        <v>385015.42323830392</v>
      </c>
      <c r="AD142" s="60">
        <f t="shared" si="14"/>
        <v>136041.13110539684</v>
      </c>
      <c r="AE142" s="28">
        <f>(W142-Z142+AA142)/(B142+C142+D142)/'Prices&amp;Fuel'!H142</f>
        <v>9.9552398762437003E-2</v>
      </c>
      <c r="AF142" s="3">
        <v>132000</v>
      </c>
      <c r="AG142" s="1">
        <f>((((I142*'Prices&amp;Fuel'!B142+'Prices&amp;Fuel'!C142*FPL!J142+FPL!K142*'Prices&amp;Fuel'!D142))+(L142*'Prices&amp;Fuel'!B142+'Prices&amp;Fuel'!C142*FPL!M142))*'Prices&amp;Fuel'!H142)+(I142+J142+K142)*'Prices&amp;Fuel'!H142*FPL!T142+Q142/2</f>
        <v>6053746.5370537555</v>
      </c>
      <c r="AH142" s="1">
        <f>(N142*'Prices&amp;Fuel'!B142+'Prices&amp;Fuel'!C142*O142+P142*'Prices&amp;Fuel'!D142)*'Prices&amp;Fuel'!H142+(N142+O142+P142)*'Prices&amp;Fuel'!H142*FPL!T142+Q142/2</f>
        <v>6053804.459456238</v>
      </c>
      <c r="AI142" s="1">
        <f>R142*'Prices&amp;Fuel'!H142*'Prices&amp;Fuel'!Q142</f>
        <v>0</v>
      </c>
      <c r="AJ142" s="52">
        <f>SUM(AG142:AI142)-'Long Term Deals'!AZ142</f>
        <v>0</v>
      </c>
    </row>
    <row r="143" spans="1:36" ht="10.199999999999999" x14ac:dyDescent="0.2">
      <c r="A143" s="10">
        <f t="shared" si="11"/>
        <v>39946.499999999665</v>
      </c>
      <c r="B143" s="1">
        <f>'Long Term Deals'!AF143</f>
        <v>128534.70437017996</v>
      </c>
      <c r="C143" s="1">
        <f>'Long Term Deals'!AG143</f>
        <v>0</v>
      </c>
      <c r="D143" s="1">
        <f>'Long Term Deals'!AH143</f>
        <v>77120.822622107968</v>
      </c>
      <c r="E143" s="1">
        <f>'Long Term Deals'!AI143</f>
        <v>0</v>
      </c>
      <c r="F143" s="1">
        <f>'Long Term Deals'!AJ143</f>
        <v>0</v>
      </c>
      <c r="G143" s="1">
        <f>'Long Term Deals'!AK143</f>
        <v>0</v>
      </c>
      <c r="H143" s="1">
        <f>'Long Term Deals'!AL143</f>
        <v>0</v>
      </c>
      <c r="I143" s="1">
        <f>'Long Term Deals'!AM143</f>
        <v>64267</v>
      </c>
      <c r="J143" s="1">
        <f>'Long Term Deals'!AN143</f>
        <v>0</v>
      </c>
      <c r="K143" s="1">
        <f>'Long Term Deals'!AO143</f>
        <v>38560</v>
      </c>
      <c r="L143" s="1">
        <f>'Long Term Deals'!AP143</f>
        <v>0</v>
      </c>
      <c r="M143" s="1">
        <f>'Long Term Deals'!AQ143</f>
        <v>0</v>
      </c>
      <c r="N143" s="1">
        <f>'Long Term Deals'!AR143</f>
        <v>64267.704370179956</v>
      </c>
      <c r="O143" s="1">
        <f>'Long Term Deals'!AS143</f>
        <v>0</v>
      </c>
      <c r="P143" s="1">
        <f>'Long Term Deals'!AT143</f>
        <v>38560.822622107968</v>
      </c>
      <c r="Q143" s="1">
        <f>'Long Term Deals'!AU143</f>
        <v>0</v>
      </c>
      <c r="R143" s="1">
        <f>'Long Term Deals'!AV143</f>
        <v>0</v>
      </c>
      <c r="S143" s="20">
        <f>'Long Term Deals'!AW143</f>
        <v>0.02</v>
      </c>
      <c r="T143" s="20">
        <f>'Long Term Deals'!AX143</f>
        <v>1.4999999999999999E-2</v>
      </c>
      <c r="U143" s="1">
        <f>'Long Term Deals'!AY143</f>
        <v>20394054.035157219</v>
      </c>
      <c r="V143" s="1">
        <f>'Long Term Deals'!AZ143</f>
        <v>20242640.153409146</v>
      </c>
      <c r="W143" s="6">
        <f t="shared" si="12"/>
        <v>151413.8817480728</v>
      </c>
      <c r="X143" s="6">
        <f>'Long Term Deals'!CA143</f>
        <v>31876.606683804628</v>
      </c>
      <c r="Z143" s="1">
        <f>[3]Sheet1!$O163</f>
        <v>-469484.87103518361</v>
      </c>
      <c r="AA143" s="1">
        <f>'[4]Long Term Deals'!$Z142</f>
        <v>-47800.029193797323</v>
      </c>
      <c r="AB143" s="60">
        <f t="shared" si="15"/>
        <v>541222.11690565443</v>
      </c>
      <c r="AC143" s="60">
        <f t="shared" si="13"/>
        <v>541222.11690565443</v>
      </c>
      <c r="AD143" s="60">
        <f t="shared" si="14"/>
        <v>151413.88174807277</v>
      </c>
      <c r="AE143" s="28">
        <f>(W143-Z143+AA143)/(B143+C143+D143)/'Prices&amp;Fuel'!H143</f>
        <v>8.989330785334658E-2</v>
      </c>
      <c r="AF143" s="3">
        <v>200000</v>
      </c>
      <c r="AG143" s="1">
        <f>((((I143*'Prices&amp;Fuel'!B143+'Prices&amp;Fuel'!C143*FPL!J143+FPL!K143*'Prices&amp;Fuel'!D143))+(L143*'Prices&amp;Fuel'!B143+'Prices&amp;Fuel'!C143*FPL!M143))*'Prices&amp;Fuel'!H143)+(I143+J143+K143)*'Prices&amp;Fuel'!H143*FPL!T143+Q143/2</f>
        <v>10121244.887153002</v>
      </c>
      <c r="AH143" s="1">
        <f>(N143*'Prices&amp;Fuel'!B143+'Prices&amp;Fuel'!C143*O143+P143*'Prices&amp;Fuel'!D143)*'Prices&amp;Fuel'!H143+(N143+O143+P143)*'Prices&amp;Fuel'!H143*FPL!T143+Q143/2</f>
        <v>10121395.266256141</v>
      </c>
      <c r="AI143" s="1">
        <f>R143*'Prices&amp;Fuel'!H143*'Prices&amp;Fuel'!Q143</f>
        <v>0</v>
      </c>
      <c r="AJ143" s="52">
        <f>SUM(AG143:AI143)-'Long Term Deals'!AZ143</f>
        <v>0</v>
      </c>
    </row>
    <row r="144" spans="1:36" ht="10.199999999999999" x14ac:dyDescent="0.2">
      <c r="A144" s="10">
        <f t="shared" si="11"/>
        <v>39976.91666666633</v>
      </c>
      <c r="B144" s="1">
        <f>'Long Term Deals'!AF144</f>
        <v>128534.70437017996</v>
      </c>
      <c r="C144" s="1">
        <f>'Long Term Deals'!AG144</f>
        <v>0</v>
      </c>
      <c r="D144" s="1">
        <f>'Long Term Deals'!AH144</f>
        <v>77120.822622107968</v>
      </c>
      <c r="E144" s="1">
        <f>'Long Term Deals'!AI144</f>
        <v>0</v>
      </c>
      <c r="F144" s="1">
        <f>'Long Term Deals'!AJ144</f>
        <v>0</v>
      </c>
      <c r="G144" s="1">
        <f>'Long Term Deals'!AK144</f>
        <v>0</v>
      </c>
      <c r="H144" s="1">
        <f>'Long Term Deals'!AL144</f>
        <v>0</v>
      </c>
      <c r="I144" s="1">
        <f>'Long Term Deals'!AM144</f>
        <v>64267</v>
      </c>
      <c r="J144" s="1">
        <f>'Long Term Deals'!AN144</f>
        <v>0</v>
      </c>
      <c r="K144" s="1">
        <f>'Long Term Deals'!AO144</f>
        <v>38560</v>
      </c>
      <c r="L144" s="1">
        <f>'Long Term Deals'!AP144</f>
        <v>0</v>
      </c>
      <c r="M144" s="1">
        <f>'Long Term Deals'!AQ144</f>
        <v>0</v>
      </c>
      <c r="N144" s="1">
        <f>'Long Term Deals'!AR144</f>
        <v>64267.704370179956</v>
      </c>
      <c r="O144" s="1">
        <f>'Long Term Deals'!AS144</f>
        <v>0</v>
      </c>
      <c r="P144" s="1">
        <f>'Long Term Deals'!AT144</f>
        <v>38560.822622107968</v>
      </c>
      <c r="Q144" s="1">
        <f>'Long Term Deals'!AU144</f>
        <v>0</v>
      </c>
      <c r="R144" s="1">
        <f>'Long Term Deals'!AV144</f>
        <v>0</v>
      </c>
      <c r="S144" s="20">
        <f>'Long Term Deals'!AW144</f>
        <v>0.02</v>
      </c>
      <c r="T144" s="20">
        <f>'Long Term Deals'!AX144</f>
        <v>1.4999999999999999E-2</v>
      </c>
      <c r="U144" s="1">
        <f>'Long Term Deals'!AY144</f>
        <v>28401460.365539618</v>
      </c>
      <c r="V144" s="1">
        <f>'Long Term Deals'!AZ144</f>
        <v>28254930.802557614</v>
      </c>
      <c r="W144" s="6">
        <f t="shared" si="12"/>
        <v>146529.56298200414</v>
      </c>
      <c r="X144" s="6">
        <f>'Long Term Deals'!CA144</f>
        <v>30848.329048843189</v>
      </c>
      <c r="Z144" s="1">
        <f>[3]Sheet1!$O164</f>
        <v>-454340.19777598418</v>
      </c>
      <c r="AA144" s="1">
        <f>'[4]Long Term Deals'!$Z143</f>
        <v>-46258.092768190952</v>
      </c>
      <c r="AB144" s="60">
        <f t="shared" si="15"/>
        <v>523763.33894095424</v>
      </c>
      <c r="AC144" s="60">
        <f t="shared" si="13"/>
        <v>523763.33894095424</v>
      </c>
      <c r="AD144" s="60">
        <f t="shared" si="14"/>
        <v>146529.56298200419</v>
      </c>
      <c r="AE144" s="28">
        <f>(W144-Z144+AA144)/(B144+C144+D144)/'Prices&amp;Fuel'!H144</f>
        <v>8.989330785334633E-2</v>
      </c>
      <c r="AF144" s="3">
        <v>200000</v>
      </c>
      <c r="AG144" s="1">
        <f>((((I144*'Prices&amp;Fuel'!B144+'Prices&amp;Fuel'!C144*FPL!J144+FPL!K144*'Prices&amp;Fuel'!D144))+(L144*'Prices&amp;Fuel'!B144+'Prices&amp;Fuel'!C144*FPL!M144))*'Prices&amp;Fuel'!H144)+(I144+J144+K144)*'Prices&amp;Fuel'!H144*FPL!T144+Q144/2</f>
        <v>14127360.467348203</v>
      </c>
      <c r="AH144" s="1">
        <f>(N144*'Prices&amp;Fuel'!B144+'Prices&amp;Fuel'!C144*O144+P144*'Prices&amp;Fuel'!D144)*'Prices&amp;Fuel'!H144+(N144+O144+P144)*'Prices&amp;Fuel'!H144*FPL!T144+Q144/2</f>
        <v>14127570.335209413</v>
      </c>
      <c r="AI144" s="1">
        <f>R144*'Prices&amp;Fuel'!H144*'Prices&amp;Fuel'!Q144</f>
        <v>0</v>
      </c>
      <c r="AJ144" s="52">
        <f>SUM(AG144:AI144)-'Long Term Deals'!AZ144</f>
        <v>0</v>
      </c>
    </row>
    <row r="145" spans="1:36" ht="10.199999999999999" x14ac:dyDescent="0.2">
      <c r="A145" s="10">
        <f t="shared" si="11"/>
        <v>40007.333333332994</v>
      </c>
      <c r="B145" s="1">
        <f>'Long Term Deals'!AF145</f>
        <v>128534.70437017996</v>
      </c>
      <c r="C145" s="1">
        <f>'Long Term Deals'!AG145</f>
        <v>0</v>
      </c>
      <c r="D145" s="1">
        <f>'Long Term Deals'!AH145</f>
        <v>77120.822622107968</v>
      </c>
      <c r="E145" s="1">
        <f>'Long Term Deals'!AI145</f>
        <v>0</v>
      </c>
      <c r="F145" s="1">
        <f>'Long Term Deals'!AJ145</f>
        <v>0</v>
      </c>
      <c r="G145" s="1">
        <f>'Long Term Deals'!AK145</f>
        <v>0</v>
      </c>
      <c r="H145" s="1">
        <f>'Long Term Deals'!AL145</f>
        <v>0</v>
      </c>
      <c r="I145" s="1">
        <f>'Long Term Deals'!AM145</f>
        <v>64267</v>
      </c>
      <c r="J145" s="1">
        <f>'Long Term Deals'!AN145</f>
        <v>0</v>
      </c>
      <c r="K145" s="1">
        <f>'Long Term Deals'!AO145</f>
        <v>38560</v>
      </c>
      <c r="L145" s="1">
        <f>'Long Term Deals'!AP145</f>
        <v>0</v>
      </c>
      <c r="M145" s="1">
        <f>'Long Term Deals'!AQ145</f>
        <v>0</v>
      </c>
      <c r="N145" s="1">
        <f>'Long Term Deals'!AR145</f>
        <v>64267.704370179956</v>
      </c>
      <c r="O145" s="1">
        <f>'Long Term Deals'!AS145</f>
        <v>0</v>
      </c>
      <c r="P145" s="1">
        <f>'Long Term Deals'!AT145</f>
        <v>38560.822622107968</v>
      </c>
      <c r="Q145" s="1">
        <f>'Long Term Deals'!AU145</f>
        <v>0</v>
      </c>
      <c r="R145" s="1">
        <f>'Long Term Deals'!AV145</f>
        <v>0</v>
      </c>
      <c r="S145" s="20">
        <f>'Long Term Deals'!AW145</f>
        <v>0.02</v>
      </c>
      <c r="T145" s="20">
        <f>'Long Term Deals'!AX145</f>
        <v>1.4999999999999999E-2</v>
      </c>
      <c r="U145" s="1">
        <f>'Long Term Deals'!AY145</f>
        <v>29279823.63719577</v>
      </c>
      <c r="V145" s="1">
        <f>'Long Term Deals'!AZ145</f>
        <v>29128409.755447701</v>
      </c>
      <c r="W145" s="6">
        <f t="shared" si="12"/>
        <v>151413.88174806908</v>
      </c>
      <c r="X145" s="6">
        <f>'Long Term Deals'!CA145</f>
        <v>31876.606683804628</v>
      </c>
      <c r="Z145" s="1">
        <f>[3]Sheet1!$O165</f>
        <v>-469484.87103518361</v>
      </c>
      <c r="AA145" s="1">
        <f>'[4]Long Term Deals'!$Z144</f>
        <v>-47800.029193797323</v>
      </c>
      <c r="AB145" s="60">
        <f t="shared" si="15"/>
        <v>541222.11690565071</v>
      </c>
      <c r="AC145" s="60">
        <f t="shared" si="13"/>
        <v>541222.11690565071</v>
      </c>
      <c r="AD145" s="60">
        <f t="shared" si="14"/>
        <v>151413.88174806905</v>
      </c>
      <c r="AE145" s="28">
        <f>(W145-Z145+AA145)/(B145+C145+D145)/'Prices&amp;Fuel'!H145</f>
        <v>8.9893307853345997E-2</v>
      </c>
      <c r="AF145" s="3">
        <v>200000</v>
      </c>
      <c r="AG145" s="1">
        <f>((((I145*'Prices&amp;Fuel'!B145+'Prices&amp;Fuel'!C145*FPL!J145+FPL!K145*'Prices&amp;Fuel'!D145))+(L145*'Prices&amp;Fuel'!B145+'Prices&amp;Fuel'!C145*FPL!M145))*'Prices&amp;Fuel'!H145)+(I145+J145+K145)*'Prices&amp;Fuel'!H145*FPL!T145+Q145/2</f>
        <v>14564096.699752633</v>
      </c>
      <c r="AH145" s="1">
        <f>(N145*'Prices&amp;Fuel'!B145+'Prices&amp;Fuel'!C145*O145+P145*'Prices&amp;Fuel'!D145)*'Prices&amp;Fuel'!H145+(N145+O145+P145)*'Prices&amp;Fuel'!H145*FPL!T145+Q145/2</f>
        <v>14564313.055695068</v>
      </c>
      <c r="AI145" s="1">
        <f>R145*'Prices&amp;Fuel'!H145*'Prices&amp;Fuel'!Q145</f>
        <v>0</v>
      </c>
      <c r="AJ145" s="52">
        <f>SUM(AG145:AI145)-'Long Term Deals'!AZ145</f>
        <v>0</v>
      </c>
    </row>
    <row r="146" spans="1:36" ht="10.199999999999999" x14ac:dyDescent="0.2">
      <c r="A146" s="10">
        <f t="shared" si="11"/>
        <v>40037.749999999658</v>
      </c>
      <c r="B146" s="1">
        <f>'Long Term Deals'!AF146</f>
        <v>128534.70437017996</v>
      </c>
      <c r="C146" s="1">
        <f>'Long Term Deals'!AG146</f>
        <v>0</v>
      </c>
      <c r="D146" s="1">
        <f>'Long Term Deals'!AH146</f>
        <v>77120.822622107968</v>
      </c>
      <c r="E146" s="1">
        <f>'Long Term Deals'!AI146</f>
        <v>0</v>
      </c>
      <c r="F146" s="1">
        <f>'Long Term Deals'!AJ146</f>
        <v>0</v>
      </c>
      <c r="G146" s="1">
        <f>'Long Term Deals'!AK146</f>
        <v>0</v>
      </c>
      <c r="H146" s="1">
        <f>'Long Term Deals'!AL146</f>
        <v>0</v>
      </c>
      <c r="I146" s="1">
        <f>'Long Term Deals'!AM146</f>
        <v>64267</v>
      </c>
      <c r="J146" s="1">
        <f>'Long Term Deals'!AN146</f>
        <v>0</v>
      </c>
      <c r="K146" s="1">
        <f>'Long Term Deals'!AO146</f>
        <v>38560</v>
      </c>
      <c r="L146" s="1">
        <f>'Long Term Deals'!AP146</f>
        <v>0</v>
      </c>
      <c r="M146" s="1">
        <f>'Long Term Deals'!AQ146</f>
        <v>0</v>
      </c>
      <c r="N146" s="1">
        <f>'Long Term Deals'!AR146</f>
        <v>64267.704370179956</v>
      </c>
      <c r="O146" s="1">
        <f>'Long Term Deals'!AS146</f>
        <v>0</v>
      </c>
      <c r="P146" s="1">
        <f>'Long Term Deals'!AT146</f>
        <v>38560.822622107968</v>
      </c>
      <c r="Q146" s="1">
        <f>'Long Term Deals'!AU146</f>
        <v>0</v>
      </c>
      <c r="R146" s="1">
        <f>'Long Term Deals'!AV146</f>
        <v>0</v>
      </c>
      <c r="S146" s="20">
        <f>'Long Term Deals'!AW146</f>
        <v>0.02</v>
      </c>
      <c r="T146" s="20">
        <f>'Long Term Deals'!AX146</f>
        <v>1.4999999999999999E-2</v>
      </c>
      <c r="U146" s="1">
        <f>'Long Term Deals'!AY146</f>
        <v>25588811.648656674</v>
      </c>
      <c r="V146" s="1">
        <f>'Long Term Deals'!AZ146</f>
        <v>25437397.766908605</v>
      </c>
      <c r="W146" s="6">
        <f t="shared" si="12"/>
        <v>151413.88174806908</v>
      </c>
      <c r="X146" s="6">
        <f>'Long Term Deals'!CA146</f>
        <v>31876.606683804628</v>
      </c>
      <c r="Z146" s="1">
        <f>[3]Sheet1!$O166</f>
        <v>-469484.87103518361</v>
      </c>
      <c r="AA146" s="1">
        <f>'[4]Long Term Deals'!$Z145</f>
        <v>-47800.029193797323</v>
      </c>
      <c r="AB146" s="60">
        <f t="shared" si="15"/>
        <v>541222.11690565071</v>
      </c>
      <c r="AC146" s="60">
        <f t="shared" si="13"/>
        <v>541222.11690565071</v>
      </c>
      <c r="AD146" s="60">
        <f t="shared" si="14"/>
        <v>151413.88174806905</v>
      </c>
      <c r="AE146" s="28">
        <f>(W146-Z146+AA146)/(B146+C146+D146)/'Prices&amp;Fuel'!H146</f>
        <v>8.9893307853345997E-2</v>
      </c>
      <c r="AF146" s="3">
        <v>200000</v>
      </c>
      <c r="AG146" s="1">
        <f>((((I146*'Prices&amp;Fuel'!B146+'Prices&amp;Fuel'!C146*FPL!J146+FPL!K146*'Prices&amp;Fuel'!D146))+(L146*'Prices&amp;Fuel'!B146+'Prices&amp;Fuel'!C146*FPL!M146))*'Prices&amp;Fuel'!H146)+(I146+J146+K146)*'Prices&amp;Fuel'!H146*FPL!T146+Q146/2</f>
        <v>12718604.408365093</v>
      </c>
      <c r="AH146" s="1">
        <f>(N146*'Prices&amp;Fuel'!B146+'Prices&amp;Fuel'!C146*O146+P146*'Prices&amp;Fuel'!D146)*'Prices&amp;Fuel'!H146+(N146+O146+P146)*'Prices&amp;Fuel'!H146*FPL!T146+Q146/2</f>
        <v>12718793.358543513</v>
      </c>
      <c r="AI146" s="1">
        <f>R146*'Prices&amp;Fuel'!H146*'Prices&amp;Fuel'!Q146</f>
        <v>0</v>
      </c>
      <c r="AJ146" s="52">
        <f>SUM(AG146:AI146)-'Long Term Deals'!AZ146</f>
        <v>0</v>
      </c>
    </row>
    <row r="147" spans="1:36" ht="10.199999999999999" x14ac:dyDescent="0.2">
      <c r="A147" s="10">
        <f t="shared" si="11"/>
        <v>40068.166666666322</v>
      </c>
      <c r="B147" s="1">
        <f>'Long Term Deals'!AF147</f>
        <v>128534.70437017996</v>
      </c>
      <c r="C147" s="1">
        <f>'Long Term Deals'!AG147</f>
        <v>0</v>
      </c>
      <c r="D147" s="1">
        <f>'Long Term Deals'!AH147</f>
        <v>77120.822622107968</v>
      </c>
      <c r="E147" s="1">
        <f>'Long Term Deals'!AI147</f>
        <v>0</v>
      </c>
      <c r="F147" s="1">
        <f>'Long Term Deals'!AJ147</f>
        <v>0</v>
      </c>
      <c r="G147" s="1">
        <f>'Long Term Deals'!AK147</f>
        <v>0</v>
      </c>
      <c r="H147" s="1">
        <f>'Long Term Deals'!AL147</f>
        <v>0</v>
      </c>
      <c r="I147" s="1">
        <f>'Long Term Deals'!AM147</f>
        <v>64267</v>
      </c>
      <c r="J147" s="1">
        <f>'Long Term Deals'!AN147</f>
        <v>0</v>
      </c>
      <c r="K147" s="1">
        <f>'Long Term Deals'!AO147</f>
        <v>38560</v>
      </c>
      <c r="L147" s="1">
        <f>'Long Term Deals'!AP147</f>
        <v>0</v>
      </c>
      <c r="M147" s="1">
        <f>'Long Term Deals'!AQ147</f>
        <v>0</v>
      </c>
      <c r="N147" s="1">
        <f>'Long Term Deals'!AR147</f>
        <v>64267.704370179956</v>
      </c>
      <c r="O147" s="1">
        <f>'Long Term Deals'!AS147</f>
        <v>0</v>
      </c>
      <c r="P147" s="1">
        <f>'Long Term Deals'!AT147</f>
        <v>38560.822622107968</v>
      </c>
      <c r="Q147" s="1">
        <f>'Long Term Deals'!AU147</f>
        <v>0</v>
      </c>
      <c r="R147" s="1">
        <f>'Long Term Deals'!AV147</f>
        <v>0</v>
      </c>
      <c r="S147" s="20">
        <f>'Long Term Deals'!AW147</f>
        <v>0.02</v>
      </c>
      <c r="T147" s="20">
        <f>'Long Term Deals'!AX147</f>
        <v>1.4999999999999999E-2</v>
      </c>
      <c r="U147" s="1">
        <f>'Long Term Deals'!AY147</f>
        <v>29856698.067114182</v>
      </c>
      <c r="V147" s="1">
        <f>'Long Term Deals'!AZ147</f>
        <v>29710168.504132178</v>
      </c>
      <c r="W147" s="6">
        <f t="shared" si="12"/>
        <v>146529.56298200414</v>
      </c>
      <c r="X147" s="6">
        <f>'Long Term Deals'!CA147</f>
        <v>30848.329048843189</v>
      </c>
      <c r="Z147" s="1">
        <f>[3]Sheet1!$O167</f>
        <v>-454340.19777598418</v>
      </c>
      <c r="AA147" s="1">
        <f>'[4]Long Term Deals'!$Z146</f>
        <v>-46258.092768190952</v>
      </c>
      <c r="AB147" s="60">
        <f t="shared" si="15"/>
        <v>523763.33894095424</v>
      </c>
      <c r="AC147" s="60">
        <f t="shared" si="13"/>
        <v>523763.33894095424</v>
      </c>
      <c r="AD147" s="60">
        <f t="shared" si="14"/>
        <v>146529.56298200419</v>
      </c>
      <c r="AE147" s="28">
        <f>(W147-Z147+AA147)/(B147+C147+D147)/'Prices&amp;Fuel'!H147</f>
        <v>8.989330785334633E-2</v>
      </c>
      <c r="AF147" s="3">
        <v>200000</v>
      </c>
      <c r="AG147" s="1">
        <f>((((I147*'Prices&amp;Fuel'!B147+'Prices&amp;Fuel'!C147*FPL!J147+FPL!K147*'Prices&amp;Fuel'!D147))+(L147*'Prices&amp;Fuel'!B147+'Prices&amp;Fuel'!C147*FPL!M147))*'Prices&amp;Fuel'!H147)+(I147+J147+K147)*'Prices&amp;Fuel'!H147*FPL!T147+Q147/2</f>
        <v>14854973.915565517</v>
      </c>
      <c r="AH147" s="1">
        <f>(N147*'Prices&amp;Fuel'!B147+'Prices&amp;Fuel'!C147*O147+P147*'Prices&amp;Fuel'!D147)*'Prices&amp;Fuel'!H147+(N147+O147+P147)*'Prices&amp;Fuel'!H147*FPL!T147+Q147/2</f>
        <v>14855194.588566661</v>
      </c>
      <c r="AI147" s="1">
        <f>R147*'Prices&amp;Fuel'!H147*'Prices&amp;Fuel'!Q147</f>
        <v>0</v>
      </c>
      <c r="AJ147" s="52">
        <f>SUM(AG147:AI147)-'Long Term Deals'!AZ147</f>
        <v>0</v>
      </c>
    </row>
    <row r="148" spans="1:36" ht="10.199999999999999" x14ac:dyDescent="0.2">
      <c r="A148" s="10">
        <f t="shared" si="11"/>
        <v>40098.583333332987</v>
      </c>
      <c r="B148" s="1">
        <f>'Long Term Deals'!AF148</f>
        <v>58611.825192802062</v>
      </c>
      <c r="C148" s="1">
        <f>'Long Term Deals'!AG148</f>
        <v>0</v>
      </c>
      <c r="D148" s="1">
        <f>'Long Term Deals'!AH148</f>
        <v>77120.822622107968</v>
      </c>
      <c r="E148" s="1">
        <f>'Long Term Deals'!AI148</f>
        <v>0</v>
      </c>
      <c r="F148" s="1">
        <f>'Long Term Deals'!AJ148</f>
        <v>0</v>
      </c>
      <c r="G148" s="1">
        <f>'Long Term Deals'!AK148</f>
        <v>0</v>
      </c>
      <c r="H148" s="1">
        <f>'Long Term Deals'!AL148</f>
        <v>0</v>
      </c>
      <c r="I148" s="1">
        <f>'Long Term Deals'!AM148</f>
        <v>29306</v>
      </c>
      <c r="J148" s="1">
        <f>'Long Term Deals'!AN148</f>
        <v>0</v>
      </c>
      <c r="K148" s="1">
        <f>'Long Term Deals'!AO148</f>
        <v>38560</v>
      </c>
      <c r="L148" s="1">
        <f>'Long Term Deals'!AP148</f>
        <v>0</v>
      </c>
      <c r="M148" s="1">
        <f>'Long Term Deals'!AQ148</f>
        <v>0</v>
      </c>
      <c r="N148" s="1">
        <f>'Long Term Deals'!AR148</f>
        <v>29305.825192802062</v>
      </c>
      <c r="O148" s="1">
        <f>'Long Term Deals'!AS148</f>
        <v>0</v>
      </c>
      <c r="P148" s="1">
        <f>'Long Term Deals'!AT148</f>
        <v>38560.822622107968</v>
      </c>
      <c r="Q148" s="1">
        <f>'Long Term Deals'!AU148</f>
        <v>0</v>
      </c>
      <c r="R148" s="1">
        <f>'Long Term Deals'!AV148</f>
        <v>0</v>
      </c>
      <c r="S148" s="20">
        <f>'Long Term Deals'!AW148</f>
        <v>0.02</v>
      </c>
      <c r="T148" s="20">
        <f>'Long Term Deals'!AX148</f>
        <v>1.4999999999999999E-2</v>
      </c>
      <c r="U148" s="1">
        <f>'Long Term Deals'!AY148</f>
        <v>23478680.364917248</v>
      </c>
      <c r="V148" s="1">
        <f>'Long Term Deals'!AZ148</f>
        <v>23338104.52944167</v>
      </c>
      <c r="W148" s="6">
        <f t="shared" si="12"/>
        <v>140575.8354755789</v>
      </c>
      <c r="X148" s="6">
        <f>'Long Term Deals'!CA148</f>
        <v>21038.560411311057</v>
      </c>
      <c r="Z148" s="1">
        <f>[3]Sheet1!$O168</f>
        <v>-309860.01488322119</v>
      </c>
      <c r="AA148" s="1">
        <f>'[4]Long Term Deals'!$Z147</f>
        <v>-31548.019267906231</v>
      </c>
      <c r="AB148" s="60">
        <f t="shared" si="15"/>
        <v>397849.27067958278</v>
      </c>
      <c r="AC148" s="60">
        <f t="shared" si="13"/>
        <v>397849.27067958278</v>
      </c>
      <c r="AD148" s="60">
        <f t="shared" si="14"/>
        <v>140575.83547557888</v>
      </c>
      <c r="AE148" s="28">
        <f>(W148-Z148+AA148)/(B148+C148+D148)/'Prices&amp;Fuel'!H148</f>
        <v>9.9552398762437488E-2</v>
      </c>
      <c r="AF148" s="3">
        <v>132000</v>
      </c>
      <c r="AG148" s="1">
        <f>((((I148*'Prices&amp;Fuel'!B148+'Prices&amp;Fuel'!C148*FPL!J148+FPL!K148*'Prices&amp;Fuel'!D148))+(L148*'Prices&amp;Fuel'!B148+'Prices&amp;Fuel'!C148*FPL!M148))*'Prices&amp;Fuel'!H148)+(I148+J148+K148)*'Prices&amp;Fuel'!H148*FPL!T148+Q148/2</f>
        <v>11668996.501062298</v>
      </c>
      <c r="AH148" s="1">
        <f>(N148*'Prices&amp;Fuel'!B148+'Prices&amp;Fuel'!C148*O148+P148*'Prices&amp;Fuel'!D148)*'Prices&amp;Fuel'!H148+(N148+O148+P148)*'Prices&amp;Fuel'!H148*FPL!T148+Q148/2</f>
        <v>11669108.028379373</v>
      </c>
      <c r="AI148" s="1">
        <f>R148*'Prices&amp;Fuel'!H148*'Prices&amp;Fuel'!Q148</f>
        <v>0</v>
      </c>
      <c r="AJ148" s="52">
        <f>SUM(AG148:AI148)-'Long Term Deals'!AZ148</f>
        <v>0</v>
      </c>
    </row>
    <row r="149" spans="1:36" ht="10.199999999999999" x14ac:dyDescent="0.2">
      <c r="A149" s="10">
        <f t="shared" si="11"/>
        <v>40128.999999999651</v>
      </c>
      <c r="B149" s="1">
        <f>'Long Term Deals'!AF149</f>
        <v>58611.825192802062</v>
      </c>
      <c r="C149" s="1">
        <f>'Long Term Deals'!AG149</f>
        <v>0</v>
      </c>
      <c r="D149" s="1">
        <f>'Long Term Deals'!AH149</f>
        <v>77120.822622107968</v>
      </c>
      <c r="E149" s="1">
        <f>'Long Term Deals'!AI149</f>
        <v>0</v>
      </c>
      <c r="F149" s="1">
        <f>'Long Term Deals'!AJ149</f>
        <v>0</v>
      </c>
      <c r="G149" s="1">
        <f>'Long Term Deals'!AK149</f>
        <v>0</v>
      </c>
      <c r="H149" s="1">
        <f>'Long Term Deals'!AL149</f>
        <v>0</v>
      </c>
      <c r="I149" s="1">
        <f>'Long Term Deals'!AM149</f>
        <v>29306</v>
      </c>
      <c r="J149" s="1">
        <f>'Long Term Deals'!AN149</f>
        <v>0</v>
      </c>
      <c r="K149" s="1">
        <f>'Long Term Deals'!AO149</f>
        <v>38560</v>
      </c>
      <c r="L149" s="1">
        <f>'Long Term Deals'!AP149</f>
        <v>0</v>
      </c>
      <c r="M149" s="1">
        <f>'Long Term Deals'!AQ149</f>
        <v>0</v>
      </c>
      <c r="N149" s="1">
        <f>'Long Term Deals'!AR149</f>
        <v>29305.825192802062</v>
      </c>
      <c r="O149" s="1">
        <f>'Long Term Deals'!AS149</f>
        <v>0</v>
      </c>
      <c r="P149" s="1">
        <f>'Long Term Deals'!AT149</f>
        <v>38560.822622107968</v>
      </c>
      <c r="Q149" s="1">
        <f>'Long Term Deals'!AU149</f>
        <v>0</v>
      </c>
      <c r="R149" s="1">
        <f>'Long Term Deals'!AV149</f>
        <v>0</v>
      </c>
      <c r="S149" s="20">
        <f>'Long Term Deals'!AW149</f>
        <v>0.02</v>
      </c>
      <c r="T149" s="20">
        <f>'Long Term Deals'!AX149</f>
        <v>1.4999999999999999E-2</v>
      </c>
      <c r="U149" s="1">
        <f>'Long Term Deals'!AY149</f>
        <v>15168619.907780243</v>
      </c>
      <c r="V149" s="1">
        <f>'Long Term Deals'!AZ149</f>
        <v>15032578.776674844</v>
      </c>
      <c r="W149" s="6">
        <f t="shared" si="12"/>
        <v>136041.13110539876</v>
      </c>
      <c r="X149" s="6">
        <f>'Long Term Deals'!CA149</f>
        <v>20359.897172236506</v>
      </c>
      <c r="Z149" s="1">
        <f>[3]Sheet1!$O169</f>
        <v>-299864.5305321496</v>
      </c>
      <c r="AA149" s="1">
        <f>'[4]Long Term Deals'!$Z148</f>
        <v>-30530.341227006029</v>
      </c>
      <c r="AB149" s="60">
        <f t="shared" si="15"/>
        <v>385015.42323830578</v>
      </c>
      <c r="AC149" s="60">
        <f t="shared" si="13"/>
        <v>385015.42323830578</v>
      </c>
      <c r="AD149" s="60">
        <f t="shared" si="14"/>
        <v>136041.1311053987</v>
      </c>
      <c r="AE149" s="28">
        <f>(W149-Z149+AA149)/(B149+C149+D149)/'Prices&amp;Fuel'!H149</f>
        <v>9.9552398762437461E-2</v>
      </c>
      <c r="AF149" s="3">
        <v>132000</v>
      </c>
      <c r="AG149" s="1">
        <f>((((I149*'Prices&amp;Fuel'!B149+'Prices&amp;Fuel'!C149*FPL!J149+FPL!K149*'Prices&amp;Fuel'!D149))+(L149*'Prices&amp;Fuel'!B149+'Prices&amp;Fuel'!C149*FPL!M149))*'Prices&amp;Fuel'!H149)+(I149+J149+K149)*'Prices&amp;Fuel'!H149*FPL!T149+Q149/2</f>
        <v>7516253.4469562508</v>
      </c>
      <c r="AH149" s="1">
        <f>(N149*'Prices&amp;Fuel'!B149+'Prices&amp;Fuel'!C149*O149+P149*'Prices&amp;Fuel'!D149)*'Prices&amp;Fuel'!H149+(N149+O149+P149)*'Prices&amp;Fuel'!H149*FPL!T149+Q149/2</f>
        <v>7516325.3297185944</v>
      </c>
      <c r="AI149" s="1">
        <f>R149*'Prices&amp;Fuel'!H149*'Prices&amp;Fuel'!Q149</f>
        <v>0</v>
      </c>
      <c r="AJ149" s="52">
        <f>SUM(AG149:AI149)-'Long Term Deals'!AZ149</f>
        <v>0</v>
      </c>
    </row>
    <row r="150" spans="1:36" ht="10.199999999999999" x14ac:dyDescent="0.2">
      <c r="A150" s="10">
        <f t="shared" si="11"/>
        <v>40159.416666666315</v>
      </c>
      <c r="B150" s="1">
        <f>'Long Term Deals'!AF150</f>
        <v>58611.825192802062</v>
      </c>
      <c r="C150" s="1">
        <f>'Long Term Deals'!AG150</f>
        <v>0</v>
      </c>
      <c r="D150" s="1">
        <f>'Long Term Deals'!AH150</f>
        <v>77120.822622107968</v>
      </c>
      <c r="E150" s="1">
        <f>'Long Term Deals'!AI150</f>
        <v>0</v>
      </c>
      <c r="F150" s="1">
        <f>'Long Term Deals'!AJ150</f>
        <v>0</v>
      </c>
      <c r="G150" s="1">
        <f>'Long Term Deals'!AK150</f>
        <v>0</v>
      </c>
      <c r="H150" s="1">
        <f>'Long Term Deals'!AL150</f>
        <v>0</v>
      </c>
      <c r="I150" s="1">
        <f>'Long Term Deals'!AM150</f>
        <v>29306</v>
      </c>
      <c r="J150" s="1">
        <f>'Long Term Deals'!AN150</f>
        <v>0</v>
      </c>
      <c r="K150" s="1">
        <f>'Long Term Deals'!AO150</f>
        <v>38560</v>
      </c>
      <c r="L150" s="1">
        <f>'Long Term Deals'!AP150</f>
        <v>0</v>
      </c>
      <c r="M150" s="1">
        <f>'Long Term Deals'!AQ150</f>
        <v>0</v>
      </c>
      <c r="N150" s="1">
        <f>'Long Term Deals'!AR150</f>
        <v>29305.825192802062</v>
      </c>
      <c r="O150" s="1">
        <f>'Long Term Deals'!AS150</f>
        <v>0</v>
      </c>
      <c r="P150" s="1">
        <f>'Long Term Deals'!AT150</f>
        <v>38560.822622107968</v>
      </c>
      <c r="Q150" s="1">
        <f>'Long Term Deals'!AU150</f>
        <v>0</v>
      </c>
      <c r="R150" s="1">
        <f>'Long Term Deals'!AV150</f>
        <v>0</v>
      </c>
      <c r="S150" s="20">
        <f>'Long Term Deals'!AW150</f>
        <v>0.02</v>
      </c>
      <c r="T150" s="20">
        <f>'Long Term Deals'!AX150</f>
        <v>1.4999999999999999E-2</v>
      </c>
      <c r="U150" s="1">
        <f>'Long Term Deals'!AY150</f>
        <v>11704352.121477537</v>
      </c>
      <c r="V150" s="1">
        <f>'Long Term Deals'!AZ150</f>
        <v>11563776.286001958</v>
      </c>
      <c r="W150" s="6">
        <f t="shared" si="12"/>
        <v>140575.8354755789</v>
      </c>
      <c r="X150" s="6">
        <f>'Long Term Deals'!CA150</f>
        <v>21038.560411311057</v>
      </c>
      <c r="Z150" s="1">
        <f>[3]Sheet1!$O170</f>
        <v>-309860.01488322119</v>
      </c>
      <c r="AA150" s="1">
        <f>'[4]Long Term Deals'!$Z149</f>
        <v>-31548.019267906231</v>
      </c>
      <c r="AB150" s="60">
        <f t="shared" si="15"/>
        <v>397849.27067958278</v>
      </c>
      <c r="AC150" s="60">
        <f t="shared" si="13"/>
        <v>397849.27067958278</v>
      </c>
      <c r="AD150" s="60">
        <f t="shared" si="14"/>
        <v>140575.83547557888</v>
      </c>
      <c r="AE150" s="28">
        <f>(W150-Z150+AA150)/(B150+C150+D150)/'Prices&amp;Fuel'!H150</f>
        <v>9.9552398762437488E-2</v>
      </c>
      <c r="AF150" s="3">
        <v>132000</v>
      </c>
      <c r="AG150" s="1">
        <f>((((I150*'Prices&amp;Fuel'!B150+'Prices&amp;Fuel'!C150*FPL!J150+FPL!K150*'Prices&amp;Fuel'!D150))+(L150*'Prices&amp;Fuel'!B150+'Prices&amp;Fuel'!C150*FPL!M150))*'Prices&amp;Fuel'!H150)+(I150+J150+K150)*'Prices&amp;Fuel'!H150*FPL!T150+Q150/2</f>
        <v>5781860.4771712059</v>
      </c>
      <c r="AH150" s="1">
        <f>(N150*'Prices&amp;Fuel'!B150+'Prices&amp;Fuel'!C150*O150+P150*'Prices&amp;Fuel'!D150)*'Prices&amp;Fuel'!H150+(N150+O150+P150)*'Prices&amp;Fuel'!H150*FPL!T150+Q150/2</f>
        <v>5781915.808830752</v>
      </c>
      <c r="AI150" s="1">
        <f>R150*'Prices&amp;Fuel'!H150*'Prices&amp;Fuel'!Q150</f>
        <v>0</v>
      </c>
      <c r="AJ150" s="52">
        <f>SUM(AG150:AI150)-'Long Term Deals'!AZ150</f>
        <v>0</v>
      </c>
    </row>
    <row r="151" spans="1:36" ht="10.199999999999999" x14ac:dyDescent="0.2">
      <c r="A151" s="10">
        <f t="shared" si="11"/>
        <v>40189.833333332979</v>
      </c>
      <c r="B151" s="1">
        <f>'Long Term Deals'!AF151</f>
        <v>58611.825192802062</v>
      </c>
      <c r="C151" s="1">
        <f>'Long Term Deals'!AG151</f>
        <v>0</v>
      </c>
      <c r="D151" s="1">
        <f>'Long Term Deals'!AH151</f>
        <v>77120.822622107968</v>
      </c>
      <c r="E151" s="1">
        <f>'Long Term Deals'!AI151</f>
        <v>0</v>
      </c>
      <c r="F151" s="1">
        <f>'Long Term Deals'!AJ151</f>
        <v>0</v>
      </c>
      <c r="G151" s="1">
        <f>'Long Term Deals'!AK151</f>
        <v>0</v>
      </c>
      <c r="H151" s="1">
        <f>'Long Term Deals'!AL151</f>
        <v>0</v>
      </c>
      <c r="I151" s="1">
        <f>'Long Term Deals'!AM151</f>
        <v>29306</v>
      </c>
      <c r="J151" s="1">
        <f>'Long Term Deals'!AN151</f>
        <v>0</v>
      </c>
      <c r="K151" s="1">
        <f>'Long Term Deals'!AO151</f>
        <v>38560</v>
      </c>
      <c r="L151" s="1">
        <f>'Long Term Deals'!AP151</f>
        <v>0</v>
      </c>
      <c r="M151" s="1">
        <f>'Long Term Deals'!AQ151</f>
        <v>0</v>
      </c>
      <c r="N151" s="1">
        <f>'Long Term Deals'!AR151</f>
        <v>29305.825192802062</v>
      </c>
      <c r="O151" s="1">
        <f>'Long Term Deals'!AS151</f>
        <v>0</v>
      </c>
      <c r="P151" s="1">
        <f>'Long Term Deals'!AT151</f>
        <v>38560.822622107968</v>
      </c>
      <c r="Q151" s="1">
        <f>'Long Term Deals'!AU151</f>
        <v>0</v>
      </c>
      <c r="R151" s="1">
        <f>'Long Term Deals'!AV151</f>
        <v>0</v>
      </c>
      <c r="S151" s="20">
        <f>'Long Term Deals'!AW151</f>
        <v>0.02</v>
      </c>
      <c r="T151" s="20">
        <f>'Long Term Deals'!AX151</f>
        <v>1.4999999999999999E-2</v>
      </c>
      <c r="U151" s="1">
        <f>'Long Term Deals'!AY151</f>
        <v>10318049.02982657</v>
      </c>
      <c r="V151" s="1">
        <f>'Long Term Deals'!AZ151</f>
        <v>10177473.194350991</v>
      </c>
      <c r="W151" s="6">
        <f t="shared" si="12"/>
        <v>140575.8354755789</v>
      </c>
      <c r="X151" s="6">
        <f>'Long Term Deals'!CA151</f>
        <v>21038.560411311057</v>
      </c>
      <c r="Z151" s="1">
        <f>[3]Sheet1!$O172</f>
        <v>-309860.01488322119</v>
      </c>
      <c r="AA151" s="1">
        <f>'[4]Long Term Deals'!$Z150</f>
        <v>-31548.019267906231</v>
      </c>
      <c r="AB151" s="60">
        <f t="shared" si="15"/>
        <v>397849.27067958278</v>
      </c>
      <c r="AC151" s="60">
        <f t="shared" si="13"/>
        <v>397849.27067958278</v>
      </c>
      <c r="AD151" s="60">
        <f t="shared" si="14"/>
        <v>140575.83547557888</v>
      </c>
      <c r="AE151" s="28">
        <f>(W151-Z151+AA151)/(B151+C151+D151)/'Prices&amp;Fuel'!H151</f>
        <v>9.9552398762437488E-2</v>
      </c>
      <c r="AF151" s="3">
        <v>132000</v>
      </c>
      <c r="AG151" s="1">
        <f>((((I151*'Prices&amp;Fuel'!B151+'Prices&amp;Fuel'!C151*FPL!J151+FPL!K151*'Prices&amp;Fuel'!D151))+(L151*'Prices&amp;Fuel'!B151+'Prices&amp;Fuel'!C151*FPL!M151))*'Prices&amp;Fuel'!H151)+(I151+J151+K151)*'Prices&amp;Fuel'!H151*FPL!T151+Q151/2</f>
        <v>5088712.2395690093</v>
      </c>
      <c r="AH151" s="1">
        <f>(N151*'Prices&amp;Fuel'!B151+'Prices&amp;Fuel'!C151*O151+P151*'Prices&amp;Fuel'!D151)*'Prices&amp;Fuel'!H151+(N151+O151+P151)*'Prices&amp;Fuel'!H151*FPL!T151+Q151/2</f>
        <v>5088760.954781983</v>
      </c>
      <c r="AI151" s="1">
        <f>R151*'Prices&amp;Fuel'!H151*'Prices&amp;Fuel'!Q151</f>
        <v>0</v>
      </c>
      <c r="AJ151" s="52">
        <f>SUM(AG151:AI151)-'Long Term Deals'!AZ151</f>
        <v>0</v>
      </c>
    </row>
    <row r="152" spans="1:36" ht="10.199999999999999" x14ac:dyDescent="0.2">
      <c r="A152" s="10">
        <f t="shared" si="11"/>
        <v>40220.249999999643</v>
      </c>
      <c r="B152" s="1">
        <f>'Long Term Deals'!AF152</f>
        <v>58611.825192802062</v>
      </c>
      <c r="C152" s="1">
        <f>'Long Term Deals'!AG152</f>
        <v>0</v>
      </c>
      <c r="D152" s="1">
        <f>'Long Term Deals'!AH152</f>
        <v>77120.822622107968</v>
      </c>
      <c r="E152" s="1">
        <f>'Long Term Deals'!AI152</f>
        <v>0</v>
      </c>
      <c r="F152" s="1">
        <f>'Long Term Deals'!AJ152</f>
        <v>0</v>
      </c>
      <c r="G152" s="1">
        <f>'Long Term Deals'!AK152</f>
        <v>0</v>
      </c>
      <c r="H152" s="1">
        <f>'Long Term Deals'!AL152</f>
        <v>0</v>
      </c>
      <c r="I152" s="1">
        <f>'Long Term Deals'!AM152</f>
        <v>29306</v>
      </c>
      <c r="J152" s="1">
        <f>'Long Term Deals'!AN152</f>
        <v>0</v>
      </c>
      <c r="K152" s="1">
        <f>'Long Term Deals'!AO152</f>
        <v>38560</v>
      </c>
      <c r="L152" s="1">
        <f>'Long Term Deals'!AP152</f>
        <v>0</v>
      </c>
      <c r="M152" s="1">
        <f>'Long Term Deals'!AQ152</f>
        <v>0</v>
      </c>
      <c r="N152" s="1">
        <f>'Long Term Deals'!AR152</f>
        <v>29305.825192802062</v>
      </c>
      <c r="O152" s="1">
        <f>'Long Term Deals'!AS152</f>
        <v>0</v>
      </c>
      <c r="P152" s="1">
        <f>'Long Term Deals'!AT152</f>
        <v>38560.822622107968</v>
      </c>
      <c r="Q152" s="1">
        <f>'Long Term Deals'!AU152</f>
        <v>0</v>
      </c>
      <c r="R152" s="1">
        <f>'Long Term Deals'!AV152</f>
        <v>0</v>
      </c>
      <c r="S152" s="20">
        <f>'Long Term Deals'!AW152</f>
        <v>0.02</v>
      </c>
      <c r="T152" s="20">
        <f>'Long Term Deals'!AX152</f>
        <v>1.4999999999999999E-2</v>
      </c>
      <c r="U152" s="1">
        <f>'Long Term Deals'!AY152</f>
        <v>10430689.455386646</v>
      </c>
      <c r="V152" s="1">
        <f>'Long Term Deals'!AZ152</f>
        <v>10303717.733021609</v>
      </c>
      <c r="W152" s="6">
        <f t="shared" si="12"/>
        <v>126971.72236503661</v>
      </c>
      <c r="X152" s="6">
        <f>'Long Term Deals'!CA152</f>
        <v>19002.570694087408</v>
      </c>
      <c r="Z152" s="1">
        <f>[3]Sheet1!$O173</f>
        <v>-279873.56183000625</v>
      </c>
      <c r="AA152" s="1">
        <f>'[4]Long Term Deals'!$Z151</f>
        <v>-28494.985145205632</v>
      </c>
      <c r="AB152" s="60">
        <f t="shared" si="15"/>
        <v>359347.7283557498</v>
      </c>
      <c r="AC152" s="60">
        <f t="shared" si="13"/>
        <v>359347.7283557498</v>
      </c>
      <c r="AD152" s="60">
        <f t="shared" si="14"/>
        <v>126971.72236503659</v>
      </c>
      <c r="AE152" s="28">
        <f>(W152-Z152+AA152)/(B152+C152+D152)/'Prices&amp;Fuel'!H152</f>
        <v>9.9552398762436864E-2</v>
      </c>
      <c r="AF152" s="3">
        <v>132000</v>
      </c>
      <c r="AG152" s="1">
        <f>((((I152*'Prices&amp;Fuel'!B152+'Prices&amp;Fuel'!C152*FPL!J152+FPL!K152*'Prices&amp;Fuel'!D152))+(L152*'Prices&amp;Fuel'!B152+'Prices&amp;Fuel'!C152*FPL!M152))*'Prices&amp;Fuel'!H152)+(I152+J152+K152)*'Prices&amp;Fuel'!H152*FPL!T152+Q152/2</f>
        <v>5151834.2144571226</v>
      </c>
      <c r="AH152" s="1">
        <f>(N152*'Prices&amp;Fuel'!B152+'Prices&amp;Fuel'!C152*O152+P152*'Prices&amp;Fuel'!D152)*'Prices&amp;Fuel'!H152+(N152+O152+P152)*'Prices&amp;Fuel'!H152*FPL!T152+Q152/2</f>
        <v>5151883.5185644859</v>
      </c>
      <c r="AI152" s="1">
        <f>R152*'Prices&amp;Fuel'!H152*'Prices&amp;Fuel'!Q152</f>
        <v>0</v>
      </c>
      <c r="AJ152" s="52">
        <f>SUM(AG152:AI152)-'Long Term Deals'!AZ152</f>
        <v>0</v>
      </c>
    </row>
    <row r="153" spans="1:36" x14ac:dyDescent="0.25">
      <c r="A153" s="10">
        <f t="shared" si="11"/>
        <v>40250.666666666308</v>
      </c>
      <c r="B153" s="1"/>
      <c r="U153" s="13"/>
      <c r="V153" s="13"/>
      <c r="W153" s="13"/>
      <c r="X153" s="6">
        <f>(B153+C153+D153+H153)*0.005*'Prices&amp;Fuel'!H153</f>
        <v>0</v>
      </c>
      <c r="Z153" s="1"/>
      <c r="AA153" s="1"/>
      <c r="AE153"/>
      <c r="AF153"/>
    </row>
    <row r="154" spans="1:36" x14ac:dyDescent="0.25">
      <c r="A154" s="10">
        <f t="shared" si="11"/>
        <v>40281.083333332972</v>
      </c>
      <c r="X154" s="6">
        <f>(B154+C154+D154+H154)*0.005*'Prices&amp;Fuel'!H154</f>
        <v>0</v>
      </c>
      <c r="Z154" s="1"/>
      <c r="AA154" s="1"/>
      <c r="AE154"/>
      <c r="AF154"/>
    </row>
    <row r="155" spans="1:36" x14ac:dyDescent="0.25">
      <c r="A155" s="10">
        <f t="shared" si="11"/>
        <v>40311.499999999636</v>
      </c>
      <c r="X155" s="6">
        <f>(B155+C155+D155+H155)*0.005*'Prices&amp;Fuel'!H155</f>
        <v>0</v>
      </c>
      <c r="Z155" s="1"/>
      <c r="AA155" s="1"/>
      <c r="AE155"/>
      <c r="AF155"/>
    </row>
    <row r="156" spans="1:36" x14ac:dyDescent="0.25">
      <c r="A156" s="10">
        <f t="shared" si="11"/>
        <v>40341.9166666663</v>
      </c>
      <c r="X156" s="6">
        <f>(B156+C156+D156+H156)*0.005*'Prices&amp;Fuel'!H156</f>
        <v>0</v>
      </c>
      <c r="AA156" s="1"/>
      <c r="AE156"/>
      <c r="AF156"/>
    </row>
    <row r="157" spans="1:36" x14ac:dyDescent="0.25">
      <c r="A157" s="10">
        <f t="shared" si="11"/>
        <v>40372.333333332965</v>
      </c>
      <c r="X157" s="6">
        <f>(B157+C157+D157+H157)*0.005*'Prices&amp;Fuel'!H157</f>
        <v>0</v>
      </c>
      <c r="AA157" s="1"/>
      <c r="AE157"/>
      <c r="AF157"/>
    </row>
    <row r="158" spans="1:36" x14ac:dyDescent="0.25">
      <c r="A158" s="10">
        <f t="shared" si="11"/>
        <v>40402.749999999629</v>
      </c>
      <c r="X158" s="6">
        <f>(B158+C158+D158+H158)*0.005*'Prices&amp;Fuel'!H158</f>
        <v>0</v>
      </c>
      <c r="AA158" s="1"/>
      <c r="AE158"/>
      <c r="AF158"/>
    </row>
    <row r="159" spans="1:36" x14ac:dyDescent="0.25">
      <c r="A159" s="10">
        <f t="shared" si="11"/>
        <v>40433.166666666293</v>
      </c>
      <c r="X159" s="6">
        <f>(B159+C159+D159+H159)*0.005*'Prices&amp;Fuel'!H159</f>
        <v>0</v>
      </c>
      <c r="AA159" s="1"/>
      <c r="AE159"/>
      <c r="AF159"/>
    </row>
    <row r="160" spans="1:36" x14ac:dyDescent="0.25">
      <c r="A160" s="10">
        <f t="shared" si="11"/>
        <v>40463.583333332957</v>
      </c>
      <c r="X160" s="6">
        <f>(B160+C160+D160+H160)*0.005*'Prices&amp;Fuel'!H160</f>
        <v>0</v>
      </c>
      <c r="AA160" s="1"/>
      <c r="AE160"/>
      <c r="AF160"/>
    </row>
    <row r="161" spans="1:32" x14ac:dyDescent="0.25">
      <c r="A161" s="10">
        <f t="shared" si="11"/>
        <v>40493.999999999622</v>
      </c>
      <c r="X161" s="6">
        <f>(B161+C161+D161+H161)*0.005*'Prices&amp;Fuel'!H161</f>
        <v>0</v>
      </c>
      <c r="AA161" s="1"/>
      <c r="AE161"/>
      <c r="AF161"/>
    </row>
    <row r="162" spans="1:32" x14ac:dyDescent="0.25">
      <c r="A162" s="10">
        <f t="shared" si="11"/>
        <v>40524.416666666286</v>
      </c>
      <c r="X162" s="6">
        <f>(B162+C162+D162+H162)*0.005*'Prices&amp;Fuel'!H162</f>
        <v>0</v>
      </c>
      <c r="AA162" s="1"/>
      <c r="AE162"/>
      <c r="AF162"/>
    </row>
    <row r="163" spans="1:32" x14ac:dyDescent="0.25">
      <c r="A163" s="10">
        <f t="shared" si="11"/>
        <v>40554.83333333295</v>
      </c>
      <c r="X163" s="6">
        <f>(B163+C163+D163+H163)*0.005*'Prices&amp;Fuel'!H163</f>
        <v>0</v>
      </c>
      <c r="AA163" s="1"/>
      <c r="AE163"/>
      <c r="AF163"/>
    </row>
    <row r="164" spans="1:32" x14ac:dyDescent="0.25">
      <c r="A164" s="10">
        <f t="shared" si="11"/>
        <v>40585.249999999614</v>
      </c>
      <c r="X164" s="6">
        <f>(B164+C164+D164+H164)*0.005*'Prices&amp;Fuel'!H164</f>
        <v>0</v>
      </c>
      <c r="AA164" s="1"/>
      <c r="AE164"/>
      <c r="AF164"/>
    </row>
    <row r="165" spans="1:32" x14ac:dyDescent="0.25">
      <c r="A165" s="10">
        <f t="shared" si="11"/>
        <v>40615.666666666279</v>
      </c>
      <c r="X165" s="6">
        <f>(B165+C165+D165+H165)*0.005*'Prices&amp;Fuel'!H165</f>
        <v>0</v>
      </c>
      <c r="AA165" s="1"/>
      <c r="AE165"/>
      <c r="AF165"/>
    </row>
    <row r="166" spans="1:32" x14ac:dyDescent="0.25">
      <c r="A166" s="10">
        <f t="shared" si="11"/>
        <v>40646.083333332943</v>
      </c>
      <c r="X166" s="6">
        <f>(B166+C166+D166+H166)*0.005*'Prices&amp;Fuel'!H166</f>
        <v>0</v>
      </c>
      <c r="AA166" s="1"/>
      <c r="AE166"/>
      <c r="AF166"/>
    </row>
    <row r="167" spans="1:32" x14ac:dyDescent="0.25">
      <c r="A167" s="10">
        <f t="shared" si="11"/>
        <v>40676.499999999607</v>
      </c>
      <c r="X167" s="6">
        <f>(B167+C167+D167+H167)*0.005*'Prices&amp;Fuel'!H167</f>
        <v>0</v>
      </c>
      <c r="AE167"/>
      <c r="AF167"/>
    </row>
    <row r="168" spans="1:32" x14ac:dyDescent="0.25">
      <c r="A168" s="10">
        <f t="shared" si="11"/>
        <v>40706.916666666271</v>
      </c>
      <c r="X168" s="6">
        <f>(B168+C168+D168+H168)*0.005*'Prices&amp;Fuel'!H168</f>
        <v>0</v>
      </c>
      <c r="AE168"/>
      <c r="AF168"/>
    </row>
    <row r="169" spans="1:32" x14ac:dyDescent="0.25">
      <c r="A169" s="10">
        <f t="shared" si="11"/>
        <v>40737.333333332936</v>
      </c>
      <c r="X169" s="6">
        <f>(B169+C169+D169+H169)*0.005*'Prices&amp;Fuel'!H169</f>
        <v>0</v>
      </c>
      <c r="AE169"/>
      <c r="AF169"/>
    </row>
    <row r="170" spans="1:32" x14ac:dyDescent="0.25">
      <c r="A170" s="10">
        <f t="shared" si="11"/>
        <v>40767.7499999996</v>
      </c>
      <c r="X170" s="6">
        <f>(B170+C170+D170+H170)*0.005*'Prices&amp;Fuel'!H170</f>
        <v>0</v>
      </c>
      <c r="AE170"/>
      <c r="AF170"/>
    </row>
    <row r="171" spans="1:32" x14ac:dyDescent="0.25">
      <c r="A171" s="10">
        <f t="shared" si="11"/>
        <v>40798.166666666264</v>
      </c>
      <c r="X171" s="6">
        <f>(B171+C171+D171+H171)*0.005*'Prices&amp;Fuel'!H171</f>
        <v>0</v>
      </c>
      <c r="AE171"/>
      <c r="AF171"/>
    </row>
    <row r="172" spans="1:32" x14ac:dyDescent="0.25">
      <c r="A172" s="10">
        <f t="shared" si="11"/>
        <v>40828.583333332928</v>
      </c>
      <c r="X172" s="6">
        <f>(B172+C172+D172+H172)*0.005*'Prices&amp;Fuel'!H172</f>
        <v>0</v>
      </c>
      <c r="AE172"/>
      <c r="AF172"/>
    </row>
    <row r="173" spans="1:32" x14ac:dyDescent="0.25">
      <c r="A173" s="10">
        <f t="shared" si="11"/>
        <v>40858.999999999593</v>
      </c>
      <c r="X173" s="6">
        <f>(B173+C173+D173+H173)*0.005*'Prices&amp;Fuel'!H173</f>
        <v>0</v>
      </c>
      <c r="AE173"/>
      <c r="AF173"/>
    </row>
    <row r="174" spans="1:32" x14ac:dyDescent="0.25">
      <c r="A174" s="10">
        <f t="shared" si="11"/>
        <v>40889.416666666257</v>
      </c>
      <c r="X174" s="6">
        <f>(B174+C174+D174+H174)*0.005*'Prices&amp;Fuel'!H174</f>
        <v>0</v>
      </c>
      <c r="AE174"/>
      <c r="AF174"/>
    </row>
    <row r="175" spans="1:32" x14ac:dyDescent="0.25">
      <c r="A175" s="10">
        <f t="shared" si="11"/>
        <v>40919.833333332921</v>
      </c>
      <c r="X175" s="6">
        <f>(B175+C175+D175+H175)*0.005*'Prices&amp;Fuel'!H175</f>
        <v>0</v>
      </c>
      <c r="AE175"/>
      <c r="AF175"/>
    </row>
    <row r="176" spans="1:32" x14ac:dyDescent="0.25">
      <c r="A176" s="10">
        <f t="shared" si="11"/>
        <v>40950.249999999585</v>
      </c>
      <c r="X176" s="6">
        <f>(B176+C176+D176+H176)*0.005*'Prices&amp;Fuel'!H176</f>
        <v>0</v>
      </c>
      <c r="AE176"/>
      <c r="AF176"/>
    </row>
    <row r="177" spans="1:32" x14ac:dyDescent="0.25">
      <c r="A177" s="10">
        <f t="shared" si="11"/>
        <v>40980.66666666625</v>
      </c>
      <c r="X177" s="6">
        <f>(B177+C177+D177+H177)*0.005*'Prices&amp;Fuel'!H177</f>
        <v>0</v>
      </c>
      <c r="AE177"/>
      <c r="AF177"/>
    </row>
    <row r="178" spans="1:32" x14ac:dyDescent="0.25">
      <c r="A178" s="10">
        <f t="shared" si="11"/>
        <v>41011.083333332914</v>
      </c>
      <c r="X178" s="6">
        <f>(B178+C178+D178+H178)*0.005*'Prices&amp;Fuel'!H178</f>
        <v>0</v>
      </c>
      <c r="AE178"/>
      <c r="AF178"/>
    </row>
    <row r="179" spans="1:32" x14ac:dyDescent="0.25">
      <c r="A179" s="10">
        <f t="shared" si="11"/>
        <v>41041.499999999578</v>
      </c>
      <c r="X179" s="6">
        <f>(B179+C179+D179+H179)*0.005*'Prices&amp;Fuel'!H179</f>
        <v>0</v>
      </c>
      <c r="AE179"/>
      <c r="AF179"/>
    </row>
    <row r="180" spans="1:32" x14ac:dyDescent="0.25">
      <c r="A180" s="10">
        <f t="shared" si="11"/>
        <v>41071.916666666242</v>
      </c>
      <c r="X180" s="6">
        <f>(B180+C180+D180+H180)*0.005*'Prices&amp;Fuel'!H180</f>
        <v>0</v>
      </c>
      <c r="AE180"/>
      <c r="AF180"/>
    </row>
    <row r="181" spans="1:32" x14ac:dyDescent="0.25">
      <c r="A181" s="10">
        <f t="shared" si="11"/>
        <v>41102.333333332906</v>
      </c>
      <c r="X181" s="6">
        <f>(B181+C181+D181+H181)*0.005*'Prices&amp;Fuel'!H181</f>
        <v>0</v>
      </c>
      <c r="AE181"/>
      <c r="AF181"/>
    </row>
    <row r="182" spans="1:32" x14ac:dyDescent="0.25">
      <c r="A182" s="10">
        <f t="shared" si="11"/>
        <v>41132.749999999571</v>
      </c>
      <c r="X182" s="6">
        <f>(B182+C182+D182+H182)*0.005*'Prices&amp;Fuel'!H182</f>
        <v>0</v>
      </c>
      <c r="AE182"/>
      <c r="AF182"/>
    </row>
    <row r="183" spans="1:32" x14ac:dyDescent="0.25">
      <c r="A183" s="10">
        <f t="shared" si="11"/>
        <v>41163.166666666235</v>
      </c>
      <c r="X183" s="6">
        <f>(B183+C183+D183+H183)*0.005*'Prices&amp;Fuel'!H183</f>
        <v>0</v>
      </c>
      <c r="AE183"/>
      <c r="AF183"/>
    </row>
    <row r="184" spans="1:32" x14ac:dyDescent="0.25">
      <c r="A184" s="10">
        <f t="shared" si="11"/>
        <v>41193.583333332899</v>
      </c>
      <c r="X184" s="6">
        <f>(B184+C184+D184+H184)*0.005*'Prices&amp;Fuel'!H184</f>
        <v>0</v>
      </c>
      <c r="AE184"/>
      <c r="AF184"/>
    </row>
    <row r="185" spans="1:32" x14ac:dyDescent="0.25">
      <c r="A185" s="10">
        <f t="shared" si="11"/>
        <v>41223.999999999563</v>
      </c>
      <c r="X185" s="6">
        <f>(B185+C185+D185+H185)*0.005*'Prices&amp;Fuel'!H185</f>
        <v>0</v>
      </c>
      <c r="AE185"/>
      <c r="AF185"/>
    </row>
    <row r="186" spans="1:32" x14ac:dyDescent="0.25">
      <c r="A186" s="10">
        <f t="shared" si="11"/>
        <v>41254.416666666228</v>
      </c>
      <c r="X186" s="6">
        <f>(B186+C186+D186+H186)*0.005*'Prices&amp;Fuel'!H186</f>
        <v>0</v>
      </c>
      <c r="AE186"/>
      <c r="AF186"/>
    </row>
    <row r="187" spans="1:32" x14ac:dyDescent="0.25">
      <c r="A187" s="10">
        <f t="shared" si="11"/>
        <v>41284.833333332892</v>
      </c>
      <c r="X187" s="6">
        <f>(B187+C187+D187+H187)*0.005*'Prices&amp;Fuel'!H187</f>
        <v>0</v>
      </c>
      <c r="AE187"/>
      <c r="AF187"/>
    </row>
    <row r="188" spans="1:32" x14ac:dyDescent="0.25">
      <c r="A188" s="10">
        <f t="shared" si="11"/>
        <v>41315.249999999556</v>
      </c>
      <c r="X188" s="6">
        <f>(B188+C188+D188+H188)*0.005*'Prices&amp;Fuel'!H188</f>
        <v>0</v>
      </c>
      <c r="AE188"/>
      <c r="AF188"/>
    </row>
    <row r="189" spans="1:32" x14ac:dyDescent="0.25">
      <c r="A189" s="10">
        <f t="shared" si="11"/>
        <v>41345.66666666622</v>
      </c>
      <c r="X189" s="6">
        <f>(B189+C189+D189+H189)*0.005*'Prices&amp;Fuel'!H189</f>
        <v>0</v>
      </c>
      <c r="AE189"/>
      <c r="AF189"/>
    </row>
    <row r="190" spans="1:32" x14ac:dyDescent="0.25">
      <c r="A190" s="10">
        <f t="shared" si="11"/>
        <v>41376.083333332885</v>
      </c>
      <c r="X190" s="6">
        <f>(B190+C190+D190+H190)*0.005*'Prices&amp;Fuel'!H190</f>
        <v>0</v>
      </c>
      <c r="AE190"/>
      <c r="AF190"/>
    </row>
    <row r="191" spans="1:32" x14ac:dyDescent="0.25">
      <c r="A191" s="10">
        <f t="shared" si="11"/>
        <v>41406.499999999549</v>
      </c>
      <c r="X191" s="6">
        <f>(B191+C191+D191+H191)*0.005*'Prices&amp;Fuel'!H191</f>
        <v>0</v>
      </c>
      <c r="AE191"/>
      <c r="AF191"/>
    </row>
    <row r="192" spans="1:32" x14ac:dyDescent="0.25">
      <c r="A192" s="10">
        <f t="shared" si="11"/>
        <v>41436.916666666213</v>
      </c>
      <c r="X192" s="6">
        <f>(B192+C192+D192+H192)*0.005*'Prices&amp;Fuel'!H192</f>
        <v>0</v>
      </c>
      <c r="AE192"/>
      <c r="AF192"/>
    </row>
    <row r="193" spans="1:32" x14ac:dyDescent="0.25">
      <c r="A193" s="10">
        <f t="shared" si="11"/>
        <v>41467.333333332877</v>
      </c>
      <c r="X193" s="6">
        <f>(B193+C193+D193+H193)*0.005*'Prices&amp;Fuel'!H193</f>
        <v>0</v>
      </c>
      <c r="AE193"/>
      <c r="AF193"/>
    </row>
    <row r="194" spans="1:32" x14ac:dyDescent="0.25">
      <c r="A194" s="10">
        <f t="shared" si="11"/>
        <v>41497.749999999542</v>
      </c>
      <c r="X194" s="6">
        <f>(B194+C194+D194+H194)*0.005*'Prices&amp;Fuel'!H194</f>
        <v>0</v>
      </c>
      <c r="AE194"/>
      <c r="AF194"/>
    </row>
    <row r="195" spans="1:32" x14ac:dyDescent="0.25">
      <c r="A195" s="10">
        <f t="shared" si="11"/>
        <v>41528.166666666206</v>
      </c>
      <c r="X195" s="6">
        <f>(B195+C195+D195+H195)*0.005*'Prices&amp;Fuel'!H195</f>
        <v>0</v>
      </c>
      <c r="AE195"/>
      <c r="AF195"/>
    </row>
    <row r="196" spans="1:32" x14ac:dyDescent="0.25">
      <c r="A196" s="10">
        <f t="shared" si="11"/>
        <v>41558.58333333287</v>
      </c>
      <c r="B196" s="1"/>
      <c r="D196" s="1"/>
      <c r="E196" s="1"/>
      <c r="F196" s="1"/>
      <c r="G196" s="1"/>
      <c r="H196" s="1"/>
      <c r="I196" s="1"/>
      <c r="J196" s="1"/>
      <c r="K196" s="1"/>
      <c r="L196" s="1"/>
      <c r="M196" s="1"/>
      <c r="N196" s="1"/>
      <c r="O196" s="1"/>
      <c r="P196" s="1"/>
      <c r="Q196" s="1"/>
      <c r="S196" s="1"/>
      <c r="T196" s="1"/>
      <c r="U196" s="1"/>
      <c r="V196" s="1"/>
      <c r="W196" s="1"/>
      <c r="X196" s="1"/>
      <c r="AE196"/>
      <c r="AF196"/>
    </row>
    <row r="197" spans="1:32" x14ac:dyDescent="0.25">
      <c r="A197" s="10">
        <f t="shared" si="11"/>
        <v>41588.999999999534</v>
      </c>
      <c r="B197" s="1"/>
      <c r="D197" s="1"/>
      <c r="E197" s="1"/>
      <c r="F197" s="1"/>
      <c r="G197" s="1"/>
      <c r="H197" s="1"/>
      <c r="I197" s="1"/>
      <c r="J197" s="1"/>
      <c r="K197" s="1"/>
      <c r="L197" s="1"/>
      <c r="M197" s="1"/>
      <c r="N197" s="1"/>
      <c r="O197" s="1"/>
      <c r="P197" s="1"/>
      <c r="Q197" s="1"/>
      <c r="S197" s="1"/>
      <c r="T197" s="1"/>
      <c r="U197" s="1"/>
      <c r="V197" s="1"/>
      <c r="W197" s="1"/>
      <c r="X197" s="1"/>
      <c r="AE197"/>
      <c r="AF197"/>
    </row>
    <row r="198" spans="1:32" x14ac:dyDescent="0.25">
      <c r="A198" s="10">
        <f t="shared" ref="A198:A212" si="16">+A197+365/12</f>
        <v>41619.416666666199</v>
      </c>
      <c r="B198" s="1"/>
      <c r="D198" s="1"/>
      <c r="E198" s="1"/>
      <c r="F198" s="1"/>
      <c r="G198" s="1"/>
      <c r="H198" s="1"/>
      <c r="I198" s="1"/>
      <c r="J198" s="1"/>
      <c r="K198" s="1"/>
      <c r="L198" s="1"/>
      <c r="M198" s="1"/>
      <c r="N198" s="1"/>
      <c r="O198" s="1"/>
      <c r="P198" s="1"/>
      <c r="Q198" s="1"/>
      <c r="S198" s="1"/>
      <c r="T198" s="1"/>
      <c r="U198" s="1"/>
      <c r="V198" s="1"/>
      <c r="W198" s="1"/>
      <c r="X198" s="1"/>
      <c r="AE198"/>
      <c r="AF198"/>
    </row>
    <row r="199" spans="1:32" x14ac:dyDescent="0.25">
      <c r="A199" s="10">
        <f t="shared" si="16"/>
        <v>41649.833333332863</v>
      </c>
      <c r="B199" s="1"/>
      <c r="D199" s="1"/>
      <c r="E199" s="1"/>
      <c r="F199" s="1"/>
      <c r="G199" s="1"/>
      <c r="H199" s="1"/>
      <c r="I199" s="1"/>
      <c r="J199" s="1"/>
      <c r="K199" s="1"/>
      <c r="L199" s="1"/>
      <c r="M199" s="1"/>
      <c r="N199" s="1"/>
      <c r="O199" s="1"/>
      <c r="P199" s="1"/>
      <c r="Q199" s="1"/>
      <c r="S199" s="1"/>
      <c r="T199" s="1"/>
      <c r="U199" s="1"/>
      <c r="V199" s="1"/>
      <c r="W199" s="1"/>
      <c r="X199" s="1"/>
      <c r="AE199"/>
      <c r="AF199"/>
    </row>
    <row r="200" spans="1:32" customFormat="1" x14ac:dyDescent="0.25">
      <c r="A200" s="10">
        <f t="shared" si="16"/>
        <v>41680.249999999527</v>
      </c>
      <c r="C200" s="53"/>
      <c r="R200" s="53"/>
    </row>
    <row r="201" spans="1:32" customFormat="1" x14ac:dyDescent="0.25">
      <c r="A201" s="10">
        <f t="shared" si="16"/>
        <v>41710.666666666191</v>
      </c>
      <c r="C201" s="53"/>
      <c r="R201" s="53"/>
    </row>
    <row r="202" spans="1:32" customFormat="1" x14ac:dyDescent="0.25">
      <c r="A202" s="10">
        <f t="shared" si="16"/>
        <v>41741.083333332856</v>
      </c>
      <c r="C202" s="53"/>
      <c r="R202" s="53"/>
    </row>
    <row r="203" spans="1:32" x14ac:dyDescent="0.25">
      <c r="A203" s="10">
        <f t="shared" si="16"/>
        <v>41771.49999999952</v>
      </c>
      <c r="AE203"/>
      <c r="AF203"/>
    </row>
    <row r="204" spans="1:32" x14ac:dyDescent="0.25">
      <c r="A204" s="10">
        <f t="shared" si="16"/>
        <v>41801.916666666184</v>
      </c>
      <c r="AE204"/>
      <c r="AF204"/>
    </row>
    <row r="205" spans="1:32" x14ac:dyDescent="0.25">
      <c r="A205" s="10">
        <f t="shared" si="16"/>
        <v>41832.333333332848</v>
      </c>
      <c r="AE205"/>
      <c r="AF205"/>
    </row>
    <row r="206" spans="1:32" x14ac:dyDescent="0.25">
      <c r="A206" s="10">
        <f t="shared" si="16"/>
        <v>41862.749999999513</v>
      </c>
      <c r="AE206"/>
      <c r="AF206"/>
    </row>
    <row r="207" spans="1:32" x14ac:dyDescent="0.25">
      <c r="A207" s="10">
        <f t="shared" si="16"/>
        <v>41893.166666666177</v>
      </c>
      <c r="AE207"/>
      <c r="AF207"/>
    </row>
    <row r="208" spans="1:32" x14ac:dyDescent="0.25">
      <c r="A208" s="10">
        <f t="shared" si="16"/>
        <v>41923.583333332841</v>
      </c>
      <c r="AE208"/>
      <c r="AF208"/>
    </row>
    <row r="209" spans="1:32" x14ac:dyDescent="0.25">
      <c r="A209" s="10">
        <f t="shared" si="16"/>
        <v>41953.999999999505</v>
      </c>
      <c r="AE209"/>
      <c r="AF209"/>
    </row>
    <row r="210" spans="1:32" x14ac:dyDescent="0.25">
      <c r="A210" s="10">
        <f t="shared" si="16"/>
        <v>41984.416666666169</v>
      </c>
      <c r="AE210"/>
      <c r="AF210"/>
    </row>
    <row r="211" spans="1:32" x14ac:dyDescent="0.25">
      <c r="A211" s="10">
        <f t="shared" si="16"/>
        <v>42014.833333332834</v>
      </c>
      <c r="AE211"/>
      <c r="AF211"/>
    </row>
    <row r="212" spans="1:32" x14ac:dyDescent="0.25">
      <c r="A212" s="10">
        <f t="shared" si="16"/>
        <v>42045.249999999498</v>
      </c>
      <c r="AE212"/>
      <c r="AF212"/>
    </row>
    <row r="213" spans="1:32" x14ac:dyDescent="0.25">
      <c r="AE213"/>
      <c r="AF213"/>
    </row>
    <row r="214" spans="1:32" x14ac:dyDescent="0.25">
      <c r="AE214"/>
      <c r="AF214"/>
    </row>
    <row r="215" spans="1:32" x14ac:dyDescent="0.25">
      <c r="AE215"/>
      <c r="AF215"/>
    </row>
    <row r="216" spans="1:32" x14ac:dyDescent="0.25">
      <c r="AE216"/>
      <c r="AF216"/>
    </row>
    <row r="217" spans="1:32" x14ac:dyDescent="0.25">
      <c r="AE217"/>
      <c r="AF217"/>
    </row>
    <row r="218" spans="1:32" x14ac:dyDescent="0.25">
      <c r="AE218"/>
      <c r="AF218"/>
    </row>
    <row r="219" spans="1:32" x14ac:dyDescent="0.25">
      <c r="AE219"/>
      <c r="AF219"/>
    </row>
    <row r="220" spans="1:32" x14ac:dyDescent="0.25">
      <c r="AE220"/>
      <c r="AF220"/>
    </row>
    <row r="221" spans="1:32" x14ac:dyDescent="0.25">
      <c r="AE221"/>
      <c r="AF221"/>
    </row>
    <row r="222" spans="1:32" x14ac:dyDescent="0.25">
      <c r="AE222"/>
      <c r="AF222"/>
    </row>
    <row r="223" spans="1:32" x14ac:dyDescent="0.25">
      <c r="AE223"/>
      <c r="AF223"/>
    </row>
    <row r="224" spans="1:32" x14ac:dyDescent="0.25">
      <c r="AE224"/>
      <c r="AF224"/>
    </row>
    <row r="225" spans="31:32" x14ac:dyDescent="0.25">
      <c r="AE225"/>
      <c r="AF225"/>
    </row>
    <row r="226" spans="31:32" x14ac:dyDescent="0.25">
      <c r="AE226"/>
      <c r="AF226"/>
    </row>
  </sheetData>
  <printOptions horizontalCentered="1" gridLines="1" gridLinesSet="0"/>
  <pageMargins left="0" right="0" top="0.75" bottom="0.25" header="0" footer="0"/>
  <pageSetup scale="75" orientation="landscape" horizontalDpi="300" verticalDpi="300" r:id="rId1"/>
  <headerFooter alignWithMargins="0"/>
  <colBreaks count="1" manualBreakCount="1">
    <brk id="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35"/>
  <sheetViews>
    <sheetView zoomScale="75" workbookViewId="0">
      <pane xSplit="1" ySplit="4" topLeftCell="B5" activePane="bottomRight" state="frozen"/>
      <selection activeCell="N24" sqref="N24"/>
      <selection pane="topRight" activeCell="N24" sqref="N24"/>
      <selection pane="bottomLeft" activeCell="N24" sqref="N24"/>
      <selection pane="bottomRight" activeCell="B5" sqref="B5"/>
    </sheetView>
  </sheetViews>
  <sheetFormatPr defaultColWidth="9.109375" defaultRowHeight="13.2" x14ac:dyDescent="0.25"/>
  <cols>
    <col min="1" max="1" width="9.109375" style="54"/>
    <col min="2" max="6" width="9.109375" style="1"/>
    <col min="7" max="7" width="9.109375" style="3"/>
    <col min="8" max="9" width="9.109375" style="1"/>
    <col min="10" max="10" width="9.109375" style="3"/>
    <col min="11" max="11" width="11.5546875" style="3" customWidth="1"/>
    <col min="12" max="12" width="10.44140625" customWidth="1"/>
    <col min="13" max="13" width="8.88671875" customWidth="1"/>
    <col min="14" max="14" width="2.6640625" style="3" customWidth="1"/>
    <col min="15" max="17" width="9.109375" style="3"/>
    <col min="18" max="19" width="9.109375" style="11"/>
    <col min="20" max="20" width="10.88671875" style="11" customWidth="1"/>
    <col min="21" max="21" width="11" style="11" customWidth="1"/>
    <col min="22" max="22" width="9.6640625" customWidth="1"/>
    <col min="23" max="23" width="2.6640625" style="3" customWidth="1"/>
    <col min="24" max="27" width="9.109375" style="3"/>
    <col min="28" max="28" width="10.109375" style="3" customWidth="1"/>
    <col min="29" max="29" width="10.33203125" style="3" customWidth="1"/>
    <col min="30" max="30" width="9.5546875" style="3" customWidth="1"/>
    <col min="31" max="31" width="2.6640625" style="3" customWidth="1"/>
    <col min="32" max="32" width="10.33203125" style="3" customWidth="1"/>
    <col min="33" max="33" width="10.109375" style="1" customWidth="1"/>
    <col min="34" max="37" width="10.88671875" style="3" customWidth="1"/>
    <col min="38" max="38" width="12" style="3" customWidth="1"/>
    <col min="39" max="39" width="9.88671875" style="3" customWidth="1"/>
    <col min="40" max="41" width="10.6640625" style="3" customWidth="1"/>
    <col min="42" max="43" width="10.5546875" style="3" customWidth="1"/>
    <col min="44" max="44" width="9.6640625" style="3" customWidth="1"/>
    <col min="45" max="45" width="9.88671875" style="3" customWidth="1"/>
    <col min="46" max="46" width="11.6640625" style="3" customWidth="1"/>
    <col min="47" max="47" width="9" style="3" customWidth="1"/>
    <col min="48" max="48" width="7.6640625" style="1" customWidth="1"/>
    <col min="49" max="49" width="7.33203125" style="3" customWidth="1"/>
    <col min="50" max="50" width="6.6640625" style="3" customWidth="1"/>
    <col min="51" max="51" width="11.5546875" style="3" customWidth="1"/>
    <col min="52" max="52" width="11" style="3" customWidth="1"/>
    <col min="53" max="53" width="11.44140625" style="3" customWidth="1"/>
    <col min="54" max="54" width="9.44140625" style="3" customWidth="1"/>
    <col min="55" max="55" width="11.6640625" style="3" customWidth="1"/>
    <col min="56" max="60" width="9.109375" style="3"/>
    <col min="61" max="62" width="10.5546875" style="3" customWidth="1"/>
    <col min="63" max="63" width="9.109375" style="3"/>
    <col min="64" max="64" width="10.44140625" style="3" customWidth="1"/>
    <col min="65" max="66" width="9.109375" style="3"/>
    <col min="67" max="67" width="12" style="3" customWidth="1"/>
    <col min="68" max="69" width="10.88671875" style="3" customWidth="1"/>
    <col min="70" max="71" width="9.6640625" style="1" customWidth="1"/>
    <col min="72" max="75" width="9.6640625" style="3" customWidth="1"/>
    <col min="76" max="79" width="9.109375" style="3"/>
    <col min="80" max="80" width="10.5546875" style="3" customWidth="1"/>
    <col min="81" max="81" width="10.88671875" style="3" customWidth="1"/>
    <col min="82" max="82" width="12.33203125" style="3" customWidth="1"/>
    <col min="83" max="83" width="11" style="3" customWidth="1"/>
    <col min="84" max="87" width="9.109375" style="3"/>
    <col min="88" max="88" width="11.5546875" style="3" customWidth="1"/>
    <col min="89" max="89" width="11.5546875" style="3" bestFit="1" customWidth="1"/>
    <col min="90" max="90" width="10.6640625" style="3" customWidth="1"/>
    <col min="91" max="91" width="10.5546875" style="3" customWidth="1"/>
    <col min="92" max="92" width="11.5546875" style="3" customWidth="1"/>
    <col min="93" max="93" width="11.109375" style="3" customWidth="1"/>
    <col min="94" max="94" width="9.109375" style="3"/>
    <col min="95" max="95" width="9.109375" style="1"/>
    <col min="96" max="96" width="10.5546875" style="1" customWidth="1"/>
    <col min="97" max="97" width="9.109375" style="3"/>
    <col min="98" max="98" width="10.33203125" style="3" customWidth="1"/>
    <col min="99" max="99" width="9.88671875" style="3" customWidth="1"/>
    <col min="100" max="100" width="10.44140625" style="3" customWidth="1"/>
    <col min="101" max="101" width="10.6640625" style="3" customWidth="1"/>
    <col min="102" max="103" width="11" style="3" customWidth="1"/>
    <col min="104" max="104" width="9.88671875" style="3" customWidth="1"/>
    <col min="105" max="105" width="8.88671875" style="3" customWidth="1"/>
    <col min="106" max="106" width="7.44140625" style="3" customWidth="1"/>
    <col min="107" max="107" width="9.109375" style="3"/>
    <col min="108" max="108" width="12.33203125" style="3" bestFit="1" customWidth="1"/>
    <col min="109" max="109" width="10.44140625" style="3" bestFit="1" customWidth="1"/>
    <col min="110" max="110" width="9.6640625" style="3" customWidth="1"/>
    <col min="111" max="111" width="9.109375" style="3"/>
    <col min="112" max="112" width="10.44140625" style="3" customWidth="1"/>
    <col min="113" max="16384" width="9.109375" style="3"/>
  </cols>
  <sheetData>
    <row r="1" spans="1:109" x14ac:dyDescent="0.25">
      <c r="CN1"/>
      <c r="CO1"/>
    </row>
    <row r="3" spans="1:109" ht="19.2" customHeight="1" x14ac:dyDescent="0.25">
      <c r="B3" s="4" t="s">
        <v>129</v>
      </c>
      <c r="C3" s="4"/>
      <c r="D3" s="4"/>
      <c r="E3" s="4"/>
      <c r="F3" s="4"/>
      <c r="G3" s="5"/>
      <c r="H3" s="4"/>
      <c r="I3" s="4"/>
      <c r="J3" s="5"/>
      <c r="K3" s="5"/>
      <c r="L3" s="16"/>
      <c r="M3" s="16"/>
      <c r="O3" s="5" t="s">
        <v>130</v>
      </c>
      <c r="P3" s="5"/>
      <c r="Q3" s="5"/>
      <c r="R3" s="17"/>
      <c r="S3" s="17"/>
      <c r="T3" s="17"/>
      <c r="U3" s="17"/>
      <c r="X3" s="5" t="s">
        <v>131</v>
      </c>
      <c r="Y3" s="5"/>
      <c r="Z3" s="5"/>
      <c r="AA3" s="5"/>
      <c r="AB3" s="5"/>
      <c r="AC3" s="5"/>
      <c r="AD3" s="5"/>
      <c r="AF3" s="5" t="s">
        <v>132</v>
      </c>
      <c r="AG3" s="4"/>
      <c r="AH3" s="5"/>
      <c r="AI3" s="5"/>
      <c r="AJ3" s="5"/>
      <c r="AK3" s="5"/>
      <c r="AL3" s="5"/>
      <c r="AM3" s="5"/>
      <c r="AN3" s="5"/>
      <c r="AO3" s="5"/>
      <c r="AP3" s="5"/>
      <c r="AQ3" s="5"/>
      <c r="AR3" s="5"/>
      <c r="AS3" s="5"/>
      <c r="AT3" s="5"/>
      <c r="AU3" s="5"/>
      <c r="AV3" s="4"/>
      <c r="AW3" s="5"/>
      <c r="AX3" s="5"/>
      <c r="AY3" s="5"/>
      <c r="AZ3" s="5"/>
      <c r="BA3" s="5"/>
      <c r="BB3" s="39" t="s">
        <v>0</v>
      </c>
      <c r="BC3" s="5"/>
      <c r="BD3" s="16"/>
      <c r="BE3" s="16"/>
      <c r="BF3" s="16"/>
      <c r="BG3" s="16"/>
      <c r="BH3" s="5"/>
      <c r="BI3" s="5"/>
      <c r="BJ3" s="5"/>
      <c r="BK3" s="5"/>
      <c r="BL3" s="16"/>
      <c r="BM3" s="5"/>
      <c r="BN3" s="5"/>
      <c r="BO3" s="5"/>
      <c r="BP3" s="5"/>
      <c r="BQ3" s="5"/>
      <c r="BR3" s="51" t="s">
        <v>133</v>
      </c>
      <c r="BS3" s="4"/>
      <c r="BT3" s="5"/>
      <c r="BU3" s="5"/>
      <c r="BV3" s="5"/>
      <c r="BW3" s="5"/>
      <c r="BX3" s="5"/>
      <c r="BY3" s="5"/>
      <c r="BZ3" s="5"/>
      <c r="CA3" s="50"/>
      <c r="CB3" s="50"/>
      <c r="CC3" s="50" t="s">
        <v>134</v>
      </c>
      <c r="CD3" s="50"/>
      <c r="CE3" s="50"/>
      <c r="CF3" s="5" t="s">
        <v>100</v>
      </c>
      <c r="CG3" s="5"/>
      <c r="CH3" s="5"/>
      <c r="CI3" s="5"/>
      <c r="CJ3" s="5" t="s">
        <v>135</v>
      </c>
      <c r="CK3" s="5"/>
      <c r="CL3" s="5"/>
    </row>
    <row r="4" spans="1:109" s="8" customFormat="1" ht="41.4" x14ac:dyDescent="0.25">
      <c r="A4" s="55" t="s">
        <v>183</v>
      </c>
      <c r="B4" s="6" t="s">
        <v>136</v>
      </c>
      <c r="C4" s="6" t="s">
        <v>137</v>
      </c>
      <c r="D4" s="6" t="s">
        <v>138</v>
      </c>
      <c r="E4" s="6" t="s">
        <v>139</v>
      </c>
      <c r="F4" s="6" t="s">
        <v>140</v>
      </c>
      <c r="G4" s="6" t="s">
        <v>141</v>
      </c>
      <c r="H4" s="7" t="s">
        <v>142</v>
      </c>
      <c r="I4" s="6" t="s">
        <v>143</v>
      </c>
      <c r="J4" s="6" t="s">
        <v>144</v>
      </c>
      <c r="K4" s="8" t="s">
        <v>11</v>
      </c>
      <c r="L4" s="8" t="s">
        <v>22</v>
      </c>
      <c r="M4" s="8" t="s">
        <v>23</v>
      </c>
      <c r="O4" s="6" t="s">
        <v>136</v>
      </c>
      <c r="P4" s="6" t="s">
        <v>137</v>
      </c>
      <c r="Q4" s="6" t="s">
        <v>138</v>
      </c>
      <c r="R4" s="18" t="s">
        <v>8</v>
      </c>
      <c r="S4" s="18" t="s">
        <v>32</v>
      </c>
      <c r="T4" s="8" t="s">
        <v>11</v>
      </c>
      <c r="U4" s="8" t="s">
        <v>22</v>
      </c>
      <c r="V4" s="8" t="s">
        <v>23</v>
      </c>
      <c r="X4" s="6" t="s">
        <v>136</v>
      </c>
      <c r="Y4" s="6" t="s">
        <v>138</v>
      </c>
      <c r="Z4" s="6" t="s">
        <v>8</v>
      </c>
      <c r="AA4" s="6" t="s">
        <v>32</v>
      </c>
      <c r="AB4" s="8" t="s">
        <v>11</v>
      </c>
      <c r="AC4" s="8" t="s">
        <v>22</v>
      </c>
      <c r="AD4" s="8" t="s">
        <v>23</v>
      </c>
      <c r="AF4" s="6" t="s">
        <v>136</v>
      </c>
      <c r="AG4" s="6" t="s">
        <v>137</v>
      </c>
      <c r="AH4" s="6" t="s">
        <v>145</v>
      </c>
      <c r="AI4" s="7" t="s">
        <v>146</v>
      </c>
      <c r="AJ4" s="7" t="s">
        <v>147</v>
      </c>
      <c r="AK4" s="7" t="s">
        <v>148</v>
      </c>
      <c r="AL4" s="7" t="s">
        <v>149</v>
      </c>
      <c r="AM4" s="9" t="s">
        <v>150</v>
      </c>
      <c r="AN4" s="9" t="s">
        <v>151</v>
      </c>
      <c r="AO4" s="9" t="s">
        <v>152</v>
      </c>
      <c r="AP4" s="9" t="s">
        <v>153</v>
      </c>
      <c r="AQ4" s="9" t="s">
        <v>154</v>
      </c>
      <c r="AR4" s="9" t="s">
        <v>155</v>
      </c>
      <c r="AS4" s="9" t="s">
        <v>156</v>
      </c>
      <c r="AT4" s="9" t="s">
        <v>157</v>
      </c>
      <c r="AU4" s="8" t="s">
        <v>158</v>
      </c>
      <c r="AV4" s="7" t="s">
        <v>159</v>
      </c>
      <c r="AW4" s="8" t="s">
        <v>160</v>
      </c>
      <c r="AX4" s="8" t="s">
        <v>161</v>
      </c>
      <c r="AY4" s="8" t="s">
        <v>11</v>
      </c>
      <c r="AZ4" s="8" t="s">
        <v>22</v>
      </c>
      <c r="BA4" s="8" t="s">
        <v>23</v>
      </c>
      <c r="BB4" s="8" t="s">
        <v>29</v>
      </c>
      <c r="BC4" s="8" t="s">
        <v>30</v>
      </c>
      <c r="BD4" s="8" t="s">
        <v>31</v>
      </c>
      <c r="BE4" s="8" t="s">
        <v>5</v>
      </c>
      <c r="BF4" s="8" t="s">
        <v>6</v>
      </c>
      <c r="BG4" s="8" t="s">
        <v>7</v>
      </c>
      <c r="BH4" s="6" t="s">
        <v>8</v>
      </c>
      <c r="BI4" s="7" t="s">
        <v>9</v>
      </c>
      <c r="BJ4" s="7" t="s">
        <v>10</v>
      </c>
      <c r="BK4" s="6" t="s">
        <v>32</v>
      </c>
      <c r="BL4" s="8" t="s">
        <v>11</v>
      </c>
      <c r="BM4" s="8" t="s">
        <v>18</v>
      </c>
      <c r="BN4" s="8" t="s">
        <v>19</v>
      </c>
      <c r="BO4" s="8" t="s">
        <v>20</v>
      </c>
      <c r="BP4" s="8" t="s">
        <v>22</v>
      </c>
      <c r="BQ4" s="8" t="s">
        <v>23</v>
      </c>
      <c r="BR4" s="26" t="s">
        <v>162</v>
      </c>
      <c r="BS4" s="22"/>
      <c r="BT4" s="27" t="s">
        <v>8</v>
      </c>
      <c r="BU4" s="24"/>
      <c r="BV4" s="27" t="s">
        <v>32</v>
      </c>
      <c r="BW4" s="24"/>
      <c r="BX4" s="8" t="s">
        <v>11</v>
      </c>
      <c r="BY4" s="8" t="s">
        <v>22</v>
      </c>
      <c r="BZ4" s="8" t="s">
        <v>23</v>
      </c>
      <c r="CA4" s="8" t="s">
        <v>163</v>
      </c>
      <c r="CB4" s="8" t="s">
        <v>164</v>
      </c>
      <c r="CC4" s="8" t="s">
        <v>11</v>
      </c>
      <c r="CD4" s="8" t="s">
        <v>22</v>
      </c>
      <c r="CE4" s="8" t="s">
        <v>23</v>
      </c>
      <c r="CF4" s="8" t="s">
        <v>11</v>
      </c>
      <c r="CG4" s="8" t="s">
        <v>165</v>
      </c>
      <c r="CH4" s="8" t="s">
        <v>22</v>
      </c>
      <c r="CI4" s="8" t="s">
        <v>23</v>
      </c>
      <c r="CJ4" s="8" t="s">
        <v>11</v>
      </c>
      <c r="CK4" s="8" t="s">
        <v>22</v>
      </c>
      <c r="CL4" s="8" t="s">
        <v>23</v>
      </c>
      <c r="CN4" s="8" t="s">
        <v>166</v>
      </c>
      <c r="CO4" s="8" t="str">
        <f>'Long Term Deals'!CO4</f>
        <v>Financial Payment</v>
      </c>
      <c r="CP4" s="8" t="s">
        <v>72</v>
      </c>
      <c r="CQ4" s="7" t="s">
        <v>121</v>
      </c>
      <c r="CR4" s="7" t="s">
        <v>122</v>
      </c>
      <c r="CT4" s="8" t="s">
        <v>169</v>
      </c>
      <c r="CU4" s="8" t="s">
        <v>170</v>
      </c>
      <c r="CW4" s="8" t="s">
        <v>184</v>
      </c>
      <c r="CX4" s="8" t="s">
        <v>185</v>
      </c>
      <c r="CZ4" s="8" t="s">
        <v>186</v>
      </c>
      <c r="DA4" s="8" t="s">
        <v>187</v>
      </c>
      <c r="DB4" s="8" t="s">
        <v>188</v>
      </c>
    </row>
    <row r="5" spans="1:109" ht="10.199999999999999" x14ac:dyDescent="0.2">
      <c r="A5" s="56">
        <v>35810</v>
      </c>
      <c r="B5" s="1">
        <f>('Long Term Deals'!B7*'Prices&amp;Fuel'!$H7+'Prices&amp;Fuel'!$H8*'Long Term Deals'!B8+'Long Term Deals'!B9*'Prices&amp;Fuel'!$H9+'Long Term Deals'!B10*'Prices&amp;Fuel'!$H10+'Long Term Deals'!B11*'Prices&amp;Fuel'!$H11+'Long Term Deals'!B12*'Prices&amp;Fuel'!$H12+'Long Term Deals'!B13*'Prices&amp;Fuel'!$H13+'Long Term Deals'!B14*'Prices&amp;Fuel'!$H14+'Long Term Deals'!B15*'Prices&amp;Fuel'!$H15+'Long Term Deals'!B16*'Prices&amp;Fuel'!$H16+'Long Term Deals'!B17*'Prices&amp;Fuel'!$H17+'Long Term Deals'!B18*'Prices&amp;Fuel'!$H18)/SUM('Prices&amp;Fuel'!$H7:$H18)</f>
        <v>6194.2438356164384</v>
      </c>
      <c r="C5" s="1">
        <f>('Long Term Deals'!C7*'Prices&amp;Fuel'!$H7+'Prices&amp;Fuel'!$H8*'Long Term Deals'!C8+'Long Term Deals'!C9*'Prices&amp;Fuel'!$H9+'Long Term Deals'!C10*'Prices&amp;Fuel'!$H10+'Long Term Deals'!C11*'Prices&amp;Fuel'!$H11+'Long Term Deals'!C12*'Prices&amp;Fuel'!$H12+'Long Term Deals'!C13*'Prices&amp;Fuel'!$H13+'Long Term Deals'!C14*'Prices&amp;Fuel'!$H14+'Long Term Deals'!C15*'Prices&amp;Fuel'!$H15+'Long Term Deals'!C16*'Prices&amp;Fuel'!$H16+'Long Term Deals'!C17*'Prices&amp;Fuel'!$H17+'Long Term Deals'!C18*'Prices&amp;Fuel'!$H18)/SUM('Prices&amp;Fuel'!$H7:$H18)</f>
        <v>6185.0821917808216</v>
      </c>
      <c r="D5" s="1">
        <f>('Long Term Deals'!D7*'Prices&amp;Fuel'!$H7+'Prices&amp;Fuel'!$H8*'Long Term Deals'!D8+'Long Term Deals'!D9*'Prices&amp;Fuel'!$H9+'Long Term Deals'!D10*'Prices&amp;Fuel'!$H10+'Long Term Deals'!D11*'Prices&amp;Fuel'!$H11+'Long Term Deals'!D12*'Prices&amp;Fuel'!$H12+'Long Term Deals'!D13*'Prices&amp;Fuel'!$H13+'Long Term Deals'!D14*'Prices&amp;Fuel'!$H14+'Long Term Deals'!D15*'Prices&amp;Fuel'!$H15+'Long Term Deals'!D16*'Prices&amp;Fuel'!$H16+'Long Term Deals'!D17*'Prices&amp;Fuel'!$H17+'Long Term Deals'!D18*'Prices&amp;Fuel'!$H18)/SUM('Prices&amp;Fuel'!$H7:$H18)</f>
        <v>1710.7616438356165</v>
      </c>
      <c r="E5" s="11"/>
      <c r="F5" s="11"/>
      <c r="G5" s="11"/>
      <c r="H5" s="11"/>
      <c r="I5" s="11"/>
      <c r="J5" s="11"/>
      <c r="K5" s="1">
        <f>SUM('Long Term Deals'!K7:K18)</f>
        <v>11223935.721374119</v>
      </c>
      <c r="L5" s="1">
        <f>SUM('Long Term Deals'!L7:L18)</f>
        <v>11172506.90137412</v>
      </c>
      <c r="M5" s="13">
        <f>K5-L5</f>
        <v>51428.819999998435</v>
      </c>
      <c r="O5" s="1">
        <f>('Long Term Deals'!O7*'Prices&amp;Fuel'!$H7+'Prices&amp;Fuel'!$H8*'Long Term Deals'!O8+'Long Term Deals'!O9*'Prices&amp;Fuel'!$H9+'Long Term Deals'!O10*'Prices&amp;Fuel'!$H10+'Long Term Deals'!O11*'Prices&amp;Fuel'!$H11+'Long Term Deals'!O12*'Prices&amp;Fuel'!$H12+'Long Term Deals'!O13*'Prices&amp;Fuel'!$H13+'Long Term Deals'!O14*'Prices&amp;Fuel'!$H14+'Long Term Deals'!O15*'Prices&amp;Fuel'!$H15+'Long Term Deals'!O16*'Prices&amp;Fuel'!$H16+'Long Term Deals'!O17*'Prices&amp;Fuel'!$H17+'Long Term Deals'!O18*'Prices&amp;Fuel'!$H18)/SUM('Prices&amp;Fuel'!$H7:$H18)</f>
        <v>8862.7068493150691</v>
      </c>
      <c r="P5" s="1">
        <f>('Long Term Deals'!P7*'Prices&amp;Fuel'!$H7+'Prices&amp;Fuel'!$H8*'Long Term Deals'!P8+'Long Term Deals'!P9*'Prices&amp;Fuel'!$H9+'Long Term Deals'!P10*'Prices&amp;Fuel'!$H10+'Long Term Deals'!P11*'Prices&amp;Fuel'!$H11+'Long Term Deals'!P12*'Prices&amp;Fuel'!$H12+'Long Term Deals'!P13*'Prices&amp;Fuel'!$H13+'Long Term Deals'!P14*'Prices&amp;Fuel'!$H14+'Long Term Deals'!P15*'Prices&amp;Fuel'!$H15+'Long Term Deals'!P16*'Prices&amp;Fuel'!$H16+'Long Term Deals'!P17*'Prices&amp;Fuel'!$H17+'Long Term Deals'!P18*'Prices&amp;Fuel'!$H18)/SUM('Prices&amp;Fuel'!$H7:$H18)</f>
        <v>10586.991780821918</v>
      </c>
      <c r="Q5" s="1">
        <f>('Long Term Deals'!Q7*'Prices&amp;Fuel'!$H7+'Prices&amp;Fuel'!$H8*'Long Term Deals'!Q8+'Long Term Deals'!Q9*'Prices&amp;Fuel'!$H9+'Long Term Deals'!Q10*'Prices&amp;Fuel'!$H10+'Long Term Deals'!Q11*'Prices&amp;Fuel'!$H11+'Long Term Deals'!Q12*'Prices&amp;Fuel'!$H12+'Long Term Deals'!Q13*'Prices&amp;Fuel'!$H13+'Long Term Deals'!Q14*'Prices&amp;Fuel'!$H14+'Long Term Deals'!Q15*'Prices&amp;Fuel'!$H15+'Long Term Deals'!Q16*'Prices&amp;Fuel'!$H16+'Long Term Deals'!Q17*'Prices&amp;Fuel'!$H17+'Long Term Deals'!Q18*'Prices&amp;Fuel'!$H18)/SUM('Prices&amp;Fuel'!$H7:$H18)</f>
        <v>5168.9315068493152</v>
      </c>
      <c r="T5" s="1">
        <f>SUM('Long Term Deals'!T7:T18)</f>
        <v>19587773.940000001</v>
      </c>
      <c r="U5" s="1">
        <f>SUM('Long Term Deals'!U7:U18)</f>
        <v>19491635.919999998</v>
      </c>
      <c r="V5" s="13">
        <f t="shared" ref="V5:V19" si="0">T5-U5</f>
        <v>96138.020000003278</v>
      </c>
      <c r="X5" s="1">
        <f>('Long Term Deals'!X7*'Prices&amp;Fuel'!$H7+'Prices&amp;Fuel'!$H8*'Long Term Deals'!X8+'Long Term Deals'!X9*'Prices&amp;Fuel'!$H9+'Long Term Deals'!X10*'Prices&amp;Fuel'!$H10+'Long Term Deals'!X11*'Prices&amp;Fuel'!$H11+'Long Term Deals'!X12*'Prices&amp;Fuel'!$H12+'Long Term Deals'!X13*'Prices&amp;Fuel'!$H13+'Long Term Deals'!X14*'Prices&amp;Fuel'!$H14+'Long Term Deals'!X15*'Prices&amp;Fuel'!$H15+'Long Term Deals'!X16*'Prices&amp;Fuel'!$H16+'Long Term Deals'!X17*'Prices&amp;Fuel'!$H17+'Long Term Deals'!X18*'Prices&amp;Fuel'!$H18)/SUM('Prices&amp;Fuel'!$H7:$H18)</f>
        <v>3500</v>
      </c>
      <c r="Y5" s="1">
        <f>('Long Term Deals'!Y7*'Prices&amp;Fuel'!$H7+'Prices&amp;Fuel'!$H8*'Long Term Deals'!Y8+'Long Term Deals'!Y9*'Prices&amp;Fuel'!$H9+'Long Term Deals'!Y10*'Prices&amp;Fuel'!$H10+'Long Term Deals'!Y11*'Prices&amp;Fuel'!$H11+'Long Term Deals'!Y12*'Prices&amp;Fuel'!$H12+'Long Term Deals'!Y13*'Prices&amp;Fuel'!$H13+'Long Term Deals'!Y14*'Prices&amp;Fuel'!$H14+'Long Term Deals'!Y15*'Prices&amp;Fuel'!$H15+'Long Term Deals'!Y16*'Prices&amp;Fuel'!$H16+'Long Term Deals'!Y17*'Prices&amp;Fuel'!$H17+'Long Term Deals'!Y18*'Prices&amp;Fuel'!$H18)/SUM('Prices&amp;Fuel'!$H7:$H18)</f>
        <v>3500</v>
      </c>
      <c r="Z5" s="12"/>
      <c r="AA5" s="12"/>
      <c r="AB5" s="1">
        <f>SUM('Long Term Deals'!AB7:AB18)</f>
        <v>5621000.0000000009</v>
      </c>
      <c r="AC5" s="1">
        <f>SUM('Long Term Deals'!AC7:AC18)</f>
        <v>5569900.0000000009</v>
      </c>
      <c r="AD5" s="13">
        <f>AB5-AC5</f>
        <v>51100</v>
      </c>
      <c r="AF5" s="1">
        <f>('Long Term Deals'!AF7*'Prices&amp;Fuel'!$H7+'Prices&amp;Fuel'!$H8*'Long Term Deals'!AF8+'Long Term Deals'!AF9*'Prices&amp;Fuel'!$H9+'Long Term Deals'!AF10*'Prices&amp;Fuel'!$H10+'Long Term Deals'!AF11*'Prices&amp;Fuel'!$H11+'Long Term Deals'!AF12*'Prices&amp;Fuel'!$H12+'Long Term Deals'!AF13*'Prices&amp;Fuel'!$H13+'Long Term Deals'!AF14*'Prices&amp;Fuel'!$H14+'Long Term Deals'!AF15*'Prices&amp;Fuel'!$H15+'Long Term Deals'!AF16*'Prices&amp;Fuel'!$H16+'Long Term Deals'!AF17*'Prices&amp;Fuel'!$H17+'Long Term Deals'!AF18*'Prices&amp;Fuel'!$H18)/SUM('Prices&amp;Fuel'!$H7:$H18)</f>
        <v>113120.71073952848</v>
      </c>
      <c r="AG5" s="1">
        <f>('Long Term Deals'!AG7*'Prices&amp;Fuel'!$H7+'Prices&amp;Fuel'!$H8*'Long Term Deals'!AG8+'Long Term Deals'!AG9*'Prices&amp;Fuel'!$H9+'Long Term Deals'!AG10*'Prices&amp;Fuel'!$H10+'Long Term Deals'!AG11*'Prices&amp;Fuel'!$H11+'Long Term Deals'!AG12*'Prices&amp;Fuel'!$H12+'Long Term Deals'!AG13*'Prices&amp;Fuel'!$H13+'Long Term Deals'!AG14*'Prices&amp;Fuel'!$H14+'Long Term Deals'!AG15*'Prices&amp;Fuel'!$H15+'Long Term Deals'!AG16*'Prices&amp;Fuel'!$H16+'Long Term Deals'!AG17*'Prices&amp;Fuel'!$H17+'Long Term Deals'!AG18*'Prices&amp;Fuel'!$H18)/SUM('Prices&amp;Fuel'!$H7:$H18)</f>
        <v>58064.645619801318</v>
      </c>
      <c r="AH5" s="1">
        <f>('Long Term Deals'!AH7*'Prices&amp;Fuel'!$H7+'Prices&amp;Fuel'!$H8*'Long Term Deals'!AH8+'Long Term Deals'!AH9*'Prices&amp;Fuel'!$H9+'Long Term Deals'!AH10*'Prices&amp;Fuel'!$H10+'Long Term Deals'!AH11*'Prices&amp;Fuel'!$H11+'Long Term Deals'!AH12*'Prices&amp;Fuel'!$H12+'Long Term Deals'!AH13*'Prices&amp;Fuel'!$H13+'Long Term Deals'!AH14*'Prices&amp;Fuel'!$H14+'Long Term Deals'!AH15*'Prices&amp;Fuel'!$H15+'Long Term Deals'!AH16*'Prices&amp;Fuel'!$H16+'Long Term Deals'!AH17*'Prices&amp;Fuel'!$H17+'Long Term Deals'!AH18*'Prices&amp;Fuel'!$H18)/SUM('Prices&amp;Fuel'!$H7:$H18)</f>
        <v>32800.158307470374</v>
      </c>
      <c r="AI5" s="1">
        <f>('Long Term Deals'!AI7*'Prices&amp;Fuel'!$H7+'Prices&amp;Fuel'!$H8*'Long Term Deals'!AI8+'Long Term Deals'!AI9*'Prices&amp;Fuel'!$H9+'Long Term Deals'!AI10*'Prices&amp;Fuel'!$H10+'Long Term Deals'!AI11*'Prices&amp;Fuel'!$H11+'Long Term Deals'!AI12*'Prices&amp;Fuel'!$H12+'Long Term Deals'!AI13*'Prices&amp;Fuel'!$H13+'Long Term Deals'!AI14*'Prices&amp;Fuel'!$H14+'Long Term Deals'!AI15*'Prices&amp;Fuel'!$H15+'Long Term Deals'!AI16*'Prices&amp;Fuel'!$H16+'Long Term Deals'!AI17*'Prices&amp;Fuel'!$H17+'Long Term Deals'!AI18*'Prices&amp;Fuel'!$H18)/SUM('Prices&amp;Fuel'!$H7:$H18)</f>
        <v>36212.922200310873</v>
      </c>
      <c r="AJ5" s="1">
        <f>('Long Term Deals'!AJ7*'Prices&amp;Fuel'!$H7+'Prices&amp;Fuel'!$H8*'Long Term Deals'!AJ8+'Long Term Deals'!AJ9*'Prices&amp;Fuel'!$H9+'Long Term Deals'!AJ10*'Prices&amp;Fuel'!$H10+'Long Term Deals'!AJ11*'Prices&amp;Fuel'!$H11+'Long Term Deals'!AJ12*'Prices&amp;Fuel'!$H12+'Long Term Deals'!AJ13*'Prices&amp;Fuel'!$H13+'Long Term Deals'!AJ14*'Prices&amp;Fuel'!$H14+'Long Term Deals'!AJ15*'Prices&amp;Fuel'!$H15+'Long Term Deals'!AJ16*'Prices&amp;Fuel'!$H16+'Long Term Deals'!AJ17*'Prices&amp;Fuel'!$H17+'Long Term Deals'!AJ18*'Prices&amp;Fuel'!$H18)/SUM('Prices&amp;Fuel'!$H7:$H18)</f>
        <v>79299.356466731202</v>
      </c>
      <c r="AK5" s="1">
        <f>('Long Term Deals'!AK7*'Prices&amp;Fuel'!$H7+'Prices&amp;Fuel'!$H8*'Long Term Deals'!AK8+'Long Term Deals'!AK9*'Prices&amp;Fuel'!$H9+'Long Term Deals'!AK10*'Prices&amp;Fuel'!$H10+'Long Term Deals'!AK11*'Prices&amp;Fuel'!$H11+'Long Term Deals'!AK12*'Prices&amp;Fuel'!$H12+'Long Term Deals'!AK13*'Prices&amp;Fuel'!$H13+'Long Term Deals'!AK14*'Prices&amp;Fuel'!$H14+'Long Term Deals'!AK15*'Prices&amp;Fuel'!$H15+'Long Term Deals'!AK16*'Prices&amp;Fuel'!$H16+'Long Term Deals'!AK17*'Prices&amp;Fuel'!$H17+'Long Term Deals'!AK18*'Prices&amp;Fuel'!$H18)/SUM('Prices&amp;Fuel'!$H7:$H18)</f>
        <v>44314.751669868732</v>
      </c>
      <c r="AL5" s="1">
        <f t="shared" ref="AL5:AL17" si="1">SUM(AI5:AK5)</f>
        <v>159827.0303369108</v>
      </c>
      <c r="AM5" s="1"/>
      <c r="AN5" s="1"/>
      <c r="AO5" s="1"/>
      <c r="AP5" s="1"/>
      <c r="AQ5" s="1"/>
      <c r="AR5" s="13"/>
      <c r="AS5" s="13"/>
      <c r="AT5" s="13"/>
      <c r="AU5" s="13"/>
      <c r="AW5" s="20"/>
      <c r="AX5" s="20"/>
      <c r="AY5" s="1">
        <f>SUM('Long Term Deals'!AY7:AY18)</f>
        <v>173658196.84976336</v>
      </c>
      <c r="AZ5" s="1">
        <f>SUM('Long Term Deals'!AZ7:AZ18)</f>
        <v>158746334.55693078</v>
      </c>
      <c r="BA5" s="6">
        <f t="shared" ref="BA5:BA17" si="2">AY5-AZ5</f>
        <v>14911862.292832583</v>
      </c>
      <c r="BB5" s="1">
        <f>('Long Term Deals'!BB7*'Prices&amp;Fuel'!$H7+'Prices&amp;Fuel'!$H8*'Long Term Deals'!BB8+'Long Term Deals'!BB9*'Prices&amp;Fuel'!$H9+'Long Term Deals'!BB10*'Prices&amp;Fuel'!$H10+'Long Term Deals'!BB11*'Prices&amp;Fuel'!$H11+'Long Term Deals'!BB12*'Prices&amp;Fuel'!$H12+'Long Term Deals'!BB13*'Prices&amp;Fuel'!$H13+'Long Term Deals'!BB14*'Prices&amp;Fuel'!$H14+'Long Term Deals'!BB15*'Prices&amp;Fuel'!$H15+'Long Term Deals'!BB16*'Prices&amp;Fuel'!$H16+'Long Term Deals'!BB17*'Prices&amp;Fuel'!$H17+'Long Term Deals'!BB18*'Prices&amp;Fuel'!$H18)/SUM('Prices&amp;Fuel'!$H7:$H18)</f>
        <v>723.63901938336426</v>
      </c>
      <c r="BC5" s="1">
        <f>('Long Term Deals'!BC7*'Prices&amp;Fuel'!$H7+'Prices&amp;Fuel'!$H8*'Long Term Deals'!BC8+'Long Term Deals'!BC9*'Prices&amp;Fuel'!$H9+'Long Term Deals'!BC10*'Prices&amp;Fuel'!$H10+'Long Term Deals'!BC11*'Prices&amp;Fuel'!$H11+'Long Term Deals'!BC12*'Prices&amp;Fuel'!$H12+'Long Term Deals'!BC13*'Prices&amp;Fuel'!$H13+'Long Term Deals'!BC14*'Prices&amp;Fuel'!$H14+'Long Term Deals'!BC15*'Prices&amp;Fuel'!$H15+'Long Term Deals'!BC16*'Prices&amp;Fuel'!$H16+'Long Term Deals'!BC17*'Prices&amp;Fuel'!$H17+'Long Term Deals'!BC18*'Prices&amp;Fuel'!$H18)/SUM('Prices&amp;Fuel'!$H7:$H18)</f>
        <v>0</v>
      </c>
      <c r="BD5" s="1">
        <f>('Long Term Deals'!BD7*'Prices&amp;Fuel'!$H7+'Prices&amp;Fuel'!$H8*'Long Term Deals'!BD8+'Long Term Deals'!BD9*'Prices&amp;Fuel'!$H9+'Long Term Deals'!BD10*'Prices&amp;Fuel'!$H10+'Long Term Deals'!BD11*'Prices&amp;Fuel'!$H11+'Long Term Deals'!BD12*'Prices&amp;Fuel'!$H12+'Long Term Deals'!BD13*'Prices&amp;Fuel'!$H13+'Long Term Deals'!BD14*'Prices&amp;Fuel'!$H14+'Long Term Deals'!BD15*'Prices&amp;Fuel'!$H15+'Long Term Deals'!BD16*'Prices&amp;Fuel'!$H16+'Long Term Deals'!BD17*'Prices&amp;Fuel'!$H17+'Long Term Deals'!BD18*'Prices&amp;Fuel'!$H18)/SUM('Prices&amp;Fuel'!$H7:$H18)</f>
        <v>0</v>
      </c>
      <c r="BE5" s="1">
        <f>('Long Term Deals'!BE7*'Prices&amp;Fuel'!$H7+'Prices&amp;Fuel'!$H8*'Long Term Deals'!BE8+'Long Term Deals'!BE9*'Prices&amp;Fuel'!$H9+'Long Term Deals'!BE10*'Prices&amp;Fuel'!$H10+'Long Term Deals'!BE11*'Prices&amp;Fuel'!$H11+'Long Term Deals'!BE12*'Prices&amp;Fuel'!$H12+'Long Term Deals'!BE13*'Prices&amp;Fuel'!$H13+'Long Term Deals'!BE14*'Prices&amp;Fuel'!$H14+'Long Term Deals'!BE15*'Prices&amp;Fuel'!$H15+'Long Term Deals'!BE16*'Prices&amp;Fuel'!$H16+'Long Term Deals'!BE17*'Prices&amp;Fuel'!$H17+'Long Term Deals'!BE18*'Prices&amp;Fuel'!$H18)/SUM('Prices&amp;Fuel'!$H7:$H18)</f>
        <v>440.85733460412706</v>
      </c>
      <c r="BF5" s="1">
        <f>('Long Term Deals'!BF7*'Prices&amp;Fuel'!$H7+'Prices&amp;Fuel'!$H8*'Long Term Deals'!BF8+'Long Term Deals'!BF9*'Prices&amp;Fuel'!$H9+'Long Term Deals'!BF10*'Prices&amp;Fuel'!$H10+'Long Term Deals'!BF11*'Prices&amp;Fuel'!$H11+'Long Term Deals'!BF12*'Prices&amp;Fuel'!$H12+'Long Term Deals'!BF13*'Prices&amp;Fuel'!$H13+'Long Term Deals'!BF14*'Prices&amp;Fuel'!$H14+'Long Term Deals'!BF15*'Prices&amp;Fuel'!$H15+'Long Term Deals'!BF16*'Prices&amp;Fuel'!$H16+'Long Term Deals'!BF17*'Prices&amp;Fuel'!$H17+'Long Term Deals'!BF18*'Prices&amp;Fuel'!$H18)/SUM('Prices&amp;Fuel'!$H7:$H18)</f>
        <v>1334.7818613947791</v>
      </c>
      <c r="BG5" s="1">
        <f>('Long Term Deals'!BG7*'Prices&amp;Fuel'!$H7+'Prices&amp;Fuel'!$H8*'Long Term Deals'!BG8+'Long Term Deals'!BG9*'Prices&amp;Fuel'!$H9+'Long Term Deals'!BG10*'Prices&amp;Fuel'!$H10+'Long Term Deals'!BG11*'Prices&amp;Fuel'!$H11+'Long Term Deals'!BG12*'Prices&amp;Fuel'!$H12+'Long Term Deals'!BG13*'Prices&amp;Fuel'!$H13+'Long Term Deals'!BG14*'Prices&amp;Fuel'!$H14+'Long Term Deals'!BG15*'Prices&amp;Fuel'!$H15+'Long Term Deals'!BG16*'Prices&amp;Fuel'!$H16+'Long Term Deals'!BG17*'Prices&amp;Fuel'!$H17+'Long Term Deals'!BG18*'Prices&amp;Fuel'!$H18)/SUM('Prices&amp;Fuel'!$H7:$H18)</f>
        <v>289.83402606631063</v>
      </c>
      <c r="BH5" s="11">
        <f>(2.79*700+2.68*1000)/BF5</f>
        <v>3.4709791419841074</v>
      </c>
      <c r="BK5" s="3">
        <f>2.54*(1+'Prices&amp;Fuel'!F5)</f>
        <v>2.61747</v>
      </c>
      <c r="BL5" s="1">
        <f>SUM('Long Term Deals'!BL7:BL18)</f>
        <v>2793600.5464800326</v>
      </c>
      <c r="BM5" s="14"/>
      <c r="BN5" s="14"/>
      <c r="BP5" s="1">
        <f>SUM('Long Term Deals'!BP7:BP18)</f>
        <v>2606943.4197578481</v>
      </c>
      <c r="BQ5" s="6">
        <f t="shared" ref="BQ5:BQ20" si="3">BL5-BP5</f>
        <v>186657.12672218448</v>
      </c>
      <c r="BR5" s="1">
        <f>('Long Term Deals'!BR7*'Prices&amp;Fuel'!$H7+'Prices&amp;Fuel'!$H8*'Long Term Deals'!BR8+'Long Term Deals'!BR9*'Prices&amp;Fuel'!$H9+'Long Term Deals'!BR10*'Prices&amp;Fuel'!$H10+'Long Term Deals'!BR11*'Prices&amp;Fuel'!$H11+'Long Term Deals'!BR12*'Prices&amp;Fuel'!$H12+'Long Term Deals'!BR13*'Prices&amp;Fuel'!$H13+'Long Term Deals'!BR14*'Prices&amp;Fuel'!$H14+'Long Term Deals'!BR15*'Prices&amp;Fuel'!$H15+'Long Term Deals'!BR16*'Prices&amp;Fuel'!$H16+'Long Term Deals'!BR17*'Prices&amp;Fuel'!$H17+'Long Term Deals'!BR18*'Prices&amp;Fuel'!$H18)/SUM('Prices&amp;Fuel'!$H7:$H18)</f>
        <v>1000</v>
      </c>
      <c r="BS5" s="1">
        <f>('Long Term Deals'!BS7*'Prices&amp;Fuel'!$H7+'Prices&amp;Fuel'!$H8*'Long Term Deals'!BS8+'Long Term Deals'!BS9*'Prices&amp;Fuel'!$H9+'Long Term Deals'!BS10*'Prices&amp;Fuel'!$H10+'Long Term Deals'!BS11*'Prices&amp;Fuel'!$H11+'Long Term Deals'!BS12*'Prices&amp;Fuel'!$H12+'Long Term Deals'!BS13*'Prices&amp;Fuel'!$H13+'Long Term Deals'!BS14*'Prices&amp;Fuel'!$H14+'Long Term Deals'!BS15*'Prices&amp;Fuel'!$H15+'Long Term Deals'!BS16*'Prices&amp;Fuel'!$H16+'Long Term Deals'!BS17*'Prices&amp;Fuel'!$H17+'Long Term Deals'!BS18*'Prices&amp;Fuel'!$H18)/SUM('Prices&amp;Fuel'!$H7:$H18)</f>
        <v>1232.8767123287671</v>
      </c>
      <c r="BT5" s="11"/>
      <c r="BU5" s="11"/>
      <c r="BV5" s="28"/>
      <c r="BW5" s="28"/>
      <c r="BX5" s="1">
        <f>SUM('Long Term Deals'!BX7:BX18)</f>
        <v>1765698.6333333335</v>
      </c>
      <c r="BY5" s="1">
        <f>SUM('Long Term Deals'!BY7:BY18)</f>
        <v>1765698.6333333335</v>
      </c>
      <c r="BZ5" s="6">
        <f>BX5-BY5</f>
        <v>0</v>
      </c>
      <c r="CA5" s="1">
        <f>SUM('Long Term Deals'!CA7:CA18)</f>
        <v>663957.95001737645</v>
      </c>
      <c r="CB5" s="1">
        <f>SUM('Long Term Deals'!CB7:CB18)</f>
        <v>92530.925596098576</v>
      </c>
      <c r="CC5" s="1">
        <f>SUM('Long Term Deals'!CC7:CC18)</f>
        <v>214650205.69095087</v>
      </c>
      <c r="CD5" s="1">
        <f>SUM('Long Term Deals'!CD7:CD18)</f>
        <v>200109508.30700955</v>
      </c>
      <c r="CE5" s="1">
        <f>SUM('Long Term Deals'!CE7:CE18)</f>
        <v>14540697.383941291</v>
      </c>
      <c r="CF5" s="1">
        <f>SUM('Long Term Deals'!CF7:CF18)</f>
        <v>5167814.6150037441</v>
      </c>
      <c r="CG5" s="1">
        <f>SUM('Long Term Deals'!CG7:CG18)</f>
        <v>10186.928666666267</v>
      </c>
      <c r="CH5" s="1">
        <f>SUM('Long Term Deals'!CH7:CH18)</f>
        <v>5024866.4920637328</v>
      </c>
      <c r="CI5" s="1">
        <f>SUM('Long Term Deals'!CI7:CI18)</f>
        <v>142948.12294001045</v>
      </c>
      <c r="CJ5" s="1">
        <f>SUM('Long Term Deals'!CJ7:CJ18)</f>
        <v>219818020.30595461</v>
      </c>
      <c r="CK5" s="1">
        <f>SUM('Long Term Deals'!CK7:CK18)</f>
        <v>205134374.79907328</v>
      </c>
      <c r="CL5" s="1">
        <f>SUM('Long Term Deals'!CL7:CL18)</f>
        <v>14683645.506881298</v>
      </c>
      <c r="CM5" s="1">
        <f>SUM('Long Term Deals'!CM7:CM18)</f>
        <v>14683645.506881298</v>
      </c>
      <c r="CN5" s="1">
        <f>SUM('Long Term Deals'!CN7:CN18)</f>
        <v>12669377.634948216</v>
      </c>
      <c r="CO5" s="1">
        <f>SUM('Long Term Deals'!CO7:CO18)</f>
        <v>17269273.148626264</v>
      </c>
      <c r="CP5" s="1">
        <f>SUM('Long Term Deals'!CP7:CP18)</f>
        <v>-9595.4140005684458</v>
      </c>
      <c r="CQ5" s="1">
        <f>SUM('Long Term Deals'!CQ7:CQ18)</f>
        <v>49474.511666666665</v>
      </c>
      <c r="CR5" s="1">
        <f>SUM('Long Term Deals'!CR7:CR18)</f>
        <v>716960.61456077825</v>
      </c>
      <c r="CS5" s="1">
        <f>SUM('Long Term Deals'!CS7:CS18)</f>
        <v>1049072.1412578651</v>
      </c>
      <c r="CT5" s="1">
        <f>SUM('Long Term Deals'!CT7:CT18)</f>
        <v>6884721.9691537814</v>
      </c>
      <c r="CU5" s="1">
        <f>SUM('Long Term Deals'!CU7:CU18)</f>
        <v>2145063.7259670836</v>
      </c>
      <c r="CV5" s="61">
        <f>SUM('Long Term Deals'!CV7:CV18)</f>
        <v>15592954.918630512</v>
      </c>
      <c r="CW5" s="13">
        <f>AF5+AG5+AH5</f>
        <v>203985.51466680018</v>
      </c>
      <c r="CX5" s="13">
        <f>B5+C5+D5+O5+P5+Q5+X5+Y5+BB5+BC5+BD5+BE5+BF5+BG5+BR5+BS5+'Index Price Deals'!AZ18</f>
        <v>56312.585483457508</v>
      </c>
      <c r="CY5" s="13">
        <f>(CW5+CX5)*365</f>
        <v>95008806.554844067</v>
      </c>
      <c r="CZ5" s="13">
        <f>SUM(BB5:BG5)</f>
        <v>2789.1122414485812</v>
      </c>
      <c r="DA5" s="13">
        <f>B5+C5+D5+O5+P5+Q5+X5+Y5+BR5+BS5</f>
        <v>47941.594520547951</v>
      </c>
      <c r="DB5" s="3">
        <f>'Index Price Deals'!AZ18</f>
        <v>5581.8787214609665</v>
      </c>
      <c r="DC5" s="13">
        <f>CZ5+DA5+DB5-CX5</f>
        <v>0</v>
      </c>
    </row>
    <row r="6" spans="1:109" ht="10.199999999999999" x14ac:dyDescent="0.2">
      <c r="A6" s="56">
        <v>36175</v>
      </c>
      <c r="B6" s="1">
        <f>('Long Term Deals'!B19*'Prices&amp;Fuel'!$H19+'Prices&amp;Fuel'!$H20*'Long Term Deals'!B20+'Long Term Deals'!B21*'Prices&amp;Fuel'!$H21+'Long Term Deals'!B22*'Prices&amp;Fuel'!$H22+'Long Term Deals'!B23*'Prices&amp;Fuel'!$H23+'Long Term Deals'!B24*'Prices&amp;Fuel'!$H24+'Long Term Deals'!B25*'Prices&amp;Fuel'!$H25+'Long Term Deals'!B26*'Prices&amp;Fuel'!$H26+'Long Term Deals'!B27*'Prices&amp;Fuel'!$H27+'Long Term Deals'!B28*'Prices&amp;Fuel'!$H28+'Long Term Deals'!B29*'Prices&amp;Fuel'!$H29+'Long Term Deals'!B30*'Prices&amp;Fuel'!$H30)/SUM('Prices&amp;Fuel'!$H19:$H30)</f>
        <v>1213.3972602739725</v>
      </c>
      <c r="C6" s="1">
        <f>('Long Term Deals'!C19*'Prices&amp;Fuel'!$H19+'Prices&amp;Fuel'!$H20*'Long Term Deals'!C20+'Long Term Deals'!C21*'Prices&amp;Fuel'!$H21+'Long Term Deals'!C22*'Prices&amp;Fuel'!$H22+'Long Term Deals'!C23*'Prices&amp;Fuel'!$H23+'Long Term Deals'!C24*'Prices&amp;Fuel'!$H24+'Long Term Deals'!C25*'Prices&amp;Fuel'!$H25+'Long Term Deals'!C26*'Prices&amp;Fuel'!$H26+'Long Term Deals'!C27*'Prices&amp;Fuel'!$H27+'Long Term Deals'!C28*'Prices&amp;Fuel'!$H28+'Long Term Deals'!C29*'Prices&amp;Fuel'!$H29+'Long Term Deals'!C30*'Prices&amp;Fuel'!$H30)/SUM('Prices&amp;Fuel'!$H19:$H30)</f>
        <v>657.67945205479452</v>
      </c>
      <c r="D6" s="1">
        <f>('Long Term Deals'!D19*'Prices&amp;Fuel'!$H19+'Prices&amp;Fuel'!$H20*'Long Term Deals'!D20+'Long Term Deals'!D21*'Prices&amp;Fuel'!$H21+'Long Term Deals'!D22*'Prices&amp;Fuel'!$H22+'Long Term Deals'!D23*'Prices&amp;Fuel'!$H23+'Long Term Deals'!D24*'Prices&amp;Fuel'!$H24+'Long Term Deals'!D25*'Prices&amp;Fuel'!$H25+'Long Term Deals'!D26*'Prices&amp;Fuel'!$H26+'Long Term Deals'!D27*'Prices&amp;Fuel'!$H27+'Long Term Deals'!D28*'Prices&amp;Fuel'!$H28+'Long Term Deals'!D29*'Prices&amp;Fuel'!$H29+'Long Term Deals'!D30*'Prices&amp;Fuel'!$H30)/SUM('Prices&amp;Fuel'!$H19:$H30)</f>
        <v>92.915068493150685</v>
      </c>
      <c r="E6" s="11"/>
      <c r="F6" s="11"/>
      <c r="G6" s="11"/>
      <c r="H6" s="11"/>
      <c r="I6" s="11"/>
      <c r="J6" s="11"/>
      <c r="K6" s="1">
        <f>SUM('Long Term Deals'!K19:K30)</f>
        <v>1544410.6081445222</v>
      </c>
      <c r="L6" s="1">
        <f>SUM('Long Term Deals'!L19:L30)</f>
        <v>1537242.0381445221</v>
      </c>
      <c r="M6" s="13">
        <f>K6-L6</f>
        <v>7168.5700000000652</v>
      </c>
      <c r="O6" s="1">
        <f>('Long Term Deals'!O19*'Prices&amp;Fuel'!$H19+'Prices&amp;Fuel'!$H20*'Long Term Deals'!O20+'Long Term Deals'!O21*'Prices&amp;Fuel'!$H21+'Long Term Deals'!O22*'Prices&amp;Fuel'!$H22+'Long Term Deals'!O23*'Prices&amp;Fuel'!$H23+'Long Term Deals'!O24*'Prices&amp;Fuel'!$H24+'Long Term Deals'!O25*'Prices&amp;Fuel'!$H25+'Long Term Deals'!O26*'Prices&amp;Fuel'!$H26+'Long Term Deals'!O27*'Prices&amp;Fuel'!$H27+'Long Term Deals'!O28*'Prices&amp;Fuel'!$H28+'Long Term Deals'!O29*'Prices&amp;Fuel'!$H29+'Long Term Deals'!O30*'Prices&amp;Fuel'!$H30)/SUM('Prices&amp;Fuel'!$H19:$H30)</f>
        <v>9036</v>
      </c>
      <c r="P6" s="1">
        <f>('Long Term Deals'!P19*'Prices&amp;Fuel'!$H19+'Prices&amp;Fuel'!$H20*'Long Term Deals'!P20+'Long Term Deals'!P21*'Prices&amp;Fuel'!$H21+'Long Term Deals'!P22*'Prices&amp;Fuel'!$H22+'Long Term Deals'!P23*'Prices&amp;Fuel'!$H23+'Long Term Deals'!P24*'Prices&amp;Fuel'!$H24+'Long Term Deals'!P25*'Prices&amp;Fuel'!$H25+'Long Term Deals'!P26*'Prices&amp;Fuel'!$H26+'Long Term Deals'!P27*'Prices&amp;Fuel'!$H27+'Long Term Deals'!P28*'Prices&amp;Fuel'!$H28+'Long Term Deals'!P29*'Prices&amp;Fuel'!$H29+'Long Term Deals'!P30*'Prices&amp;Fuel'!$H30)/SUM('Prices&amp;Fuel'!$H19:$H30)</f>
        <v>10794</v>
      </c>
      <c r="Q6" s="1">
        <f>('Long Term Deals'!Q19*'Prices&amp;Fuel'!$H19+'Prices&amp;Fuel'!$H20*'Long Term Deals'!Q20+'Long Term Deals'!Q21*'Prices&amp;Fuel'!$H21+'Long Term Deals'!Q22*'Prices&amp;Fuel'!$H22+'Long Term Deals'!Q23*'Prices&amp;Fuel'!$H23+'Long Term Deals'!Q24*'Prices&amp;Fuel'!$H24+'Long Term Deals'!Q25*'Prices&amp;Fuel'!$H25+'Long Term Deals'!Q26*'Prices&amp;Fuel'!$H26+'Long Term Deals'!Q27*'Prices&amp;Fuel'!$H27+'Long Term Deals'!Q28*'Prices&amp;Fuel'!$H28+'Long Term Deals'!Q29*'Prices&amp;Fuel'!$H29+'Long Term Deals'!Q30*'Prices&amp;Fuel'!$H30)/SUM('Prices&amp;Fuel'!$H19:$H30)</f>
        <v>5270</v>
      </c>
      <c r="T6" s="1">
        <f>SUM('Long Term Deals'!T19:T30)</f>
        <v>20374084.150000006</v>
      </c>
      <c r="U6" s="1">
        <f>SUM('Long Term Deals'!U19:U30)</f>
        <v>20274216.27</v>
      </c>
      <c r="V6" s="13">
        <f t="shared" si="0"/>
        <v>99867.880000006407</v>
      </c>
      <c r="X6" s="1">
        <f>('Long Term Deals'!X19*'Prices&amp;Fuel'!$H19+'Prices&amp;Fuel'!$H20*'Long Term Deals'!X20+'Long Term Deals'!X21*'Prices&amp;Fuel'!$H21+'Long Term Deals'!X22*'Prices&amp;Fuel'!$H22+'Long Term Deals'!X23*'Prices&amp;Fuel'!$H23+'Long Term Deals'!X24*'Prices&amp;Fuel'!$H24+'Long Term Deals'!X25*'Prices&amp;Fuel'!$H25+'Long Term Deals'!X26*'Prices&amp;Fuel'!$H26+'Long Term Deals'!X27*'Prices&amp;Fuel'!$H27+'Long Term Deals'!X28*'Prices&amp;Fuel'!$H28+'Long Term Deals'!X29*'Prices&amp;Fuel'!$H29+'Long Term Deals'!X30*'Prices&amp;Fuel'!$H30)/SUM('Prices&amp;Fuel'!$H19:$H30)</f>
        <v>3500</v>
      </c>
      <c r="Y6" s="1">
        <f>('Long Term Deals'!Y19*'Prices&amp;Fuel'!$H19+'Prices&amp;Fuel'!$H20*'Long Term Deals'!Y20+'Long Term Deals'!Y21*'Prices&amp;Fuel'!$H21+'Long Term Deals'!Y22*'Prices&amp;Fuel'!$H22+'Long Term Deals'!Y23*'Prices&amp;Fuel'!$H23+'Long Term Deals'!Y24*'Prices&amp;Fuel'!$H24+'Long Term Deals'!Y25*'Prices&amp;Fuel'!$H25+'Long Term Deals'!Y26*'Prices&amp;Fuel'!$H26+'Long Term Deals'!Y27*'Prices&amp;Fuel'!$H27+'Long Term Deals'!Y28*'Prices&amp;Fuel'!$H28+'Long Term Deals'!Y29*'Prices&amp;Fuel'!$H29+'Long Term Deals'!Y30*'Prices&amp;Fuel'!$H30)/SUM('Prices&amp;Fuel'!$H19:$H30)</f>
        <v>3500</v>
      </c>
      <c r="Z6" s="12"/>
      <c r="AA6" s="12"/>
      <c r="AB6" s="1">
        <f>SUM('Long Term Deals'!AB19:AB30)</f>
        <v>5621000.0000000009</v>
      </c>
      <c r="AC6" s="1">
        <f>SUM('Long Term Deals'!AC19:AC30)</f>
        <v>5569900.0000000009</v>
      </c>
      <c r="AD6" s="13">
        <f>AB6-AC6</f>
        <v>51100</v>
      </c>
      <c r="AF6" s="1">
        <f>('Long Term Deals'!AF19*'Prices&amp;Fuel'!$H19+'Prices&amp;Fuel'!$H20*'Long Term Deals'!AF20+'Long Term Deals'!AF21*'Prices&amp;Fuel'!$H21+'Long Term Deals'!AF22*'Prices&amp;Fuel'!$H22+'Long Term Deals'!AF23*'Prices&amp;Fuel'!$H23+'Long Term Deals'!AF24*'Prices&amp;Fuel'!$H24+'Long Term Deals'!AF25*'Prices&amp;Fuel'!$H25+'Long Term Deals'!AF26*'Prices&amp;Fuel'!$H26+'Long Term Deals'!AF27*'Prices&amp;Fuel'!$H27+'Long Term Deals'!AF28*'Prices&amp;Fuel'!$H28+'Long Term Deals'!AF29*'Prices&amp;Fuel'!$H29+'Long Term Deals'!AF30*'Prices&amp;Fuel'!$H30)/SUM('Prices&amp;Fuel'!$H19:$H30)</f>
        <v>125756.58493317409</v>
      </c>
      <c r="AG6" s="1">
        <f>('Long Term Deals'!AG19*'Prices&amp;Fuel'!$H19+'Prices&amp;Fuel'!$H20*'Long Term Deals'!AG20+'Long Term Deals'!AG21*'Prices&amp;Fuel'!$H21+'Long Term Deals'!AG22*'Prices&amp;Fuel'!$H22+'Long Term Deals'!AG23*'Prices&amp;Fuel'!$H23+'Long Term Deals'!AG24*'Prices&amp;Fuel'!$H24+'Long Term Deals'!AG25*'Prices&amp;Fuel'!$H25+'Long Term Deals'!AG26*'Prices&amp;Fuel'!$H26+'Long Term Deals'!AG27*'Prices&amp;Fuel'!$H27+'Long Term Deals'!AG28*'Prices&amp;Fuel'!$H28+'Long Term Deals'!AG29*'Prices&amp;Fuel'!$H29+'Long Term Deals'!AG30*'Prices&amp;Fuel'!$H30)/SUM('Prices&amp;Fuel'!$H19:$H30)</f>
        <v>65287.216060313069</v>
      </c>
      <c r="AH6" s="1">
        <f>('Long Term Deals'!AH19*'Prices&amp;Fuel'!$H19+'Prices&amp;Fuel'!$H20*'Long Term Deals'!AH20+'Long Term Deals'!AH21*'Prices&amp;Fuel'!$H21+'Long Term Deals'!AH22*'Prices&amp;Fuel'!$H22+'Long Term Deals'!AH23*'Prices&amp;Fuel'!$H23+'Long Term Deals'!AH24*'Prices&amp;Fuel'!$H24+'Long Term Deals'!AH25*'Prices&amp;Fuel'!$H25+'Long Term Deals'!AH26*'Prices&amp;Fuel'!$H26+'Long Term Deals'!AH27*'Prices&amp;Fuel'!$H27+'Long Term Deals'!AH28*'Prices&amp;Fuel'!$H28+'Long Term Deals'!AH29*'Prices&amp;Fuel'!$H29+'Long Term Deals'!AH30*'Prices&amp;Fuel'!$H30)/SUM('Prices&amp;Fuel'!$H19:$H30)</f>
        <v>77139.128271834692</v>
      </c>
      <c r="AI6" s="1">
        <f>('Long Term Deals'!AI19*'Prices&amp;Fuel'!$H19+'Prices&amp;Fuel'!$H20*'Long Term Deals'!AI20+'Long Term Deals'!AI21*'Prices&amp;Fuel'!$H21+'Long Term Deals'!AI22*'Prices&amp;Fuel'!$H22+'Long Term Deals'!AI23*'Prices&amp;Fuel'!$H23+'Long Term Deals'!AI24*'Prices&amp;Fuel'!$H24+'Long Term Deals'!AI25*'Prices&amp;Fuel'!$H25+'Long Term Deals'!AI26*'Prices&amp;Fuel'!$H26+'Long Term Deals'!AI27*'Prices&amp;Fuel'!$H27+'Long Term Deals'!AI28*'Prices&amp;Fuel'!$H28+'Long Term Deals'!AI29*'Prices&amp;Fuel'!$H29+'Long Term Deals'!AI30*'Prices&amp;Fuel'!$H30)/SUM('Prices&amp;Fuel'!$H19:$H30)</f>
        <v>0</v>
      </c>
      <c r="AJ6" s="1">
        <f>('Long Term Deals'!AJ19*'Prices&amp;Fuel'!$H19+'Prices&amp;Fuel'!$H20*'Long Term Deals'!AJ20+'Long Term Deals'!AJ21*'Prices&amp;Fuel'!$H21+'Long Term Deals'!AJ22*'Prices&amp;Fuel'!$H22+'Long Term Deals'!AJ23*'Prices&amp;Fuel'!$H23+'Long Term Deals'!AJ24*'Prices&amp;Fuel'!$H24+'Long Term Deals'!AJ25*'Prices&amp;Fuel'!$H25+'Long Term Deals'!AJ26*'Prices&amp;Fuel'!$H26+'Long Term Deals'!AJ27*'Prices&amp;Fuel'!$H27+'Long Term Deals'!AJ28*'Prices&amp;Fuel'!$H28+'Long Term Deals'!AJ29*'Prices&amp;Fuel'!$H29+'Long Term Deals'!AJ30*'Prices&amp;Fuel'!$H30)/SUM('Prices&amp;Fuel'!$H19:$H30)</f>
        <v>0</v>
      </c>
      <c r="AK6" s="1">
        <f>('Long Term Deals'!AK19*'Prices&amp;Fuel'!$H19+'Prices&amp;Fuel'!$H20*'Long Term Deals'!AK20+'Long Term Deals'!AK21*'Prices&amp;Fuel'!$H21+'Long Term Deals'!AK22*'Prices&amp;Fuel'!$H22+'Long Term Deals'!AK23*'Prices&amp;Fuel'!$H23+'Long Term Deals'!AK24*'Prices&amp;Fuel'!$H24+'Long Term Deals'!AK25*'Prices&amp;Fuel'!$H25+'Long Term Deals'!AK26*'Prices&amp;Fuel'!$H26+'Long Term Deals'!AK27*'Prices&amp;Fuel'!$H27+'Long Term Deals'!AK28*'Prices&amp;Fuel'!$H28+'Long Term Deals'!AK29*'Prices&amp;Fuel'!$H29+'Long Term Deals'!AK30*'Prices&amp;Fuel'!$H30)/SUM('Prices&amp;Fuel'!$H19:$H30)</f>
        <v>0</v>
      </c>
      <c r="AL6" s="1">
        <f t="shared" si="1"/>
        <v>0</v>
      </c>
      <c r="AM6" s="1"/>
      <c r="AN6" s="1"/>
      <c r="AO6" s="1"/>
      <c r="AP6" s="1"/>
      <c r="AQ6" s="1"/>
      <c r="AR6" s="13"/>
      <c r="AS6" s="13"/>
      <c r="AT6" s="13"/>
      <c r="AU6" s="13"/>
      <c r="AW6" s="20"/>
      <c r="AX6" s="20"/>
      <c r="AY6" s="1">
        <f>SUM('Long Term Deals'!AY19:AY30)</f>
        <v>226285683.60874122</v>
      </c>
      <c r="AZ6" s="1">
        <f>SUM('Long Term Deals'!AZ19:AZ30)</f>
        <v>214537127.8645806</v>
      </c>
      <c r="BA6" s="6">
        <f t="shared" si="2"/>
        <v>11748555.744160622</v>
      </c>
      <c r="BB6" s="1">
        <f>('Long Term Deals'!BB19*'Prices&amp;Fuel'!$H19+'Prices&amp;Fuel'!$H20*'Long Term Deals'!BB20+'Long Term Deals'!BB21*'Prices&amp;Fuel'!$H21+'Long Term Deals'!BB22*'Prices&amp;Fuel'!$H22+'Long Term Deals'!BB23*'Prices&amp;Fuel'!$H23+'Long Term Deals'!BB24*'Prices&amp;Fuel'!$H24+'Long Term Deals'!BB25*'Prices&amp;Fuel'!$H25+'Long Term Deals'!BB26*'Prices&amp;Fuel'!$H26+'Long Term Deals'!BB27*'Prices&amp;Fuel'!$H27+'Long Term Deals'!BB28*'Prices&amp;Fuel'!$H28+'Long Term Deals'!BB29*'Prices&amp;Fuel'!$H29+'Long Term Deals'!BB30*'Prices&amp;Fuel'!$H30)/SUM('Prices&amp;Fuel'!$H19:$H30)</f>
        <v>6825.298535869174</v>
      </c>
      <c r="BC6" s="1">
        <f>('Long Term Deals'!BC19*'Prices&amp;Fuel'!$H19+'Prices&amp;Fuel'!$H20*'Long Term Deals'!BC20+'Long Term Deals'!BC21*'Prices&amp;Fuel'!$H21+'Long Term Deals'!BC22*'Prices&amp;Fuel'!$H22+'Long Term Deals'!BC23*'Prices&amp;Fuel'!$H23+'Long Term Deals'!BC24*'Prices&amp;Fuel'!$H24+'Long Term Deals'!BC25*'Prices&amp;Fuel'!$H25+'Long Term Deals'!BC26*'Prices&amp;Fuel'!$H26+'Long Term Deals'!BC27*'Prices&amp;Fuel'!$H27+'Long Term Deals'!BC28*'Prices&amp;Fuel'!$H28+'Long Term Deals'!BC29*'Prices&amp;Fuel'!$H29+'Long Term Deals'!BC30*'Prices&amp;Fuel'!$H30)/SUM('Prices&amp;Fuel'!$H19:$H30)</f>
        <v>46.934246575218097</v>
      </c>
      <c r="BD6" s="1">
        <f>('Long Term Deals'!BD19*'Prices&amp;Fuel'!$H19+'Prices&amp;Fuel'!$H20*'Long Term Deals'!BD20+'Long Term Deals'!BD21*'Prices&amp;Fuel'!$H21+'Long Term Deals'!BD22*'Prices&amp;Fuel'!$H22+'Long Term Deals'!BD23*'Prices&amp;Fuel'!$H23+'Long Term Deals'!BD24*'Prices&amp;Fuel'!$H24+'Long Term Deals'!BD25*'Prices&amp;Fuel'!$H25+'Long Term Deals'!BD26*'Prices&amp;Fuel'!$H26+'Long Term Deals'!BD27*'Prices&amp;Fuel'!$H27+'Long Term Deals'!BD28*'Prices&amp;Fuel'!$H28+'Long Term Deals'!BD29*'Prices&amp;Fuel'!$H29+'Long Term Deals'!BD30*'Prices&amp;Fuel'!$H30)/SUM('Prices&amp;Fuel'!$H19:$H30)</f>
        <v>3018.2745499108355</v>
      </c>
      <c r="BE6" s="1">
        <f>('Long Term Deals'!BE19*'Prices&amp;Fuel'!$H19+'Prices&amp;Fuel'!$H20*'Long Term Deals'!BE20+'Long Term Deals'!BE21*'Prices&amp;Fuel'!$H21+'Long Term Deals'!BE22*'Prices&amp;Fuel'!$H22+'Long Term Deals'!BE23*'Prices&amp;Fuel'!$H23+'Long Term Deals'!BE24*'Prices&amp;Fuel'!$H24+'Long Term Deals'!BE25*'Prices&amp;Fuel'!$H25+'Long Term Deals'!BE26*'Prices&amp;Fuel'!$H26+'Long Term Deals'!BE27*'Prices&amp;Fuel'!$H27+'Long Term Deals'!BE28*'Prices&amp;Fuel'!$H28+'Long Term Deals'!BE29*'Prices&amp;Fuel'!$H29+'Long Term Deals'!BE30*'Prices&amp;Fuel'!$H30)/SUM('Prices&amp;Fuel'!$H19:$H30)</f>
        <v>2306.6894764464091</v>
      </c>
      <c r="BF6" s="1">
        <f>('Long Term Deals'!BF19*'Prices&amp;Fuel'!$H19+'Prices&amp;Fuel'!$H20*'Long Term Deals'!BF20+'Long Term Deals'!BF21*'Prices&amp;Fuel'!$H21+'Long Term Deals'!BF22*'Prices&amp;Fuel'!$H22+'Long Term Deals'!BF23*'Prices&amp;Fuel'!$H23+'Long Term Deals'!BF24*'Prices&amp;Fuel'!$H24+'Long Term Deals'!BF25*'Prices&amp;Fuel'!$H25+'Long Term Deals'!BF26*'Prices&amp;Fuel'!$H26+'Long Term Deals'!BF27*'Prices&amp;Fuel'!$H27+'Long Term Deals'!BF28*'Prices&amp;Fuel'!$H28+'Long Term Deals'!BF29*'Prices&amp;Fuel'!$H29+'Long Term Deals'!BF30*'Prices&amp;Fuel'!$H30)/SUM('Prices&amp;Fuel'!$H19:$H30)</f>
        <v>3418.0631405005111</v>
      </c>
      <c r="BG6" s="1">
        <f>('Long Term Deals'!BG19*'Prices&amp;Fuel'!$H19+'Prices&amp;Fuel'!$H20*'Long Term Deals'!BG20+'Long Term Deals'!BG21*'Prices&amp;Fuel'!$H21+'Long Term Deals'!BG22*'Prices&amp;Fuel'!$H22+'Long Term Deals'!BG23*'Prices&amp;Fuel'!$H23+'Long Term Deals'!BG24*'Prices&amp;Fuel'!$H24+'Long Term Deals'!BG25*'Prices&amp;Fuel'!$H25+'Long Term Deals'!BG26*'Prices&amp;Fuel'!$H26+'Long Term Deals'!BG27*'Prices&amp;Fuel'!$H27+'Long Term Deals'!BG28*'Prices&amp;Fuel'!$H28+'Long Term Deals'!BG29*'Prices&amp;Fuel'!$H29+'Long Term Deals'!BG30*'Prices&amp;Fuel'!$H30)/SUM('Prices&amp;Fuel'!$H19:$H30)</f>
        <v>1402.2802701372129</v>
      </c>
      <c r="BH6" s="25"/>
      <c r="BI6" s="14"/>
      <c r="BJ6" s="14"/>
      <c r="BK6" s="25"/>
      <c r="BL6" s="1">
        <f>SUM('Long Term Deals'!BL19:BL30)</f>
        <v>18841915.610948592</v>
      </c>
      <c r="BM6" s="14"/>
      <c r="BN6" s="14"/>
      <c r="BP6" s="1">
        <f>SUM('Long Term Deals'!BP19:BP30)</f>
        <v>18179854.190484341</v>
      </c>
      <c r="BQ6" s="6">
        <f t="shared" si="3"/>
        <v>662061.42046425119</v>
      </c>
      <c r="BR6" s="1">
        <f>('Long Term Deals'!BR19*'Prices&amp;Fuel'!$H19+'Prices&amp;Fuel'!$H20*'Long Term Deals'!BR20+'Long Term Deals'!BR21*'Prices&amp;Fuel'!$H21+'Long Term Deals'!BR22*'Prices&amp;Fuel'!$H22+'Long Term Deals'!BR23*'Prices&amp;Fuel'!$H23+'Long Term Deals'!BR24*'Prices&amp;Fuel'!$H24+'Long Term Deals'!BR25*'Prices&amp;Fuel'!$H25+'Long Term Deals'!BR26*'Prices&amp;Fuel'!$H26+'Long Term Deals'!BR27*'Prices&amp;Fuel'!$H27+'Long Term Deals'!BR28*'Prices&amp;Fuel'!$H28+'Long Term Deals'!BR29*'Prices&amp;Fuel'!$H29+'Long Term Deals'!BR30*'Prices&amp;Fuel'!$H30)/SUM('Prices&amp;Fuel'!$H19:$H30)</f>
        <v>1000</v>
      </c>
      <c r="BS6" s="1">
        <f>('Long Term Deals'!BS19*'Prices&amp;Fuel'!$H19+'Prices&amp;Fuel'!$H20*'Long Term Deals'!BS20+'Long Term Deals'!BS21*'Prices&amp;Fuel'!$H21+'Long Term Deals'!BS22*'Prices&amp;Fuel'!$H22+'Long Term Deals'!BS23*'Prices&amp;Fuel'!$H23+'Long Term Deals'!BS24*'Prices&amp;Fuel'!$H24+'Long Term Deals'!BS25*'Prices&amp;Fuel'!$H25+'Long Term Deals'!BS26*'Prices&amp;Fuel'!$H26+'Long Term Deals'!BS27*'Prices&amp;Fuel'!$H27+'Long Term Deals'!BS28*'Prices&amp;Fuel'!$H28+'Long Term Deals'!BS29*'Prices&amp;Fuel'!$H29+'Long Term Deals'!BS30*'Prices&amp;Fuel'!$H30)/SUM('Prices&amp;Fuel'!$H19:$H30)</f>
        <v>0</v>
      </c>
      <c r="BT6" s="11"/>
      <c r="BU6" s="11"/>
      <c r="BV6" s="28"/>
      <c r="BW6" s="28"/>
      <c r="BX6" s="1">
        <f>SUM('Long Term Deals'!BX19:BX30)</f>
        <v>842629.39999999991</v>
      </c>
      <c r="BY6" s="1">
        <f>SUM('Long Term Deals'!BY19:BY30)</f>
        <v>842629.39999999991</v>
      </c>
      <c r="BZ6" s="6">
        <f>BX6-BY6</f>
        <v>0</v>
      </c>
      <c r="CA6" s="1">
        <f>SUM('Long Term Deals'!CA19:CA30)</f>
        <v>489433.84590921231</v>
      </c>
      <c r="CB6" s="1">
        <f>SUM('Long Term Deals'!CB19:CB30)</f>
        <v>95048.795900476835</v>
      </c>
      <c r="CC6" s="1">
        <f>SUM('Long Term Deals'!CC19:CC30)</f>
        <v>273509723.37783426</v>
      </c>
      <c r="CD6" s="1">
        <f>SUM('Long Term Deals'!CD19:CD30)</f>
        <v>261525452.40501919</v>
      </c>
      <c r="CE6" s="1">
        <f>SUM('Long Term Deals'!CE19:CE30)</f>
        <v>11984270.972815145</v>
      </c>
      <c r="CF6" s="1">
        <f>SUM('Long Term Deals'!CF19:CF30)</f>
        <v>1130698.2349999999</v>
      </c>
      <c r="CG6" s="1">
        <f>SUM('Long Term Deals'!CG19:CG30)</f>
        <v>2537.0350000000003</v>
      </c>
      <c r="CH6" s="1">
        <f>SUM('Long Term Deals'!CH19:CH30)</f>
        <v>1093425.84440273</v>
      </c>
      <c r="CI6" s="1">
        <f>SUM('Long Term Deals'!CI19:CI30)</f>
        <v>37272.390597269812</v>
      </c>
      <c r="CJ6" s="1">
        <f>SUM('Long Term Deals'!CJ19:CJ30)</f>
        <v>274640421.61283427</v>
      </c>
      <c r="CK6" s="1">
        <f>SUM('Long Term Deals'!CK19:CK30)</f>
        <v>262618878.24942186</v>
      </c>
      <c r="CL6" s="1">
        <f>SUM('Long Term Deals'!CL19:CL30)</f>
        <v>12021543.363412414</v>
      </c>
      <c r="CM6" s="1">
        <f>SUM('Long Term Deals'!CM19:CM30)</f>
        <v>12021543.363412414</v>
      </c>
      <c r="CN6" s="1">
        <f>SUM('Long Term Deals'!CN19:CN30)</f>
        <v>6097772.6626000004</v>
      </c>
      <c r="CO6" s="1">
        <f>SUM('Long Term Deals'!CO19:CO30)</f>
        <v>8995957.8484452069</v>
      </c>
      <c r="CP6" s="1">
        <f>SUM('Long Term Deals'!CP19:CP30)</f>
        <v>0</v>
      </c>
      <c r="CQ6" s="1">
        <f>SUM('Long Term Deals'!CQ19:CQ30)</f>
        <v>42135.577500000007</v>
      </c>
      <c r="CR6" s="1">
        <f>SUM('Long Term Deals'!CR19:CR30)</f>
        <v>544007.08840921242</v>
      </c>
      <c r="CS6" s="1">
        <f>SUM('Long Term Deals'!CS19:CS30)</f>
        <v>2093514.3900000006</v>
      </c>
      <c r="CT6" s="1">
        <f>SUM('Long Term Deals'!CT19:CT30)</f>
        <v>4403034.5170926508</v>
      </c>
      <c r="CU6" s="1">
        <f>SUM('Long Term Deals'!CU19:CU30)</f>
        <v>799467.39233893924</v>
      </c>
      <c r="CV6" s="61">
        <f>SUM('Long Term Deals'!CV19:CV30)</f>
        <v>13409675.814503904</v>
      </c>
      <c r="CW6" s="13">
        <f t="shared" ref="CW6:CW20" si="4">AF6+AG6+AH6</f>
        <v>268182.92926532181</v>
      </c>
      <c r="CX6" s="13">
        <f>B6+C6+D6+O6+P6+Q6+X6+Y6+BB6+BC6+BD6+BE6+BF6+BG6+BR6+BS6+'Index Price Deals'!AZ30</f>
        <v>53471.688164644838</v>
      </c>
      <c r="CY6" s="13">
        <f t="shared" ref="CY6:CY20" si="5">(CW6+CX6)*365</f>
        <v>117403935.36193782</v>
      </c>
      <c r="CZ6" s="13">
        <f t="shared" ref="CZ6:CZ23" si="6">SUM(BB6:BG6)</f>
        <v>17017.540219439361</v>
      </c>
      <c r="DA6" s="13">
        <f t="shared" ref="DA6:DA20" si="7">B6+C6+D6+O6+P6+Q6+X6+Y6+BR6+BS6</f>
        <v>35063.991780821918</v>
      </c>
      <c r="DB6" s="3">
        <f>'Index Price Deals'!AZ30</f>
        <v>1390.1561643835616</v>
      </c>
      <c r="DC6" s="13">
        <f t="shared" ref="DC6:DC12" si="8">CZ6+DA6+DB6-CX6</f>
        <v>0</v>
      </c>
    </row>
    <row r="7" spans="1:109" x14ac:dyDescent="0.25">
      <c r="A7" s="56">
        <v>36539.999999999942</v>
      </c>
      <c r="O7" s="1">
        <f>('Long Term Deals'!O31*'Prices&amp;Fuel'!$H31+'Prices&amp;Fuel'!$H32*'Long Term Deals'!O32+'Long Term Deals'!O33*'Prices&amp;Fuel'!$H33+'Long Term Deals'!O34*'Prices&amp;Fuel'!$H34+'Long Term Deals'!O35*'Prices&amp;Fuel'!$H35+'Long Term Deals'!O36*'Prices&amp;Fuel'!$H36+'Long Term Deals'!O37*'Prices&amp;Fuel'!$H37+'Long Term Deals'!O38*'Prices&amp;Fuel'!$H38+'Long Term Deals'!O39*'Prices&amp;Fuel'!$H39+'Long Term Deals'!O40*'Prices&amp;Fuel'!$H40+'Long Term Deals'!O41*'Prices&amp;Fuel'!$H41+'Long Term Deals'!O42*'Prices&amp;Fuel'!$H42)/SUM('Prices&amp;Fuel'!$H31:$H42)</f>
        <v>9036</v>
      </c>
      <c r="P7" s="1">
        <f>('Long Term Deals'!P31*'Prices&amp;Fuel'!$H31+'Prices&amp;Fuel'!$H32*'Long Term Deals'!P32+'Long Term Deals'!P33*'Prices&amp;Fuel'!$H33+'Long Term Deals'!P34*'Prices&amp;Fuel'!$H34+'Long Term Deals'!P35*'Prices&amp;Fuel'!$H35+'Long Term Deals'!P36*'Prices&amp;Fuel'!$H36+'Long Term Deals'!P37*'Prices&amp;Fuel'!$H37+'Long Term Deals'!P38*'Prices&amp;Fuel'!$H38+'Long Term Deals'!P39*'Prices&amp;Fuel'!$H39+'Long Term Deals'!P40*'Prices&amp;Fuel'!$H40+'Long Term Deals'!P41*'Prices&amp;Fuel'!$H41+'Long Term Deals'!P42*'Prices&amp;Fuel'!$H42)/SUM('Prices&amp;Fuel'!$H31:$H42)</f>
        <v>10794</v>
      </c>
      <c r="Q7" s="1">
        <f>('Long Term Deals'!Q31*'Prices&amp;Fuel'!$H31+'Prices&amp;Fuel'!$H32*'Long Term Deals'!Q32+'Long Term Deals'!Q33*'Prices&amp;Fuel'!$H33+'Long Term Deals'!Q34*'Prices&amp;Fuel'!$H34+'Long Term Deals'!Q35*'Prices&amp;Fuel'!$H35+'Long Term Deals'!Q36*'Prices&amp;Fuel'!$H36+'Long Term Deals'!Q37*'Prices&amp;Fuel'!$H37+'Long Term Deals'!Q38*'Prices&amp;Fuel'!$H38+'Long Term Deals'!Q39*'Prices&amp;Fuel'!$H39+'Long Term Deals'!Q40*'Prices&amp;Fuel'!$H40+'Long Term Deals'!Q41*'Prices&amp;Fuel'!$H41+'Long Term Deals'!Q42*'Prices&amp;Fuel'!$H42)/SUM('Prices&amp;Fuel'!$H31:$H42)</f>
        <v>5270</v>
      </c>
      <c r="T7" s="1">
        <f>SUM('Long Term Deals'!T31:T42)</f>
        <v>20837713.779999997</v>
      </c>
      <c r="U7" s="1">
        <f>SUM('Long Term Deals'!U31:U42)</f>
        <v>20735275.659999996</v>
      </c>
      <c r="V7" s="13">
        <f t="shared" si="0"/>
        <v>102438.12000000104</v>
      </c>
      <c r="X7" s="1">
        <f>('Long Term Deals'!X31*'Prices&amp;Fuel'!$H31+'Prices&amp;Fuel'!$H32*'Long Term Deals'!X32+'Long Term Deals'!X33*'Prices&amp;Fuel'!$H33+'Long Term Deals'!X34*'Prices&amp;Fuel'!$H34+'Long Term Deals'!X35*'Prices&amp;Fuel'!$H35+'Long Term Deals'!X36*'Prices&amp;Fuel'!$H36+'Long Term Deals'!X37*'Prices&amp;Fuel'!$H37+'Long Term Deals'!X38*'Prices&amp;Fuel'!$H38+'Long Term Deals'!X39*'Prices&amp;Fuel'!$H39+'Long Term Deals'!X40*'Prices&amp;Fuel'!$H40+'Long Term Deals'!X41*'Prices&amp;Fuel'!$H41+'Long Term Deals'!X42*'Prices&amp;Fuel'!$H42)/SUM('Prices&amp;Fuel'!$H31:$H42)</f>
        <v>3083.3333333333335</v>
      </c>
      <c r="Y7" s="1">
        <f>('Long Term Deals'!Y31*'Prices&amp;Fuel'!$H31+'Prices&amp;Fuel'!$H32*'Long Term Deals'!Y32+'Long Term Deals'!Y33*'Prices&amp;Fuel'!$H33+'Long Term Deals'!Y34*'Prices&amp;Fuel'!$H34+'Long Term Deals'!Y35*'Prices&amp;Fuel'!$H35+'Long Term Deals'!Y36*'Prices&amp;Fuel'!$H36+'Long Term Deals'!Y37*'Prices&amp;Fuel'!$H37+'Long Term Deals'!Y38*'Prices&amp;Fuel'!$H38+'Long Term Deals'!Y39*'Prices&amp;Fuel'!$H39+'Long Term Deals'!Y40*'Prices&amp;Fuel'!$H40+'Long Term Deals'!Y41*'Prices&amp;Fuel'!$H41+'Long Term Deals'!Y42*'Prices&amp;Fuel'!$H42)/SUM('Prices&amp;Fuel'!$H31:$H42)</f>
        <v>3083.3333333333335</v>
      </c>
      <c r="Z7" s="12"/>
      <c r="AA7" s="12"/>
      <c r="AB7" s="1">
        <f>SUM('Long Term Deals'!AB31:AB42)</f>
        <v>4965400.0000000009</v>
      </c>
      <c r="AC7" s="1">
        <f>SUM('Long Term Deals'!AC31:AC42)</f>
        <v>4920260.0000000009</v>
      </c>
      <c r="AD7" s="13">
        <f>AB7-AC7</f>
        <v>45140</v>
      </c>
      <c r="AF7" s="1">
        <f>('Long Term Deals'!AF31*'Prices&amp;Fuel'!$H31+'Prices&amp;Fuel'!$H32*'Long Term Deals'!AF32+'Long Term Deals'!AF33*'Prices&amp;Fuel'!$H33+'Long Term Deals'!AF34*'Prices&amp;Fuel'!$H34+'Long Term Deals'!AF35*'Prices&amp;Fuel'!$H35+'Long Term Deals'!AF36*'Prices&amp;Fuel'!$H36+'Long Term Deals'!AF37*'Prices&amp;Fuel'!$H37+'Long Term Deals'!AF38*'Prices&amp;Fuel'!$H38+'Long Term Deals'!AF39*'Prices&amp;Fuel'!$H39+'Long Term Deals'!AF40*'Prices&amp;Fuel'!$H40+'Long Term Deals'!AF41*'Prices&amp;Fuel'!$H41+'Long Term Deals'!AF42*'Prices&amp;Fuel'!$H42)/SUM('Prices&amp;Fuel'!$H31:$H42)</f>
        <v>99236.657162100135</v>
      </c>
      <c r="AG7" s="1">
        <f>('Long Term Deals'!AG31*'Prices&amp;Fuel'!$H31+'Prices&amp;Fuel'!$H32*'Long Term Deals'!AG32+'Long Term Deals'!AG33*'Prices&amp;Fuel'!$H33+'Long Term Deals'!AG34*'Prices&amp;Fuel'!$H34+'Long Term Deals'!AG35*'Prices&amp;Fuel'!$H35+'Long Term Deals'!AG36*'Prices&amp;Fuel'!$H36+'Long Term Deals'!AG37*'Prices&amp;Fuel'!$H37+'Long Term Deals'!AG38*'Prices&amp;Fuel'!$H38+'Long Term Deals'!AG39*'Prices&amp;Fuel'!$H39+'Long Term Deals'!AG40*'Prices&amp;Fuel'!$H40+'Long Term Deals'!AG41*'Prices&amp;Fuel'!$H41+'Long Term Deals'!AG42*'Prices&amp;Fuel'!$H42)/SUM('Prices&amp;Fuel'!$H31:$H42)</f>
        <v>0</v>
      </c>
      <c r="AH7" s="1">
        <f>('Long Term Deals'!AH31*'Prices&amp;Fuel'!$H31+'Prices&amp;Fuel'!$H32*'Long Term Deals'!AH32+'Long Term Deals'!AH33*'Prices&amp;Fuel'!$H33+'Long Term Deals'!AH34*'Prices&amp;Fuel'!$H34+'Long Term Deals'!AH35*'Prices&amp;Fuel'!$H35+'Long Term Deals'!AH36*'Prices&amp;Fuel'!$H36+'Long Term Deals'!AH37*'Prices&amp;Fuel'!$H37+'Long Term Deals'!AH38*'Prices&amp;Fuel'!$H38+'Long Term Deals'!AH39*'Prices&amp;Fuel'!$H39+'Long Term Deals'!AH40*'Prices&amp;Fuel'!$H40+'Long Term Deals'!AH41*'Prices&amp;Fuel'!$H41+'Long Term Deals'!AH42*'Prices&amp;Fuel'!$H42)/SUM('Prices&amp;Fuel'!$H31:$H42)</f>
        <v>77275.780504060865</v>
      </c>
      <c r="AI7" s="1">
        <f>('Long Term Deals'!AI31*'Prices&amp;Fuel'!$H31+'Prices&amp;Fuel'!$H32*'Long Term Deals'!AI32+'Long Term Deals'!AI33*'Prices&amp;Fuel'!$H33+'Long Term Deals'!AI34*'Prices&amp;Fuel'!$H34+'Long Term Deals'!AI35*'Prices&amp;Fuel'!$H35+'Long Term Deals'!AI36*'Prices&amp;Fuel'!$H36+'Long Term Deals'!AI37*'Prices&amp;Fuel'!$H37+'Long Term Deals'!AI38*'Prices&amp;Fuel'!$H38+'Long Term Deals'!AI39*'Prices&amp;Fuel'!$H39+'Long Term Deals'!AI40*'Prices&amp;Fuel'!$H40+'Long Term Deals'!AI41*'Prices&amp;Fuel'!$H41+'Long Term Deals'!AI42*'Prices&amp;Fuel'!$H42)/SUM('Prices&amp;Fuel'!$H31:$H42)</f>
        <v>0</v>
      </c>
      <c r="AJ7" s="1">
        <f>('Long Term Deals'!AJ31*'Prices&amp;Fuel'!$H31+'Prices&amp;Fuel'!$H32*'Long Term Deals'!AJ32+'Long Term Deals'!AJ33*'Prices&amp;Fuel'!$H33+'Long Term Deals'!AJ34*'Prices&amp;Fuel'!$H34+'Long Term Deals'!AJ35*'Prices&amp;Fuel'!$H35+'Long Term Deals'!AJ36*'Prices&amp;Fuel'!$H36+'Long Term Deals'!AJ37*'Prices&amp;Fuel'!$H37+'Long Term Deals'!AJ38*'Prices&amp;Fuel'!$H38+'Long Term Deals'!AJ39*'Prices&amp;Fuel'!$H39+'Long Term Deals'!AJ40*'Prices&amp;Fuel'!$H40+'Long Term Deals'!AJ41*'Prices&amp;Fuel'!$H41+'Long Term Deals'!AJ42*'Prices&amp;Fuel'!$H42)/SUM('Prices&amp;Fuel'!$H31:$H42)</f>
        <v>0</v>
      </c>
      <c r="AK7" s="1">
        <f>('Long Term Deals'!AK31*'Prices&amp;Fuel'!$H31+'Prices&amp;Fuel'!$H32*'Long Term Deals'!AK32+'Long Term Deals'!AK33*'Prices&amp;Fuel'!$H33+'Long Term Deals'!AK34*'Prices&amp;Fuel'!$H34+'Long Term Deals'!AK35*'Prices&amp;Fuel'!$H35+'Long Term Deals'!AK36*'Prices&amp;Fuel'!$H36+'Long Term Deals'!AK37*'Prices&amp;Fuel'!$H37+'Long Term Deals'!AK38*'Prices&amp;Fuel'!$H38+'Long Term Deals'!AK39*'Prices&amp;Fuel'!$H39+'Long Term Deals'!AK40*'Prices&amp;Fuel'!$H40+'Long Term Deals'!AK41*'Prices&amp;Fuel'!$H41+'Long Term Deals'!AK42*'Prices&amp;Fuel'!$H42)/SUM('Prices&amp;Fuel'!$H31:$H42)</f>
        <v>0</v>
      </c>
      <c r="AL7" s="1">
        <f t="shared" si="1"/>
        <v>0</v>
      </c>
      <c r="AM7" s="1"/>
      <c r="AN7" s="1"/>
      <c r="AO7" s="1"/>
      <c r="AP7" s="1"/>
      <c r="AQ7" s="1"/>
      <c r="AR7" s="1"/>
      <c r="AS7" s="13"/>
      <c r="AT7" s="13"/>
      <c r="AU7" s="13"/>
      <c r="AW7" s="20"/>
      <c r="AX7" s="20"/>
      <c r="AY7" s="1">
        <f>SUM('Long Term Deals'!AY31:AY42)</f>
        <v>241929721.65384209</v>
      </c>
      <c r="AZ7" s="1">
        <f>SUM('Long Term Deals'!AZ31:AZ42)</f>
        <v>233822328.83325326</v>
      </c>
      <c r="BA7" s="6">
        <f t="shared" si="2"/>
        <v>8107392.8205888271</v>
      </c>
      <c r="BB7" s="1">
        <f>('Long Term Deals'!BB31*'Prices&amp;Fuel'!$H31+'Prices&amp;Fuel'!$H32*'Long Term Deals'!BB32+'Long Term Deals'!BB33*'Prices&amp;Fuel'!$H33+'Long Term Deals'!BB34*'Prices&amp;Fuel'!$H34+'Long Term Deals'!BB35*'Prices&amp;Fuel'!$H35+'Long Term Deals'!BB36*'Prices&amp;Fuel'!$H36+'Long Term Deals'!BB37*'Prices&amp;Fuel'!$H37+'Long Term Deals'!BB38*'Prices&amp;Fuel'!$H38+'Long Term Deals'!BB39*'Prices&amp;Fuel'!$H39+'Long Term Deals'!BB40*'Prices&amp;Fuel'!$H40+'Long Term Deals'!BB41*'Prices&amp;Fuel'!$H41+'Long Term Deals'!BB42*'Prices&amp;Fuel'!$H42)/SUM('Prices&amp;Fuel'!$H31:$H42)</f>
        <v>6839.7034577602662</v>
      </c>
      <c r="BC7" s="1">
        <f>('Long Term Deals'!BC31*'Prices&amp;Fuel'!$H31+'Prices&amp;Fuel'!$H32*'Long Term Deals'!BC32+'Long Term Deals'!BC33*'Prices&amp;Fuel'!$H33+'Long Term Deals'!BC34*'Prices&amp;Fuel'!$H34+'Long Term Deals'!BC35*'Prices&amp;Fuel'!$H35+'Long Term Deals'!BC36*'Prices&amp;Fuel'!$H36+'Long Term Deals'!BC37*'Prices&amp;Fuel'!$H37+'Long Term Deals'!BC38*'Prices&amp;Fuel'!$H38+'Long Term Deals'!BC39*'Prices&amp;Fuel'!$H39+'Long Term Deals'!BC40*'Prices&amp;Fuel'!$H40+'Long Term Deals'!BC41*'Prices&amp;Fuel'!$H41+'Long Term Deals'!BC42*'Prices&amp;Fuel'!$H42)/SUM('Prices&amp;Fuel'!$H31:$H42)</f>
        <v>0</v>
      </c>
      <c r="BD7" s="1">
        <f>('Long Term Deals'!BD31*'Prices&amp;Fuel'!$H31+'Prices&amp;Fuel'!$H32*'Long Term Deals'!BD32+'Long Term Deals'!BD33*'Prices&amp;Fuel'!$H33+'Long Term Deals'!BD34*'Prices&amp;Fuel'!$H34+'Long Term Deals'!BD35*'Prices&amp;Fuel'!$H35+'Long Term Deals'!BD36*'Prices&amp;Fuel'!$H36+'Long Term Deals'!BD37*'Prices&amp;Fuel'!$H37+'Long Term Deals'!BD38*'Prices&amp;Fuel'!$H38+'Long Term Deals'!BD39*'Prices&amp;Fuel'!$H39+'Long Term Deals'!BD40*'Prices&amp;Fuel'!$H40+'Long Term Deals'!BD41*'Prices&amp;Fuel'!$H41+'Long Term Deals'!BD42*'Prices&amp;Fuel'!$H42)/SUM('Prices&amp;Fuel'!$H31:$H42)</f>
        <v>3046.4733406297264</v>
      </c>
      <c r="BE7" s="1">
        <f>('Long Term Deals'!BE31*'Prices&amp;Fuel'!$H31+'Prices&amp;Fuel'!$H32*'Long Term Deals'!BE32+'Long Term Deals'!BE33*'Prices&amp;Fuel'!$H33+'Long Term Deals'!BE34*'Prices&amp;Fuel'!$H34+'Long Term Deals'!BE35*'Prices&amp;Fuel'!$H35+'Long Term Deals'!BE36*'Prices&amp;Fuel'!$H36+'Long Term Deals'!BE37*'Prices&amp;Fuel'!$H37+'Long Term Deals'!BE38*'Prices&amp;Fuel'!$H38+'Long Term Deals'!BE39*'Prices&amp;Fuel'!$H39+'Long Term Deals'!BE40*'Prices&amp;Fuel'!$H40+'Long Term Deals'!BE41*'Prices&amp;Fuel'!$H41+'Long Term Deals'!BE42*'Prices&amp;Fuel'!$H42)/SUM('Prices&amp;Fuel'!$H31:$H42)</f>
        <v>2312.0871711285058</v>
      </c>
      <c r="BF7" s="1">
        <f>('Long Term Deals'!BF31*'Prices&amp;Fuel'!$H31+'Prices&amp;Fuel'!$H32*'Long Term Deals'!BF32+'Long Term Deals'!BF33*'Prices&amp;Fuel'!$H33+'Long Term Deals'!BF34*'Prices&amp;Fuel'!$H34+'Long Term Deals'!BF35*'Prices&amp;Fuel'!$H35+'Long Term Deals'!BF36*'Prices&amp;Fuel'!$H36+'Long Term Deals'!BF37*'Prices&amp;Fuel'!$H37+'Long Term Deals'!BF38*'Prices&amp;Fuel'!$H38+'Long Term Deals'!BF39*'Prices&amp;Fuel'!$H39+'Long Term Deals'!BF40*'Prices&amp;Fuel'!$H40+'Long Term Deals'!BF41*'Prices&amp;Fuel'!$H41+'Long Term Deals'!BF42*'Prices&amp;Fuel'!$H42)/SUM('Prices&amp;Fuel'!$H31:$H42)</f>
        <v>3425.1656121574251</v>
      </c>
      <c r="BG7" s="1">
        <f>('Long Term Deals'!BG31*'Prices&amp;Fuel'!$H31+'Prices&amp;Fuel'!$H32*'Long Term Deals'!BG32+'Long Term Deals'!BG33*'Prices&amp;Fuel'!$H33+'Long Term Deals'!BG34*'Prices&amp;Fuel'!$H34+'Long Term Deals'!BG35*'Prices&amp;Fuel'!$H35+'Long Term Deals'!BG36*'Prices&amp;Fuel'!$H36+'Long Term Deals'!BG37*'Prices&amp;Fuel'!$H37+'Long Term Deals'!BG38*'Prices&amp;Fuel'!$H38+'Long Term Deals'!BG39*'Prices&amp;Fuel'!$H39+'Long Term Deals'!BG40*'Prices&amp;Fuel'!$H40+'Long Term Deals'!BG41*'Prices&amp;Fuel'!$H41+'Long Term Deals'!BG42*'Prices&amp;Fuel'!$H42)/SUM('Prices&amp;Fuel'!$H31:$H42)</f>
        <v>1406.038316924486</v>
      </c>
      <c r="BH7" s="25"/>
      <c r="BI7" s="14"/>
      <c r="BJ7" s="14"/>
      <c r="BK7" s="25"/>
      <c r="BL7" s="1">
        <f>SUM('Long Term Deals'!BL31:BL42)</f>
        <v>27605445.760893639</v>
      </c>
      <c r="BM7" s="14"/>
      <c r="BN7" s="14"/>
      <c r="BP7" s="1">
        <f>SUM('Long Term Deals'!BP31:BP42)</f>
        <v>27006750.851383474</v>
      </c>
      <c r="BQ7" s="6">
        <f t="shared" si="3"/>
        <v>598694.90951016545</v>
      </c>
      <c r="BR7" s="1">
        <f>('Long Term Deals'!BR31*'Prices&amp;Fuel'!$H31+'Prices&amp;Fuel'!$H32*'Long Term Deals'!BR32+'Long Term Deals'!BR33*'Prices&amp;Fuel'!$H33+'Long Term Deals'!BR34*'Prices&amp;Fuel'!$H34+'Long Term Deals'!BR35*'Prices&amp;Fuel'!$H35+'Long Term Deals'!BR36*'Prices&amp;Fuel'!$H36+'Long Term Deals'!BR37*'Prices&amp;Fuel'!$H37+'Long Term Deals'!BR38*'Prices&amp;Fuel'!$H38+'Long Term Deals'!BR39*'Prices&amp;Fuel'!$H39+'Long Term Deals'!BR40*'Prices&amp;Fuel'!$H40+'Long Term Deals'!BR41*'Prices&amp;Fuel'!$H41+'Long Term Deals'!BR42*'Prices&amp;Fuel'!$H42)/SUM('Prices&amp;Fuel'!$H31:$H42)</f>
        <v>497.26775956284155</v>
      </c>
      <c r="BS7" s="1">
        <f>('Long Term Deals'!BS31*'Prices&amp;Fuel'!$H31+'Prices&amp;Fuel'!$H32*'Long Term Deals'!BS32+'Long Term Deals'!BS33*'Prices&amp;Fuel'!$H33+'Long Term Deals'!BS34*'Prices&amp;Fuel'!$H34+'Long Term Deals'!BS35*'Prices&amp;Fuel'!$H35+'Long Term Deals'!BS36*'Prices&amp;Fuel'!$H36+'Long Term Deals'!BS37*'Prices&amp;Fuel'!$H37+'Long Term Deals'!BS38*'Prices&amp;Fuel'!$H38+'Long Term Deals'!BS39*'Prices&amp;Fuel'!$H39+'Long Term Deals'!BS40*'Prices&amp;Fuel'!$H40+'Long Term Deals'!BS41*'Prices&amp;Fuel'!$H41+'Long Term Deals'!BS42*'Prices&amp;Fuel'!$H42)/SUM('Prices&amp;Fuel'!$H31:$H42)</f>
        <v>0</v>
      </c>
      <c r="BT7" s="11"/>
      <c r="BU7" s="11"/>
      <c r="BV7" s="28"/>
      <c r="BW7" s="28"/>
      <c r="BX7" s="1">
        <f>SUM('Long Term Deals'!BX31:BX42)</f>
        <v>538158.69999999995</v>
      </c>
      <c r="BY7" s="1">
        <f>SUM('Long Term Deals'!BY31:BY42)</f>
        <v>538158.69999999995</v>
      </c>
      <c r="BZ7" s="6">
        <f>BX7-BY7</f>
        <v>0</v>
      </c>
      <c r="CA7" s="1">
        <f>SUM('Long Term Deals'!CA31:CA42)</f>
        <v>323017.76092907466</v>
      </c>
      <c r="CB7" s="1">
        <f>SUM('Long Term Deals'!CB31:CB42)</f>
        <v>89291.92625443876</v>
      </c>
      <c r="CC7" s="1">
        <f>SUM('Long Term Deals'!CC31:CC42)</f>
        <v>295876439.89473575</v>
      </c>
      <c r="CD7" s="1">
        <f>SUM('Long Term Deals'!CD31:CD42)</f>
        <v>287435083.73182029</v>
      </c>
      <c r="CE7" s="1">
        <f>SUM('Long Term Deals'!CE31:CE42)</f>
        <v>8441356.1629154738</v>
      </c>
      <c r="CF7" s="1">
        <f>SUM('Long Term Deals'!CF31:CF42)</f>
        <v>156089.965</v>
      </c>
      <c r="CG7" s="1">
        <f>SUM('Long Term Deals'!CG31:CG42)</f>
        <v>287.41500000000002</v>
      </c>
      <c r="CH7" s="1">
        <f>SUM('Long Term Deals'!CH31:CH42)</f>
        <v>154652.89000000001</v>
      </c>
      <c r="CI7" s="1">
        <f>SUM('Long Term Deals'!CI31:CI42)</f>
        <v>1437.0749999999716</v>
      </c>
      <c r="CJ7" s="1">
        <f>SUM('Long Term Deals'!CJ31:CJ42)</f>
        <v>296032529.85973573</v>
      </c>
      <c r="CK7" s="1">
        <f>SUM('Long Term Deals'!CK31:CK42)</f>
        <v>287589736.62182027</v>
      </c>
      <c r="CL7" s="1">
        <f>SUM('Long Term Deals'!CL31:CL42)</f>
        <v>8442793.2379154731</v>
      </c>
      <c r="CM7" s="1">
        <f>SUM('Long Term Deals'!CM31:CM42)</f>
        <v>8442793.2379154731</v>
      </c>
      <c r="CN7" s="1">
        <f>SUM('Long Term Deals'!CN31:CN42)</f>
        <v>5288132.7779999832</v>
      </c>
      <c r="CO7" s="1">
        <f>SUM('Long Term Deals'!CO31:CO42)</f>
        <v>9003212.0758801177</v>
      </c>
      <c r="CP7" s="1">
        <f>SUM('Long Term Deals'!CP31:CP42)</f>
        <v>0</v>
      </c>
      <c r="CQ7" s="1">
        <f>SUM('Long Term Deals'!CQ31:CQ42)</f>
        <v>39283.915000000066</v>
      </c>
      <c r="CR7" s="1">
        <f>SUM('Long Term Deals'!CR31:CR42)</f>
        <v>372389.26092907472</v>
      </c>
      <c r="CS7" s="1">
        <f>SUM('Long Term Deals'!CS31:CS42)</f>
        <v>1854778.4999999935</v>
      </c>
      <c r="CT7" s="1">
        <f>SUM('Long Term Deals'!CT31:CT42)</f>
        <v>1719231.5581215676</v>
      </c>
      <c r="CU7" s="1">
        <f>SUM('Long Term Deals'!CU31:CU42)</f>
        <v>-456790.40002377453</v>
      </c>
      <c r="CV7" s="61">
        <f>SUM('Long Term Deals'!CV31:CV42)</f>
        <v>11836629.07765026</v>
      </c>
      <c r="CW7" s="13">
        <f t="shared" si="4"/>
        <v>176512.43766616099</v>
      </c>
      <c r="CX7" s="13">
        <f>B7+C7+D7+O7+P7+Q7+X7+Y7+BB7+BC7+BD7+BE7+BF7+BG7+BR7+BS7+'Index Price Deals'!AZ35</f>
        <v>48950.459701879103</v>
      </c>
      <c r="CY7" s="13">
        <f t="shared" si="5"/>
        <v>82293957.539334625</v>
      </c>
      <c r="CZ7" s="13">
        <f t="shared" si="6"/>
        <v>17029.467898600407</v>
      </c>
      <c r="DA7" s="13">
        <f t="shared" si="7"/>
        <v>31763.934426229505</v>
      </c>
      <c r="DB7" s="3">
        <f>'Index Price Deals'!AZ35</f>
        <v>157.05737704918033</v>
      </c>
      <c r="DC7" s="13">
        <f t="shared" si="8"/>
        <v>0</v>
      </c>
      <c r="DD7" s="88"/>
    </row>
    <row r="8" spans="1:109" x14ac:dyDescent="0.25">
      <c r="A8" s="56">
        <v>36904.999999999913</v>
      </c>
      <c r="O8" s="1">
        <f>('Long Term Deals'!O43*'Prices&amp;Fuel'!$H43+'Prices&amp;Fuel'!$H44*'Long Term Deals'!O44+'Long Term Deals'!O45*'Prices&amp;Fuel'!$H45+'Long Term Deals'!O46*'Prices&amp;Fuel'!$H46+'Long Term Deals'!O47*'Prices&amp;Fuel'!$H47+'Long Term Deals'!O48*'Prices&amp;Fuel'!$H48+'Long Term Deals'!O49*'Prices&amp;Fuel'!$H49+'Long Term Deals'!O50*'Prices&amp;Fuel'!$H50+'Long Term Deals'!O51*'Prices&amp;Fuel'!$H51+'Long Term Deals'!O52*'Prices&amp;Fuel'!$H52+'Long Term Deals'!O53*'Prices&amp;Fuel'!$H53+'Long Term Deals'!O54*'Prices&amp;Fuel'!$H54)/SUM('Prices&amp;Fuel'!$H43:$H54)</f>
        <v>9036</v>
      </c>
      <c r="P8" s="1">
        <f>('Long Term Deals'!P43*'Prices&amp;Fuel'!$H43+'Prices&amp;Fuel'!$H44*'Long Term Deals'!P44+'Long Term Deals'!P45*'Prices&amp;Fuel'!$H45+'Long Term Deals'!P46*'Prices&amp;Fuel'!$H46+'Long Term Deals'!P47*'Prices&amp;Fuel'!$H47+'Long Term Deals'!P48*'Prices&amp;Fuel'!$H48+'Long Term Deals'!P49*'Prices&amp;Fuel'!$H49+'Long Term Deals'!P50*'Prices&amp;Fuel'!$H50+'Long Term Deals'!P51*'Prices&amp;Fuel'!$H51+'Long Term Deals'!P52*'Prices&amp;Fuel'!$H52+'Long Term Deals'!P53*'Prices&amp;Fuel'!$H53+'Long Term Deals'!P54*'Prices&amp;Fuel'!$H54)/SUM('Prices&amp;Fuel'!$H43:$H54)</f>
        <v>10794</v>
      </c>
      <c r="Q8" s="1">
        <f>('Long Term Deals'!Q43*'Prices&amp;Fuel'!$H43+'Prices&amp;Fuel'!$H44*'Long Term Deals'!Q44+'Long Term Deals'!Q45*'Prices&amp;Fuel'!$H45+'Long Term Deals'!Q46*'Prices&amp;Fuel'!$H46+'Long Term Deals'!Q47*'Prices&amp;Fuel'!$H47+'Long Term Deals'!Q48*'Prices&amp;Fuel'!$H48+'Long Term Deals'!Q49*'Prices&amp;Fuel'!$H49+'Long Term Deals'!Q50*'Prices&amp;Fuel'!$H50+'Long Term Deals'!Q51*'Prices&amp;Fuel'!$H51+'Long Term Deals'!Q52*'Prices&amp;Fuel'!$H52+'Long Term Deals'!Q53*'Prices&amp;Fuel'!$H53+'Long Term Deals'!Q54*'Prices&amp;Fuel'!$H54)/SUM('Prices&amp;Fuel'!$H43:$H54)</f>
        <v>5270</v>
      </c>
      <c r="T8" s="1">
        <f>SUM('Long Term Deals'!T43:T54)</f>
        <v>21196854.619999997</v>
      </c>
      <c r="U8" s="1">
        <f>SUM('Long Term Deals'!U43:U54)</f>
        <v>21092405.989999998</v>
      </c>
      <c r="V8" s="13">
        <f t="shared" si="0"/>
        <v>104448.62999999896</v>
      </c>
      <c r="X8" s="1">
        <f>('Long Term Deals'!X43*'Prices&amp;Fuel'!$H43+'Prices&amp;Fuel'!$H44*'Long Term Deals'!X44+'Long Term Deals'!X45*'Prices&amp;Fuel'!$H45+'Long Term Deals'!X46*'Prices&amp;Fuel'!$H46+'Long Term Deals'!X47*'Prices&amp;Fuel'!$H47+'Long Term Deals'!X48*'Prices&amp;Fuel'!$H48+'Long Term Deals'!X49*'Prices&amp;Fuel'!$H49+'Long Term Deals'!X50*'Prices&amp;Fuel'!$H50+'Long Term Deals'!X51*'Prices&amp;Fuel'!$H51+'Long Term Deals'!X52*'Prices&amp;Fuel'!$H52+'Long Term Deals'!X53*'Prices&amp;Fuel'!$H53+'Long Term Deals'!X54*'Prices&amp;Fuel'!$H54)/SUM('Prices&amp;Fuel'!$H43:$H54)</f>
        <v>916.43835616438355</v>
      </c>
      <c r="Y8" s="1">
        <f>('Long Term Deals'!Y43*'Prices&amp;Fuel'!$H43+'Prices&amp;Fuel'!$H44*'Long Term Deals'!Y44+'Long Term Deals'!Y45*'Prices&amp;Fuel'!$H45+'Long Term Deals'!Y46*'Prices&amp;Fuel'!$H46+'Long Term Deals'!Y47*'Prices&amp;Fuel'!$H47+'Long Term Deals'!Y48*'Prices&amp;Fuel'!$H48+'Long Term Deals'!Y49*'Prices&amp;Fuel'!$H49+'Long Term Deals'!Y50*'Prices&amp;Fuel'!$H50+'Long Term Deals'!Y51*'Prices&amp;Fuel'!$H51+'Long Term Deals'!Y52*'Prices&amp;Fuel'!$H52+'Long Term Deals'!Y53*'Prices&amp;Fuel'!$H53+'Long Term Deals'!Y54*'Prices&amp;Fuel'!$H54)/SUM('Prices&amp;Fuel'!$H43:$H54)</f>
        <v>916.43835616438355</v>
      </c>
      <c r="Z8" s="12"/>
      <c r="AA8" s="12"/>
      <c r="AB8" s="1">
        <f>SUM('Long Term Deals'!AB43:AB54)</f>
        <v>1471800</v>
      </c>
      <c r="AC8" s="1">
        <f>SUM('Long Term Deals'!AC43:AC54)</f>
        <v>1458420</v>
      </c>
      <c r="AD8" s="13">
        <f>AB8-AC8</f>
        <v>13380</v>
      </c>
      <c r="AF8" s="1">
        <f>('Long Term Deals'!AF43*'Prices&amp;Fuel'!$H43+'Prices&amp;Fuel'!$H44*'Long Term Deals'!AF44+'Long Term Deals'!AF45*'Prices&amp;Fuel'!$H45+'Long Term Deals'!AF46*'Prices&amp;Fuel'!$H46+'Long Term Deals'!AF47*'Prices&amp;Fuel'!$H47+'Long Term Deals'!AF48*'Prices&amp;Fuel'!$H48+'Long Term Deals'!AF49*'Prices&amp;Fuel'!$H49+'Long Term Deals'!AF50*'Prices&amp;Fuel'!$H50+'Long Term Deals'!AF51*'Prices&amp;Fuel'!$H51+'Long Term Deals'!AF52*'Prices&amp;Fuel'!$H52+'Long Term Deals'!AF53*'Prices&amp;Fuel'!$H53+'Long Term Deals'!AF54*'Prices&amp;Fuel'!$H54)/SUM('Prices&amp;Fuel'!$H43:$H54)</f>
        <v>99128.781209282679</v>
      </c>
      <c r="AG8" s="1">
        <f>('Long Term Deals'!AG43*'Prices&amp;Fuel'!$H43+'Prices&amp;Fuel'!$H44*'Long Term Deals'!AG44+'Long Term Deals'!AG45*'Prices&amp;Fuel'!$H45+'Long Term Deals'!AG46*'Prices&amp;Fuel'!$H46+'Long Term Deals'!AG47*'Prices&amp;Fuel'!$H47+'Long Term Deals'!AG48*'Prices&amp;Fuel'!$H48+'Long Term Deals'!AG49*'Prices&amp;Fuel'!$H49+'Long Term Deals'!AG50*'Prices&amp;Fuel'!$H50+'Long Term Deals'!AG51*'Prices&amp;Fuel'!$H51+'Long Term Deals'!AG52*'Prices&amp;Fuel'!$H52+'Long Term Deals'!AG53*'Prices&amp;Fuel'!$H53+'Long Term Deals'!AG54*'Prices&amp;Fuel'!$H54)/SUM('Prices&amp;Fuel'!$H43:$H54)</f>
        <v>0</v>
      </c>
      <c r="AH8" s="1">
        <f>('Long Term Deals'!AH43*'Prices&amp;Fuel'!$H43+'Prices&amp;Fuel'!$H44*'Long Term Deals'!AH44+'Long Term Deals'!AH45*'Prices&amp;Fuel'!$H45+'Long Term Deals'!AH46*'Prices&amp;Fuel'!$H46+'Long Term Deals'!AH47*'Prices&amp;Fuel'!$H47+'Long Term Deals'!AH48*'Prices&amp;Fuel'!$H48+'Long Term Deals'!AH49*'Prices&amp;Fuel'!$H49+'Long Term Deals'!AH50*'Prices&amp;Fuel'!$H50+'Long Term Deals'!AH51*'Prices&amp;Fuel'!$H51+'Long Term Deals'!AH52*'Prices&amp;Fuel'!$H52+'Long Term Deals'!AH53*'Prices&amp;Fuel'!$H53+'Long Term Deals'!AH54*'Prices&amp;Fuel'!$H54)/SUM('Prices&amp;Fuel'!$H43:$H54)</f>
        <v>77120.822622107982</v>
      </c>
      <c r="AI8" s="1">
        <f>('Long Term Deals'!AI43*'Prices&amp;Fuel'!$H43+'Prices&amp;Fuel'!$H44*'Long Term Deals'!AI44+'Long Term Deals'!AI45*'Prices&amp;Fuel'!$H45+'Long Term Deals'!AI46*'Prices&amp;Fuel'!$H46+'Long Term Deals'!AI47*'Prices&amp;Fuel'!$H47+'Long Term Deals'!AI48*'Prices&amp;Fuel'!$H48+'Long Term Deals'!AI49*'Prices&amp;Fuel'!$H49+'Long Term Deals'!AI50*'Prices&amp;Fuel'!$H50+'Long Term Deals'!AI51*'Prices&amp;Fuel'!$H51+'Long Term Deals'!AI52*'Prices&amp;Fuel'!$H52+'Long Term Deals'!AI53*'Prices&amp;Fuel'!$H53+'Long Term Deals'!AI54*'Prices&amp;Fuel'!$H54)/SUM('Prices&amp;Fuel'!$H43:$H54)</f>
        <v>0</v>
      </c>
      <c r="AJ8" s="1">
        <f>('Long Term Deals'!AJ43*'Prices&amp;Fuel'!$H43+'Prices&amp;Fuel'!$H44*'Long Term Deals'!AJ44+'Long Term Deals'!AJ45*'Prices&amp;Fuel'!$H45+'Long Term Deals'!AJ46*'Prices&amp;Fuel'!$H46+'Long Term Deals'!AJ47*'Prices&amp;Fuel'!$H47+'Long Term Deals'!AJ48*'Prices&amp;Fuel'!$H48+'Long Term Deals'!AJ49*'Prices&amp;Fuel'!$H49+'Long Term Deals'!AJ50*'Prices&amp;Fuel'!$H50+'Long Term Deals'!AJ51*'Prices&amp;Fuel'!$H51+'Long Term Deals'!AJ52*'Prices&amp;Fuel'!$H52+'Long Term Deals'!AJ53*'Prices&amp;Fuel'!$H53+'Long Term Deals'!AJ54*'Prices&amp;Fuel'!$H54)/SUM('Prices&amp;Fuel'!$H43:$H54)</f>
        <v>0</v>
      </c>
      <c r="AK8" s="1">
        <f>('Long Term Deals'!AK43*'Prices&amp;Fuel'!$H43+'Prices&amp;Fuel'!$H44*'Long Term Deals'!AK44+'Long Term Deals'!AK45*'Prices&amp;Fuel'!$H45+'Long Term Deals'!AK46*'Prices&amp;Fuel'!$H46+'Long Term Deals'!AK47*'Prices&amp;Fuel'!$H47+'Long Term Deals'!AK48*'Prices&amp;Fuel'!$H48+'Long Term Deals'!AK49*'Prices&amp;Fuel'!$H49+'Long Term Deals'!AK50*'Prices&amp;Fuel'!$H50+'Long Term Deals'!AK51*'Prices&amp;Fuel'!$H51+'Long Term Deals'!AK52*'Prices&amp;Fuel'!$H52+'Long Term Deals'!AK53*'Prices&amp;Fuel'!$H53+'Long Term Deals'!AK54*'Prices&amp;Fuel'!$H54)/SUM('Prices&amp;Fuel'!$H43:$H54)</f>
        <v>0</v>
      </c>
      <c r="AL8" s="1">
        <f t="shared" si="1"/>
        <v>0</v>
      </c>
      <c r="AM8" s="1"/>
      <c r="AO8" s="1"/>
      <c r="AP8" s="1"/>
      <c r="AR8" s="1"/>
      <c r="AT8" s="13"/>
      <c r="AU8" s="13"/>
      <c r="AW8" s="20"/>
      <c r="AX8" s="20"/>
      <c r="AY8" s="1">
        <f>SUM('Long Term Deals'!AY43:AY54)</f>
        <v>234580401.02827764</v>
      </c>
      <c r="AZ8" s="1">
        <f>SUM('Long Term Deals'!AZ43:AZ54)</f>
        <v>227731470.43701801</v>
      </c>
      <c r="BA8" s="6">
        <f t="shared" si="2"/>
        <v>6848930.5912596285</v>
      </c>
      <c r="BB8" s="1">
        <f>('Long Term Deals'!BB43*'Prices&amp;Fuel'!$H43+'Prices&amp;Fuel'!$H44*'Long Term Deals'!BB44+'Long Term Deals'!BB45*'Prices&amp;Fuel'!$H45+'Long Term Deals'!BB46*'Prices&amp;Fuel'!$H46+'Long Term Deals'!BB47*'Prices&amp;Fuel'!$H47+'Long Term Deals'!BB48*'Prices&amp;Fuel'!$H48+'Long Term Deals'!BB49*'Prices&amp;Fuel'!$H49+'Long Term Deals'!BB50*'Prices&amp;Fuel'!$H50+'Long Term Deals'!BB51*'Prices&amp;Fuel'!$H51+'Long Term Deals'!BB52*'Prices&amp;Fuel'!$H52+'Long Term Deals'!BB53*'Prices&amp;Fuel'!$H53+'Long Term Deals'!BB54*'Prices&amp;Fuel'!$H54)/SUM('Prices&amp;Fuel'!$H43:$H54)</f>
        <v>6831.0229953868366</v>
      </c>
      <c r="BC8" s="1">
        <f>('Long Term Deals'!BC43*'Prices&amp;Fuel'!$H43+'Prices&amp;Fuel'!$H44*'Long Term Deals'!BC44+'Long Term Deals'!BC45*'Prices&amp;Fuel'!$H45+'Long Term Deals'!BC46*'Prices&amp;Fuel'!$H46+'Long Term Deals'!BC47*'Prices&amp;Fuel'!$H47+'Long Term Deals'!BC48*'Prices&amp;Fuel'!$H48+'Long Term Deals'!BC49*'Prices&amp;Fuel'!$H49+'Long Term Deals'!BC50*'Prices&amp;Fuel'!$H50+'Long Term Deals'!BC51*'Prices&amp;Fuel'!$H51+'Long Term Deals'!BC52*'Prices&amp;Fuel'!$H52+'Long Term Deals'!BC53*'Prices&amp;Fuel'!$H53+'Long Term Deals'!BC54*'Prices&amp;Fuel'!$H54)/SUM('Prices&amp;Fuel'!$H43:$H54)</f>
        <v>0</v>
      </c>
      <c r="BD8" s="1">
        <f>('Long Term Deals'!BD43*'Prices&amp;Fuel'!$H43+'Prices&amp;Fuel'!$H44*'Long Term Deals'!BD44+'Long Term Deals'!BD45*'Prices&amp;Fuel'!$H45+'Long Term Deals'!BD46*'Prices&amp;Fuel'!$H46+'Long Term Deals'!BD47*'Prices&amp;Fuel'!$H47+'Long Term Deals'!BD48*'Prices&amp;Fuel'!$H48+'Long Term Deals'!BD49*'Prices&amp;Fuel'!$H49+'Long Term Deals'!BD50*'Prices&amp;Fuel'!$H50+'Long Term Deals'!BD51*'Prices&amp;Fuel'!$H51+'Long Term Deals'!BD52*'Prices&amp;Fuel'!$H52+'Long Term Deals'!BD53*'Prices&amp;Fuel'!$H53+'Long Term Deals'!BD54*'Prices&amp;Fuel'!$H54)/SUM('Prices&amp;Fuel'!$H43:$H54)</f>
        <v>3046.7612775996718</v>
      </c>
      <c r="BE8" s="1">
        <f>('Long Term Deals'!BE43*'Prices&amp;Fuel'!$H43+'Prices&amp;Fuel'!$H44*'Long Term Deals'!BE44+'Long Term Deals'!BE45*'Prices&amp;Fuel'!$H45+'Long Term Deals'!BE46*'Prices&amp;Fuel'!$H46+'Long Term Deals'!BE47*'Prices&amp;Fuel'!$H47+'Long Term Deals'!BE48*'Prices&amp;Fuel'!$H48+'Long Term Deals'!BE49*'Prices&amp;Fuel'!$H49+'Long Term Deals'!BE50*'Prices&amp;Fuel'!$H50+'Long Term Deals'!BE51*'Prices&amp;Fuel'!$H51+'Long Term Deals'!BE52*'Prices&amp;Fuel'!$H52+'Long Term Deals'!BE53*'Prices&amp;Fuel'!$H53+'Long Term Deals'!BE54*'Prices&amp;Fuel'!$H54)/SUM('Prices&amp;Fuel'!$H43:$H54)</f>
        <v>2306.6746487304995</v>
      </c>
      <c r="BF8" s="1">
        <f>('Long Term Deals'!BF43*'Prices&amp;Fuel'!$H43+'Prices&amp;Fuel'!$H44*'Long Term Deals'!BF44+'Long Term Deals'!BF45*'Prices&amp;Fuel'!$H45+'Long Term Deals'!BF46*'Prices&amp;Fuel'!$H46+'Long Term Deals'!BF47*'Prices&amp;Fuel'!$H47+'Long Term Deals'!BF48*'Prices&amp;Fuel'!$H48+'Long Term Deals'!BF49*'Prices&amp;Fuel'!$H49+'Long Term Deals'!BF50*'Prices&amp;Fuel'!$H50+'Long Term Deals'!BF51*'Prices&amp;Fuel'!$H51+'Long Term Deals'!BF52*'Prices&amp;Fuel'!$H52+'Long Term Deals'!BF53*'Prices&amp;Fuel'!$H53+'Long Term Deals'!BF54*'Prices&amp;Fuel'!$H54)/SUM('Prices&amp;Fuel'!$H43:$H54)</f>
        <v>3417.6567947318376</v>
      </c>
      <c r="BG8" s="1">
        <f>('Long Term Deals'!BG43*'Prices&amp;Fuel'!$H43+'Prices&amp;Fuel'!$H44*'Long Term Deals'!BG44+'Long Term Deals'!BG45*'Prices&amp;Fuel'!$H45+'Long Term Deals'!BG46*'Prices&amp;Fuel'!$H46+'Long Term Deals'!BG47*'Prices&amp;Fuel'!$H47+'Long Term Deals'!BG48*'Prices&amp;Fuel'!$H48+'Long Term Deals'!BG49*'Prices&amp;Fuel'!$H49+'Long Term Deals'!BG50*'Prices&amp;Fuel'!$H50+'Long Term Deals'!BG51*'Prices&amp;Fuel'!$H51+'Long Term Deals'!BG52*'Prices&amp;Fuel'!$H52+'Long Term Deals'!BG53*'Prices&amp;Fuel'!$H53+'Long Term Deals'!BG54*'Prices&amp;Fuel'!$H54)/SUM('Prices&amp;Fuel'!$H43:$H54)</f>
        <v>1402.4974469134061</v>
      </c>
      <c r="BH8" s="25"/>
      <c r="BI8" s="14"/>
      <c r="BJ8" s="14"/>
      <c r="BK8" s="25"/>
      <c r="BL8" s="1">
        <f>SUM('Long Term Deals'!BL43:BL54)</f>
        <v>26945086.170693953</v>
      </c>
      <c r="BM8" s="14"/>
      <c r="BN8" s="14"/>
      <c r="BP8" s="1">
        <f>SUM('Long Term Deals'!BP43:BP54)</f>
        <v>26352897.255351275</v>
      </c>
      <c r="BQ8" s="6">
        <f t="shared" si="3"/>
        <v>592188.91534267738</v>
      </c>
      <c r="CA8" s="1">
        <f>SUM('Long Term Deals'!CA43:CA54)</f>
        <v>321655.52699228795</v>
      </c>
      <c r="CB8" s="1">
        <f>SUM('Long Term Deals'!CB43:CB54)</f>
        <v>80185.919023136099</v>
      </c>
      <c r="CC8" s="1">
        <f>SUM('Long Term Deals'!CC43:CC54)</f>
        <v>284194141.81897157</v>
      </c>
      <c r="CD8" s="1">
        <f>SUM('Long Term Deals'!CD43:CD54)</f>
        <v>277037035.12838471</v>
      </c>
      <c r="CE8" s="1">
        <f>SUM('Long Term Deals'!CE43:CE54)</f>
        <v>7157106.6905868798</v>
      </c>
      <c r="CF8" s="1">
        <f>SUM('Long Term Deals'!CF43:CF54)</f>
        <v>0</v>
      </c>
      <c r="CG8" s="1">
        <f>SUM('Long Term Deals'!CG43:CG54)</f>
        <v>0</v>
      </c>
      <c r="CH8" s="1">
        <f>SUM('Long Term Deals'!CH43:CH54)</f>
        <v>0</v>
      </c>
      <c r="CI8" s="1">
        <f>SUM('Long Term Deals'!CI43:CI54)</f>
        <v>0</v>
      </c>
      <c r="CJ8" s="1">
        <f>SUM('Long Term Deals'!CJ43:CJ54)</f>
        <v>284194141.81897157</v>
      </c>
      <c r="CK8" s="1">
        <f>SUM('Long Term Deals'!CK43:CK54)</f>
        <v>277037035.12838471</v>
      </c>
      <c r="CL8" s="1">
        <f>SUM('Long Term Deals'!CL43:CL54)</f>
        <v>7157106.6905868798</v>
      </c>
      <c r="CM8" s="1">
        <f>SUM('Long Term Deals'!CM43:CM54)</f>
        <v>7157106.6905868798</v>
      </c>
      <c r="CN8" s="1">
        <f>SUM('Long Term Deals'!CN43:CN54)</f>
        <v>1642985.1960000203</v>
      </c>
      <c r="CO8" s="1">
        <f>SUM('Long Term Deals'!CO43:CO54)</f>
        <v>0</v>
      </c>
      <c r="CP8" s="1">
        <f>SUM('Long Term Deals'!CP43:CP54)</f>
        <v>0</v>
      </c>
      <c r="CQ8" s="1">
        <f>SUM('Long Term Deals'!CQ43:CQ54)</f>
        <v>37993.749999999927</v>
      </c>
      <c r="CR8" s="1">
        <f>SUM('Long Term Deals'!CR43:CR54)</f>
        <v>362994.27699228789</v>
      </c>
      <c r="CS8" s="1">
        <f>SUM('Long Term Deals'!CS43:CS54)</f>
        <v>577311.30000000005</v>
      </c>
      <c r="CT8" s="1">
        <f>SUM('Long Term Deals'!CT43:CT54)</f>
        <v>425008.37305541418</v>
      </c>
      <c r="CU8" s="1">
        <f>SUM('Long Term Deals'!CU43:CU54)</f>
        <v>-455664.75283120346</v>
      </c>
      <c r="CV8" s="61">
        <f>SUM('Long Term Deals'!CV43:CV54)</f>
        <v>5210759.6687002424</v>
      </c>
      <c r="CW8" s="13">
        <f t="shared" si="4"/>
        <v>176249.60383139068</v>
      </c>
      <c r="CX8" s="13">
        <f t="shared" ref="CX8:CX20" si="9">B8+C8+D8+O8+P8+Q8+X8+Y8+BB8+BC8+BD8+BE8+BF8+BG8+BR8+BS8</f>
        <v>43937.489875691026</v>
      </c>
      <c r="CY8" s="13">
        <f t="shared" si="5"/>
        <v>80368289.203084812</v>
      </c>
      <c r="CZ8" s="13">
        <f t="shared" si="6"/>
        <v>17004.61316336225</v>
      </c>
      <c r="DA8" s="13">
        <f t="shared" si="7"/>
        <v>26932.876712328769</v>
      </c>
      <c r="DC8" s="13">
        <f t="shared" si="8"/>
        <v>0</v>
      </c>
      <c r="DD8" s="88">
        <f>NPV(0.08,CV8:CV19)</f>
        <v>38196608.218354195</v>
      </c>
      <c r="DE8" s="13">
        <f>SUM(CV8:CV19)</f>
        <v>55944538.716397807</v>
      </c>
    </row>
    <row r="9" spans="1:109" x14ac:dyDescent="0.25">
      <c r="A9" s="56">
        <v>37269.999999999884</v>
      </c>
      <c r="O9" s="1">
        <f>('Long Term Deals'!O55*'Prices&amp;Fuel'!$H55+'Prices&amp;Fuel'!$H56*'Long Term Deals'!O56+'Long Term Deals'!O57*'Prices&amp;Fuel'!$H57+'Long Term Deals'!O58*'Prices&amp;Fuel'!$H58+'Long Term Deals'!O59*'Prices&amp;Fuel'!$H59+'Long Term Deals'!O60*'Prices&amp;Fuel'!$H60+'Long Term Deals'!O61*'Prices&amp;Fuel'!$H61+'Long Term Deals'!O62*'Prices&amp;Fuel'!$H62+'Long Term Deals'!O63*'Prices&amp;Fuel'!$H63+'Long Term Deals'!O64*'Prices&amp;Fuel'!$H64+'Long Term Deals'!O65*'Prices&amp;Fuel'!$H65+'Long Term Deals'!O66*'Prices&amp;Fuel'!$H66)/SUM('Prices&amp;Fuel'!$H55:$H66)</f>
        <v>9036</v>
      </c>
      <c r="P9" s="1">
        <f>('Long Term Deals'!P55*'Prices&amp;Fuel'!$H55+'Prices&amp;Fuel'!$H56*'Long Term Deals'!P56+'Long Term Deals'!P57*'Prices&amp;Fuel'!$H57+'Long Term Deals'!P58*'Prices&amp;Fuel'!$H58+'Long Term Deals'!P59*'Prices&amp;Fuel'!$H59+'Long Term Deals'!P60*'Prices&amp;Fuel'!$H60+'Long Term Deals'!P61*'Prices&amp;Fuel'!$H61+'Long Term Deals'!P62*'Prices&amp;Fuel'!$H62+'Long Term Deals'!P63*'Prices&amp;Fuel'!$H63+'Long Term Deals'!P64*'Prices&amp;Fuel'!$H64+'Long Term Deals'!P65*'Prices&amp;Fuel'!$H65+'Long Term Deals'!P66*'Prices&amp;Fuel'!$H66)/SUM('Prices&amp;Fuel'!$H55:$H66)</f>
        <v>10794</v>
      </c>
      <c r="Q9" s="1">
        <f>('Long Term Deals'!Q55*'Prices&amp;Fuel'!$H55+'Prices&amp;Fuel'!$H56*'Long Term Deals'!Q56+'Long Term Deals'!Q57*'Prices&amp;Fuel'!$H57+'Long Term Deals'!Q58*'Prices&amp;Fuel'!$H58+'Long Term Deals'!Q59*'Prices&amp;Fuel'!$H59+'Long Term Deals'!Q60*'Prices&amp;Fuel'!$H60+'Long Term Deals'!Q61*'Prices&amp;Fuel'!$H61+'Long Term Deals'!Q62*'Prices&amp;Fuel'!$H62+'Long Term Deals'!Q63*'Prices&amp;Fuel'!$H63+'Long Term Deals'!Q64*'Prices&amp;Fuel'!$H64+'Long Term Deals'!Q65*'Prices&amp;Fuel'!$H65+'Long Term Deals'!Q66*'Prices&amp;Fuel'!$H66)/SUM('Prices&amp;Fuel'!$H55:$H66)</f>
        <v>5270</v>
      </c>
      <c r="T9" s="1">
        <f>SUM('Long Term Deals'!T55:T66)</f>
        <v>21621069.719999999</v>
      </c>
      <c r="U9" s="1">
        <f>SUM('Long Term Deals'!U55:U66)</f>
        <v>21514788.789999999</v>
      </c>
      <c r="V9" s="13">
        <f t="shared" si="0"/>
        <v>106280.9299999997</v>
      </c>
      <c r="X9" s="1">
        <f>('Long Term Deals'!X55*'Prices&amp;Fuel'!$H55+'Prices&amp;Fuel'!$H56*'Long Term Deals'!X56+'Long Term Deals'!X57*'Prices&amp;Fuel'!$H57+'Long Term Deals'!X58*'Prices&amp;Fuel'!$H58+'Long Term Deals'!X59*'Prices&amp;Fuel'!$H59+'Long Term Deals'!X60*'Prices&amp;Fuel'!$H60+'Long Term Deals'!X61*'Prices&amp;Fuel'!$H61+'Long Term Deals'!X62*'Prices&amp;Fuel'!$H62+'Long Term Deals'!X63*'Prices&amp;Fuel'!$H63+'Long Term Deals'!X64*'Prices&amp;Fuel'!$H64+'Long Term Deals'!X65*'Prices&amp;Fuel'!$H65+'Long Term Deals'!X66*'Prices&amp;Fuel'!$H66)/SUM('Prices&amp;Fuel'!$H55:$H66)</f>
        <v>416.43835616438355</v>
      </c>
      <c r="Y9" s="1">
        <f>('Long Term Deals'!Y55*'Prices&amp;Fuel'!$H55+'Prices&amp;Fuel'!$H56*'Long Term Deals'!Y56+'Long Term Deals'!Y57*'Prices&amp;Fuel'!$H57+'Long Term Deals'!Y58*'Prices&amp;Fuel'!$H58+'Long Term Deals'!Y59*'Prices&amp;Fuel'!$H59+'Long Term Deals'!Y60*'Prices&amp;Fuel'!$H60+'Long Term Deals'!Y61*'Prices&amp;Fuel'!$H61+'Long Term Deals'!Y62*'Prices&amp;Fuel'!$H62+'Long Term Deals'!Y63*'Prices&amp;Fuel'!$H63+'Long Term Deals'!Y64*'Prices&amp;Fuel'!$H64+'Long Term Deals'!Y65*'Prices&amp;Fuel'!$H65+'Long Term Deals'!Y66*'Prices&amp;Fuel'!$H66)/SUM('Prices&amp;Fuel'!$H55:$H66)</f>
        <v>416.43835616438355</v>
      </c>
      <c r="Z9" s="12"/>
      <c r="AA9" s="12"/>
      <c r="AB9" s="1">
        <f>SUM('Long Term Deals'!AB55:AB66)</f>
        <v>668800</v>
      </c>
      <c r="AC9" s="1">
        <f>SUM('Long Term Deals'!AC55:AC66)</f>
        <v>662720</v>
      </c>
      <c r="AD9" s="13">
        <f>AB9-AC9</f>
        <v>6080</v>
      </c>
      <c r="AF9" s="1">
        <f>('Long Term Deals'!AF55*'Prices&amp;Fuel'!$H55+'Prices&amp;Fuel'!$H56*'Long Term Deals'!AF56+'Long Term Deals'!AF57*'Prices&amp;Fuel'!$H57+'Long Term Deals'!AF58*'Prices&amp;Fuel'!$H58+'Long Term Deals'!AF59*'Prices&amp;Fuel'!$H59+'Long Term Deals'!AF60*'Prices&amp;Fuel'!$H60+'Long Term Deals'!AF61*'Prices&amp;Fuel'!$H61+'Long Term Deals'!AF62*'Prices&amp;Fuel'!$H62+'Long Term Deals'!AF63*'Prices&amp;Fuel'!$H63+'Long Term Deals'!AF64*'Prices&amp;Fuel'!$H64+'Long Term Deals'!AF65*'Prices&amp;Fuel'!$H65+'Long Term Deals'!AF66*'Prices&amp;Fuel'!$H66)/SUM('Prices&amp;Fuel'!$H55:$H66)</f>
        <v>99128.781209282679</v>
      </c>
      <c r="AG9" s="1">
        <f>('Long Term Deals'!AG55*'Prices&amp;Fuel'!$H55+'Prices&amp;Fuel'!$H56*'Long Term Deals'!AG56+'Long Term Deals'!AG57*'Prices&amp;Fuel'!$H57+'Long Term Deals'!AG58*'Prices&amp;Fuel'!$H58+'Long Term Deals'!AG59*'Prices&amp;Fuel'!$H59+'Long Term Deals'!AG60*'Prices&amp;Fuel'!$H60+'Long Term Deals'!AG61*'Prices&amp;Fuel'!$H61+'Long Term Deals'!AG62*'Prices&amp;Fuel'!$H62+'Long Term Deals'!AG63*'Prices&amp;Fuel'!$H63+'Long Term Deals'!AG64*'Prices&amp;Fuel'!$H64+'Long Term Deals'!AG65*'Prices&amp;Fuel'!$H65+'Long Term Deals'!AG66*'Prices&amp;Fuel'!$H66)/SUM('Prices&amp;Fuel'!$H55:$H66)</f>
        <v>0</v>
      </c>
      <c r="AH9" s="1">
        <f>('Long Term Deals'!AH55*'Prices&amp;Fuel'!$H55+'Prices&amp;Fuel'!$H56*'Long Term Deals'!AH56+'Long Term Deals'!AH57*'Prices&amp;Fuel'!$H57+'Long Term Deals'!AH58*'Prices&amp;Fuel'!$H58+'Long Term Deals'!AH59*'Prices&amp;Fuel'!$H59+'Long Term Deals'!AH60*'Prices&amp;Fuel'!$H60+'Long Term Deals'!AH61*'Prices&amp;Fuel'!$H61+'Long Term Deals'!AH62*'Prices&amp;Fuel'!$H62+'Long Term Deals'!AH63*'Prices&amp;Fuel'!$H63+'Long Term Deals'!AH64*'Prices&amp;Fuel'!$H64+'Long Term Deals'!AH65*'Prices&amp;Fuel'!$H65+'Long Term Deals'!AH66*'Prices&amp;Fuel'!$H66)/SUM('Prices&amp;Fuel'!$H55:$H66)</f>
        <v>77120.822622107982</v>
      </c>
      <c r="AI9" s="1">
        <f>('Long Term Deals'!AI55*'Prices&amp;Fuel'!$H55+'Prices&amp;Fuel'!$H56*'Long Term Deals'!AI56+'Long Term Deals'!AI57*'Prices&amp;Fuel'!$H57+'Long Term Deals'!AI58*'Prices&amp;Fuel'!$H58+'Long Term Deals'!AI59*'Prices&amp;Fuel'!$H59+'Long Term Deals'!AI60*'Prices&amp;Fuel'!$H60+'Long Term Deals'!AI61*'Prices&amp;Fuel'!$H61+'Long Term Deals'!AI62*'Prices&amp;Fuel'!$H62+'Long Term Deals'!AI63*'Prices&amp;Fuel'!$H63+'Long Term Deals'!AI64*'Prices&amp;Fuel'!$H64+'Long Term Deals'!AI65*'Prices&amp;Fuel'!$H65+'Long Term Deals'!AI66*'Prices&amp;Fuel'!$H66)/SUM('Prices&amp;Fuel'!$H55:$H66)</f>
        <v>0</v>
      </c>
      <c r="AJ9" s="1">
        <f>('Long Term Deals'!AJ55*'Prices&amp;Fuel'!$H55+'Prices&amp;Fuel'!$H56*'Long Term Deals'!AJ56+'Long Term Deals'!AJ57*'Prices&amp;Fuel'!$H57+'Long Term Deals'!AJ58*'Prices&amp;Fuel'!$H58+'Long Term Deals'!AJ59*'Prices&amp;Fuel'!$H59+'Long Term Deals'!AJ60*'Prices&amp;Fuel'!$H60+'Long Term Deals'!AJ61*'Prices&amp;Fuel'!$H61+'Long Term Deals'!AJ62*'Prices&amp;Fuel'!$H62+'Long Term Deals'!AJ63*'Prices&amp;Fuel'!$H63+'Long Term Deals'!AJ64*'Prices&amp;Fuel'!$H64+'Long Term Deals'!AJ65*'Prices&amp;Fuel'!$H65+'Long Term Deals'!AJ66*'Prices&amp;Fuel'!$H66)/SUM('Prices&amp;Fuel'!$H55:$H66)</f>
        <v>0</v>
      </c>
      <c r="AK9" s="1">
        <f>('Long Term Deals'!AK55*'Prices&amp;Fuel'!$H55+'Prices&amp;Fuel'!$H56*'Long Term Deals'!AK56+'Long Term Deals'!AK57*'Prices&amp;Fuel'!$H57+'Long Term Deals'!AK58*'Prices&amp;Fuel'!$H58+'Long Term Deals'!AK59*'Prices&amp;Fuel'!$H59+'Long Term Deals'!AK60*'Prices&amp;Fuel'!$H60+'Long Term Deals'!AK61*'Prices&amp;Fuel'!$H61+'Long Term Deals'!AK62*'Prices&amp;Fuel'!$H62+'Long Term Deals'!AK63*'Prices&amp;Fuel'!$H63+'Long Term Deals'!AK64*'Prices&amp;Fuel'!$H64+'Long Term Deals'!AK65*'Prices&amp;Fuel'!$H65+'Long Term Deals'!AK66*'Prices&amp;Fuel'!$H66)/SUM('Prices&amp;Fuel'!$H55:$H66)</f>
        <v>0</v>
      </c>
      <c r="AL9" s="1">
        <f t="shared" si="1"/>
        <v>0</v>
      </c>
      <c r="AM9" s="1"/>
      <c r="AO9" s="1"/>
      <c r="AP9" s="1"/>
      <c r="AR9" s="1"/>
      <c r="AT9" s="13"/>
      <c r="AU9" s="13"/>
      <c r="AW9" s="20"/>
      <c r="AX9" s="20"/>
      <c r="AY9" s="1">
        <f>SUM('Long Term Deals'!AY55:AY66)</f>
        <v>233293778.92030853</v>
      </c>
      <c r="AZ9" s="1">
        <f>SUM('Long Term Deals'!AZ55:AZ66)</f>
        <v>227088159.38303345</v>
      </c>
      <c r="BA9" s="6">
        <f t="shared" si="2"/>
        <v>6205619.5372750759</v>
      </c>
      <c r="BB9" s="1">
        <f>('Long Term Deals'!BB55*'Prices&amp;Fuel'!$H55+'Prices&amp;Fuel'!$H56*'Long Term Deals'!BB56+'Long Term Deals'!BB57*'Prices&amp;Fuel'!$H57+'Long Term Deals'!BB58*'Prices&amp;Fuel'!$H58+'Long Term Deals'!BB59*'Prices&amp;Fuel'!$H59+'Long Term Deals'!BB60*'Prices&amp;Fuel'!$H60+'Long Term Deals'!BB61*'Prices&amp;Fuel'!$H61+'Long Term Deals'!BB62*'Prices&amp;Fuel'!$H62+'Long Term Deals'!BB63*'Prices&amp;Fuel'!$H63+'Long Term Deals'!BB64*'Prices&amp;Fuel'!$H64+'Long Term Deals'!BB65*'Prices&amp;Fuel'!$H65+'Long Term Deals'!BB66*'Prices&amp;Fuel'!$H66)/SUM('Prices&amp;Fuel'!$H55:$H66)</f>
        <v>6831.0229953868366</v>
      </c>
      <c r="BC9" s="1">
        <f>('Long Term Deals'!BC55*'Prices&amp;Fuel'!$H55+'Prices&amp;Fuel'!$H56*'Long Term Deals'!BC56+'Long Term Deals'!BC57*'Prices&amp;Fuel'!$H57+'Long Term Deals'!BC58*'Prices&amp;Fuel'!$H58+'Long Term Deals'!BC59*'Prices&amp;Fuel'!$H59+'Long Term Deals'!BC60*'Prices&amp;Fuel'!$H60+'Long Term Deals'!BC61*'Prices&amp;Fuel'!$H61+'Long Term Deals'!BC62*'Prices&amp;Fuel'!$H62+'Long Term Deals'!BC63*'Prices&amp;Fuel'!$H63+'Long Term Deals'!BC64*'Prices&amp;Fuel'!$H64+'Long Term Deals'!BC65*'Prices&amp;Fuel'!$H65+'Long Term Deals'!BC66*'Prices&amp;Fuel'!$H66)/SUM('Prices&amp;Fuel'!$H55:$H66)</f>
        <v>0</v>
      </c>
      <c r="BD9" s="1">
        <f>('Long Term Deals'!BD55*'Prices&amp;Fuel'!$H55+'Prices&amp;Fuel'!$H56*'Long Term Deals'!BD56+'Long Term Deals'!BD57*'Prices&amp;Fuel'!$H57+'Long Term Deals'!BD58*'Prices&amp;Fuel'!$H58+'Long Term Deals'!BD59*'Prices&amp;Fuel'!$H59+'Long Term Deals'!BD60*'Prices&amp;Fuel'!$H60+'Long Term Deals'!BD61*'Prices&amp;Fuel'!$H61+'Long Term Deals'!BD62*'Prices&amp;Fuel'!$H62+'Long Term Deals'!BD63*'Prices&amp;Fuel'!$H63+'Long Term Deals'!BD64*'Prices&amp;Fuel'!$H64+'Long Term Deals'!BD65*'Prices&amp;Fuel'!$H65+'Long Term Deals'!BD66*'Prices&amp;Fuel'!$H66)/SUM('Prices&amp;Fuel'!$H55:$H66)</f>
        <v>3046.7612775996718</v>
      </c>
      <c r="BE9" s="1">
        <f>('Long Term Deals'!BE55*'Prices&amp;Fuel'!$H55+'Prices&amp;Fuel'!$H56*'Long Term Deals'!BE56+'Long Term Deals'!BE57*'Prices&amp;Fuel'!$H57+'Long Term Deals'!BE58*'Prices&amp;Fuel'!$H58+'Long Term Deals'!BE59*'Prices&amp;Fuel'!$H59+'Long Term Deals'!BE60*'Prices&amp;Fuel'!$H60+'Long Term Deals'!BE61*'Prices&amp;Fuel'!$H61+'Long Term Deals'!BE62*'Prices&amp;Fuel'!$H62+'Long Term Deals'!BE63*'Prices&amp;Fuel'!$H63+'Long Term Deals'!BE64*'Prices&amp;Fuel'!$H64+'Long Term Deals'!BE65*'Prices&amp;Fuel'!$H65+'Long Term Deals'!BE66*'Prices&amp;Fuel'!$H66)/SUM('Prices&amp;Fuel'!$H55:$H66)</f>
        <v>2306.6746487304995</v>
      </c>
      <c r="BF9" s="1">
        <f>('Long Term Deals'!BF55*'Prices&amp;Fuel'!$H55+'Prices&amp;Fuel'!$H56*'Long Term Deals'!BF56+'Long Term Deals'!BF57*'Prices&amp;Fuel'!$H57+'Long Term Deals'!BF58*'Prices&amp;Fuel'!$H58+'Long Term Deals'!BF59*'Prices&amp;Fuel'!$H59+'Long Term Deals'!BF60*'Prices&amp;Fuel'!$H60+'Long Term Deals'!BF61*'Prices&amp;Fuel'!$H61+'Long Term Deals'!BF62*'Prices&amp;Fuel'!$H62+'Long Term Deals'!BF63*'Prices&amp;Fuel'!$H63+'Long Term Deals'!BF64*'Prices&amp;Fuel'!$H64+'Long Term Deals'!BF65*'Prices&amp;Fuel'!$H65+'Long Term Deals'!BF66*'Prices&amp;Fuel'!$H66)/SUM('Prices&amp;Fuel'!$H55:$H66)</f>
        <v>3417.6567947318376</v>
      </c>
      <c r="BG9" s="1">
        <f>('Long Term Deals'!BG55*'Prices&amp;Fuel'!$H55+'Prices&amp;Fuel'!$H56*'Long Term Deals'!BG56+'Long Term Deals'!BG57*'Prices&amp;Fuel'!$H57+'Long Term Deals'!BG58*'Prices&amp;Fuel'!$H58+'Long Term Deals'!BG59*'Prices&amp;Fuel'!$H59+'Long Term Deals'!BG60*'Prices&amp;Fuel'!$H60+'Long Term Deals'!BG61*'Prices&amp;Fuel'!$H61+'Long Term Deals'!BG62*'Prices&amp;Fuel'!$H62+'Long Term Deals'!BG63*'Prices&amp;Fuel'!$H63+'Long Term Deals'!BG64*'Prices&amp;Fuel'!$H64+'Long Term Deals'!BG65*'Prices&amp;Fuel'!$H65+'Long Term Deals'!BG66*'Prices&amp;Fuel'!$H66)/SUM('Prices&amp;Fuel'!$H55:$H66)</f>
        <v>1402.4974469134061</v>
      </c>
      <c r="BH9" s="25"/>
      <c r="BI9" s="14"/>
      <c r="BJ9" s="14"/>
      <c r="BK9" s="25"/>
      <c r="BL9" s="1">
        <f>SUM('Long Term Deals'!BL55:BL66)</f>
        <v>26841259.332647681</v>
      </c>
      <c r="BM9" s="14"/>
      <c r="BN9" s="14"/>
      <c r="BP9" s="1">
        <f>SUM('Long Term Deals'!BP55:BP66)</f>
        <v>26274537.927305009</v>
      </c>
      <c r="BQ9" s="6">
        <f t="shared" si="3"/>
        <v>566721.40534267202</v>
      </c>
      <c r="CA9" s="1">
        <f>SUM('Long Term Deals'!CA55:CA66)</f>
        <v>321655.52699228795</v>
      </c>
      <c r="CB9" s="1">
        <f>SUM('Long Term Deals'!CB55:CB66)</f>
        <v>78360.919023136099</v>
      </c>
      <c r="CC9" s="1">
        <f>SUM('Long Term Deals'!CC55:CC66)</f>
        <v>282424907.97295618</v>
      </c>
      <c r="CD9" s="1">
        <f>SUM('Long Term Deals'!CD55:CD66)</f>
        <v>275940222.54635388</v>
      </c>
      <c r="CE9" s="1">
        <f>SUM('Long Term Deals'!CE55:CE66)</f>
        <v>6484685.4266023058</v>
      </c>
      <c r="CF9" s="1">
        <f>SUM('Long Term Deals'!CF55:CF66)</f>
        <v>0</v>
      </c>
      <c r="CG9" s="1">
        <f>SUM('Long Term Deals'!CG55:CG66)</f>
        <v>0</v>
      </c>
      <c r="CH9" s="1">
        <f>SUM('Long Term Deals'!CH55:CH66)</f>
        <v>0</v>
      </c>
      <c r="CI9" s="1">
        <f>SUM('Long Term Deals'!CI55:CI66)</f>
        <v>0</v>
      </c>
      <c r="CJ9" s="1">
        <f>SUM('Long Term Deals'!CJ55:CJ66)</f>
        <v>282424907.97295618</v>
      </c>
      <c r="CK9" s="1">
        <f>SUM('Long Term Deals'!CK55:CK66)</f>
        <v>275940222.54635388</v>
      </c>
      <c r="CL9" s="1">
        <f>SUM('Long Term Deals'!CL55:CL66)</f>
        <v>6484685.4266023058</v>
      </c>
      <c r="CM9" s="1">
        <f>SUM('Long Term Deals'!CM55:CM66)</f>
        <v>6484685.4266023058</v>
      </c>
      <c r="CN9" s="1">
        <f>SUM('Long Term Deals'!CN55:CN66)</f>
        <v>2.0058744848938661E-8</v>
      </c>
      <c r="CO9" s="1">
        <f>SUM('Long Term Deals'!CO55:CO66)</f>
        <v>0</v>
      </c>
      <c r="CP9" s="1">
        <f>SUM('Long Term Deals'!CP55:CP66)</f>
        <v>0</v>
      </c>
      <c r="CQ9" s="1">
        <f>SUM('Long Term Deals'!CQ55:CQ66)</f>
        <v>37993.749999999927</v>
      </c>
      <c r="CR9" s="1">
        <f>SUM('Long Term Deals'!CR55:CR66)</f>
        <v>361169.27699228789</v>
      </c>
      <c r="CS9" s="1">
        <f>SUM('Long Term Deals'!CS55:CS66)</f>
        <v>0</v>
      </c>
      <c r="CT9" s="1">
        <f>SUM('Long Term Deals'!CT55:CT66)</f>
        <v>-220293.32885278651</v>
      </c>
      <c r="CU9" s="1">
        <f>SUM('Long Term Deals'!CU55:CU66)</f>
        <v>-455664.75283120346</v>
      </c>
      <c r="CV9" s="61">
        <f>SUM('Long Term Deals'!CV55:CV66)</f>
        <v>6249314.00262387</v>
      </c>
      <c r="CW9" s="13">
        <f t="shared" si="4"/>
        <v>176249.60383139068</v>
      </c>
      <c r="CX9" s="13">
        <f t="shared" si="9"/>
        <v>42937.489875691019</v>
      </c>
      <c r="CY9" s="13">
        <f t="shared" si="5"/>
        <v>80003289.203084812</v>
      </c>
      <c r="CZ9" s="13">
        <f t="shared" si="6"/>
        <v>17004.61316336225</v>
      </c>
      <c r="DA9" s="13">
        <f t="shared" si="7"/>
        <v>25932.876712328769</v>
      </c>
      <c r="DC9" s="13">
        <f t="shared" si="8"/>
        <v>0</v>
      </c>
    </row>
    <row r="10" spans="1:109" x14ac:dyDescent="0.25">
      <c r="A10" s="56">
        <v>37634.999999999854</v>
      </c>
      <c r="O10" s="1">
        <f>('Long Term Deals'!O67*'Prices&amp;Fuel'!$H67+'Prices&amp;Fuel'!$H68*'Long Term Deals'!O68+'Long Term Deals'!O69*'Prices&amp;Fuel'!$H69+'Long Term Deals'!O70*'Prices&amp;Fuel'!$H70+'Long Term Deals'!O71*'Prices&amp;Fuel'!$H71+'Long Term Deals'!O72*'Prices&amp;Fuel'!$H72+'Long Term Deals'!O73*'Prices&amp;Fuel'!$H73+'Long Term Deals'!O74*'Prices&amp;Fuel'!$H74+'Long Term Deals'!O75*'Prices&amp;Fuel'!$H75+'Long Term Deals'!O76*'Prices&amp;Fuel'!$H76+'Long Term Deals'!O77*'Prices&amp;Fuel'!$H77+'Long Term Deals'!O78*'Prices&amp;Fuel'!$H78)/SUM('Prices&amp;Fuel'!$H67:$H78)</f>
        <v>9036</v>
      </c>
      <c r="P10" s="1">
        <f>('Long Term Deals'!P67*'Prices&amp;Fuel'!$H67+'Prices&amp;Fuel'!$H68*'Long Term Deals'!P68+'Long Term Deals'!P69*'Prices&amp;Fuel'!$H69+'Long Term Deals'!P70*'Prices&amp;Fuel'!$H70+'Long Term Deals'!P71*'Prices&amp;Fuel'!$H71+'Long Term Deals'!P72*'Prices&amp;Fuel'!$H72+'Long Term Deals'!P73*'Prices&amp;Fuel'!$H73+'Long Term Deals'!P74*'Prices&amp;Fuel'!$H74+'Long Term Deals'!P75*'Prices&amp;Fuel'!$H75+'Long Term Deals'!P76*'Prices&amp;Fuel'!$H76+'Long Term Deals'!P77*'Prices&amp;Fuel'!$H77+'Long Term Deals'!P78*'Prices&amp;Fuel'!$H78)/SUM('Prices&amp;Fuel'!$H67:$H78)</f>
        <v>10794</v>
      </c>
      <c r="Q10" s="1">
        <f>('Long Term Deals'!Q67*'Prices&amp;Fuel'!$H67+'Prices&amp;Fuel'!$H68*'Long Term Deals'!Q68+'Long Term Deals'!Q69*'Prices&amp;Fuel'!$H69+'Long Term Deals'!Q70*'Prices&amp;Fuel'!$H70+'Long Term Deals'!Q71*'Prices&amp;Fuel'!$H71+'Long Term Deals'!Q72*'Prices&amp;Fuel'!$H72+'Long Term Deals'!Q73*'Prices&amp;Fuel'!$H73+'Long Term Deals'!Q74*'Prices&amp;Fuel'!$H74+'Long Term Deals'!Q75*'Prices&amp;Fuel'!$H75+'Long Term Deals'!Q76*'Prices&amp;Fuel'!$H76+'Long Term Deals'!Q77*'Prices&amp;Fuel'!$H77+'Long Term Deals'!Q78*'Prices&amp;Fuel'!$H78)/SUM('Prices&amp;Fuel'!$H67:$H78)</f>
        <v>5270</v>
      </c>
      <c r="T10" s="1">
        <f>SUM('Long Term Deals'!T67:T78)</f>
        <v>22053522.640000001</v>
      </c>
      <c r="U10" s="1">
        <f>SUM('Long Term Deals'!U67:U78)</f>
        <v>21944947.57</v>
      </c>
      <c r="V10" s="13">
        <f t="shared" si="0"/>
        <v>108575.0700000003</v>
      </c>
      <c r="X10" s="1"/>
      <c r="AD10" s="1"/>
      <c r="AF10" s="1">
        <f>('Long Term Deals'!AF67*'Prices&amp;Fuel'!$H67+'Prices&amp;Fuel'!$H68*'Long Term Deals'!AF68+'Long Term Deals'!AF69*'Prices&amp;Fuel'!$H69+'Long Term Deals'!AF70*'Prices&amp;Fuel'!$H70+'Long Term Deals'!AF71*'Prices&amp;Fuel'!$H71+'Long Term Deals'!AF72*'Prices&amp;Fuel'!$H72+'Long Term Deals'!AF73*'Prices&amp;Fuel'!$H73+'Long Term Deals'!AF74*'Prices&amp;Fuel'!$H74+'Long Term Deals'!AF75*'Prices&amp;Fuel'!$H75+'Long Term Deals'!AF76*'Prices&amp;Fuel'!$H76+'Long Term Deals'!AF77*'Prices&amp;Fuel'!$H77+'Long Term Deals'!AF78*'Prices&amp;Fuel'!$H78)/SUM('Prices&amp;Fuel'!$H67:$H78)</f>
        <v>99128.781209282679</v>
      </c>
      <c r="AG10" s="1">
        <f>('Long Term Deals'!AG67*'Prices&amp;Fuel'!$H67+'Prices&amp;Fuel'!$H68*'Long Term Deals'!AG68+'Long Term Deals'!AG69*'Prices&amp;Fuel'!$H69+'Long Term Deals'!AG70*'Prices&amp;Fuel'!$H70+'Long Term Deals'!AG71*'Prices&amp;Fuel'!$H71+'Long Term Deals'!AG72*'Prices&amp;Fuel'!$H72+'Long Term Deals'!AG73*'Prices&amp;Fuel'!$H73+'Long Term Deals'!AG74*'Prices&amp;Fuel'!$H74+'Long Term Deals'!AG75*'Prices&amp;Fuel'!$H75+'Long Term Deals'!AG76*'Prices&amp;Fuel'!$H76+'Long Term Deals'!AG77*'Prices&amp;Fuel'!$H77+'Long Term Deals'!AG78*'Prices&amp;Fuel'!$H78)/SUM('Prices&amp;Fuel'!$H67:$H78)</f>
        <v>0</v>
      </c>
      <c r="AH10" s="1">
        <f>('Long Term Deals'!AH67*'Prices&amp;Fuel'!$H67+'Prices&amp;Fuel'!$H68*'Long Term Deals'!AH68+'Long Term Deals'!AH69*'Prices&amp;Fuel'!$H69+'Long Term Deals'!AH70*'Prices&amp;Fuel'!$H70+'Long Term Deals'!AH71*'Prices&amp;Fuel'!$H71+'Long Term Deals'!AH72*'Prices&amp;Fuel'!$H72+'Long Term Deals'!AH73*'Prices&amp;Fuel'!$H73+'Long Term Deals'!AH74*'Prices&amp;Fuel'!$H74+'Long Term Deals'!AH75*'Prices&amp;Fuel'!$H75+'Long Term Deals'!AH76*'Prices&amp;Fuel'!$H76+'Long Term Deals'!AH77*'Prices&amp;Fuel'!$H77+'Long Term Deals'!AH78*'Prices&amp;Fuel'!$H78)/SUM('Prices&amp;Fuel'!$H67:$H78)</f>
        <v>77120.822622107982</v>
      </c>
      <c r="AI10" s="1">
        <f>('Long Term Deals'!AI67*'Prices&amp;Fuel'!$H67+'Prices&amp;Fuel'!$H68*'Long Term Deals'!AI68+'Long Term Deals'!AI69*'Prices&amp;Fuel'!$H69+'Long Term Deals'!AI70*'Prices&amp;Fuel'!$H70+'Long Term Deals'!AI71*'Prices&amp;Fuel'!$H71+'Long Term Deals'!AI72*'Prices&amp;Fuel'!$H72+'Long Term Deals'!AI73*'Prices&amp;Fuel'!$H73+'Long Term Deals'!AI74*'Prices&amp;Fuel'!$H74+'Long Term Deals'!AI75*'Prices&amp;Fuel'!$H75+'Long Term Deals'!AI76*'Prices&amp;Fuel'!$H76+'Long Term Deals'!AI77*'Prices&amp;Fuel'!$H77+'Long Term Deals'!AI78*'Prices&amp;Fuel'!$H78)/SUM('Prices&amp;Fuel'!$H67:$H78)</f>
        <v>0</v>
      </c>
      <c r="AJ10" s="1">
        <f>('Long Term Deals'!AJ67*'Prices&amp;Fuel'!$H67+'Prices&amp;Fuel'!$H68*'Long Term Deals'!AJ68+'Long Term Deals'!AJ69*'Prices&amp;Fuel'!$H69+'Long Term Deals'!AJ70*'Prices&amp;Fuel'!$H70+'Long Term Deals'!AJ71*'Prices&amp;Fuel'!$H71+'Long Term Deals'!AJ72*'Prices&amp;Fuel'!$H72+'Long Term Deals'!AJ73*'Prices&amp;Fuel'!$H73+'Long Term Deals'!AJ74*'Prices&amp;Fuel'!$H74+'Long Term Deals'!AJ75*'Prices&amp;Fuel'!$H75+'Long Term Deals'!AJ76*'Prices&amp;Fuel'!$H76+'Long Term Deals'!AJ77*'Prices&amp;Fuel'!$H77+'Long Term Deals'!AJ78*'Prices&amp;Fuel'!$H78)/SUM('Prices&amp;Fuel'!$H67:$H78)</f>
        <v>0</v>
      </c>
      <c r="AK10" s="1">
        <f>('Long Term Deals'!AK67*'Prices&amp;Fuel'!$H67+'Prices&amp;Fuel'!$H68*'Long Term Deals'!AK68+'Long Term Deals'!AK69*'Prices&amp;Fuel'!$H69+'Long Term Deals'!AK70*'Prices&amp;Fuel'!$H70+'Long Term Deals'!AK71*'Prices&amp;Fuel'!$H71+'Long Term Deals'!AK72*'Prices&amp;Fuel'!$H72+'Long Term Deals'!AK73*'Prices&amp;Fuel'!$H73+'Long Term Deals'!AK74*'Prices&amp;Fuel'!$H74+'Long Term Deals'!AK75*'Prices&amp;Fuel'!$H75+'Long Term Deals'!AK76*'Prices&amp;Fuel'!$H76+'Long Term Deals'!AK77*'Prices&amp;Fuel'!$H77+'Long Term Deals'!AK78*'Prices&amp;Fuel'!$H78)/SUM('Prices&amp;Fuel'!$H67:$H78)</f>
        <v>0</v>
      </c>
      <c r="AL10" s="1">
        <f t="shared" si="1"/>
        <v>0</v>
      </c>
      <c r="AM10" s="1"/>
      <c r="AO10" s="1"/>
      <c r="AP10" s="1"/>
      <c r="AR10" s="1"/>
      <c r="AT10" s="13"/>
      <c r="AU10" s="13"/>
      <c r="AW10" s="20"/>
      <c r="AX10" s="20"/>
      <c r="AY10" s="1">
        <f>SUM('Long Term Deals'!AY67:AY78)</f>
        <v>234947216.86375326</v>
      </c>
      <c r="AZ10" s="1">
        <f>SUM('Long Term Deals'!AZ67:AZ78)</f>
        <v>229384908.38046274</v>
      </c>
      <c r="BA10" s="6">
        <f t="shared" si="2"/>
        <v>5562308.4832905233</v>
      </c>
      <c r="BB10" s="1">
        <f>('Long Term Deals'!BB67*'Prices&amp;Fuel'!$H67+'Prices&amp;Fuel'!$H68*'Long Term Deals'!BB68+'Long Term Deals'!BB69*'Prices&amp;Fuel'!$H69+'Long Term Deals'!BB70*'Prices&amp;Fuel'!$H70+'Long Term Deals'!BB71*'Prices&amp;Fuel'!$H71+'Long Term Deals'!BB72*'Prices&amp;Fuel'!$H72+'Long Term Deals'!BB73*'Prices&amp;Fuel'!$H73+'Long Term Deals'!BB74*'Prices&amp;Fuel'!$H74+'Long Term Deals'!BB75*'Prices&amp;Fuel'!$H75+'Long Term Deals'!BB76*'Prices&amp;Fuel'!$H76+'Long Term Deals'!BB77*'Prices&amp;Fuel'!$H77+'Long Term Deals'!BB78*'Prices&amp;Fuel'!$H78)/SUM('Prices&amp;Fuel'!$H67:$H78)</f>
        <v>6831.0229953868366</v>
      </c>
      <c r="BC10" s="1">
        <f>('Long Term Deals'!BC67*'Prices&amp;Fuel'!$H67+'Prices&amp;Fuel'!$H68*'Long Term Deals'!BC68+'Long Term Deals'!BC69*'Prices&amp;Fuel'!$H69+'Long Term Deals'!BC70*'Prices&amp;Fuel'!$H70+'Long Term Deals'!BC71*'Prices&amp;Fuel'!$H71+'Long Term Deals'!BC72*'Prices&amp;Fuel'!$H72+'Long Term Deals'!BC73*'Prices&amp;Fuel'!$H73+'Long Term Deals'!BC74*'Prices&amp;Fuel'!$H74+'Long Term Deals'!BC75*'Prices&amp;Fuel'!$H75+'Long Term Deals'!BC76*'Prices&amp;Fuel'!$H76+'Long Term Deals'!BC77*'Prices&amp;Fuel'!$H77+'Long Term Deals'!BC78*'Prices&amp;Fuel'!$H78)/SUM('Prices&amp;Fuel'!$H67:$H78)</f>
        <v>0</v>
      </c>
      <c r="BD10" s="1">
        <f>('Long Term Deals'!BD67*'Prices&amp;Fuel'!$H67+'Prices&amp;Fuel'!$H68*'Long Term Deals'!BD68+'Long Term Deals'!BD69*'Prices&amp;Fuel'!$H69+'Long Term Deals'!BD70*'Prices&amp;Fuel'!$H70+'Long Term Deals'!BD71*'Prices&amp;Fuel'!$H71+'Long Term Deals'!BD72*'Prices&amp;Fuel'!$H72+'Long Term Deals'!BD73*'Prices&amp;Fuel'!$H73+'Long Term Deals'!BD74*'Prices&amp;Fuel'!$H74+'Long Term Deals'!BD75*'Prices&amp;Fuel'!$H75+'Long Term Deals'!BD76*'Prices&amp;Fuel'!$H76+'Long Term Deals'!BD77*'Prices&amp;Fuel'!$H77+'Long Term Deals'!BD78*'Prices&amp;Fuel'!$H78)/SUM('Prices&amp;Fuel'!$H67:$H78)</f>
        <v>3046.7612775996718</v>
      </c>
      <c r="BE10" s="1">
        <f>('Long Term Deals'!BE67*'Prices&amp;Fuel'!$H67+'Prices&amp;Fuel'!$H68*'Long Term Deals'!BE68+'Long Term Deals'!BE69*'Prices&amp;Fuel'!$H69+'Long Term Deals'!BE70*'Prices&amp;Fuel'!$H70+'Long Term Deals'!BE71*'Prices&amp;Fuel'!$H71+'Long Term Deals'!BE72*'Prices&amp;Fuel'!$H72+'Long Term Deals'!BE73*'Prices&amp;Fuel'!$H73+'Long Term Deals'!BE74*'Prices&amp;Fuel'!$H74+'Long Term Deals'!BE75*'Prices&amp;Fuel'!$H75+'Long Term Deals'!BE76*'Prices&amp;Fuel'!$H76+'Long Term Deals'!BE77*'Prices&amp;Fuel'!$H77+'Long Term Deals'!BE78*'Prices&amp;Fuel'!$H78)/SUM('Prices&amp;Fuel'!$H67:$H78)</f>
        <v>2306.6746487304995</v>
      </c>
      <c r="BF10" s="1">
        <f>('Long Term Deals'!BF67*'Prices&amp;Fuel'!$H67+'Prices&amp;Fuel'!$H68*'Long Term Deals'!BF68+'Long Term Deals'!BF69*'Prices&amp;Fuel'!$H69+'Long Term Deals'!BF70*'Prices&amp;Fuel'!$H70+'Long Term Deals'!BF71*'Prices&amp;Fuel'!$H71+'Long Term Deals'!BF72*'Prices&amp;Fuel'!$H72+'Long Term Deals'!BF73*'Prices&amp;Fuel'!$H73+'Long Term Deals'!BF74*'Prices&amp;Fuel'!$H74+'Long Term Deals'!BF75*'Prices&amp;Fuel'!$H75+'Long Term Deals'!BF76*'Prices&amp;Fuel'!$H76+'Long Term Deals'!BF77*'Prices&amp;Fuel'!$H77+'Long Term Deals'!BF78*'Prices&amp;Fuel'!$H78)/SUM('Prices&amp;Fuel'!$H67:$H78)</f>
        <v>3417.6567947318376</v>
      </c>
      <c r="BG10" s="1">
        <f>('Long Term Deals'!BG67*'Prices&amp;Fuel'!$H67+'Prices&amp;Fuel'!$H68*'Long Term Deals'!BG68+'Long Term Deals'!BG69*'Prices&amp;Fuel'!$H69+'Long Term Deals'!BG70*'Prices&amp;Fuel'!$H70+'Long Term Deals'!BG71*'Prices&amp;Fuel'!$H71+'Long Term Deals'!BG72*'Prices&amp;Fuel'!$H72+'Long Term Deals'!BG73*'Prices&amp;Fuel'!$H73+'Long Term Deals'!BG74*'Prices&amp;Fuel'!$H74+'Long Term Deals'!BG75*'Prices&amp;Fuel'!$H75+'Long Term Deals'!BG76*'Prices&amp;Fuel'!$H76+'Long Term Deals'!BG77*'Prices&amp;Fuel'!$H77+'Long Term Deals'!BG78*'Prices&amp;Fuel'!$H78)/SUM('Prices&amp;Fuel'!$H67:$H78)</f>
        <v>1402.4974469134061</v>
      </c>
      <c r="BH10" s="25"/>
      <c r="BI10" s="14"/>
      <c r="BJ10" s="14"/>
      <c r="BK10" s="25"/>
      <c r="BL10" s="1">
        <f>SUM('Long Term Deals'!BL67:BL78)</f>
        <v>27067843.702827625</v>
      </c>
      <c r="BM10" s="14"/>
      <c r="BN10" s="14"/>
      <c r="BP10" s="1">
        <f>SUM('Long Term Deals'!BP67:BP78)</f>
        <v>26495415.311802574</v>
      </c>
      <c r="BQ10" s="6">
        <f t="shared" si="3"/>
        <v>572428.39102505147</v>
      </c>
      <c r="CA10" s="1">
        <f>SUM('Long Term Deals'!CA67:CA78)</f>
        <v>321655.52699228795</v>
      </c>
      <c r="CB10" s="1">
        <f>SUM('Long Term Deals'!CB67:CB78)</f>
        <v>76840.919023136099</v>
      </c>
      <c r="CC10" s="1">
        <f>SUM('Long Term Deals'!CC67:CC78)</f>
        <v>284068583.20658082</v>
      </c>
      <c r="CD10" s="1">
        <f>SUM('Long Term Deals'!CD67:CD78)</f>
        <v>278223767.70828074</v>
      </c>
      <c r="CE10" s="1">
        <f>SUM('Long Term Deals'!CE67:CE78)</f>
        <v>5844815.4983001165</v>
      </c>
      <c r="CF10" s="1">
        <f>SUM('Long Term Deals'!CF67:CF78)</f>
        <v>0</v>
      </c>
      <c r="CG10" s="1">
        <f>SUM('Long Term Deals'!CG67:CG78)</f>
        <v>0</v>
      </c>
      <c r="CH10" s="1">
        <f>SUM('Long Term Deals'!CH67:CH78)</f>
        <v>0</v>
      </c>
      <c r="CI10" s="1">
        <f>SUM('Long Term Deals'!CI67:CI78)</f>
        <v>0</v>
      </c>
      <c r="CJ10" s="1">
        <f>SUM('Long Term Deals'!CJ67:CJ78)</f>
        <v>284068583.20658082</v>
      </c>
      <c r="CK10" s="1">
        <f>SUM('Long Term Deals'!CK67:CK78)</f>
        <v>278223767.70828074</v>
      </c>
      <c r="CL10" s="1">
        <f>SUM('Long Term Deals'!CL67:CL78)</f>
        <v>5844815.4983001165</v>
      </c>
      <c r="CM10" s="1">
        <f>SUM('Long Term Deals'!CM67:CM78)</f>
        <v>5844815.4983001165</v>
      </c>
      <c r="CN10" s="1">
        <f>SUM('Long Term Deals'!CN67:CN78)</f>
        <v>2.0058744848938661E-8</v>
      </c>
      <c r="CO10" s="1">
        <f>SUM('Long Term Deals'!CO67:CO78)</f>
        <v>0</v>
      </c>
      <c r="CP10" s="1">
        <f>SUM('Long Term Deals'!CP67:CP78)</f>
        <v>0</v>
      </c>
      <c r="CQ10" s="1">
        <f>SUM('Long Term Deals'!CQ67:CQ78)</f>
        <v>37993.749999999927</v>
      </c>
      <c r="CR10" s="1">
        <f>SUM('Long Term Deals'!CR67:CR78)</f>
        <v>359649.27699228789</v>
      </c>
      <c r="CS10" s="1">
        <f>SUM('Long Term Deals'!CS67:CS78)</f>
        <v>0</v>
      </c>
      <c r="CT10" s="1">
        <f>SUM('Long Term Deals'!CT67:CT78)</f>
        <v>-865595.03076098626</v>
      </c>
      <c r="CU10" s="1">
        <f>SUM('Long Term Deals'!CU67:CU78)</f>
        <v>-455664.75283120346</v>
      </c>
      <c r="CV10" s="61">
        <f>SUM('Long Term Deals'!CV67:CV78)</f>
        <v>6254745.7762298798</v>
      </c>
      <c r="CW10" s="13">
        <f t="shared" si="4"/>
        <v>176249.60383139068</v>
      </c>
      <c r="CX10" s="13">
        <f t="shared" si="9"/>
        <v>42104.61316336225</v>
      </c>
      <c r="CY10" s="13">
        <f t="shared" si="5"/>
        <v>79699289.203084826</v>
      </c>
      <c r="CZ10" s="13">
        <f t="shared" si="6"/>
        <v>17004.61316336225</v>
      </c>
      <c r="DA10" s="13">
        <f t="shared" si="7"/>
        <v>25100</v>
      </c>
      <c r="DC10" s="13">
        <f t="shared" si="8"/>
        <v>0</v>
      </c>
    </row>
    <row r="11" spans="1:109" x14ac:dyDescent="0.25">
      <c r="A11" s="56">
        <v>37999.999999999825</v>
      </c>
      <c r="O11" s="1">
        <f>('Long Term Deals'!O79*'Prices&amp;Fuel'!$H79+'Prices&amp;Fuel'!$H80*'Long Term Deals'!O80+'Long Term Deals'!O81*'Prices&amp;Fuel'!$H81+'Long Term Deals'!O82*'Prices&amp;Fuel'!$H82+'Long Term Deals'!O83*'Prices&amp;Fuel'!$H83+'Long Term Deals'!O84*'Prices&amp;Fuel'!$H84+'Long Term Deals'!O85*'Prices&amp;Fuel'!$H85+'Long Term Deals'!O86*'Prices&amp;Fuel'!$H86+'Long Term Deals'!O87*'Prices&amp;Fuel'!$H87+'Long Term Deals'!O88*'Prices&amp;Fuel'!$H88+'Long Term Deals'!O89*'Prices&amp;Fuel'!$H89+'Long Term Deals'!O90*'Prices&amp;Fuel'!$H90)/SUM('Prices&amp;Fuel'!$H79:$H90)</f>
        <v>9036</v>
      </c>
      <c r="P11" s="1">
        <f>('Long Term Deals'!P79*'Prices&amp;Fuel'!$H79+'Prices&amp;Fuel'!$H80*'Long Term Deals'!P80+'Long Term Deals'!P81*'Prices&amp;Fuel'!$H81+'Long Term Deals'!P82*'Prices&amp;Fuel'!$H82+'Long Term Deals'!P83*'Prices&amp;Fuel'!$H83+'Long Term Deals'!P84*'Prices&amp;Fuel'!$H84+'Long Term Deals'!P85*'Prices&amp;Fuel'!$H85+'Long Term Deals'!P86*'Prices&amp;Fuel'!$H86+'Long Term Deals'!P87*'Prices&amp;Fuel'!$H87+'Long Term Deals'!P88*'Prices&amp;Fuel'!$H88+'Long Term Deals'!P89*'Prices&amp;Fuel'!$H89+'Long Term Deals'!P90*'Prices&amp;Fuel'!$H90)/SUM('Prices&amp;Fuel'!$H79:$H90)</f>
        <v>10794</v>
      </c>
      <c r="Q11" s="1">
        <f>('Long Term Deals'!Q79*'Prices&amp;Fuel'!$H79+'Prices&amp;Fuel'!$H80*'Long Term Deals'!Q80+'Long Term Deals'!Q81*'Prices&amp;Fuel'!$H81+'Long Term Deals'!Q82*'Prices&amp;Fuel'!$H82+'Long Term Deals'!Q83*'Prices&amp;Fuel'!$H83+'Long Term Deals'!Q84*'Prices&amp;Fuel'!$H84+'Long Term Deals'!Q85*'Prices&amp;Fuel'!$H85+'Long Term Deals'!Q86*'Prices&amp;Fuel'!$H86+'Long Term Deals'!Q87*'Prices&amp;Fuel'!$H87+'Long Term Deals'!Q88*'Prices&amp;Fuel'!$H88+'Long Term Deals'!Q89*'Prices&amp;Fuel'!$H89+'Long Term Deals'!Q90*'Prices&amp;Fuel'!$H90)/SUM('Prices&amp;Fuel'!$H79:$H90)</f>
        <v>5270</v>
      </c>
      <c r="T11" s="1">
        <f>SUM('Long Term Deals'!T79:T90)</f>
        <v>25305960.560000002</v>
      </c>
      <c r="U11" s="1">
        <f>SUM('Long Term Deals'!U79:U90)</f>
        <v>25194797.68</v>
      </c>
      <c r="V11" s="13">
        <f t="shared" si="0"/>
        <v>111162.88000000268</v>
      </c>
      <c r="X11" s="1"/>
      <c r="AF11" s="1">
        <f>('Long Term Deals'!AF79*'Prices&amp;Fuel'!$H79+'Prices&amp;Fuel'!$H80*'Long Term Deals'!AF80+'Long Term Deals'!AF81*'Prices&amp;Fuel'!$H81+'Long Term Deals'!AF82*'Prices&amp;Fuel'!$H82+'Long Term Deals'!AF83*'Prices&amp;Fuel'!$H83+'Long Term Deals'!AF84*'Prices&amp;Fuel'!$H84+'Long Term Deals'!AF85*'Prices&amp;Fuel'!$H85+'Long Term Deals'!AF86*'Prices&amp;Fuel'!$H86+'Long Term Deals'!AF87*'Prices&amp;Fuel'!$H87+'Long Term Deals'!AF88*'Prices&amp;Fuel'!$H88+'Long Term Deals'!AF89*'Prices&amp;Fuel'!$H89+'Long Term Deals'!AF90*'Prices&amp;Fuel'!$H90)/SUM('Prices&amp;Fuel'!$H79:$H90)</f>
        <v>99018.079143663883</v>
      </c>
      <c r="AG11" s="1">
        <f>('Long Term Deals'!AG79*'Prices&amp;Fuel'!$H79+'Prices&amp;Fuel'!$H80*'Long Term Deals'!AG80+'Long Term Deals'!AG81*'Prices&amp;Fuel'!$H81+'Long Term Deals'!AG82*'Prices&amp;Fuel'!$H82+'Long Term Deals'!AG83*'Prices&amp;Fuel'!$H83+'Long Term Deals'!AG84*'Prices&amp;Fuel'!$H84+'Long Term Deals'!AG85*'Prices&amp;Fuel'!$H85+'Long Term Deals'!AG86*'Prices&amp;Fuel'!$H86+'Long Term Deals'!AG87*'Prices&amp;Fuel'!$H87+'Long Term Deals'!AG88*'Prices&amp;Fuel'!$H88+'Long Term Deals'!AG89*'Prices&amp;Fuel'!$H89+'Long Term Deals'!AG90*'Prices&amp;Fuel'!$H90)/SUM('Prices&amp;Fuel'!$H79:$H90)</f>
        <v>0</v>
      </c>
      <c r="AH11" s="1">
        <f>('Long Term Deals'!AH79*'Prices&amp;Fuel'!$H79+'Prices&amp;Fuel'!$H80*'Long Term Deals'!AH80+'Long Term Deals'!AH81*'Prices&amp;Fuel'!$H81+'Long Term Deals'!AH82*'Prices&amp;Fuel'!$H82+'Long Term Deals'!AH83*'Prices&amp;Fuel'!$H83+'Long Term Deals'!AH84*'Prices&amp;Fuel'!$H84+'Long Term Deals'!AH85*'Prices&amp;Fuel'!$H85+'Long Term Deals'!AH86*'Prices&amp;Fuel'!$H86+'Long Term Deals'!AH87*'Prices&amp;Fuel'!$H87+'Long Term Deals'!AH88*'Prices&amp;Fuel'!$H88+'Long Term Deals'!AH89*'Prices&amp;Fuel'!$H89+'Long Term Deals'!AH90*'Prices&amp;Fuel'!$H90)/SUM('Prices&amp;Fuel'!$H79:$H90)</f>
        <v>77120.822622107982</v>
      </c>
      <c r="AI11" s="1">
        <f>('Long Term Deals'!AI79*'Prices&amp;Fuel'!$H79+'Prices&amp;Fuel'!$H80*'Long Term Deals'!AI80+'Long Term Deals'!AI81*'Prices&amp;Fuel'!$H81+'Long Term Deals'!AI82*'Prices&amp;Fuel'!$H82+'Long Term Deals'!AI83*'Prices&amp;Fuel'!$H83+'Long Term Deals'!AI84*'Prices&amp;Fuel'!$H84+'Long Term Deals'!AI85*'Prices&amp;Fuel'!$H85+'Long Term Deals'!AI86*'Prices&amp;Fuel'!$H86+'Long Term Deals'!AI87*'Prices&amp;Fuel'!$H87+'Long Term Deals'!AI88*'Prices&amp;Fuel'!$H88+'Long Term Deals'!AI89*'Prices&amp;Fuel'!$H89+'Long Term Deals'!AI90*'Prices&amp;Fuel'!$H90)/SUM('Prices&amp;Fuel'!$H79:$H90)</f>
        <v>0</v>
      </c>
      <c r="AJ11" s="1">
        <f>('Long Term Deals'!AJ79*'Prices&amp;Fuel'!$H79+'Prices&amp;Fuel'!$H80*'Long Term Deals'!AJ80+'Long Term Deals'!AJ81*'Prices&amp;Fuel'!$H81+'Long Term Deals'!AJ82*'Prices&amp;Fuel'!$H82+'Long Term Deals'!AJ83*'Prices&amp;Fuel'!$H83+'Long Term Deals'!AJ84*'Prices&amp;Fuel'!$H84+'Long Term Deals'!AJ85*'Prices&amp;Fuel'!$H85+'Long Term Deals'!AJ86*'Prices&amp;Fuel'!$H86+'Long Term Deals'!AJ87*'Prices&amp;Fuel'!$H87+'Long Term Deals'!AJ88*'Prices&amp;Fuel'!$H88+'Long Term Deals'!AJ89*'Prices&amp;Fuel'!$H89+'Long Term Deals'!AJ90*'Prices&amp;Fuel'!$H90)/SUM('Prices&amp;Fuel'!$H79:$H90)</f>
        <v>0</v>
      </c>
      <c r="AK11" s="1">
        <f>('Long Term Deals'!AK79*'Prices&amp;Fuel'!$H79+'Prices&amp;Fuel'!$H80*'Long Term Deals'!AK80+'Long Term Deals'!AK81*'Prices&amp;Fuel'!$H81+'Long Term Deals'!AK82*'Prices&amp;Fuel'!$H82+'Long Term Deals'!AK83*'Prices&amp;Fuel'!$H83+'Long Term Deals'!AK84*'Prices&amp;Fuel'!$H84+'Long Term Deals'!AK85*'Prices&amp;Fuel'!$H85+'Long Term Deals'!AK86*'Prices&amp;Fuel'!$H86+'Long Term Deals'!AK87*'Prices&amp;Fuel'!$H87+'Long Term Deals'!AK88*'Prices&amp;Fuel'!$H88+'Long Term Deals'!AK89*'Prices&amp;Fuel'!$H89+'Long Term Deals'!AK90*'Prices&amp;Fuel'!$H90)/SUM('Prices&amp;Fuel'!$H79:$H90)</f>
        <v>0</v>
      </c>
      <c r="AL11" s="1">
        <f t="shared" si="1"/>
        <v>0</v>
      </c>
      <c r="AM11" s="1"/>
      <c r="AO11" s="1"/>
      <c r="AP11" s="1"/>
      <c r="AR11" s="1"/>
      <c r="AT11" s="13"/>
      <c r="AU11" s="13"/>
      <c r="AW11" s="20"/>
      <c r="AX11" s="20"/>
      <c r="AY11" s="1">
        <f>SUM('Long Term Deals'!AY79:AY90)</f>
        <v>236981297.49305916</v>
      </c>
      <c r="AZ11" s="1">
        <f>SUM('Long Term Deals'!AZ79:AZ90)</f>
        <v>232050870.75784063</v>
      </c>
      <c r="BA11" s="6">
        <f t="shared" si="2"/>
        <v>4930426.7352185249</v>
      </c>
      <c r="BB11" s="1">
        <f>('Long Term Deals'!BB79*'Prices&amp;Fuel'!$H79+'Prices&amp;Fuel'!$H80*'Long Term Deals'!BB80+'Long Term Deals'!BB81*'Prices&amp;Fuel'!$H81+'Long Term Deals'!BB82*'Prices&amp;Fuel'!$H82+'Long Term Deals'!BB83*'Prices&amp;Fuel'!$H83+'Long Term Deals'!BB84*'Prices&amp;Fuel'!$H84+'Long Term Deals'!BB85*'Prices&amp;Fuel'!$H85+'Long Term Deals'!BB86*'Prices&amp;Fuel'!$H86+'Long Term Deals'!BB87*'Prices&amp;Fuel'!$H87+'Long Term Deals'!BB88*'Prices&amp;Fuel'!$H88+'Long Term Deals'!BB89*'Prices&amp;Fuel'!$H89+'Long Term Deals'!BB90*'Prices&amp;Fuel'!$H90)/SUM('Prices&amp;Fuel'!$H79:$H90)</f>
        <v>6824.1785719302688</v>
      </c>
      <c r="BC11" s="1">
        <f>('Long Term Deals'!BC79*'Prices&amp;Fuel'!$H79+'Prices&amp;Fuel'!$H80*'Long Term Deals'!BC80+'Long Term Deals'!BC81*'Prices&amp;Fuel'!$H81+'Long Term Deals'!BC82*'Prices&amp;Fuel'!$H82+'Long Term Deals'!BC83*'Prices&amp;Fuel'!$H83+'Long Term Deals'!BC84*'Prices&amp;Fuel'!$H84+'Long Term Deals'!BC85*'Prices&amp;Fuel'!$H85+'Long Term Deals'!BC86*'Prices&amp;Fuel'!$H86+'Long Term Deals'!BC87*'Prices&amp;Fuel'!$H87+'Long Term Deals'!BC88*'Prices&amp;Fuel'!$H88+'Long Term Deals'!BC89*'Prices&amp;Fuel'!$H89+'Long Term Deals'!BC90*'Prices&amp;Fuel'!$H90)/SUM('Prices&amp;Fuel'!$H79:$H90)</f>
        <v>0</v>
      </c>
      <c r="BD11" s="1">
        <f>('Long Term Deals'!BD79*'Prices&amp;Fuel'!$H79+'Prices&amp;Fuel'!$H80*'Long Term Deals'!BD80+'Long Term Deals'!BD81*'Prices&amp;Fuel'!$H81+'Long Term Deals'!BD82*'Prices&amp;Fuel'!$H82+'Long Term Deals'!BD83*'Prices&amp;Fuel'!$H83+'Long Term Deals'!BD84*'Prices&amp;Fuel'!$H84+'Long Term Deals'!BD85*'Prices&amp;Fuel'!$H85+'Long Term Deals'!BD86*'Prices&amp;Fuel'!$H86+'Long Term Deals'!BD87*'Prices&amp;Fuel'!$H87+'Long Term Deals'!BD88*'Prices&amp;Fuel'!$H88+'Long Term Deals'!BD89*'Prices&amp;Fuel'!$H89+'Long Term Deals'!BD90*'Prices&amp;Fuel'!$H90)/SUM('Prices&amp;Fuel'!$H79:$H90)</f>
        <v>3038.4367932346454</v>
      </c>
      <c r="BE11" s="1">
        <f>('Long Term Deals'!BE79*'Prices&amp;Fuel'!$H79+'Prices&amp;Fuel'!$H80*'Long Term Deals'!BE80+'Long Term Deals'!BE81*'Prices&amp;Fuel'!$H81+'Long Term Deals'!BE82*'Prices&amp;Fuel'!$H82+'Long Term Deals'!BE83*'Prices&amp;Fuel'!$H83+'Long Term Deals'!BE84*'Prices&amp;Fuel'!$H84+'Long Term Deals'!BE85*'Prices&amp;Fuel'!$H85+'Long Term Deals'!BE86*'Prices&amp;Fuel'!$H86+'Long Term Deals'!BE87*'Prices&amp;Fuel'!$H87+'Long Term Deals'!BE88*'Prices&amp;Fuel'!$H88+'Long Term Deals'!BE89*'Prices&amp;Fuel'!$H89+'Long Term Deals'!BE90*'Prices&amp;Fuel'!$H90)/SUM('Prices&amp;Fuel'!$H79:$H90)</f>
        <v>2307.5730119263349</v>
      </c>
      <c r="BF11" s="1">
        <f>('Long Term Deals'!BF79*'Prices&amp;Fuel'!$H79+'Prices&amp;Fuel'!$H80*'Long Term Deals'!BF80+'Long Term Deals'!BF81*'Prices&amp;Fuel'!$H81+'Long Term Deals'!BF82*'Prices&amp;Fuel'!$H82+'Long Term Deals'!BF83*'Prices&amp;Fuel'!$H83+'Long Term Deals'!BF84*'Prices&amp;Fuel'!$H84+'Long Term Deals'!BF85*'Prices&amp;Fuel'!$H85+'Long Term Deals'!BF86*'Prices&amp;Fuel'!$H86+'Long Term Deals'!BF87*'Prices&amp;Fuel'!$H87+'Long Term Deals'!BF88*'Prices&amp;Fuel'!$H88+'Long Term Deals'!BF89*'Prices&amp;Fuel'!$H89+'Long Term Deals'!BF90*'Prices&amp;Fuel'!$H90)/SUM('Prices&amp;Fuel'!$H79:$H90)</f>
        <v>3418.2786182870464</v>
      </c>
      <c r="BG11" s="1">
        <f>('Long Term Deals'!BG79*'Prices&amp;Fuel'!$H79+'Prices&amp;Fuel'!$H80*'Long Term Deals'!BG80+'Long Term Deals'!BG81*'Prices&amp;Fuel'!$H81+'Long Term Deals'!BG82*'Prices&amp;Fuel'!$H82+'Long Term Deals'!BG83*'Prices&amp;Fuel'!$H83+'Long Term Deals'!BG84*'Prices&amp;Fuel'!$H84+'Long Term Deals'!BG85*'Prices&amp;Fuel'!$H85+'Long Term Deals'!BG86*'Prices&amp;Fuel'!$H86+'Long Term Deals'!BG87*'Prices&amp;Fuel'!$H87+'Long Term Deals'!BG88*'Prices&amp;Fuel'!$H88+'Long Term Deals'!BG89*'Prices&amp;Fuel'!$H89+'Long Term Deals'!BG90*'Prices&amp;Fuel'!$H90)/SUM('Prices&amp;Fuel'!$H79:$H90)</f>
        <v>1403.3994970991894</v>
      </c>
      <c r="BH11" s="25"/>
      <c r="BI11" s="14"/>
      <c r="BJ11" s="14"/>
      <c r="BK11" s="25"/>
      <c r="BL11" s="1">
        <f>SUM('Long Term Deals'!BL79:BL90)</f>
        <v>27309160.741388042</v>
      </c>
      <c r="BM11" s="14"/>
      <c r="BN11" s="14"/>
      <c r="BP11" s="1">
        <f>SUM('Long Term Deals'!BP79:BP90)</f>
        <v>26746304.014800709</v>
      </c>
      <c r="BQ11" s="6">
        <f t="shared" si="3"/>
        <v>562856.72658733279</v>
      </c>
      <c r="CA11" s="1">
        <f>SUM('Long Term Deals'!CA79:CA90)</f>
        <v>322334.19023136247</v>
      </c>
      <c r="CB11" s="1">
        <f>SUM('Long Term Deals'!CB79:CB90)</f>
        <v>77028.115681233787</v>
      </c>
      <c r="CC11" s="1">
        <f>SUM('Long Term Deals'!CC79:CC90)</f>
        <v>289596418.79444718</v>
      </c>
      <c r="CD11" s="1">
        <f>SUM('Long Term Deals'!CD79:CD90)</f>
        <v>284391334.75855392</v>
      </c>
      <c r="CE11" s="1">
        <f>SUM('Long Term Deals'!CE79:CE90)</f>
        <v>5205084.0358932242</v>
      </c>
      <c r="CF11" s="1">
        <f>SUM('Long Term Deals'!CF79:CF90)</f>
        <v>0</v>
      </c>
      <c r="CG11" s="1">
        <f>SUM('Long Term Deals'!CG79:CG90)</f>
        <v>0</v>
      </c>
      <c r="CH11" s="1">
        <f>SUM('Long Term Deals'!CH79:CH90)</f>
        <v>0</v>
      </c>
      <c r="CI11" s="1">
        <f>SUM('Long Term Deals'!CI79:CI90)</f>
        <v>0</v>
      </c>
      <c r="CJ11" s="1">
        <f>SUM('Long Term Deals'!CJ79:CJ90)</f>
        <v>289596418.79444718</v>
      </c>
      <c r="CK11" s="1">
        <f>SUM('Long Term Deals'!CK79:CK90)</f>
        <v>284391334.75855392</v>
      </c>
      <c r="CL11" s="1">
        <f>SUM('Long Term Deals'!CL79:CL90)</f>
        <v>5205084.0358932242</v>
      </c>
      <c r="CM11" s="1">
        <f>SUM('Long Term Deals'!CM79:CM90)</f>
        <v>5205084.0358932242</v>
      </c>
      <c r="CN11" s="1">
        <f>SUM('Long Term Deals'!CN79:CN90)</f>
        <v>1.9933954172302036E-8</v>
      </c>
      <c r="CO11" s="1">
        <f>SUM('Long Term Deals'!CO79:CO90)</f>
        <v>0</v>
      </c>
      <c r="CP11" s="1">
        <f>SUM('Long Term Deals'!CP79:CP90)</f>
        <v>0</v>
      </c>
      <c r="CQ11" s="1">
        <f>SUM('Long Term Deals'!CQ79:CQ90)</f>
        <v>38086.499999999927</v>
      </c>
      <c r="CR11" s="1">
        <f>SUM('Long Term Deals'!CR79:CR90)</f>
        <v>360420.69023136242</v>
      </c>
      <c r="CS11" s="1">
        <f>SUM('Long Term Deals'!CS79:CS90)</f>
        <v>0</v>
      </c>
      <c r="CT11" s="1">
        <f>SUM('Long Term Deals'!CT79:CT90)</f>
        <v>-1514084.5842198452</v>
      </c>
      <c r="CU11" s="1">
        <f>SUM('Long Term Deals'!CU79:CU90)</f>
        <v>-456790.40002377453</v>
      </c>
      <c r="CV11" s="61">
        <f>SUM('Long Term Deals'!CV79:CV90)</f>
        <v>6262378.2200892745</v>
      </c>
      <c r="CW11" s="13">
        <f t="shared" si="4"/>
        <v>176138.90176577185</v>
      </c>
      <c r="CX11" s="13">
        <f t="shared" si="9"/>
        <v>42091.866492477486</v>
      </c>
      <c r="CY11" s="13">
        <f t="shared" si="5"/>
        <v>79654230.414260998</v>
      </c>
      <c r="CZ11" s="13">
        <f t="shared" si="6"/>
        <v>16991.866492477486</v>
      </c>
      <c r="DA11" s="13">
        <f t="shared" si="7"/>
        <v>25100</v>
      </c>
      <c r="DC11" s="13">
        <f t="shared" si="8"/>
        <v>0</v>
      </c>
    </row>
    <row r="12" spans="1:109" x14ac:dyDescent="0.25">
      <c r="A12" s="56">
        <v>38364.999999999796</v>
      </c>
      <c r="O12" s="1">
        <f>('Long Term Deals'!O91*'Prices&amp;Fuel'!$H91+'Prices&amp;Fuel'!$H92*'Long Term Deals'!O92+'Long Term Deals'!O93*'Prices&amp;Fuel'!$H93+'Long Term Deals'!O94*'Prices&amp;Fuel'!$H94+'Long Term Deals'!O95*'Prices&amp;Fuel'!$H95+'Long Term Deals'!O96*'Prices&amp;Fuel'!$H96+'Long Term Deals'!O97*'Prices&amp;Fuel'!$H97+'Long Term Deals'!O98*'Prices&amp;Fuel'!$H98+'Long Term Deals'!O99*'Prices&amp;Fuel'!$H99+'Long Term Deals'!O100*'Prices&amp;Fuel'!$H100+'Long Term Deals'!O101*'Prices&amp;Fuel'!$H101+'Long Term Deals'!O102*'Prices&amp;Fuel'!$H102)/SUM('Prices&amp;Fuel'!$H91:$H102)</f>
        <v>9036</v>
      </c>
      <c r="P12" s="1">
        <f>('Long Term Deals'!P91*'Prices&amp;Fuel'!$H91+'Prices&amp;Fuel'!$H92*'Long Term Deals'!P92+'Long Term Deals'!P93*'Prices&amp;Fuel'!$H93+'Long Term Deals'!P94*'Prices&amp;Fuel'!$H94+'Long Term Deals'!P95*'Prices&amp;Fuel'!$H95+'Long Term Deals'!P96*'Prices&amp;Fuel'!$H96+'Long Term Deals'!P97*'Prices&amp;Fuel'!$H97+'Long Term Deals'!P98*'Prices&amp;Fuel'!$H98+'Long Term Deals'!P99*'Prices&amp;Fuel'!$H99+'Long Term Deals'!P100*'Prices&amp;Fuel'!$H100+'Long Term Deals'!P101*'Prices&amp;Fuel'!$H101+'Long Term Deals'!P102*'Prices&amp;Fuel'!$H102)/SUM('Prices&amp;Fuel'!$H91:$H102)</f>
        <v>10794</v>
      </c>
      <c r="Q12" s="1">
        <f>('Long Term Deals'!Q91*'Prices&amp;Fuel'!$H91+'Prices&amp;Fuel'!$H92*'Long Term Deals'!Q92+'Long Term Deals'!Q93*'Prices&amp;Fuel'!$H93+'Long Term Deals'!Q94*'Prices&amp;Fuel'!$H94+'Long Term Deals'!Q95*'Prices&amp;Fuel'!$H95+'Long Term Deals'!Q96*'Prices&amp;Fuel'!$H96+'Long Term Deals'!Q97*'Prices&amp;Fuel'!$H97+'Long Term Deals'!Q98*'Prices&amp;Fuel'!$H98+'Long Term Deals'!Q99*'Prices&amp;Fuel'!$H99+'Long Term Deals'!Q100*'Prices&amp;Fuel'!$H100+'Long Term Deals'!Q101*'Prices&amp;Fuel'!$H101+'Long Term Deals'!Q102*'Prices&amp;Fuel'!$H102)/SUM('Prices&amp;Fuel'!$H91:$H102)</f>
        <v>5270</v>
      </c>
      <c r="T12" s="1">
        <f>SUM('Long Term Deals'!T91:T102)</f>
        <v>28739675.700000003</v>
      </c>
      <c r="U12" s="1">
        <f>SUM('Long Term Deals'!U91:U102)</f>
        <v>28626981.719999999</v>
      </c>
      <c r="V12" s="13">
        <f t="shared" si="0"/>
        <v>112693.98000000417</v>
      </c>
      <c r="AF12" s="1">
        <f>('Long Term Deals'!AF91*'Prices&amp;Fuel'!$H91+'Prices&amp;Fuel'!$H92*'Long Term Deals'!AF92+'Long Term Deals'!AF93*'Prices&amp;Fuel'!$H93+'Long Term Deals'!AF94*'Prices&amp;Fuel'!$H94+'Long Term Deals'!AF95*'Prices&amp;Fuel'!$H95+'Long Term Deals'!AF96*'Prices&amp;Fuel'!$H96+'Long Term Deals'!AF97*'Prices&amp;Fuel'!$H97+'Long Term Deals'!AF98*'Prices&amp;Fuel'!$H98+'Long Term Deals'!AF99*'Prices&amp;Fuel'!$H99+'Long Term Deals'!AF100*'Prices&amp;Fuel'!$H100+'Long Term Deals'!AF101*'Prices&amp;Fuel'!$H101+'Long Term Deals'!AF102*'Prices&amp;Fuel'!$H102)/SUM('Prices&amp;Fuel'!$H91:$H102)</f>
        <v>94660.703595450235</v>
      </c>
      <c r="AG12" s="1">
        <f>('Long Term Deals'!AG91*'Prices&amp;Fuel'!$H91+'Prices&amp;Fuel'!$H92*'Long Term Deals'!AG92+'Long Term Deals'!AG93*'Prices&amp;Fuel'!$H93+'Long Term Deals'!AG94*'Prices&amp;Fuel'!$H94+'Long Term Deals'!AG95*'Prices&amp;Fuel'!$H95+'Long Term Deals'!AG96*'Prices&amp;Fuel'!$H96+'Long Term Deals'!AG97*'Prices&amp;Fuel'!$H97+'Long Term Deals'!AG98*'Prices&amp;Fuel'!$H98+'Long Term Deals'!AG99*'Prices&amp;Fuel'!$H99+'Long Term Deals'!AG100*'Prices&amp;Fuel'!$H100+'Long Term Deals'!AG101*'Prices&amp;Fuel'!$H101+'Long Term Deals'!AG102*'Prices&amp;Fuel'!$H102)/SUM('Prices&amp;Fuel'!$H91:$H102)</f>
        <v>0</v>
      </c>
      <c r="AH12" s="1">
        <f>('Long Term Deals'!AH91*'Prices&amp;Fuel'!$H91+'Prices&amp;Fuel'!$H92*'Long Term Deals'!AH92+'Long Term Deals'!AH93*'Prices&amp;Fuel'!$H93+'Long Term Deals'!AH94*'Prices&amp;Fuel'!$H94+'Long Term Deals'!AH95*'Prices&amp;Fuel'!$H95+'Long Term Deals'!AH96*'Prices&amp;Fuel'!$H96+'Long Term Deals'!AH97*'Prices&amp;Fuel'!$H97+'Long Term Deals'!AH98*'Prices&amp;Fuel'!$H98+'Long Term Deals'!AH99*'Prices&amp;Fuel'!$H99+'Long Term Deals'!AH100*'Prices&amp;Fuel'!$H100+'Long Term Deals'!AH101*'Prices&amp;Fuel'!$H101+'Long Term Deals'!AH102*'Prices&amp;Fuel'!$H102)/SUM('Prices&amp;Fuel'!$H91:$H102)</f>
        <v>77120.822622107982</v>
      </c>
      <c r="AI12" s="1">
        <f>('Long Term Deals'!AI91*'Prices&amp;Fuel'!$H91+'Prices&amp;Fuel'!$H92*'Long Term Deals'!AI92+'Long Term Deals'!AI93*'Prices&amp;Fuel'!$H93+'Long Term Deals'!AI94*'Prices&amp;Fuel'!$H94+'Long Term Deals'!AI95*'Prices&amp;Fuel'!$H95+'Long Term Deals'!AI96*'Prices&amp;Fuel'!$H96+'Long Term Deals'!AI97*'Prices&amp;Fuel'!$H97+'Long Term Deals'!AI98*'Prices&amp;Fuel'!$H98+'Long Term Deals'!AI99*'Prices&amp;Fuel'!$H99+'Long Term Deals'!AI100*'Prices&amp;Fuel'!$H100+'Long Term Deals'!AI101*'Prices&amp;Fuel'!$H101+'Long Term Deals'!AI102*'Prices&amp;Fuel'!$H102)/SUM('Prices&amp;Fuel'!$H91:$H102)</f>
        <v>0</v>
      </c>
      <c r="AJ12" s="1">
        <f>('Long Term Deals'!AJ91*'Prices&amp;Fuel'!$H91+'Prices&amp;Fuel'!$H92*'Long Term Deals'!AJ92+'Long Term Deals'!AJ93*'Prices&amp;Fuel'!$H93+'Long Term Deals'!AJ94*'Prices&amp;Fuel'!$H94+'Long Term Deals'!AJ95*'Prices&amp;Fuel'!$H95+'Long Term Deals'!AJ96*'Prices&amp;Fuel'!$H96+'Long Term Deals'!AJ97*'Prices&amp;Fuel'!$H97+'Long Term Deals'!AJ98*'Prices&amp;Fuel'!$H98+'Long Term Deals'!AJ99*'Prices&amp;Fuel'!$H99+'Long Term Deals'!AJ100*'Prices&amp;Fuel'!$H100+'Long Term Deals'!AJ101*'Prices&amp;Fuel'!$H101+'Long Term Deals'!AJ102*'Prices&amp;Fuel'!$H102)/SUM('Prices&amp;Fuel'!$H91:$H102)</f>
        <v>0</v>
      </c>
      <c r="AK12" s="1">
        <f>('Long Term Deals'!AK91*'Prices&amp;Fuel'!$H91+'Prices&amp;Fuel'!$H92*'Long Term Deals'!AK92+'Long Term Deals'!AK93*'Prices&amp;Fuel'!$H93+'Long Term Deals'!AK94*'Prices&amp;Fuel'!$H94+'Long Term Deals'!AK95*'Prices&amp;Fuel'!$H95+'Long Term Deals'!AK96*'Prices&amp;Fuel'!$H96+'Long Term Deals'!AK97*'Prices&amp;Fuel'!$H97+'Long Term Deals'!AK98*'Prices&amp;Fuel'!$H98+'Long Term Deals'!AK99*'Prices&amp;Fuel'!$H99+'Long Term Deals'!AK100*'Prices&amp;Fuel'!$H100+'Long Term Deals'!AK101*'Prices&amp;Fuel'!$H101+'Long Term Deals'!AK102*'Prices&amp;Fuel'!$H102)/SUM('Prices&amp;Fuel'!$H91:$H102)</f>
        <v>0</v>
      </c>
      <c r="AL12" s="1">
        <f t="shared" si="1"/>
        <v>0</v>
      </c>
      <c r="AM12" s="1"/>
      <c r="AO12" s="1"/>
      <c r="AP12" s="1"/>
      <c r="AR12" s="1"/>
      <c r="AT12" s="13"/>
      <c r="AU12" s="13"/>
      <c r="AW12" s="20"/>
      <c r="AX12" s="20"/>
      <c r="AY12" s="1">
        <f>SUM('Long Term Deals'!AY91:AY102)</f>
        <v>231369132.81118768</v>
      </c>
      <c r="AZ12" s="1">
        <f>SUM('Long Term Deals'!AZ91:AZ102)</f>
        <v>227345333.3253265</v>
      </c>
      <c r="BA12" s="6">
        <f t="shared" si="2"/>
        <v>4023799.4858611822</v>
      </c>
      <c r="BB12" s="1">
        <f>('Long Term Deals'!BB91*'Prices&amp;Fuel'!$H91+'Prices&amp;Fuel'!$H92*'Long Term Deals'!BB92+'Long Term Deals'!BB93*'Prices&amp;Fuel'!$H93+'Long Term Deals'!BB94*'Prices&amp;Fuel'!$H94+'Long Term Deals'!BB95*'Prices&amp;Fuel'!$H95+'Long Term Deals'!BB96*'Prices&amp;Fuel'!$H96+'Long Term Deals'!BB97*'Prices&amp;Fuel'!$H97+'Long Term Deals'!BB98*'Prices&amp;Fuel'!$H98+'Long Term Deals'!BB99*'Prices&amp;Fuel'!$H99+'Long Term Deals'!BB100*'Prices&amp;Fuel'!$H100+'Long Term Deals'!BB101*'Prices&amp;Fuel'!$H101+'Long Term Deals'!BB102*'Prices&amp;Fuel'!$H102)/SUM('Prices&amp;Fuel'!$H91:$H102)</f>
        <v>6831.0229953868366</v>
      </c>
      <c r="BC12" s="1">
        <f>('Long Term Deals'!BC91*'Prices&amp;Fuel'!$H91+'Prices&amp;Fuel'!$H92*'Long Term Deals'!BC92+'Long Term Deals'!BC93*'Prices&amp;Fuel'!$H93+'Long Term Deals'!BC94*'Prices&amp;Fuel'!$H94+'Long Term Deals'!BC95*'Prices&amp;Fuel'!$H95+'Long Term Deals'!BC96*'Prices&amp;Fuel'!$H96+'Long Term Deals'!BC97*'Prices&amp;Fuel'!$H97+'Long Term Deals'!BC98*'Prices&amp;Fuel'!$H98+'Long Term Deals'!BC99*'Prices&amp;Fuel'!$H99+'Long Term Deals'!BC100*'Prices&amp;Fuel'!$H100+'Long Term Deals'!BC101*'Prices&amp;Fuel'!$H101+'Long Term Deals'!BC102*'Prices&amp;Fuel'!$H102)/SUM('Prices&amp;Fuel'!$H91:$H102)</f>
        <v>0</v>
      </c>
      <c r="BD12" s="1">
        <f>('Long Term Deals'!BD91*'Prices&amp;Fuel'!$H91+'Prices&amp;Fuel'!$H92*'Long Term Deals'!BD92+'Long Term Deals'!BD93*'Prices&amp;Fuel'!$H93+'Long Term Deals'!BD94*'Prices&amp;Fuel'!$H94+'Long Term Deals'!BD95*'Prices&amp;Fuel'!$H95+'Long Term Deals'!BD96*'Prices&amp;Fuel'!$H96+'Long Term Deals'!BD97*'Prices&amp;Fuel'!$H97+'Long Term Deals'!BD98*'Prices&amp;Fuel'!$H98+'Long Term Deals'!BD99*'Prices&amp;Fuel'!$H99+'Long Term Deals'!BD100*'Prices&amp;Fuel'!$H100+'Long Term Deals'!BD101*'Prices&amp;Fuel'!$H101+'Long Term Deals'!BD102*'Prices&amp;Fuel'!$H102)/SUM('Prices&amp;Fuel'!$H91:$H102)</f>
        <v>3046.7612775996718</v>
      </c>
      <c r="BE12" s="1">
        <f>('Long Term Deals'!BE91*'Prices&amp;Fuel'!$H91+'Prices&amp;Fuel'!$H92*'Long Term Deals'!BE92+'Long Term Deals'!BE93*'Prices&amp;Fuel'!$H93+'Long Term Deals'!BE94*'Prices&amp;Fuel'!$H94+'Long Term Deals'!BE95*'Prices&amp;Fuel'!$H95+'Long Term Deals'!BE96*'Prices&amp;Fuel'!$H96+'Long Term Deals'!BE97*'Prices&amp;Fuel'!$H97+'Long Term Deals'!BE98*'Prices&amp;Fuel'!$H98+'Long Term Deals'!BE99*'Prices&amp;Fuel'!$H99+'Long Term Deals'!BE100*'Prices&amp;Fuel'!$H100+'Long Term Deals'!BE101*'Prices&amp;Fuel'!$H101+'Long Term Deals'!BE102*'Prices&amp;Fuel'!$H102)/SUM('Prices&amp;Fuel'!$H91:$H102)</f>
        <v>2306.6746487304995</v>
      </c>
      <c r="BF12" s="1">
        <f>('Long Term Deals'!BF91*'Prices&amp;Fuel'!$H91+'Prices&amp;Fuel'!$H92*'Long Term Deals'!BF92+'Long Term Deals'!BF93*'Prices&amp;Fuel'!$H93+'Long Term Deals'!BF94*'Prices&amp;Fuel'!$H94+'Long Term Deals'!BF95*'Prices&amp;Fuel'!$H95+'Long Term Deals'!BF96*'Prices&amp;Fuel'!$H96+'Long Term Deals'!BF97*'Prices&amp;Fuel'!$H97+'Long Term Deals'!BF98*'Prices&amp;Fuel'!$H98+'Long Term Deals'!BF99*'Prices&amp;Fuel'!$H99+'Long Term Deals'!BF100*'Prices&amp;Fuel'!$H100+'Long Term Deals'!BF101*'Prices&amp;Fuel'!$H101+'Long Term Deals'!BF102*'Prices&amp;Fuel'!$H102)/SUM('Prices&amp;Fuel'!$H91:$H102)</f>
        <v>3417.6567947318376</v>
      </c>
      <c r="BG12" s="1">
        <f>('Long Term Deals'!BG91*'Prices&amp;Fuel'!$H91+'Prices&amp;Fuel'!$H92*'Long Term Deals'!BG92+'Long Term Deals'!BG93*'Prices&amp;Fuel'!$H93+'Long Term Deals'!BG94*'Prices&amp;Fuel'!$H94+'Long Term Deals'!BG95*'Prices&amp;Fuel'!$H95+'Long Term Deals'!BG96*'Prices&amp;Fuel'!$H96+'Long Term Deals'!BG97*'Prices&amp;Fuel'!$H97+'Long Term Deals'!BG98*'Prices&amp;Fuel'!$H98+'Long Term Deals'!BG99*'Prices&amp;Fuel'!$H99+'Long Term Deals'!BG100*'Prices&amp;Fuel'!$H100+'Long Term Deals'!BG101*'Prices&amp;Fuel'!$H101+'Long Term Deals'!BG102*'Prices&amp;Fuel'!$H102)/SUM('Prices&amp;Fuel'!$H91:$H102)</f>
        <v>1402.4974469134061</v>
      </c>
      <c r="BH12" s="25"/>
      <c r="BI12" s="14"/>
      <c r="BJ12" s="14"/>
      <c r="BK12" s="25"/>
      <c r="BL12" s="1">
        <f>SUM('Long Term Deals'!BL91:BL102)</f>
        <v>27500067.032729942</v>
      </c>
      <c r="BM12" s="14"/>
      <c r="BN12" s="14"/>
      <c r="BP12" s="1">
        <f>SUM('Long Term Deals'!BP91:BP102)</f>
        <v>27016181.322446339</v>
      </c>
      <c r="BQ12" s="6">
        <f t="shared" si="3"/>
        <v>483885.71028360352</v>
      </c>
      <c r="CA12" s="1">
        <f>SUM('Long Term Deals'!CA91:CA102)</f>
        <v>313501.28534704371</v>
      </c>
      <c r="CB12" s="1">
        <f>SUM('Long Term Deals'!CB91:CB102)</f>
        <v>76840.919023136099</v>
      </c>
      <c r="CC12" s="1">
        <f>SUM('Long Term Deals'!CC91:CC102)</f>
        <v>287608875.5439176</v>
      </c>
      <c r="CD12" s="1">
        <f>SUM('Long Term Deals'!CD91:CD102)</f>
        <v>283378838.57214302</v>
      </c>
      <c r="CE12" s="1">
        <f>SUM('Long Term Deals'!CE91:CE102)</f>
        <v>4230036.9717745949</v>
      </c>
      <c r="CF12" s="1">
        <f>SUM('Long Term Deals'!CF91:CF102)</f>
        <v>0</v>
      </c>
      <c r="CG12" s="1">
        <f>SUM('Long Term Deals'!CG91:CG102)</f>
        <v>0</v>
      </c>
      <c r="CH12" s="1">
        <f>SUM('Long Term Deals'!CH91:CH102)</f>
        <v>0</v>
      </c>
      <c r="CI12" s="1">
        <f>SUM('Long Term Deals'!CI91:CI102)</f>
        <v>0</v>
      </c>
      <c r="CJ12" s="1">
        <f>SUM('Long Term Deals'!CJ91:CJ102)</f>
        <v>287608875.5439176</v>
      </c>
      <c r="CK12" s="1">
        <f>SUM('Long Term Deals'!CK91:CK102)</f>
        <v>283378838.57214302</v>
      </c>
      <c r="CL12" s="1">
        <f>SUM('Long Term Deals'!CL91:CL102)</f>
        <v>4230036.9717745949</v>
      </c>
      <c r="CM12" s="1">
        <f>SUM('Long Term Deals'!CM91:CM102)</f>
        <v>4230036.9717745949</v>
      </c>
      <c r="CN12" s="1">
        <f>SUM('Long Term Deals'!CN91:CN102)</f>
        <v>1.9933954172302036E-8</v>
      </c>
      <c r="CO12" s="1">
        <f>SUM('Long Term Deals'!CO91:CO102)</f>
        <v>0</v>
      </c>
      <c r="CP12" s="1">
        <f>SUM('Long Term Deals'!CP91:CP102)</f>
        <v>0</v>
      </c>
      <c r="CQ12" s="1">
        <f>SUM('Long Term Deals'!CQ91:CQ102)</f>
        <v>37993.749999999927</v>
      </c>
      <c r="CR12" s="1">
        <f>SUM('Long Term Deals'!CR91:CR102)</f>
        <v>351495.03534704371</v>
      </c>
      <c r="CS12" s="1">
        <f>SUM('Long Term Deals'!CS91:CS102)</f>
        <v>0</v>
      </c>
      <c r="CT12" s="1">
        <f>SUM('Long Term Deals'!CT91:CT102)</f>
        <v>-2101536.9672771124</v>
      </c>
      <c r="CU12" s="1">
        <f>SUM('Long Term Deals'!CU91:CU102)</f>
        <v>-260857.55488775866</v>
      </c>
      <c r="CV12" s="61">
        <f>SUM('Long Term Deals'!CV91:CV102)</f>
        <v>6070716.3841639291</v>
      </c>
      <c r="CW12" s="13">
        <f t="shared" si="4"/>
        <v>171781.52621755822</v>
      </c>
      <c r="CX12" s="13">
        <f t="shared" si="9"/>
        <v>42104.61316336225</v>
      </c>
      <c r="CY12" s="13">
        <f t="shared" si="5"/>
        <v>78068440.874035969</v>
      </c>
      <c r="CZ12" s="13">
        <f t="shared" si="6"/>
        <v>17004.61316336225</v>
      </c>
      <c r="DA12" s="13">
        <f t="shared" si="7"/>
        <v>25100</v>
      </c>
      <c r="DC12" s="13">
        <f t="shared" si="8"/>
        <v>0</v>
      </c>
    </row>
    <row r="13" spans="1:109" x14ac:dyDescent="0.25">
      <c r="A13" s="56">
        <v>38729.999999999767</v>
      </c>
      <c r="O13" s="1">
        <f>('Long Term Deals'!O103*'Prices&amp;Fuel'!$H103+'Prices&amp;Fuel'!$H104*'Long Term Deals'!O104+'Long Term Deals'!O105*'Prices&amp;Fuel'!$H105+'Long Term Deals'!O106*'Prices&amp;Fuel'!$H106+'Long Term Deals'!O107*'Prices&amp;Fuel'!$H107+'Long Term Deals'!O108*'Prices&amp;Fuel'!$H108+'Long Term Deals'!O109*'Prices&amp;Fuel'!$H109+'Long Term Deals'!O110*'Prices&amp;Fuel'!$H110+'Long Term Deals'!O111*'Prices&amp;Fuel'!$H111+'Long Term Deals'!O112*'Prices&amp;Fuel'!$H112+'Long Term Deals'!O113*'Prices&amp;Fuel'!$H113+'Long Term Deals'!O114*'Prices&amp;Fuel'!$H114)/SUM('Prices&amp;Fuel'!$H103:$H114)</f>
        <v>9036</v>
      </c>
      <c r="P13" s="1">
        <f>('Long Term Deals'!P103*'Prices&amp;Fuel'!$H103+'Prices&amp;Fuel'!$H104*'Long Term Deals'!P104+'Long Term Deals'!P105*'Prices&amp;Fuel'!$H105+'Long Term Deals'!P106*'Prices&amp;Fuel'!$H106+'Long Term Deals'!P107*'Prices&amp;Fuel'!$H107+'Long Term Deals'!P108*'Prices&amp;Fuel'!$H108+'Long Term Deals'!P109*'Prices&amp;Fuel'!$H109+'Long Term Deals'!P110*'Prices&amp;Fuel'!$H110+'Long Term Deals'!P111*'Prices&amp;Fuel'!$H111+'Long Term Deals'!P112*'Prices&amp;Fuel'!$H112+'Long Term Deals'!P113*'Prices&amp;Fuel'!$H113+'Long Term Deals'!P114*'Prices&amp;Fuel'!$H114)/SUM('Prices&amp;Fuel'!$H103:$H114)</f>
        <v>10794</v>
      </c>
      <c r="Q13" s="1">
        <f>('Long Term Deals'!Q103*'Prices&amp;Fuel'!$H103+'Prices&amp;Fuel'!$H104*'Long Term Deals'!Q104+'Long Term Deals'!Q105*'Prices&amp;Fuel'!$H105+'Long Term Deals'!Q106*'Prices&amp;Fuel'!$H106+'Long Term Deals'!Q107*'Prices&amp;Fuel'!$H107+'Long Term Deals'!Q108*'Prices&amp;Fuel'!$H108+'Long Term Deals'!Q109*'Prices&amp;Fuel'!$H109+'Long Term Deals'!Q110*'Prices&amp;Fuel'!$H110+'Long Term Deals'!Q111*'Prices&amp;Fuel'!$H111+'Long Term Deals'!Q112*'Prices&amp;Fuel'!$H112+'Long Term Deals'!Q113*'Prices&amp;Fuel'!$H113+'Long Term Deals'!Q114*'Prices&amp;Fuel'!$H114)/SUM('Prices&amp;Fuel'!$H103:$H114)</f>
        <v>5270</v>
      </c>
      <c r="T13" s="1">
        <f>SUM('Long Term Deals'!T103:T114)</f>
        <v>29889170.359999992</v>
      </c>
      <c r="U13" s="1">
        <f>SUM('Long Term Deals'!U103:U114)</f>
        <v>29774182.24000001</v>
      </c>
      <c r="V13" s="13">
        <f t="shared" si="0"/>
        <v>114988.11999998242</v>
      </c>
      <c r="AF13" s="1">
        <f>('Long Term Deals'!AF103*'Prices&amp;Fuel'!$H103+'Prices&amp;Fuel'!$H104*'Long Term Deals'!AF104+'Long Term Deals'!AF105*'Prices&amp;Fuel'!$H105+'Long Term Deals'!AF106*'Prices&amp;Fuel'!$H106+'Long Term Deals'!AF107*'Prices&amp;Fuel'!$H107+'Long Term Deals'!AF108*'Prices&amp;Fuel'!$H108+'Long Term Deals'!AF109*'Prices&amp;Fuel'!$H109+'Long Term Deals'!AF110*'Prices&amp;Fuel'!$H110+'Long Term Deals'!AF111*'Prices&amp;Fuel'!$H111+'Long Term Deals'!AF112*'Prices&amp;Fuel'!$H112+'Long Term Deals'!AF113*'Prices&amp;Fuel'!$H113+'Long Term Deals'!AF114*'Prices&amp;Fuel'!$H114)/SUM('Prices&amp;Fuel'!$H103:$H114)</f>
        <v>87921.963587702921</v>
      </c>
      <c r="AG13" s="1">
        <f>('Long Term Deals'!AG103*'Prices&amp;Fuel'!$H103+'Prices&amp;Fuel'!$H104*'Long Term Deals'!AG104+'Long Term Deals'!AG105*'Prices&amp;Fuel'!$H105+'Long Term Deals'!AG106*'Prices&amp;Fuel'!$H106+'Long Term Deals'!AG107*'Prices&amp;Fuel'!$H107+'Long Term Deals'!AG108*'Prices&amp;Fuel'!$H108+'Long Term Deals'!AG109*'Prices&amp;Fuel'!$H109+'Long Term Deals'!AG110*'Prices&amp;Fuel'!$H110+'Long Term Deals'!AG111*'Prices&amp;Fuel'!$H111+'Long Term Deals'!AG112*'Prices&amp;Fuel'!$H112+'Long Term Deals'!AG113*'Prices&amp;Fuel'!$H113+'Long Term Deals'!AG114*'Prices&amp;Fuel'!$H114)/SUM('Prices&amp;Fuel'!$H103:$H114)</f>
        <v>0</v>
      </c>
      <c r="AH13" s="1">
        <f>('Long Term Deals'!AH103*'Prices&amp;Fuel'!$H103+'Prices&amp;Fuel'!$H104*'Long Term Deals'!AH104+'Long Term Deals'!AH105*'Prices&amp;Fuel'!$H105+'Long Term Deals'!AH106*'Prices&amp;Fuel'!$H106+'Long Term Deals'!AH107*'Prices&amp;Fuel'!$H107+'Long Term Deals'!AH108*'Prices&amp;Fuel'!$H108+'Long Term Deals'!AH109*'Prices&amp;Fuel'!$H109+'Long Term Deals'!AH110*'Prices&amp;Fuel'!$H110+'Long Term Deals'!AH111*'Prices&amp;Fuel'!$H111+'Long Term Deals'!AH112*'Prices&amp;Fuel'!$H112+'Long Term Deals'!AH113*'Prices&amp;Fuel'!$H113+'Long Term Deals'!AH114*'Prices&amp;Fuel'!$H114)/SUM('Prices&amp;Fuel'!$H103:$H114)</f>
        <v>77120.822622107982</v>
      </c>
      <c r="AI13" s="1">
        <f>('Long Term Deals'!AI103*'Prices&amp;Fuel'!$H103+'Prices&amp;Fuel'!$H104*'Long Term Deals'!AI104+'Long Term Deals'!AI105*'Prices&amp;Fuel'!$H105+'Long Term Deals'!AI106*'Prices&amp;Fuel'!$H106+'Long Term Deals'!AI107*'Prices&amp;Fuel'!$H107+'Long Term Deals'!AI108*'Prices&amp;Fuel'!$H108+'Long Term Deals'!AI109*'Prices&amp;Fuel'!$H109+'Long Term Deals'!AI110*'Prices&amp;Fuel'!$H110+'Long Term Deals'!AI111*'Prices&amp;Fuel'!$H111+'Long Term Deals'!AI112*'Prices&amp;Fuel'!$H112+'Long Term Deals'!AI113*'Prices&amp;Fuel'!$H113+'Long Term Deals'!AI114*'Prices&amp;Fuel'!$H114)/SUM('Prices&amp;Fuel'!$H103:$H114)</f>
        <v>0</v>
      </c>
      <c r="AJ13" s="1">
        <f>('Long Term Deals'!AJ103*'Prices&amp;Fuel'!$H103+'Prices&amp;Fuel'!$H104*'Long Term Deals'!AJ104+'Long Term Deals'!AJ105*'Prices&amp;Fuel'!$H105+'Long Term Deals'!AJ106*'Prices&amp;Fuel'!$H106+'Long Term Deals'!AJ107*'Prices&amp;Fuel'!$H107+'Long Term Deals'!AJ108*'Prices&amp;Fuel'!$H108+'Long Term Deals'!AJ109*'Prices&amp;Fuel'!$H109+'Long Term Deals'!AJ110*'Prices&amp;Fuel'!$H110+'Long Term Deals'!AJ111*'Prices&amp;Fuel'!$H111+'Long Term Deals'!AJ112*'Prices&amp;Fuel'!$H112+'Long Term Deals'!AJ113*'Prices&amp;Fuel'!$H113+'Long Term Deals'!AJ114*'Prices&amp;Fuel'!$H114)/SUM('Prices&amp;Fuel'!$H103:$H114)</f>
        <v>0</v>
      </c>
      <c r="AK13" s="1">
        <f>('Long Term Deals'!AK103*'Prices&amp;Fuel'!$H103+'Prices&amp;Fuel'!$H104*'Long Term Deals'!AK104+'Long Term Deals'!AK105*'Prices&amp;Fuel'!$H105+'Long Term Deals'!AK106*'Prices&amp;Fuel'!$H106+'Long Term Deals'!AK107*'Prices&amp;Fuel'!$H107+'Long Term Deals'!AK108*'Prices&amp;Fuel'!$H108+'Long Term Deals'!AK109*'Prices&amp;Fuel'!$H109+'Long Term Deals'!AK110*'Prices&amp;Fuel'!$H110+'Long Term Deals'!AK111*'Prices&amp;Fuel'!$H111+'Long Term Deals'!AK112*'Prices&amp;Fuel'!$H112+'Long Term Deals'!AK113*'Prices&amp;Fuel'!$H113+'Long Term Deals'!AK114*'Prices&amp;Fuel'!$H114)/SUM('Prices&amp;Fuel'!$H103:$H114)</f>
        <v>0</v>
      </c>
      <c r="AL13" s="1">
        <f t="shared" si="1"/>
        <v>0</v>
      </c>
      <c r="AM13" s="1"/>
      <c r="AO13" s="1"/>
      <c r="AR13" s="1"/>
      <c r="AT13" s="13"/>
      <c r="AU13" s="13"/>
      <c r="AW13" s="20"/>
      <c r="AX13" s="20"/>
      <c r="AY13" s="1">
        <f>SUM('Long Term Deals'!AY103:AY114)</f>
        <v>223170460.71014172</v>
      </c>
      <c r="AZ13" s="1">
        <f>SUM('Long Term Deals'!AZ103:AZ114)</f>
        <v>220256990.27312374</v>
      </c>
      <c r="BA13" s="6">
        <f t="shared" si="2"/>
        <v>2913470.4370179772</v>
      </c>
      <c r="BB13" s="1">
        <f>('Long Term Deals'!BB103*'Prices&amp;Fuel'!$H103+'Prices&amp;Fuel'!$H104*'Long Term Deals'!BB104+'Long Term Deals'!BB105*'Prices&amp;Fuel'!$H105+'Long Term Deals'!BB106*'Prices&amp;Fuel'!$H106+'Long Term Deals'!BB107*'Prices&amp;Fuel'!$H107+'Long Term Deals'!BB108*'Prices&amp;Fuel'!$H108+'Long Term Deals'!BB109*'Prices&amp;Fuel'!$H109+'Long Term Deals'!BB110*'Prices&amp;Fuel'!$H110+'Long Term Deals'!BB111*'Prices&amp;Fuel'!$H111+'Long Term Deals'!BB112*'Prices&amp;Fuel'!$H112+'Long Term Deals'!BB113*'Prices&amp;Fuel'!$H113+'Long Term Deals'!BB114*'Prices&amp;Fuel'!$H114)/SUM('Prices&amp;Fuel'!$H103:$H114)</f>
        <v>6831.0229953868366</v>
      </c>
      <c r="BC13" s="1">
        <f>('Long Term Deals'!BC103*'Prices&amp;Fuel'!$H103+'Prices&amp;Fuel'!$H104*'Long Term Deals'!BC104+'Long Term Deals'!BC105*'Prices&amp;Fuel'!$H105+'Long Term Deals'!BC106*'Prices&amp;Fuel'!$H106+'Long Term Deals'!BC107*'Prices&amp;Fuel'!$H107+'Long Term Deals'!BC108*'Prices&amp;Fuel'!$H108+'Long Term Deals'!BC109*'Prices&amp;Fuel'!$H109+'Long Term Deals'!BC110*'Prices&amp;Fuel'!$H110+'Long Term Deals'!BC111*'Prices&amp;Fuel'!$H111+'Long Term Deals'!BC112*'Prices&amp;Fuel'!$H112+'Long Term Deals'!BC113*'Prices&amp;Fuel'!$H113+'Long Term Deals'!BC114*'Prices&amp;Fuel'!$H114)/SUM('Prices&amp;Fuel'!$H103:$H114)</f>
        <v>0</v>
      </c>
      <c r="BD13" s="1">
        <f>('Long Term Deals'!BD103*'Prices&amp;Fuel'!$H103+'Prices&amp;Fuel'!$H104*'Long Term Deals'!BD104+'Long Term Deals'!BD105*'Prices&amp;Fuel'!$H105+'Long Term Deals'!BD106*'Prices&amp;Fuel'!$H106+'Long Term Deals'!BD107*'Prices&amp;Fuel'!$H107+'Long Term Deals'!BD108*'Prices&amp;Fuel'!$H108+'Long Term Deals'!BD109*'Prices&amp;Fuel'!$H109+'Long Term Deals'!BD110*'Prices&amp;Fuel'!$H110+'Long Term Deals'!BD111*'Prices&amp;Fuel'!$H111+'Long Term Deals'!BD112*'Prices&amp;Fuel'!$H112+'Long Term Deals'!BD113*'Prices&amp;Fuel'!$H113+'Long Term Deals'!BD114*'Prices&amp;Fuel'!$H114)/SUM('Prices&amp;Fuel'!$H103:$H114)</f>
        <v>3046.7612775996718</v>
      </c>
      <c r="BE13" s="1">
        <f>('Long Term Deals'!BE103*'Prices&amp;Fuel'!$H103+'Prices&amp;Fuel'!$H104*'Long Term Deals'!BE104+'Long Term Deals'!BE105*'Prices&amp;Fuel'!$H105+'Long Term Deals'!BE106*'Prices&amp;Fuel'!$H106+'Long Term Deals'!BE107*'Prices&amp;Fuel'!$H107+'Long Term Deals'!BE108*'Prices&amp;Fuel'!$H108+'Long Term Deals'!BE109*'Prices&amp;Fuel'!$H109+'Long Term Deals'!BE110*'Prices&amp;Fuel'!$H110+'Long Term Deals'!BE111*'Prices&amp;Fuel'!$H111+'Long Term Deals'!BE112*'Prices&amp;Fuel'!$H112+'Long Term Deals'!BE113*'Prices&amp;Fuel'!$H113+'Long Term Deals'!BE114*'Prices&amp;Fuel'!$H114)/SUM('Prices&amp;Fuel'!$H103:$H114)</f>
        <v>2306.6746487304995</v>
      </c>
      <c r="BF13" s="1">
        <f>('Long Term Deals'!BF103*'Prices&amp;Fuel'!$H103+'Prices&amp;Fuel'!$H104*'Long Term Deals'!BF104+'Long Term Deals'!BF105*'Prices&amp;Fuel'!$H105+'Long Term Deals'!BF106*'Prices&amp;Fuel'!$H106+'Long Term Deals'!BF107*'Prices&amp;Fuel'!$H107+'Long Term Deals'!BF108*'Prices&amp;Fuel'!$H108+'Long Term Deals'!BF109*'Prices&amp;Fuel'!$H109+'Long Term Deals'!BF110*'Prices&amp;Fuel'!$H110+'Long Term Deals'!BF111*'Prices&amp;Fuel'!$H111+'Long Term Deals'!BF112*'Prices&amp;Fuel'!$H112+'Long Term Deals'!BF113*'Prices&amp;Fuel'!$H113+'Long Term Deals'!BF114*'Prices&amp;Fuel'!$H114)/SUM('Prices&amp;Fuel'!$H103:$H114)</f>
        <v>3417.6567947318376</v>
      </c>
      <c r="BG13" s="1">
        <f>('Long Term Deals'!BG103*'Prices&amp;Fuel'!$H103+'Prices&amp;Fuel'!$H104*'Long Term Deals'!BG104+'Long Term Deals'!BG105*'Prices&amp;Fuel'!$H105+'Long Term Deals'!BG106*'Prices&amp;Fuel'!$H106+'Long Term Deals'!BG107*'Prices&amp;Fuel'!$H107+'Long Term Deals'!BG108*'Prices&amp;Fuel'!$H108+'Long Term Deals'!BG109*'Prices&amp;Fuel'!$H109+'Long Term Deals'!BG110*'Prices&amp;Fuel'!$H110+'Long Term Deals'!BG111*'Prices&amp;Fuel'!$H111+'Long Term Deals'!BG112*'Prices&amp;Fuel'!$H112+'Long Term Deals'!BG113*'Prices&amp;Fuel'!$H113+'Long Term Deals'!BG114*'Prices&amp;Fuel'!$H114)/SUM('Prices&amp;Fuel'!$H103:$H114)</f>
        <v>1402.4974469134061</v>
      </c>
      <c r="BH13" s="25"/>
      <c r="BI13" s="14"/>
      <c r="BJ13" s="14"/>
      <c r="BK13" s="25"/>
      <c r="BL13" s="1">
        <f>SUM('Long Term Deals'!BL103:BL114)</f>
        <v>27733517.135910708</v>
      </c>
      <c r="BM13" s="14"/>
      <c r="BN13" s="14"/>
      <c r="BP13" s="1">
        <f>SUM('Long Term Deals'!BP103:BP114)</f>
        <v>27264073.842079554</v>
      </c>
      <c r="BQ13" s="6">
        <f t="shared" si="3"/>
        <v>469443.2938311547</v>
      </c>
      <c r="CA13" s="1">
        <f>SUM('Long Term Deals'!CA103:CA114)</f>
        <v>301203.08483290486</v>
      </c>
      <c r="CB13" s="1">
        <f>SUM('Long Term Deals'!CB103:CB114)</f>
        <v>76840.919023136099</v>
      </c>
      <c r="CC13" s="1">
        <f>SUM('Long Term Deals'!CC103:CC114)</f>
        <v>280793148.20605242</v>
      </c>
      <c r="CD13" s="1">
        <f>SUM('Long Term Deals'!CD103:CD114)</f>
        <v>277673290.35905933</v>
      </c>
      <c r="CE13" s="1">
        <f>SUM('Long Term Deals'!CE103:CE114)</f>
        <v>3119857.8469930794</v>
      </c>
      <c r="CF13" s="1">
        <f>SUM('Long Term Deals'!CF103:CF114)</f>
        <v>0</v>
      </c>
      <c r="CG13" s="1">
        <f>SUM('Long Term Deals'!CG103:CG114)</f>
        <v>0</v>
      </c>
      <c r="CH13" s="1">
        <f>SUM('Long Term Deals'!CH103:CH114)</f>
        <v>0</v>
      </c>
      <c r="CI13" s="1">
        <f>SUM('Long Term Deals'!CI103:CI114)</f>
        <v>0</v>
      </c>
      <c r="CJ13" s="1">
        <f>SUM('Long Term Deals'!CJ103:CJ114)</f>
        <v>280793148.20605242</v>
      </c>
      <c r="CK13" s="1">
        <f>SUM('Long Term Deals'!CK103:CK114)</f>
        <v>277673290.35905933</v>
      </c>
      <c r="CL13" s="1">
        <f>SUM('Long Term Deals'!CL103:CL114)</f>
        <v>3119857.8469930794</v>
      </c>
      <c r="CM13" s="1">
        <f>SUM('Long Term Deals'!CM103:CM114)</f>
        <v>3119857.8469930794</v>
      </c>
      <c r="CN13" s="1">
        <f>SUM('Long Term Deals'!CN103:CN114)</f>
        <v>1.9933954172302036E-8</v>
      </c>
      <c r="CO13" s="1">
        <f>SUM('Long Term Deals'!CO103:CO114)</f>
        <v>0</v>
      </c>
      <c r="CP13" s="1">
        <f>SUM('Long Term Deals'!CP103:CP114)</f>
        <v>0</v>
      </c>
      <c r="CQ13" s="1">
        <f>SUM('Long Term Deals'!CQ103:CQ114)</f>
        <v>37993.749999999927</v>
      </c>
      <c r="CR13" s="1">
        <f>SUM('Long Term Deals'!CR103:CR114)</f>
        <v>339196.83483290492</v>
      </c>
      <c r="CS13" s="1">
        <f>SUM('Long Term Deals'!CS103:CS114)</f>
        <v>0</v>
      </c>
      <c r="CT13" s="1">
        <f>SUM('Long Term Deals'!CT103:CT114)</f>
        <v>-2623366.9639057508</v>
      </c>
      <c r="CU13" s="1">
        <f>SUM('Long Term Deals'!CU103:CU114)</f>
        <v>150742.15187719392</v>
      </c>
      <c r="CV13" s="61">
        <f>SUM('Long Term Deals'!CV103:CV114)</f>
        <v>5893966.9627760043</v>
      </c>
      <c r="CW13" s="13">
        <f t="shared" si="4"/>
        <v>165042.7862098109</v>
      </c>
      <c r="CX13" s="13">
        <f t="shared" si="9"/>
        <v>42104.61316336225</v>
      </c>
      <c r="CY13" s="13">
        <f t="shared" si="5"/>
        <v>75608800.771208197</v>
      </c>
      <c r="CZ13" s="13">
        <f t="shared" si="6"/>
        <v>17004.61316336225</v>
      </c>
      <c r="DA13" s="13">
        <f t="shared" si="7"/>
        <v>25100</v>
      </c>
    </row>
    <row r="14" spans="1:109" x14ac:dyDescent="0.25">
      <c r="A14" s="56">
        <v>39094.999999999738</v>
      </c>
      <c r="O14" s="1">
        <f>('Long Term Deals'!O115*'Prices&amp;Fuel'!$H115+'Prices&amp;Fuel'!$H116*'Long Term Deals'!O116+'Long Term Deals'!O117*'Prices&amp;Fuel'!$H117+'Long Term Deals'!O118*'Prices&amp;Fuel'!$H118+'Long Term Deals'!O119*'Prices&amp;Fuel'!$H119+'Long Term Deals'!O120*'Prices&amp;Fuel'!$H120+'Long Term Deals'!O121*'Prices&amp;Fuel'!$H121+'Long Term Deals'!O122*'Prices&amp;Fuel'!$H122+'Long Term Deals'!O123*'Prices&amp;Fuel'!$H123+'Long Term Deals'!O124*'Prices&amp;Fuel'!$H124+'Long Term Deals'!O125*'Prices&amp;Fuel'!$H125+'Long Term Deals'!O126*'Prices&amp;Fuel'!$H126)/SUM('Prices&amp;Fuel'!$H115:$H126)</f>
        <v>9036</v>
      </c>
      <c r="P14" s="1">
        <f>('Long Term Deals'!P115*'Prices&amp;Fuel'!$H115+'Prices&amp;Fuel'!$H116*'Long Term Deals'!P116+'Long Term Deals'!P117*'Prices&amp;Fuel'!$H117+'Long Term Deals'!P118*'Prices&amp;Fuel'!$H118+'Long Term Deals'!P119*'Prices&amp;Fuel'!$H119+'Long Term Deals'!P120*'Prices&amp;Fuel'!$H120+'Long Term Deals'!P121*'Prices&amp;Fuel'!$H121+'Long Term Deals'!P122*'Prices&amp;Fuel'!$H122+'Long Term Deals'!P123*'Prices&amp;Fuel'!$H123+'Long Term Deals'!P124*'Prices&amp;Fuel'!$H124+'Long Term Deals'!P125*'Prices&amp;Fuel'!$H125+'Long Term Deals'!P126*'Prices&amp;Fuel'!$H126)/SUM('Prices&amp;Fuel'!$H115:$H126)</f>
        <v>10794</v>
      </c>
      <c r="Q14" s="1">
        <f>('Long Term Deals'!Q115*'Prices&amp;Fuel'!$H115+'Prices&amp;Fuel'!$H116*'Long Term Deals'!Q116+'Long Term Deals'!Q117*'Prices&amp;Fuel'!$H117+'Long Term Deals'!Q118*'Prices&amp;Fuel'!$H118+'Long Term Deals'!Q119*'Prices&amp;Fuel'!$H119+'Long Term Deals'!Q120*'Prices&amp;Fuel'!$H120+'Long Term Deals'!Q121*'Prices&amp;Fuel'!$H121+'Long Term Deals'!Q122*'Prices&amp;Fuel'!$H122+'Long Term Deals'!Q123*'Prices&amp;Fuel'!$H123+'Long Term Deals'!Q124*'Prices&amp;Fuel'!$H124+'Long Term Deals'!Q125*'Prices&amp;Fuel'!$H125+'Long Term Deals'!Q126*'Prices&amp;Fuel'!$H126)/SUM('Prices&amp;Fuel'!$H115:$H126)</f>
        <v>5270</v>
      </c>
      <c r="T14" s="1">
        <f>SUM('Long Term Deals'!T115:T126)</f>
        <v>31084941.889999993</v>
      </c>
      <c r="U14" s="1">
        <f>SUM('Long Term Deals'!U115:U126)</f>
        <v>30967667.16</v>
      </c>
      <c r="V14" s="13">
        <f t="shared" si="0"/>
        <v>117274.729999993</v>
      </c>
      <c r="AF14" s="1">
        <f>('Long Term Deals'!AF115*'Prices&amp;Fuel'!$H115+'Prices&amp;Fuel'!$H116*'Long Term Deals'!AF116+'Long Term Deals'!AF117*'Prices&amp;Fuel'!$H117+'Long Term Deals'!AF118*'Prices&amp;Fuel'!$H118+'Long Term Deals'!AF119*'Prices&amp;Fuel'!$H119+'Long Term Deals'!AF120*'Prices&amp;Fuel'!$H120+'Long Term Deals'!AF121*'Prices&amp;Fuel'!$H121+'Long Term Deals'!AF122*'Prices&amp;Fuel'!$H122+'Long Term Deals'!AF123*'Prices&amp;Fuel'!$H123+'Long Term Deals'!AF124*'Prices&amp;Fuel'!$H124+'Long Term Deals'!AF125*'Prices&amp;Fuel'!$H125+'Long Term Deals'!AF126*'Prices&amp;Fuel'!$H126)/SUM('Prices&amp;Fuel'!$H115:$H126)</f>
        <v>87921.963587702921</v>
      </c>
      <c r="AG14" s="1">
        <f>('Long Term Deals'!AG115*'Prices&amp;Fuel'!$H115+'Prices&amp;Fuel'!$H116*'Long Term Deals'!AG116+'Long Term Deals'!AG117*'Prices&amp;Fuel'!$H117+'Long Term Deals'!AG118*'Prices&amp;Fuel'!$H118+'Long Term Deals'!AG119*'Prices&amp;Fuel'!$H119+'Long Term Deals'!AG120*'Prices&amp;Fuel'!$H120+'Long Term Deals'!AG121*'Prices&amp;Fuel'!$H121+'Long Term Deals'!AG122*'Prices&amp;Fuel'!$H122+'Long Term Deals'!AG123*'Prices&amp;Fuel'!$H123+'Long Term Deals'!AG124*'Prices&amp;Fuel'!$H124+'Long Term Deals'!AG125*'Prices&amp;Fuel'!$H125+'Long Term Deals'!AG126*'Prices&amp;Fuel'!$H126)/SUM('Prices&amp;Fuel'!$H115:$H126)</f>
        <v>0</v>
      </c>
      <c r="AH14" s="1">
        <f>('Long Term Deals'!AH115*'Prices&amp;Fuel'!$H115+'Prices&amp;Fuel'!$H116*'Long Term Deals'!AH116+'Long Term Deals'!AH117*'Prices&amp;Fuel'!$H117+'Long Term Deals'!AH118*'Prices&amp;Fuel'!$H118+'Long Term Deals'!AH119*'Prices&amp;Fuel'!$H119+'Long Term Deals'!AH120*'Prices&amp;Fuel'!$H120+'Long Term Deals'!AH121*'Prices&amp;Fuel'!$H121+'Long Term Deals'!AH122*'Prices&amp;Fuel'!$H122+'Long Term Deals'!AH123*'Prices&amp;Fuel'!$H123+'Long Term Deals'!AH124*'Prices&amp;Fuel'!$H124+'Long Term Deals'!AH125*'Prices&amp;Fuel'!$H125+'Long Term Deals'!AH126*'Prices&amp;Fuel'!$H126)/SUM('Prices&amp;Fuel'!$H115:$H126)</f>
        <v>77120.822622107982</v>
      </c>
      <c r="AI14" s="1">
        <f>('Long Term Deals'!AI115*'Prices&amp;Fuel'!$H115+'Prices&amp;Fuel'!$H116*'Long Term Deals'!AI116+'Long Term Deals'!AI117*'Prices&amp;Fuel'!$H117+'Long Term Deals'!AI118*'Prices&amp;Fuel'!$H118+'Long Term Deals'!AI119*'Prices&amp;Fuel'!$H119+'Long Term Deals'!AI120*'Prices&amp;Fuel'!$H120+'Long Term Deals'!AI121*'Prices&amp;Fuel'!$H121+'Long Term Deals'!AI122*'Prices&amp;Fuel'!$H122+'Long Term Deals'!AI123*'Prices&amp;Fuel'!$H123+'Long Term Deals'!AI124*'Prices&amp;Fuel'!$H124+'Long Term Deals'!AI125*'Prices&amp;Fuel'!$H125+'Long Term Deals'!AI126*'Prices&amp;Fuel'!$H126)/SUM('Prices&amp;Fuel'!$H115:$H126)</f>
        <v>0</v>
      </c>
      <c r="AJ14" s="1">
        <f>('Long Term Deals'!AJ115*'Prices&amp;Fuel'!$H115+'Prices&amp;Fuel'!$H116*'Long Term Deals'!AJ116+'Long Term Deals'!AJ117*'Prices&amp;Fuel'!$H117+'Long Term Deals'!AJ118*'Prices&amp;Fuel'!$H118+'Long Term Deals'!AJ119*'Prices&amp;Fuel'!$H119+'Long Term Deals'!AJ120*'Prices&amp;Fuel'!$H120+'Long Term Deals'!AJ121*'Prices&amp;Fuel'!$H121+'Long Term Deals'!AJ122*'Prices&amp;Fuel'!$H122+'Long Term Deals'!AJ123*'Prices&amp;Fuel'!$H123+'Long Term Deals'!AJ124*'Prices&amp;Fuel'!$H124+'Long Term Deals'!AJ125*'Prices&amp;Fuel'!$H125+'Long Term Deals'!AJ126*'Prices&amp;Fuel'!$H126)/SUM('Prices&amp;Fuel'!$H115:$H126)</f>
        <v>0</v>
      </c>
      <c r="AK14" s="1">
        <f>('Long Term Deals'!AK115*'Prices&amp;Fuel'!$H115+'Prices&amp;Fuel'!$H116*'Long Term Deals'!AK116+'Long Term Deals'!AK117*'Prices&amp;Fuel'!$H117+'Long Term Deals'!AK118*'Prices&amp;Fuel'!$H118+'Long Term Deals'!AK119*'Prices&amp;Fuel'!$H119+'Long Term Deals'!AK120*'Prices&amp;Fuel'!$H120+'Long Term Deals'!AK121*'Prices&amp;Fuel'!$H121+'Long Term Deals'!AK122*'Prices&amp;Fuel'!$H122+'Long Term Deals'!AK123*'Prices&amp;Fuel'!$H123+'Long Term Deals'!AK124*'Prices&amp;Fuel'!$H124+'Long Term Deals'!AK125*'Prices&amp;Fuel'!$H125+'Long Term Deals'!AK126*'Prices&amp;Fuel'!$H126)/SUM('Prices&amp;Fuel'!$H115:$H126)</f>
        <v>0</v>
      </c>
      <c r="AL14" s="1">
        <f t="shared" si="1"/>
        <v>0</v>
      </c>
      <c r="AM14" s="1"/>
      <c r="AO14" s="1"/>
      <c r="AR14" s="1"/>
      <c r="AT14" s="13"/>
      <c r="AU14" s="13"/>
      <c r="AW14" s="20"/>
      <c r="AX14" s="20"/>
      <c r="AY14" s="1">
        <f>SUM('Long Term Deals'!AY115:AY126)</f>
        <v>224788893.74911976</v>
      </c>
      <c r="AZ14" s="1">
        <f>SUM('Long Term Deals'!AZ115:AZ126)</f>
        <v>222477829.48176765</v>
      </c>
      <c r="BA14" s="6">
        <f t="shared" si="2"/>
        <v>2311064.2673521042</v>
      </c>
      <c r="BB14" s="1">
        <f>('Long Term Deals'!BB115*'Prices&amp;Fuel'!$H115+'Prices&amp;Fuel'!$H116*'Long Term Deals'!BB116+'Long Term Deals'!BB117*'Prices&amp;Fuel'!$H117+'Long Term Deals'!BB118*'Prices&amp;Fuel'!$H118+'Long Term Deals'!BB119*'Prices&amp;Fuel'!$H119+'Long Term Deals'!BB120*'Prices&amp;Fuel'!$H120+'Long Term Deals'!BB121*'Prices&amp;Fuel'!$H121+'Long Term Deals'!BB122*'Prices&amp;Fuel'!$H122+'Long Term Deals'!BB123*'Prices&amp;Fuel'!$H123+'Long Term Deals'!BB124*'Prices&amp;Fuel'!$H124+'Long Term Deals'!BB125*'Prices&amp;Fuel'!$H125+'Long Term Deals'!BB126*'Prices&amp;Fuel'!$H126)/SUM('Prices&amp;Fuel'!$H115:$H126)</f>
        <v>6831.0229953868366</v>
      </c>
      <c r="BC14" s="1">
        <f>('Long Term Deals'!BC115*'Prices&amp;Fuel'!$H115+'Prices&amp;Fuel'!$H116*'Long Term Deals'!BC116+'Long Term Deals'!BC117*'Prices&amp;Fuel'!$H117+'Long Term Deals'!BC118*'Prices&amp;Fuel'!$H118+'Long Term Deals'!BC119*'Prices&amp;Fuel'!$H119+'Long Term Deals'!BC120*'Prices&amp;Fuel'!$H120+'Long Term Deals'!BC121*'Prices&amp;Fuel'!$H121+'Long Term Deals'!BC122*'Prices&amp;Fuel'!$H122+'Long Term Deals'!BC123*'Prices&amp;Fuel'!$H123+'Long Term Deals'!BC124*'Prices&amp;Fuel'!$H124+'Long Term Deals'!BC125*'Prices&amp;Fuel'!$H125+'Long Term Deals'!BC126*'Prices&amp;Fuel'!$H126)/SUM('Prices&amp;Fuel'!$H115:$H126)</f>
        <v>0</v>
      </c>
      <c r="BD14" s="1">
        <f>('Long Term Deals'!BD115*'Prices&amp;Fuel'!$H115+'Prices&amp;Fuel'!$H116*'Long Term Deals'!BD116+'Long Term Deals'!BD117*'Prices&amp;Fuel'!$H117+'Long Term Deals'!BD118*'Prices&amp;Fuel'!$H118+'Long Term Deals'!BD119*'Prices&amp;Fuel'!$H119+'Long Term Deals'!BD120*'Prices&amp;Fuel'!$H120+'Long Term Deals'!BD121*'Prices&amp;Fuel'!$H121+'Long Term Deals'!BD122*'Prices&amp;Fuel'!$H122+'Long Term Deals'!BD123*'Prices&amp;Fuel'!$H123+'Long Term Deals'!BD124*'Prices&amp;Fuel'!$H124+'Long Term Deals'!BD125*'Prices&amp;Fuel'!$H125+'Long Term Deals'!BD126*'Prices&amp;Fuel'!$H126)/SUM('Prices&amp;Fuel'!$H115:$H126)</f>
        <v>3046.7612775996718</v>
      </c>
      <c r="BE14" s="1">
        <f>('Long Term Deals'!BE115*'Prices&amp;Fuel'!$H115+'Prices&amp;Fuel'!$H116*'Long Term Deals'!BE116+'Long Term Deals'!BE117*'Prices&amp;Fuel'!$H117+'Long Term Deals'!BE118*'Prices&amp;Fuel'!$H118+'Long Term Deals'!BE119*'Prices&amp;Fuel'!$H119+'Long Term Deals'!BE120*'Prices&amp;Fuel'!$H120+'Long Term Deals'!BE121*'Prices&amp;Fuel'!$H121+'Long Term Deals'!BE122*'Prices&amp;Fuel'!$H122+'Long Term Deals'!BE123*'Prices&amp;Fuel'!$H123+'Long Term Deals'!BE124*'Prices&amp;Fuel'!$H124+'Long Term Deals'!BE125*'Prices&amp;Fuel'!$H125+'Long Term Deals'!BE126*'Prices&amp;Fuel'!$H126)/SUM('Prices&amp;Fuel'!$H115:$H126)</f>
        <v>2306.6746487304995</v>
      </c>
      <c r="BF14" s="1">
        <f>('Long Term Deals'!BF115*'Prices&amp;Fuel'!$H115+'Prices&amp;Fuel'!$H116*'Long Term Deals'!BF116+'Long Term Deals'!BF117*'Prices&amp;Fuel'!$H117+'Long Term Deals'!BF118*'Prices&amp;Fuel'!$H118+'Long Term Deals'!BF119*'Prices&amp;Fuel'!$H119+'Long Term Deals'!BF120*'Prices&amp;Fuel'!$H120+'Long Term Deals'!BF121*'Prices&amp;Fuel'!$H121+'Long Term Deals'!BF122*'Prices&amp;Fuel'!$H122+'Long Term Deals'!BF123*'Prices&amp;Fuel'!$H123+'Long Term Deals'!BF124*'Prices&amp;Fuel'!$H124+'Long Term Deals'!BF125*'Prices&amp;Fuel'!$H125+'Long Term Deals'!BF126*'Prices&amp;Fuel'!$H126)/SUM('Prices&amp;Fuel'!$H115:$H126)</f>
        <v>3417.6567947318376</v>
      </c>
      <c r="BG14" s="1">
        <f>('Long Term Deals'!BG115*'Prices&amp;Fuel'!$H115+'Prices&amp;Fuel'!$H116*'Long Term Deals'!BG116+'Long Term Deals'!BG117*'Prices&amp;Fuel'!$H117+'Long Term Deals'!BG118*'Prices&amp;Fuel'!$H118+'Long Term Deals'!BG119*'Prices&amp;Fuel'!$H119+'Long Term Deals'!BG120*'Prices&amp;Fuel'!$H120+'Long Term Deals'!BG121*'Prices&amp;Fuel'!$H121+'Long Term Deals'!BG122*'Prices&amp;Fuel'!$H122+'Long Term Deals'!BG123*'Prices&amp;Fuel'!$H123+'Long Term Deals'!BG124*'Prices&amp;Fuel'!$H124+'Long Term Deals'!BG125*'Prices&amp;Fuel'!$H125+'Long Term Deals'!BG126*'Prices&amp;Fuel'!$H126)/SUM('Prices&amp;Fuel'!$H115:$H126)</f>
        <v>1402.4974469134061</v>
      </c>
      <c r="BH14" s="25"/>
      <c r="BI14" s="25"/>
      <c r="BJ14" s="25"/>
      <c r="BK14" s="25"/>
      <c r="BL14" s="1">
        <f>SUM('Long Term Deals'!BL115:BL126)</f>
        <v>27969301.740123287</v>
      </c>
      <c r="BM14" s="14"/>
      <c r="BN14" s="14"/>
      <c r="BP14" s="1">
        <f>SUM('Long Term Deals'!BP115:BP126)</f>
        <v>27499858.446292136</v>
      </c>
      <c r="BQ14" s="6">
        <f t="shared" si="3"/>
        <v>469443.29383115098</v>
      </c>
      <c r="CA14" s="1">
        <f>SUM('Long Term Deals'!CA115:CA126)</f>
        <v>301203.08483290486</v>
      </c>
      <c r="CB14" s="1">
        <f>SUM('Long Term Deals'!CB115:CB126)</f>
        <v>76840.919023136099</v>
      </c>
      <c r="CC14" s="1">
        <f>SUM('Long Term Deals'!CC115:CC126)</f>
        <v>283843137.37924302</v>
      </c>
      <c r="CD14" s="1">
        <f>SUM('Long Term Deals'!CD115:CD126)</f>
        <v>281323399.09191579</v>
      </c>
      <c r="CE14" s="1">
        <f>SUM('Long Term Deals'!CE115:CE126)</f>
        <v>2519738.287327284</v>
      </c>
      <c r="CF14" s="1">
        <f>SUM('Long Term Deals'!CF115:CF126)</f>
        <v>0</v>
      </c>
      <c r="CG14" s="1">
        <f>SUM('Long Term Deals'!CG115:CG126)</f>
        <v>0</v>
      </c>
      <c r="CH14" s="1">
        <f>SUM('Long Term Deals'!CH115:CH126)</f>
        <v>0</v>
      </c>
      <c r="CI14" s="1">
        <f>SUM('Long Term Deals'!CI115:CI126)</f>
        <v>0</v>
      </c>
      <c r="CJ14" s="1">
        <f>SUM('Long Term Deals'!CJ115:CJ126)</f>
        <v>283843137.37924302</v>
      </c>
      <c r="CK14" s="1">
        <f>SUM('Long Term Deals'!CK115:CK126)</f>
        <v>281323399.09191579</v>
      </c>
      <c r="CL14" s="1">
        <f>SUM('Long Term Deals'!CL115:CL126)</f>
        <v>2519738.287327284</v>
      </c>
      <c r="CM14" s="1">
        <f>SUM('Long Term Deals'!CM115:CM126)</f>
        <v>2519738.287327284</v>
      </c>
      <c r="CN14" s="1">
        <f>SUM('Long Term Deals'!CN115:CN126)</f>
        <v>1.9933954172302036E-8</v>
      </c>
      <c r="CO14" s="1">
        <f>SUM('Long Term Deals'!CO115:CO126)</f>
        <v>0</v>
      </c>
      <c r="CP14" s="1">
        <f>SUM('Long Term Deals'!CP115:CP126)</f>
        <v>0</v>
      </c>
      <c r="CQ14" s="1">
        <f>SUM('Long Term Deals'!CQ115:CQ126)</f>
        <v>37993.749999999927</v>
      </c>
      <c r="CR14" s="1">
        <f>SUM('Long Term Deals'!CR115:CR126)</f>
        <v>339196.83483290492</v>
      </c>
      <c r="CS14" s="1">
        <f>SUM('Long Term Deals'!CS115:CS126)</f>
        <v>0</v>
      </c>
      <c r="CT14" s="1">
        <f>SUM('Long Term Deals'!CT115:CT126)</f>
        <v>-3227637.2062987369</v>
      </c>
      <c r="CU14" s="1">
        <f>SUM('Long Term Deals'!CU115:CU126)</f>
        <v>150742.15187719392</v>
      </c>
      <c r="CV14" s="61">
        <f>SUM('Long Term Deals'!CV115:CV126)</f>
        <v>5898117.645503195</v>
      </c>
      <c r="CW14" s="13">
        <f t="shared" si="4"/>
        <v>165042.7862098109</v>
      </c>
      <c r="CX14" s="13">
        <f t="shared" si="9"/>
        <v>42104.61316336225</v>
      </c>
      <c r="CY14" s="13">
        <f t="shared" si="5"/>
        <v>75608800.771208197</v>
      </c>
      <c r="CZ14" s="13">
        <f t="shared" si="6"/>
        <v>17004.61316336225</v>
      </c>
      <c r="DA14" s="13">
        <f t="shared" si="7"/>
        <v>25100</v>
      </c>
    </row>
    <row r="15" spans="1:109" x14ac:dyDescent="0.25">
      <c r="A15" s="56">
        <v>39459.999999999709</v>
      </c>
      <c r="O15" s="1">
        <f>('Long Term Deals'!O127*'Prices&amp;Fuel'!$H127+'Prices&amp;Fuel'!$H128*'Long Term Deals'!O128+'Long Term Deals'!O129*'Prices&amp;Fuel'!$H129+'Long Term Deals'!O130*'Prices&amp;Fuel'!$H130+'Long Term Deals'!O131*'Prices&amp;Fuel'!$H131+'Long Term Deals'!O132*'Prices&amp;Fuel'!$H132+'Long Term Deals'!O133*'Prices&amp;Fuel'!$H133+'Long Term Deals'!O134*'Prices&amp;Fuel'!$H134+'Long Term Deals'!O135*'Prices&amp;Fuel'!$H135+'Long Term Deals'!O136*'Prices&amp;Fuel'!$H136+'Long Term Deals'!O137*'Prices&amp;Fuel'!$H137+'Long Term Deals'!O138*'Prices&amp;Fuel'!$H138)/SUM('Prices&amp;Fuel'!$H127:$H138)</f>
        <v>9036</v>
      </c>
      <c r="P15" s="1">
        <f>('Long Term Deals'!P127*'Prices&amp;Fuel'!$H127+'Prices&amp;Fuel'!$H128*'Long Term Deals'!P128+'Long Term Deals'!P129*'Prices&amp;Fuel'!$H129+'Long Term Deals'!P130*'Prices&amp;Fuel'!$H130+'Long Term Deals'!P131*'Prices&amp;Fuel'!$H131+'Long Term Deals'!P132*'Prices&amp;Fuel'!$H132+'Long Term Deals'!P133*'Prices&amp;Fuel'!$H133+'Long Term Deals'!P134*'Prices&amp;Fuel'!$H134+'Long Term Deals'!P135*'Prices&amp;Fuel'!$H135+'Long Term Deals'!P136*'Prices&amp;Fuel'!$H136+'Long Term Deals'!P137*'Prices&amp;Fuel'!$H137+'Long Term Deals'!P138*'Prices&amp;Fuel'!$H138)/SUM('Prices&amp;Fuel'!$H127:$H138)</f>
        <v>10794</v>
      </c>
      <c r="Q15" s="1">
        <f>('Long Term Deals'!Q127*'Prices&amp;Fuel'!$H127+'Prices&amp;Fuel'!$H128*'Long Term Deals'!Q128+'Long Term Deals'!Q129*'Prices&amp;Fuel'!$H129+'Long Term Deals'!Q130*'Prices&amp;Fuel'!$H130+'Long Term Deals'!Q131*'Prices&amp;Fuel'!$H131+'Long Term Deals'!Q132*'Prices&amp;Fuel'!$H132+'Long Term Deals'!Q133*'Prices&amp;Fuel'!$H133+'Long Term Deals'!Q134*'Prices&amp;Fuel'!$H134+'Long Term Deals'!Q135*'Prices&amp;Fuel'!$H135+'Long Term Deals'!Q136*'Prices&amp;Fuel'!$H136+'Long Term Deals'!Q137*'Prices&amp;Fuel'!$H137+'Long Term Deals'!Q138*'Prices&amp;Fuel'!$H138)/SUM('Prices&amp;Fuel'!$H127:$H138)</f>
        <v>5270</v>
      </c>
      <c r="T15" s="1">
        <f>SUM('Long Term Deals'!T127:T138)</f>
        <v>32415174.120000001</v>
      </c>
      <c r="U15" s="1">
        <f>SUM('Long Term Deals'!U127:U138)</f>
        <v>32295281.460000005</v>
      </c>
      <c r="V15" s="13">
        <f t="shared" si="0"/>
        <v>119892.65999999642</v>
      </c>
      <c r="AF15" s="1">
        <f>('Long Term Deals'!AF127*'Prices&amp;Fuel'!$H127+'Prices&amp;Fuel'!$H128*'Long Term Deals'!AF128+'Long Term Deals'!AF129*'Prices&amp;Fuel'!$H129+'Long Term Deals'!AF130*'Prices&amp;Fuel'!$H130+'Long Term Deals'!AF131*'Prices&amp;Fuel'!$H131+'Long Term Deals'!AF132*'Prices&amp;Fuel'!$H132+'Long Term Deals'!AF133*'Prices&amp;Fuel'!$H133+'Long Term Deals'!AF134*'Prices&amp;Fuel'!$H134+'Long Term Deals'!AF135*'Prices&amp;Fuel'!$H135+'Long Term Deals'!AF136*'Prices&amp;Fuel'!$H136+'Long Term Deals'!AF137*'Prices&amp;Fuel'!$H137+'Long Term Deals'!AF138*'Prices&amp;Fuel'!$H138)/SUM('Prices&amp;Fuel'!$H127:$H138)</f>
        <v>87841.881242361662</v>
      </c>
      <c r="AG15" s="1">
        <f>('Long Term Deals'!AG127*'Prices&amp;Fuel'!$H127+'Prices&amp;Fuel'!$H128*'Long Term Deals'!AG128+'Long Term Deals'!AG129*'Prices&amp;Fuel'!$H129+'Long Term Deals'!AG130*'Prices&amp;Fuel'!$H130+'Long Term Deals'!AG131*'Prices&amp;Fuel'!$H131+'Long Term Deals'!AG132*'Prices&amp;Fuel'!$H132+'Long Term Deals'!AG133*'Prices&amp;Fuel'!$H133+'Long Term Deals'!AG134*'Prices&amp;Fuel'!$H134+'Long Term Deals'!AG135*'Prices&amp;Fuel'!$H135+'Long Term Deals'!AG136*'Prices&amp;Fuel'!$H136+'Long Term Deals'!AG137*'Prices&amp;Fuel'!$H137+'Long Term Deals'!AG138*'Prices&amp;Fuel'!$H138)/SUM('Prices&amp;Fuel'!$H127:$H138)</f>
        <v>0</v>
      </c>
      <c r="AH15" s="1">
        <f>('Long Term Deals'!AH127*'Prices&amp;Fuel'!$H127+'Prices&amp;Fuel'!$H128*'Long Term Deals'!AH128+'Long Term Deals'!AH129*'Prices&amp;Fuel'!$H129+'Long Term Deals'!AH130*'Prices&amp;Fuel'!$H130+'Long Term Deals'!AH131*'Prices&amp;Fuel'!$H131+'Long Term Deals'!AH132*'Prices&amp;Fuel'!$H132+'Long Term Deals'!AH133*'Prices&amp;Fuel'!$H133+'Long Term Deals'!AH134*'Prices&amp;Fuel'!$H134+'Long Term Deals'!AH135*'Prices&amp;Fuel'!$H135+'Long Term Deals'!AH136*'Prices&amp;Fuel'!$H136+'Long Term Deals'!AH137*'Prices&amp;Fuel'!$H137+'Long Term Deals'!AH138*'Prices&amp;Fuel'!$H138)/SUM('Prices&amp;Fuel'!$H127:$H138)</f>
        <v>77120.822622107982</v>
      </c>
      <c r="AI15" s="1">
        <f>('Long Term Deals'!AI127*'Prices&amp;Fuel'!$H127+'Prices&amp;Fuel'!$H128*'Long Term Deals'!AI128+'Long Term Deals'!AI129*'Prices&amp;Fuel'!$H129+'Long Term Deals'!AI130*'Prices&amp;Fuel'!$H130+'Long Term Deals'!AI131*'Prices&amp;Fuel'!$H131+'Long Term Deals'!AI132*'Prices&amp;Fuel'!$H132+'Long Term Deals'!AI133*'Prices&amp;Fuel'!$H133+'Long Term Deals'!AI134*'Prices&amp;Fuel'!$H134+'Long Term Deals'!AI135*'Prices&amp;Fuel'!$H135+'Long Term Deals'!AI136*'Prices&amp;Fuel'!$H136+'Long Term Deals'!AI137*'Prices&amp;Fuel'!$H137+'Long Term Deals'!AI138*'Prices&amp;Fuel'!$H138)/SUM('Prices&amp;Fuel'!$H127:$H138)</f>
        <v>0</v>
      </c>
      <c r="AJ15" s="1">
        <f>('Long Term Deals'!AJ127*'Prices&amp;Fuel'!$H127+'Prices&amp;Fuel'!$H128*'Long Term Deals'!AJ128+'Long Term Deals'!AJ129*'Prices&amp;Fuel'!$H129+'Long Term Deals'!AJ130*'Prices&amp;Fuel'!$H130+'Long Term Deals'!AJ131*'Prices&amp;Fuel'!$H131+'Long Term Deals'!AJ132*'Prices&amp;Fuel'!$H132+'Long Term Deals'!AJ133*'Prices&amp;Fuel'!$H133+'Long Term Deals'!AJ134*'Prices&amp;Fuel'!$H134+'Long Term Deals'!AJ135*'Prices&amp;Fuel'!$H135+'Long Term Deals'!AJ136*'Prices&amp;Fuel'!$H136+'Long Term Deals'!AJ137*'Prices&amp;Fuel'!$H137+'Long Term Deals'!AJ138*'Prices&amp;Fuel'!$H138)/SUM('Prices&amp;Fuel'!$H127:$H138)</f>
        <v>0</v>
      </c>
      <c r="AK15" s="1">
        <f>('Long Term Deals'!AK127*'Prices&amp;Fuel'!$H127+'Prices&amp;Fuel'!$H128*'Long Term Deals'!AK128+'Long Term Deals'!AK129*'Prices&amp;Fuel'!$H129+'Long Term Deals'!AK130*'Prices&amp;Fuel'!$H130+'Long Term Deals'!AK131*'Prices&amp;Fuel'!$H131+'Long Term Deals'!AK132*'Prices&amp;Fuel'!$H132+'Long Term Deals'!AK133*'Prices&amp;Fuel'!$H133+'Long Term Deals'!AK134*'Prices&amp;Fuel'!$H134+'Long Term Deals'!AK135*'Prices&amp;Fuel'!$H135+'Long Term Deals'!AK136*'Prices&amp;Fuel'!$H136+'Long Term Deals'!AK137*'Prices&amp;Fuel'!$H137+'Long Term Deals'!AK138*'Prices&amp;Fuel'!$H138)/SUM('Prices&amp;Fuel'!$H127:$H138)</f>
        <v>0</v>
      </c>
      <c r="AL15" s="1">
        <f t="shared" si="1"/>
        <v>0</v>
      </c>
      <c r="AM15" s="1"/>
      <c r="AO15" s="1"/>
      <c r="AR15" s="1"/>
      <c r="AT15" s="13"/>
      <c r="AU15" s="13"/>
      <c r="AW15" s="20"/>
      <c r="AX15" s="20"/>
      <c r="AY15" s="1">
        <f>SUM('Long Term Deals'!AY127:AY138)</f>
        <v>226796061.11961195</v>
      </c>
      <c r="AZ15" s="1">
        <f>SUM('Long Term Deals'!AZ127:AZ138)</f>
        <v>224479104.82141146</v>
      </c>
      <c r="BA15" s="6">
        <f t="shared" si="2"/>
        <v>2316956.2982004881</v>
      </c>
      <c r="BB15" s="1">
        <f>('Long Term Deals'!BB127*'Prices&amp;Fuel'!$H127+'Prices&amp;Fuel'!$H128*'Long Term Deals'!BB128+'Long Term Deals'!BB129*'Prices&amp;Fuel'!$H129+'Long Term Deals'!BB130*'Prices&amp;Fuel'!$H130+'Long Term Deals'!BB131*'Prices&amp;Fuel'!$H131+'Long Term Deals'!BB132*'Prices&amp;Fuel'!$H132+'Long Term Deals'!BB133*'Prices&amp;Fuel'!$H133+'Long Term Deals'!BB134*'Prices&amp;Fuel'!$H134+'Long Term Deals'!BB135*'Prices&amp;Fuel'!$H135+'Long Term Deals'!BB136*'Prices&amp;Fuel'!$H136+'Long Term Deals'!BB137*'Prices&amp;Fuel'!$H137+'Long Term Deals'!BB138*'Prices&amp;Fuel'!$H138)/SUM('Prices&amp;Fuel'!$H127:$H138)</f>
        <v>6824.1785719302688</v>
      </c>
      <c r="BC15" s="1">
        <f>('Long Term Deals'!BC127*'Prices&amp;Fuel'!$H127+'Prices&amp;Fuel'!$H128*'Long Term Deals'!BC128+'Long Term Deals'!BC129*'Prices&amp;Fuel'!$H129+'Long Term Deals'!BC130*'Prices&amp;Fuel'!$H130+'Long Term Deals'!BC131*'Prices&amp;Fuel'!$H131+'Long Term Deals'!BC132*'Prices&amp;Fuel'!$H132+'Long Term Deals'!BC133*'Prices&amp;Fuel'!$H133+'Long Term Deals'!BC134*'Prices&amp;Fuel'!$H134+'Long Term Deals'!BC135*'Prices&amp;Fuel'!$H135+'Long Term Deals'!BC136*'Prices&amp;Fuel'!$H136+'Long Term Deals'!BC137*'Prices&amp;Fuel'!$H137+'Long Term Deals'!BC138*'Prices&amp;Fuel'!$H138)/SUM('Prices&amp;Fuel'!$H127:$H138)</f>
        <v>0</v>
      </c>
      <c r="BD15" s="1">
        <f>('Long Term Deals'!BD127*'Prices&amp;Fuel'!$H127+'Prices&amp;Fuel'!$H128*'Long Term Deals'!BD128+'Long Term Deals'!BD129*'Prices&amp;Fuel'!$H129+'Long Term Deals'!BD130*'Prices&amp;Fuel'!$H130+'Long Term Deals'!BD131*'Prices&amp;Fuel'!$H131+'Long Term Deals'!BD132*'Prices&amp;Fuel'!$H132+'Long Term Deals'!BD133*'Prices&amp;Fuel'!$H133+'Long Term Deals'!BD134*'Prices&amp;Fuel'!$H134+'Long Term Deals'!BD135*'Prices&amp;Fuel'!$H135+'Long Term Deals'!BD136*'Prices&amp;Fuel'!$H136+'Long Term Deals'!BD137*'Prices&amp;Fuel'!$H137+'Long Term Deals'!BD138*'Prices&amp;Fuel'!$H138)/SUM('Prices&amp;Fuel'!$H127:$H138)</f>
        <v>3038.4367932346454</v>
      </c>
      <c r="BE15" s="1">
        <f>('Long Term Deals'!BE127*'Prices&amp;Fuel'!$H127+'Prices&amp;Fuel'!$H128*'Long Term Deals'!BE128+'Long Term Deals'!BE129*'Prices&amp;Fuel'!$H129+'Long Term Deals'!BE130*'Prices&amp;Fuel'!$H130+'Long Term Deals'!BE131*'Prices&amp;Fuel'!$H131+'Long Term Deals'!BE132*'Prices&amp;Fuel'!$H132+'Long Term Deals'!BE133*'Prices&amp;Fuel'!$H133+'Long Term Deals'!BE134*'Prices&amp;Fuel'!$H134+'Long Term Deals'!BE135*'Prices&amp;Fuel'!$H135+'Long Term Deals'!BE136*'Prices&amp;Fuel'!$H136+'Long Term Deals'!BE137*'Prices&amp;Fuel'!$H137+'Long Term Deals'!BE138*'Prices&amp;Fuel'!$H138)/SUM('Prices&amp;Fuel'!$H127:$H138)</f>
        <v>2307.5730119263349</v>
      </c>
      <c r="BF15" s="1">
        <f>('Long Term Deals'!BF127*'Prices&amp;Fuel'!$H127+'Prices&amp;Fuel'!$H128*'Long Term Deals'!BF128+'Long Term Deals'!BF129*'Prices&amp;Fuel'!$H129+'Long Term Deals'!BF130*'Prices&amp;Fuel'!$H130+'Long Term Deals'!BF131*'Prices&amp;Fuel'!$H131+'Long Term Deals'!BF132*'Prices&amp;Fuel'!$H132+'Long Term Deals'!BF133*'Prices&amp;Fuel'!$H133+'Long Term Deals'!BF134*'Prices&amp;Fuel'!$H134+'Long Term Deals'!BF135*'Prices&amp;Fuel'!$H135+'Long Term Deals'!BF136*'Prices&amp;Fuel'!$H136+'Long Term Deals'!BF137*'Prices&amp;Fuel'!$H137+'Long Term Deals'!BF138*'Prices&amp;Fuel'!$H138)/SUM('Prices&amp;Fuel'!$H127:$H138)</f>
        <v>3418.2786182870464</v>
      </c>
      <c r="BG15" s="1">
        <f>('Long Term Deals'!BG127*'Prices&amp;Fuel'!$H127+'Prices&amp;Fuel'!$H128*'Long Term Deals'!BG128+'Long Term Deals'!BG129*'Prices&amp;Fuel'!$H129+'Long Term Deals'!BG130*'Prices&amp;Fuel'!$H130+'Long Term Deals'!BG131*'Prices&amp;Fuel'!$H131+'Long Term Deals'!BG132*'Prices&amp;Fuel'!$H132+'Long Term Deals'!BG133*'Prices&amp;Fuel'!$H133+'Long Term Deals'!BG134*'Prices&amp;Fuel'!$H134+'Long Term Deals'!BG135*'Prices&amp;Fuel'!$H135+'Long Term Deals'!BG136*'Prices&amp;Fuel'!$H136+'Long Term Deals'!BG137*'Prices&amp;Fuel'!$H137+'Long Term Deals'!BG138*'Prices&amp;Fuel'!$H138)/SUM('Prices&amp;Fuel'!$H127:$H138)</f>
        <v>1403.3994970991894</v>
      </c>
      <c r="BH15" s="25"/>
      <c r="BI15" s="25"/>
      <c r="BJ15" s="25"/>
      <c r="BK15" s="25"/>
      <c r="BL15" s="1">
        <f>SUM('Long Term Deals'!BL127:BL138)</f>
        <v>28248974.80137061</v>
      </c>
      <c r="BM15" s="14"/>
      <c r="BN15" s="14"/>
      <c r="BP15" s="1">
        <f>SUM('Long Term Deals'!BP127:BP138)</f>
        <v>27775009.582728948</v>
      </c>
      <c r="BQ15" s="6">
        <f t="shared" si="3"/>
        <v>473965.21864166111</v>
      </c>
      <c r="CA15" s="1">
        <f>SUM('Long Term Deals'!CA127:CA138)</f>
        <v>301881.74807197944</v>
      </c>
      <c r="CB15" s="1">
        <f>SUM('Long Term Deals'!CB127:CB138)</f>
        <v>77028.115681233787</v>
      </c>
      <c r="CC15" s="1">
        <f>SUM('Long Term Deals'!CC127:CC138)</f>
        <v>287460210.0409826</v>
      </c>
      <c r="CD15" s="1">
        <f>SUM('Long Term Deals'!CD127:CD138)</f>
        <v>284928305.72789365</v>
      </c>
      <c r="CE15" s="1">
        <f>SUM('Long Term Deals'!CE127:CE138)</f>
        <v>2531904.313088933</v>
      </c>
      <c r="CF15" s="1">
        <f>SUM('Long Term Deals'!CF127:CF138)</f>
        <v>0</v>
      </c>
      <c r="CG15" s="1">
        <f>SUM('Long Term Deals'!CG127:CG138)</f>
        <v>0</v>
      </c>
      <c r="CH15" s="1">
        <f>SUM('Long Term Deals'!CH127:CH138)</f>
        <v>0</v>
      </c>
      <c r="CI15" s="1">
        <f>SUM('Long Term Deals'!CI127:CI138)</f>
        <v>0</v>
      </c>
      <c r="CJ15" s="1">
        <f>SUM('Long Term Deals'!CJ127:CJ138)</f>
        <v>287460210.0409826</v>
      </c>
      <c r="CK15" s="1">
        <f>SUM('Long Term Deals'!CK127:CK138)</f>
        <v>284928305.72789365</v>
      </c>
      <c r="CL15" s="1">
        <f>SUM('Long Term Deals'!CL127:CL138)</f>
        <v>2531904.313088933</v>
      </c>
      <c r="CM15" s="1">
        <f>SUM('Long Term Deals'!CM127:CM138)</f>
        <v>2531904.313088933</v>
      </c>
      <c r="CN15" s="1">
        <f>SUM('Long Term Deals'!CN127:CN138)</f>
        <v>1.9933954172302036E-8</v>
      </c>
      <c r="CO15" s="1">
        <f>SUM('Long Term Deals'!CO127:CO138)</f>
        <v>0</v>
      </c>
      <c r="CP15" s="1">
        <f>SUM('Long Term Deals'!CP127:CP138)</f>
        <v>0</v>
      </c>
      <c r="CQ15" s="1">
        <f>SUM('Long Term Deals'!CQ127:CQ138)</f>
        <v>38086.499999999927</v>
      </c>
      <c r="CR15" s="1">
        <f>SUM('Long Term Deals'!CR127:CR138)</f>
        <v>339968.24807197944</v>
      </c>
      <c r="CS15" s="1">
        <f>SUM('Long Term Deals'!CS127:CS138)</f>
        <v>0</v>
      </c>
      <c r="CT15" s="1">
        <f>SUM('Long Term Deals'!CT127:CT138)</f>
        <v>-3840541.4064827124</v>
      </c>
      <c r="CU15" s="1">
        <f>SUM('Long Term Deals'!CU127:CU138)</f>
        <v>-452681.69582951663</v>
      </c>
      <c r="CV15" s="61">
        <f>SUM('Long Term Deals'!CV127:CV138)</f>
        <v>5919764.0237421095</v>
      </c>
      <c r="CW15" s="13">
        <f t="shared" si="4"/>
        <v>164962.70386446966</v>
      </c>
      <c r="CX15" s="13">
        <f t="shared" si="9"/>
        <v>42091.866492477486</v>
      </c>
      <c r="CY15" s="13">
        <f t="shared" si="5"/>
        <v>75574918.180285707</v>
      </c>
      <c r="CZ15" s="13">
        <f t="shared" si="6"/>
        <v>16991.866492477486</v>
      </c>
      <c r="DA15" s="13">
        <f t="shared" si="7"/>
        <v>25100</v>
      </c>
    </row>
    <row r="16" spans="1:109" x14ac:dyDescent="0.25">
      <c r="A16" s="56">
        <v>39824.99999999968</v>
      </c>
      <c r="O16" s="1">
        <f>('Long Term Deals'!O139*'Prices&amp;Fuel'!$H139+'Prices&amp;Fuel'!$H140*'Long Term Deals'!O140+'Long Term Deals'!O141*'Prices&amp;Fuel'!$H141+'Long Term Deals'!O142*'Prices&amp;Fuel'!$H142+'Long Term Deals'!O143*'Prices&amp;Fuel'!$H143+'Long Term Deals'!O144*'Prices&amp;Fuel'!$H144+'Long Term Deals'!O145*'Prices&amp;Fuel'!$H145+'Long Term Deals'!O146*'Prices&amp;Fuel'!$H146+'Long Term Deals'!O147*'Prices&amp;Fuel'!$H147+'Long Term Deals'!O148*'Prices&amp;Fuel'!$H148+'Long Term Deals'!O149*'Prices&amp;Fuel'!$H149+'Long Term Deals'!O150*'Prices&amp;Fuel'!$H150)/SUM('Prices&amp;Fuel'!$H139:$H150)</f>
        <v>9036</v>
      </c>
      <c r="P16" s="1">
        <f>('Long Term Deals'!P139*'Prices&amp;Fuel'!$H139+'Prices&amp;Fuel'!$H140*'Long Term Deals'!P140+'Long Term Deals'!P141*'Prices&amp;Fuel'!$H141+'Long Term Deals'!P142*'Prices&amp;Fuel'!$H142+'Long Term Deals'!P143*'Prices&amp;Fuel'!$H143+'Long Term Deals'!P144*'Prices&amp;Fuel'!$H144+'Long Term Deals'!P145*'Prices&amp;Fuel'!$H145+'Long Term Deals'!P146*'Prices&amp;Fuel'!$H146+'Long Term Deals'!P147*'Prices&amp;Fuel'!$H147+'Long Term Deals'!P148*'Prices&amp;Fuel'!$H148+'Long Term Deals'!P149*'Prices&amp;Fuel'!$H149+'Long Term Deals'!P150*'Prices&amp;Fuel'!$H150)/SUM('Prices&amp;Fuel'!$H139:$H150)</f>
        <v>10794</v>
      </c>
      <c r="Q16" s="1">
        <f>('Long Term Deals'!Q139*'Prices&amp;Fuel'!$H139+'Prices&amp;Fuel'!$H140*'Long Term Deals'!Q140+'Long Term Deals'!Q141*'Prices&amp;Fuel'!$H141+'Long Term Deals'!Q142*'Prices&amp;Fuel'!$H142+'Long Term Deals'!Q143*'Prices&amp;Fuel'!$H143+'Long Term Deals'!Q144*'Prices&amp;Fuel'!$H144+'Long Term Deals'!Q145*'Prices&amp;Fuel'!$H145+'Long Term Deals'!Q146*'Prices&amp;Fuel'!$H146+'Long Term Deals'!Q147*'Prices&amp;Fuel'!$H147+'Long Term Deals'!Q148*'Prices&amp;Fuel'!$H148+'Long Term Deals'!Q149*'Prices&amp;Fuel'!$H149+'Long Term Deals'!Q150*'Prices&amp;Fuel'!$H150)/SUM('Prices&amp;Fuel'!$H139:$H150)</f>
        <v>5270</v>
      </c>
      <c r="T16" s="1">
        <f>SUM('Long Term Deals'!T139:T150)</f>
        <v>33621251.710000001</v>
      </c>
      <c r="U16" s="1">
        <f>SUM('Long Term Deals'!U139:U150)</f>
        <v>33498934.390000004</v>
      </c>
      <c r="V16" s="13">
        <f t="shared" si="0"/>
        <v>122317.31999999657</v>
      </c>
      <c r="AF16" s="1">
        <f>('Long Term Deals'!AF139*'Prices&amp;Fuel'!$H139+'Prices&amp;Fuel'!$H140*'Long Term Deals'!AF140+'Long Term Deals'!AF141*'Prices&amp;Fuel'!$H141+'Long Term Deals'!AF142*'Prices&amp;Fuel'!$H142+'Long Term Deals'!AF143*'Prices&amp;Fuel'!$H143+'Long Term Deals'!AF144*'Prices&amp;Fuel'!$H144+'Long Term Deals'!AF145*'Prices&amp;Fuel'!$H145+'Long Term Deals'!AF146*'Prices&amp;Fuel'!$H146+'Long Term Deals'!AF147*'Prices&amp;Fuel'!$H147+'Long Term Deals'!AF148*'Prices&amp;Fuel'!$H148+'Long Term Deals'!AF149*'Prices&amp;Fuel'!$H149+'Long Term Deals'!AF150*'Prices&amp;Fuel'!$H150)/SUM('Prices&amp;Fuel'!$H139:$H150)</f>
        <v>87921.963587702921</v>
      </c>
      <c r="AG16" s="1">
        <f>('Long Term Deals'!AG139*'Prices&amp;Fuel'!$H139+'Prices&amp;Fuel'!$H140*'Long Term Deals'!AG140+'Long Term Deals'!AG141*'Prices&amp;Fuel'!$H141+'Long Term Deals'!AG142*'Prices&amp;Fuel'!$H142+'Long Term Deals'!AG143*'Prices&amp;Fuel'!$H143+'Long Term Deals'!AG144*'Prices&amp;Fuel'!$H144+'Long Term Deals'!AG145*'Prices&amp;Fuel'!$H145+'Long Term Deals'!AG146*'Prices&amp;Fuel'!$H146+'Long Term Deals'!AG147*'Prices&amp;Fuel'!$H147+'Long Term Deals'!AG148*'Prices&amp;Fuel'!$H148+'Long Term Deals'!AG149*'Prices&amp;Fuel'!$H149+'Long Term Deals'!AG150*'Prices&amp;Fuel'!$H150)/SUM('Prices&amp;Fuel'!$H139:$H150)</f>
        <v>0</v>
      </c>
      <c r="AH16" s="1">
        <f>('Long Term Deals'!AH139*'Prices&amp;Fuel'!$H139+'Prices&amp;Fuel'!$H140*'Long Term Deals'!AH140+'Long Term Deals'!AH141*'Prices&amp;Fuel'!$H141+'Long Term Deals'!AH142*'Prices&amp;Fuel'!$H142+'Long Term Deals'!AH143*'Prices&amp;Fuel'!$H143+'Long Term Deals'!AH144*'Prices&amp;Fuel'!$H144+'Long Term Deals'!AH145*'Prices&amp;Fuel'!$H145+'Long Term Deals'!AH146*'Prices&amp;Fuel'!$H146+'Long Term Deals'!AH147*'Prices&amp;Fuel'!$H147+'Long Term Deals'!AH148*'Prices&amp;Fuel'!$H148+'Long Term Deals'!AH149*'Prices&amp;Fuel'!$H149+'Long Term Deals'!AH150*'Prices&amp;Fuel'!$H150)/SUM('Prices&amp;Fuel'!$H139:$H150)</f>
        <v>77120.822622107982</v>
      </c>
      <c r="AI16" s="1">
        <f>('Long Term Deals'!AI139*'Prices&amp;Fuel'!$H139+'Prices&amp;Fuel'!$H140*'Long Term Deals'!AI140+'Long Term Deals'!AI141*'Prices&amp;Fuel'!$H141+'Long Term Deals'!AI142*'Prices&amp;Fuel'!$H142+'Long Term Deals'!AI143*'Prices&amp;Fuel'!$H143+'Long Term Deals'!AI144*'Prices&amp;Fuel'!$H144+'Long Term Deals'!AI145*'Prices&amp;Fuel'!$H145+'Long Term Deals'!AI146*'Prices&amp;Fuel'!$H146+'Long Term Deals'!AI147*'Prices&amp;Fuel'!$H147+'Long Term Deals'!AI148*'Prices&amp;Fuel'!$H148+'Long Term Deals'!AI149*'Prices&amp;Fuel'!$H149+'Long Term Deals'!AI150*'Prices&amp;Fuel'!$H150)/SUM('Prices&amp;Fuel'!$H139:$H150)</f>
        <v>0</v>
      </c>
      <c r="AJ16" s="1">
        <f>('Long Term Deals'!AJ139*'Prices&amp;Fuel'!$H139+'Prices&amp;Fuel'!$H140*'Long Term Deals'!AJ140+'Long Term Deals'!AJ141*'Prices&amp;Fuel'!$H141+'Long Term Deals'!AJ142*'Prices&amp;Fuel'!$H142+'Long Term Deals'!AJ143*'Prices&amp;Fuel'!$H143+'Long Term Deals'!AJ144*'Prices&amp;Fuel'!$H144+'Long Term Deals'!AJ145*'Prices&amp;Fuel'!$H145+'Long Term Deals'!AJ146*'Prices&amp;Fuel'!$H146+'Long Term Deals'!AJ147*'Prices&amp;Fuel'!$H147+'Long Term Deals'!AJ148*'Prices&amp;Fuel'!$H148+'Long Term Deals'!AJ149*'Prices&amp;Fuel'!$H149+'Long Term Deals'!AJ150*'Prices&amp;Fuel'!$H150)/SUM('Prices&amp;Fuel'!$H139:$H150)</f>
        <v>0</v>
      </c>
      <c r="AK16" s="1">
        <f>('Long Term Deals'!AK139*'Prices&amp;Fuel'!$H139+'Prices&amp;Fuel'!$H140*'Long Term Deals'!AK140+'Long Term Deals'!AK141*'Prices&amp;Fuel'!$H141+'Long Term Deals'!AK142*'Prices&amp;Fuel'!$H142+'Long Term Deals'!AK143*'Prices&amp;Fuel'!$H143+'Long Term Deals'!AK144*'Prices&amp;Fuel'!$H144+'Long Term Deals'!AK145*'Prices&amp;Fuel'!$H145+'Long Term Deals'!AK146*'Prices&amp;Fuel'!$H146+'Long Term Deals'!AK147*'Prices&amp;Fuel'!$H147+'Long Term Deals'!AK148*'Prices&amp;Fuel'!$H148+'Long Term Deals'!AK149*'Prices&amp;Fuel'!$H149+'Long Term Deals'!AK150*'Prices&amp;Fuel'!$H150)/SUM('Prices&amp;Fuel'!$H139:$H150)</f>
        <v>0</v>
      </c>
      <c r="AL16" s="1">
        <f t="shared" si="1"/>
        <v>0</v>
      </c>
      <c r="AM16" s="1"/>
      <c r="AO16" s="1"/>
      <c r="AR16" s="1"/>
      <c r="AT16" s="13"/>
      <c r="AU16" s="13"/>
      <c r="AW16" s="20"/>
      <c r="AX16" s="20"/>
      <c r="AY16" s="1">
        <f>SUM('Long Term Deals'!AY139:AY150)</f>
        <v>228092607.08725595</v>
      </c>
      <c r="AZ16" s="1">
        <f>SUM('Long Term Deals'!AZ139:AZ150)</f>
        <v>226383948.9895696</v>
      </c>
      <c r="BA16" s="6">
        <f t="shared" si="2"/>
        <v>1708658.0976863503</v>
      </c>
      <c r="BB16" s="1">
        <f>('Long Term Deals'!BB139*'Prices&amp;Fuel'!$H139+'Prices&amp;Fuel'!$H140*'Long Term Deals'!BB140+'Long Term Deals'!BB141*'Prices&amp;Fuel'!$H141+'Long Term Deals'!BB142*'Prices&amp;Fuel'!$H142+'Long Term Deals'!BB143*'Prices&amp;Fuel'!$H143+'Long Term Deals'!BB144*'Prices&amp;Fuel'!$H144+'Long Term Deals'!BB145*'Prices&amp;Fuel'!$H145+'Long Term Deals'!BB146*'Prices&amp;Fuel'!$H146+'Long Term Deals'!BB147*'Prices&amp;Fuel'!$H147+'Long Term Deals'!BB148*'Prices&amp;Fuel'!$H148+'Long Term Deals'!BB149*'Prices&amp;Fuel'!$H149+'Long Term Deals'!BB150*'Prices&amp;Fuel'!$H150)/SUM('Prices&amp;Fuel'!$H139:$H150)</f>
        <v>6831.0229953868366</v>
      </c>
      <c r="BC16" s="1">
        <f>('Long Term Deals'!BC139*'Prices&amp;Fuel'!$H139+'Prices&amp;Fuel'!$H140*'Long Term Deals'!BC140+'Long Term Deals'!BC141*'Prices&amp;Fuel'!$H141+'Long Term Deals'!BC142*'Prices&amp;Fuel'!$H142+'Long Term Deals'!BC143*'Prices&amp;Fuel'!$H143+'Long Term Deals'!BC144*'Prices&amp;Fuel'!$H144+'Long Term Deals'!BC145*'Prices&amp;Fuel'!$H145+'Long Term Deals'!BC146*'Prices&amp;Fuel'!$H146+'Long Term Deals'!BC147*'Prices&amp;Fuel'!$H147+'Long Term Deals'!BC148*'Prices&amp;Fuel'!$H148+'Long Term Deals'!BC149*'Prices&amp;Fuel'!$H149+'Long Term Deals'!BC150*'Prices&amp;Fuel'!$H150)/SUM('Prices&amp;Fuel'!$H139:$H150)</f>
        <v>0</v>
      </c>
      <c r="BD16" s="1">
        <f>('Long Term Deals'!BD139*'Prices&amp;Fuel'!$H139+'Prices&amp;Fuel'!$H140*'Long Term Deals'!BD140+'Long Term Deals'!BD141*'Prices&amp;Fuel'!$H141+'Long Term Deals'!BD142*'Prices&amp;Fuel'!$H142+'Long Term Deals'!BD143*'Prices&amp;Fuel'!$H143+'Long Term Deals'!BD144*'Prices&amp;Fuel'!$H144+'Long Term Deals'!BD145*'Prices&amp;Fuel'!$H145+'Long Term Deals'!BD146*'Prices&amp;Fuel'!$H146+'Long Term Deals'!BD147*'Prices&amp;Fuel'!$H147+'Long Term Deals'!BD148*'Prices&amp;Fuel'!$H148+'Long Term Deals'!BD149*'Prices&amp;Fuel'!$H149+'Long Term Deals'!BD150*'Prices&amp;Fuel'!$H150)/SUM('Prices&amp;Fuel'!$H139:$H150)</f>
        <v>3046.7612775996718</v>
      </c>
      <c r="BE16" s="1">
        <f>('Long Term Deals'!BE139*'Prices&amp;Fuel'!$H139+'Prices&amp;Fuel'!$H140*'Long Term Deals'!BE140+'Long Term Deals'!BE141*'Prices&amp;Fuel'!$H141+'Long Term Deals'!BE142*'Prices&amp;Fuel'!$H142+'Long Term Deals'!BE143*'Prices&amp;Fuel'!$H143+'Long Term Deals'!BE144*'Prices&amp;Fuel'!$H144+'Long Term Deals'!BE145*'Prices&amp;Fuel'!$H145+'Long Term Deals'!BE146*'Prices&amp;Fuel'!$H146+'Long Term Deals'!BE147*'Prices&amp;Fuel'!$H147+'Long Term Deals'!BE148*'Prices&amp;Fuel'!$H148+'Long Term Deals'!BE149*'Prices&amp;Fuel'!$H149+'Long Term Deals'!BE150*'Prices&amp;Fuel'!$H150)/SUM('Prices&amp;Fuel'!$H139:$H150)</f>
        <v>2306.6746487304995</v>
      </c>
      <c r="BF16" s="1">
        <f>('Long Term Deals'!BF139*'Prices&amp;Fuel'!$H139+'Prices&amp;Fuel'!$H140*'Long Term Deals'!BF140+'Long Term Deals'!BF141*'Prices&amp;Fuel'!$H141+'Long Term Deals'!BF142*'Prices&amp;Fuel'!$H142+'Long Term Deals'!BF143*'Prices&amp;Fuel'!$H143+'Long Term Deals'!BF144*'Prices&amp;Fuel'!$H144+'Long Term Deals'!BF145*'Prices&amp;Fuel'!$H145+'Long Term Deals'!BF146*'Prices&amp;Fuel'!$H146+'Long Term Deals'!BF147*'Prices&amp;Fuel'!$H147+'Long Term Deals'!BF148*'Prices&amp;Fuel'!$H148+'Long Term Deals'!BF149*'Prices&amp;Fuel'!$H149+'Long Term Deals'!BF150*'Prices&amp;Fuel'!$H150)/SUM('Prices&amp;Fuel'!$H139:$H150)</f>
        <v>3417.6567947318376</v>
      </c>
      <c r="BG16" s="1">
        <f>('Long Term Deals'!BG139*'Prices&amp;Fuel'!$H139+'Prices&amp;Fuel'!$H140*'Long Term Deals'!BG140+'Long Term Deals'!BG141*'Prices&amp;Fuel'!$H141+'Long Term Deals'!BG142*'Prices&amp;Fuel'!$H142+'Long Term Deals'!BG143*'Prices&amp;Fuel'!$H143+'Long Term Deals'!BG144*'Prices&amp;Fuel'!$H144+'Long Term Deals'!BG145*'Prices&amp;Fuel'!$H145+'Long Term Deals'!BG146*'Prices&amp;Fuel'!$H146+'Long Term Deals'!BG147*'Prices&amp;Fuel'!$H147+'Long Term Deals'!BG148*'Prices&amp;Fuel'!$H148+'Long Term Deals'!BG149*'Prices&amp;Fuel'!$H149+'Long Term Deals'!BG150*'Prices&amp;Fuel'!$H150)/SUM('Prices&amp;Fuel'!$H139:$H150)</f>
        <v>1402.4974469134061</v>
      </c>
      <c r="BH16" s="25"/>
      <c r="BI16" s="25"/>
      <c r="BJ16" s="25"/>
      <c r="BK16" s="25"/>
      <c r="BL16" s="1">
        <f>SUM('Long Term Deals'!BL139:BL150)</f>
        <v>28447968.065135237</v>
      </c>
      <c r="BM16" s="14"/>
      <c r="BN16" s="14"/>
      <c r="BP16" s="1">
        <f>SUM('Long Term Deals'!BP139:BP150)</f>
        <v>27978524.77130409</v>
      </c>
      <c r="BQ16" s="6">
        <f t="shared" si="3"/>
        <v>469443.29383114725</v>
      </c>
      <c r="CA16" s="1">
        <f>SUM('Long Term Deals'!CA139:CA150)</f>
        <v>301203.08483290486</v>
      </c>
      <c r="CB16" s="1">
        <f>SUM('Long Term Deals'!CB139:CB150)</f>
        <v>76840.919023136099</v>
      </c>
      <c r="CC16" s="1">
        <f>SUM('Long Term Deals'!CC139:CC150)</f>
        <v>290161826.86239123</v>
      </c>
      <c r="CD16" s="1">
        <f>SUM('Long Term Deals'!CD139:CD150)</f>
        <v>288239452.15472972</v>
      </c>
      <c r="CE16" s="1">
        <f>SUM('Long Term Deals'!CE139:CE150)</f>
        <v>1922374.707661489</v>
      </c>
      <c r="CF16" s="1">
        <f>SUM('Long Term Deals'!CF139:CF150)</f>
        <v>0</v>
      </c>
      <c r="CG16" s="1">
        <f>SUM('Long Term Deals'!CG139:CG150)</f>
        <v>0</v>
      </c>
      <c r="CH16" s="1">
        <f>SUM('Long Term Deals'!CH139:CH150)</f>
        <v>0</v>
      </c>
      <c r="CI16" s="1">
        <f>SUM('Long Term Deals'!CI139:CI150)</f>
        <v>0</v>
      </c>
      <c r="CJ16" s="1">
        <f>SUM('Long Term Deals'!CJ139:CJ150)</f>
        <v>290161826.86239123</v>
      </c>
      <c r="CK16" s="1">
        <f>SUM('Long Term Deals'!CK139:CK150)</f>
        <v>288239452.15472972</v>
      </c>
      <c r="CL16" s="1">
        <f>SUM('Long Term Deals'!CL139:CL150)</f>
        <v>1922374.707661489</v>
      </c>
      <c r="CM16" s="1">
        <f>SUM('Long Term Deals'!CM139:CM150)</f>
        <v>1922374.707661489</v>
      </c>
      <c r="CN16" s="1">
        <f>SUM('Long Term Deals'!CN139:CN150)</f>
        <v>1.9933954172302036E-8</v>
      </c>
      <c r="CO16" s="1">
        <f>SUM('Long Term Deals'!CO139:CO150)</f>
        <v>0</v>
      </c>
      <c r="CP16" s="1">
        <f>SUM('Long Term Deals'!CP139:CP150)</f>
        <v>0</v>
      </c>
      <c r="CQ16" s="1">
        <f>SUM('Long Term Deals'!CQ139:CQ150)</f>
        <v>37993.749999999927</v>
      </c>
      <c r="CR16" s="1">
        <f>SUM('Long Term Deals'!CR139:CR150)</f>
        <v>339196.83483290492</v>
      </c>
      <c r="CS16" s="1">
        <f>SUM('Long Term Deals'!CS139:CS150)</f>
        <v>0</v>
      </c>
      <c r="CT16" s="1">
        <f>SUM('Long Term Deals'!CT139:CT150)</f>
        <v>-4436177.6910847099</v>
      </c>
      <c r="CU16" s="1">
        <f>SUM('Long Term Deals'!CU139:CU150)</f>
        <v>-451664.01778861647</v>
      </c>
      <c r="CV16" s="61">
        <f>SUM('Long Term Deals'!CV139:CV150)</f>
        <v>5906888.3809575615</v>
      </c>
      <c r="CW16" s="13">
        <f t="shared" si="4"/>
        <v>165042.7862098109</v>
      </c>
      <c r="CX16" s="13">
        <f t="shared" si="9"/>
        <v>42104.61316336225</v>
      </c>
      <c r="CY16" s="13">
        <f t="shared" si="5"/>
        <v>75608800.771208197</v>
      </c>
      <c r="CZ16" s="13">
        <f t="shared" si="6"/>
        <v>17004.61316336225</v>
      </c>
      <c r="DA16" s="13">
        <f t="shared" si="7"/>
        <v>25100</v>
      </c>
    </row>
    <row r="17" spans="1:105" x14ac:dyDescent="0.25">
      <c r="A17" s="56">
        <v>40189.999999999651</v>
      </c>
      <c r="O17" s="1">
        <f>('Long Term Deals'!O151*'Prices&amp;Fuel'!$H151+'Prices&amp;Fuel'!$H152*'Long Term Deals'!O152+'Long Term Deals'!O153*'Prices&amp;Fuel'!$H153+'Long Term Deals'!O154*'Prices&amp;Fuel'!$H154+'Long Term Deals'!O155*'Prices&amp;Fuel'!$H155+'Long Term Deals'!O156*'Prices&amp;Fuel'!$H156+'Long Term Deals'!O157*'Prices&amp;Fuel'!$H157+'Long Term Deals'!O158*'Prices&amp;Fuel'!$H158+'Long Term Deals'!O159*'Prices&amp;Fuel'!$H159+'Long Term Deals'!O160*'Prices&amp;Fuel'!$H160+'Long Term Deals'!O161*'Prices&amp;Fuel'!$H161+'Long Term Deals'!O162*'Prices&amp;Fuel'!$H162)/SUM('Prices&amp;Fuel'!$H151:$H162)</f>
        <v>9036</v>
      </c>
      <c r="P17" s="1">
        <f>('Long Term Deals'!P151*'Prices&amp;Fuel'!$H151+'Prices&amp;Fuel'!$H152*'Long Term Deals'!P152+'Long Term Deals'!P153*'Prices&amp;Fuel'!$H153+'Long Term Deals'!P154*'Prices&amp;Fuel'!$H154+'Long Term Deals'!P155*'Prices&amp;Fuel'!$H155+'Long Term Deals'!P156*'Prices&amp;Fuel'!$H156+'Long Term Deals'!P157*'Prices&amp;Fuel'!$H157+'Long Term Deals'!P158*'Prices&amp;Fuel'!$H158+'Long Term Deals'!P159*'Prices&amp;Fuel'!$H159+'Long Term Deals'!P160*'Prices&amp;Fuel'!$H160+'Long Term Deals'!P161*'Prices&amp;Fuel'!$H161+'Long Term Deals'!P162*'Prices&amp;Fuel'!$H162)/SUM('Prices&amp;Fuel'!$H151:$H162)</f>
        <v>10794</v>
      </c>
      <c r="Q17" s="1">
        <f>('Long Term Deals'!Q151*'Prices&amp;Fuel'!$H151+'Prices&amp;Fuel'!$H152*'Long Term Deals'!Q152+'Long Term Deals'!Q153*'Prices&amp;Fuel'!$H153+'Long Term Deals'!Q154*'Prices&amp;Fuel'!$H154+'Long Term Deals'!Q155*'Prices&amp;Fuel'!$H155+'Long Term Deals'!Q156*'Prices&amp;Fuel'!$H156+'Long Term Deals'!Q157*'Prices&amp;Fuel'!$H157+'Long Term Deals'!Q158*'Prices&amp;Fuel'!$H158+'Long Term Deals'!Q159*'Prices&amp;Fuel'!$H159+'Long Term Deals'!Q160*'Prices&amp;Fuel'!$H160+'Long Term Deals'!Q161*'Prices&amp;Fuel'!$H161+'Long Term Deals'!Q162*'Prices&amp;Fuel'!$H162)/SUM('Prices&amp;Fuel'!$H151:$H162)</f>
        <v>5270</v>
      </c>
      <c r="T17" s="1">
        <f>SUM('Long Term Deals'!T151:T162)</f>
        <v>34966378.280000001</v>
      </c>
      <c r="U17" s="1">
        <f>SUM('Long Term Deals'!U151:U162)</f>
        <v>34841774.350000001</v>
      </c>
      <c r="V17" s="13">
        <f t="shared" si="0"/>
        <v>124603.9299999997</v>
      </c>
      <c r="AF17" s="1">
        <f>('Long Term Deals'!AF151*'Prices&amp;Fuel'!$H151+'Prices&amp;Fuel'!$H152*'Long Term Deals'!AF152+'Long Term Deals'!AF153*'Prices&amp;Fuel'!$H153+'Long Term Deals'!AF154*'Prices&amp;Fuel'!$H154+'Long Term Deals'!AF155*'Prices&amp;Fuel'!$H155+'Long Term Deals'!AF156*'Prices&amp;Fuel'!$H156+'Long Term Deals'!AF157*'Prices&amp;Fuel'!$H157+'Long Term Deals'!AF158*'Prices&amp;Fuel'!$H158+'Long Term Deals'!AF159*'Prices&amp;Fuel'!$H159+'Long Term Deals'!AF160*'Prices&amp;Fuel'!$H160+'Long Term Deals'!AF161*'Prices&amp;Fuel'!$H161+'Long Term Deals'!AF162*'Prices&amp;Fuel'!$H162)/SUM('Prices&amp;Fuel'!$H151:$H162)</f>
        <v>9474.2402366447168</v>
      </c>
      <c r="AG17" s="1">
        <f>('Long Term Deals'!AG151*'Prices&amp;Fuel'!$H151+'Prices&amp;Fuel'!$H152*'Long Term Deals'!AG152+'Long Term Deals'!AG153*'Prices&amp;Fuel'!$H153+'Long Term Deals'!AG154*'Prices&amp;Fuel'!$H154+'Long Term Deals'!AG155*'Prices&amp;Fuel'!$H155+'Long Term Deals'!AG156*'Prices&amp;Fuel'!$H156+'Long Term Deals'!AG157*'Prices&amp;Fuel'!$H157+'Long Term Deals'!AG158*'Prices&amp;Fuel'!$H158+'Long Term Deals'!AG159*'Prices&amp;Fuel'!$H159+'Long Term Deals'!AG160*'Prices&amp;Fuel'!$H160+'Long Term Deals'!AG161*'Prices&amp;Fuel'!$H161+'Long Term Deals'!AG162*'Prices&amp;Fuel'!$H162)/SUM('Prices&amp;Fuel'!$H151:$H162)</f>
        <v>0</v>
      </c>
      <c r="AH17" s="1">
        <f>('Long Term Deals'!AH151*'Prices&amp;Fuel'!$H151+'Prices&amp;Fuel'!$H152*'Long Term Deals'!AH152+'Long Term Deals'!AH153*'Prices&amp;Fuel'!$H153+'Long Term Deals'!AH154*'Prices&amp;Fuel'!$H154+'Long Term Deals'!AH155*'Prices&amp;Fuel'!$H155+'Long Term Deals'!AH156*'Prices&amp;Fuel'!$H156+'Long Term Deals'!AH157*'Prices&amp;Fuel'!$H157+'Long Term Deals'!AH158*'Prices&amp;Fuel'!$H158+'Long Term Deals'!AH159*'Prices&amp;Fuel'!$H159+'Long Term Deals'!AH160*'Prices&amp;Fuel'!$H160+'Long Term Deals'!AH161*'Prices&amp;Fuel'!$H161+'Long Term Deals'!AH162*'Prices&amp;Fuel'!$H162)/SUM('Prices&amp;Fuel'!$H151:$H162)</f>
        <v>12466.105574532521</v>
      </c>
      <c r="AI17" s="1">
        <f>('Long Term Deals'!AI151*'Prices&amp;Fuel'!$H151+'Prices&amp;Fuel'!$H152*'Long Term Deals'!AI152+'Long Term Deals'!AI153*'Prices&amp;Fuel'!$H153+'Long Term Deals'!AI154*'Prices&amp;Fuel'!$H154+'Long Term Deals'!AI155*'Prices&amp;Fuel'!$H155+'Long Term Deals'!AI156*'Prices&amp;Fuel'!$H156+'Long Term Deals'!AI157*'Prices&amp;Fuel'!$H157+'Long Term Deals'!AI158*'Prices&amp;Fuel'!$H158+'Long Term Deals'!AI159*'Prices&amp;Fuel'!$H159+'Long Term Deals'!AI160*'Prices&amp;Fuel'!$H160+'Long Term Deals'!AI161*'Prices&amp;Fuel'!$H161+'Long Term Deals'!AI162*'Prices&amp;Fuel'!$H162)/SUM('Prices&amp;Fuel'!$H151:$H162)</f>
        <v>0</v>
      </c>
      <c r="AJ17" s="1">
        <f>('Long Term Deals'!AJ151*'Prices&amp;Fuel'!$H151+'Prices&amp;Fuel'!$H152*'Long Term Deals'!AJ152+'Long Term Deals'!AJ153*'Prices&amp;Fuel'!$H153+'Long Term Deals'!AJ154*'Prices&amp;Fuel'!$H154+'Long Term Deals'!AJ155*'Prices&amp;Fuel'!$H155+'Long Term Deals'!AJ156*'Prices&amp;Fuel'!$H156+'Long Term Deals'!AJ157*'Prices&amp;Fuel'!$H157+'Long Term Deals'!AJ158*'Prices&amp;Fuel'!$H158+'Long Term Deals'!AJ159*'Prices&amp;Fuel'!$H159+'Long Term Deals'!AJ160*'Prices&amp;Fuel'!$H160+'Long Term Deals'!AJ161*'Prices&amp;Fuel'!$H161+'Long Term Deals'!AJ162*'Prices&amp;Fuel'!$H162)/SUM('Prices&amp;Fuel'!$H151:$H162)</f>
        <v>0</v>
      </c>
      <c r="AK17" s="1">
        <f>('Long Term Deals'!AK151*'Prices&amp;Fuel'!$H151+'Prices&amp;Fuel'!$H152*'Long Term Deals'!AK152+'Long Term Deals'!AK153*'Prices&amp;Fuel'!$H153+'Long Term Deals'!AK154*'Prices&amp;Fuel'!$H154+'Long Term Deals'!AK155*'Prices&amp;Fuel'!$H155+'Long Term Deals'!AK156*'Prices&amp;Fuel'!$H156+'Long Term Deals'!AK157*'Prices&amp;Fuel'!$H157+'Long Term Deals'!AK158*'Prices&amp;Fuel'!$H158+'Long Term Deals'!AK159*'Prices&amp;Fuel'!$H159+'Long Term Deals'!AK160*'Prices&amp;Fuel'!$H160+'Long Term Deals'!AK161*'Prices&amp;Fuel'!$H161+'Long Term Deals'!AK162*'Prices&amp;Fuel'!$H162)/SUM('Prices&amp;Fuel'!$H151:$H162)</f>
        <v>0</v>
      </c>
      <c r="AL17" s="1">
        <f t="shared" si="1"/>
        <v>0</v>
      </c>
      <c r="AM17" s="1"/>
      <c r="AO17" s="1"/>
      <c r="AR17" s="1"/>
      <c r="AT17" s="13"/>
      <c r="AU17" s="13"/>
      <c r="AW17" s="20"/>
      <c r="AX17" s="20"/>
      <c r="AY17" s="1">
        <f>SUM('Long Term Deals'!AY151:AY162)</f>
        <v>20748738.485213216</v>
      </c>
      <c r="AZ17" s="1">
        <f>SUM('Long Term Deals'!AZ151:AZ162)</f>
        <v>20481190.927372601</v>
      </c>
      <c r="BA17" s="6">
        <f t="shared" si="2"/>
        <v>267547.55784061551</v>
      </c>
      <c r="BB17" s="1">
        <f>('Long Term Deals'!BB151*'Prices&amp;Fuel'!$H151+'Prices&amp;Fuel'!$H152*'Long Term Deals'!BB152+'Long Term Deals'!BB153*'Prices&amp;Fuel'!$H153+'Long Term Deals'!BB154*'Prices&amp;Fuel'!$H154+'Long Term Deals'!BB155*'Prices&amp;Fuel'!$H155+'Long Term Deals'!BB156*'Prices&amp;Fuel'!$H156+'Long Term Deals'!BB157*'Prices&amp;Fuel'!$H157+'Long Term Deals'!BB158*'Prices&amp;Fuel'!$H158+'Long Term Deals'!BB159*'Prices&amp;Fuel'!$H159+'Long Term Deals'!BB160*'Prices&amp;Fuel'!$H160+'Long Term Deals'!BB161*'Prices&amp;Fuel'!$H161+'Long Term Deals'!BB162*'Prices&amp;Fuel'!$H162)/SUM('Prices&amp;Fuel'!$H151:$H162)</f>
        <v>6831.0229953868366</v>
      </c>
      <c r="BC17" s="1">
        <f>('Long Term Deals'!BC151*'Prices&amp;Fuel'!$H151+'Prices&amp;Fuel'!$H152*'Long Term Deals'!BC152+'Long Term Deals'!BC153*'Prices&amp;Fuel'!$H153+'Long Term Deals'!BC154*'Prices&amp;Fuel'!$H154+'Long Term Deals'!BC155*'Prices&amp;Fuel'!$H155+'Long Term Deals'!BC156*'Prices&amp;Fuel'!$H156+'Long Term Deals'!BC157*'Prices&amp;Fuel'!$H157+'Long Term Deals'!BC158*'Prices&amp;Fuel'!$H158+'Long Term Deals'!BC159*'Prices&amp;Fuel'!$H159+'Long Term Deals'!BC160*'Prices&amp;Fuel'!$H160+'Long Term Deals'!BC161*'Prices&amp;Fuel'!$H161+'Long Term Deals'!BC162*'Prices&amp;Fuel'!$H162)/SUM('Prices&amp;Fuel'!$H151:$H162)</f>
        <v>0</v>
      </c>
      <c r="BD17" s="1">
        <f>('Long Term Deals'!BD151*'Prices&amp;Fuel'!$H151+'Prices&amp;Fuel'!$H152*'Long Term Deals'!BD152+'Long Term Deals'!BD153*'Prices&amp;Fuel'!$H153+'Long Term Deals'!BD154*'Prices&amp;Fuel'!$H154+'Long Term Deals'!BD155*'Prices&amp;Fuel'!$H155+'Long Term Deals'!BD156*'Prices&amp;Fuel'!$H156+'Long Term Deals'!BD157*'Prices&amp;Fuel'!$H157+'Long Term Deals'!BD158*'Prices&amp;Fuel'!$H158+'Long Term Deals'!BD159*'Prices&amp;Fuel'!$H159+'Long Term Deals'!BD160*'Prices&amp;Fuel'!$H160+'Long Term Deals'!BD161*'Prices&amp;Fuel'!$H161+'Long Term Deals'!BD162*'Prices&amp;Fuel'!$H162)/SUM('Prices&amp;Fuel'!$H151:$H162)</f>
        <v>3046.7612775996718</v>
      </c>
      <c r="BE17" s="1">
        <f>('Long Term Deals'!BE151*'Prices&amp;Fuel'!$H151+'Prices&amp;Fuel'!$H152*'Long Term Deals'!BE152+'Long Term Deals'!BE153*'Prices&amp;Fuel'!$H153+'Long Term Deals'!BE154*'Prices&amp;Fuel'!$H154+'Long Term Deals'!BE155*'Prices&amp;Fuel'!$H155+'Long Term Deals'!BE156*'Prices&amp;Fuel'!$H156+'Long Term Deals'!BE157*'Prices&amp;Fuel'!$H157+'Long Term Deals'!BE158*'Prices&amp;Fuel'!$H158+'Long Term Deals'!BE159*'Prices&amp;Fuel'!$H159+'Long Term Deals'!BE160*'Prices&amp;Fuel'!$H160+'Long Term Deals'!BE161*'Prices&amp;Fuel'!$H161+'Long Term Deals'!BE162*'Prices&amp;Fuel'!$H162)/SUM('Prices&amp;Fuel'!$H151:$H162)</f>
        <v>2306.6746487304995</v>
      </c>
      <c r="BF17" s="1">
        <f>('Long Term Deals'!BF151*'Prices&amp;Fuel'!$H151+'Prices&amp;Fuel'!$H152*'Long Term Deals'!BF152+'Long Term Deals'!BF153*'Prices&amp;Fuel'!$H153+'Long Term Deals'!BF154*'Prices&amp;Fuel'!$H154+'Long Term Deals'!BF155*'Prices&amp;Fuel'!$H155+'Long Term Deals'!BF156*'Prices&amp;Fuel'!$H156+'Long Term Deals'!BF157*'Prices&amp;Fuel'!$H157+'Long Term Deals'!BF158*'Prices&amp;Fuel'!$H158+'Long Term Deals'!BF159*'Prices&amp;Fuel'!$H159+'Long Term Deals'!BF160*'Prices&amp;Fuel'!$H160+'Long Term Deals'!BF161*'Prices&amp;Fuel'!$H161+'Long Term Deals'!BF162*'Prices&amp;Fuel'!$H162)/SUM('Prices&amp;Fuel'!$H151:$H162)</f>
        <v>3417.6567947318376</v>
      </c>
      <c r="BG17" s="1">
        <f>('Long Term Deals'!BG151*'Prices&amp;Fuel'!$H151+'Prices&amp;Fuel'!$H152*'Long Term Deals'!BG152+'Long Term Deals'!BG153*'Prices&amp;Fuel'!$H153+'Long Term Deals'!BG154*'Prices&amp;Fuel'!$H154+'Long Term Deals'!BG155*'Prices&amp;Fuel'!$H155+'Long Term Deals'!BG156*'Prices&amp;Fuel'!$H156+'Long Term Deals'!BG157*'Prices&amp;Fuel'!$H157+'Long Term Deals'!BG158*'Prices&amp;Fuel'!$H158+'Long Term Deals'!BG159*'Prices&amp;Fuel'!$H159+'Long Term Deals'!BG160*'Prices&amp;Fuel'!$H160+'Long Term Deals'!BG161*'Prices&amp;Fuel'!$H161+'Long Term Deals'!BG162*'Prices&amp;Fuel'!$H162)/SUM('Prices&amp;Fuel'!$H151:$H162)</f>
        <v>1402.4974469134061</v>
      </c>
      <c r="BH17" s="25"/>
      <c r="BI17" s="25"/>
      <c r="BJ17" s="25"/>
      <c r="BK17" s="25"/>
      <c r="BL17" s="1">
        <f>SUM('Long Term Deals'!BL151:BL162)</f>
        <v>28690897.178640064</v>
      </c>
      <c r="BM17" s="14"/>
      <c r="BN17" s="14"/>
      <c r="BP17" s="1">
        <f>SUM('Long Term Deals'!BP151:BP162)</f>
        <v>28221453.884808913</v>
      </c>
      <c r="BQ17" s="6">
        <f t="shared" si="3"/>
        <v>469443.29383115098</v>
      </c>
      <c r="CA17" s="1">
        <f>SUM('Long Term Deals'!CA151:CA162)</f>
        <v>40041.131105398468</v>
      </c>
      <c r="CB17" s="1">
        <f>SUM('Long Term Deals'!CB151:CB162)</f>
        <v>76840.919023136099</v>
      </c>
      <c r="CC17" s="1">
        <f>SUM('Long Term Deals'!CC151:CC162)</f>
        <v>84406013.943853289</v>
      </c>
      <c r="CD17" s="1">
        <f>SUM('Long Term Deals'!CD151:CD162)</f>
        <v>83661301.212310046</v>
      </c>
      <c r="CE17" s="1">
        <f>SUM('Long Term Deals'!CE151:CE162)</f>
        <v>744712.73154324479</v>
      </c>
      <c r="CF17" s="1">
        <f>SUM('Long Term Deals'!CF151:CF162)</f>
        <v>0</v>
      </c>
      <c r="CG17" s="1">
        <f>SUM('Long Term Deals'!CG151:CG162)</f>
        <v>0</v>
      </c>
      <c r="CH17" s="1">
        <f>SUM('Long Term Deals'!CH151:CH162)</f>
        <v>0</v>
      </c>
      <c r="CI17" s="1">
        <f>SUM('Long Term Deals'!CI151:CI162)</f>
        <v>0</v>
      </c>
      <c r="CJ17" s="1">
        <f>SUM('Long Term Deals'!CJ151:CJ162)</f>
        <v>84406013.943853289</v>
      </c>
      <c r="CK17" s="1">
        <f>SUM('Long Term Deals'!CK151:CK162)</f>
        <v>83661301.212310046</v>
      </c>
      <c r="CL17" s="1">
        <f>SUM('Long Term Deals'!CL151:CL162)</f>
        <v>744712.73154324479</v>
      </c>
      <c r="CM17" s="1">
        <f>SUM('Long Term Deals'!CM151:CM162)</f>
        <v>744712.73154324479</v>
      </c>
      <c r="CN17" s="1">
        <f>SUM('Long Term Deals'!CN151:CN162)</f>
        <v>1.9933954172302036E-8</v>
      </c>
      <c r="CO17" s="1">
        <f>SUM('Long Term Deals'!CO151:CO162)</f>
        <v>0</v>
      </c>
      <c r="CP17" s="1">
        <f>SUM('Long Term Deals'!CP151:CP162)</f>
        <v>0</v>
      </c>
      <c r="CQ17" s="1">
        <f>SUM('Long Term Deals'!CQ151:CQ162)</f>
        <v>37993.749999999927</v>
      </c>
      <c r="CR17" s="1">
        <f>SUM('Long Term Deals'!CR151:CR162)</f>
        <v>78034.88110539841</v>
      </c>
      <c r="CS17" s="1">
        <f>SUM('Long Term Deals'!CS151:CS162)</f>
        <v>0</v>
      </c>
      <c r="CT17" s="1">
        <f>SUM('Long Term Deals'!CT151:CT162)</f>
        <v>-589733.57671322743</v>
      </c>
      <c r="CU17" s="1">
        <f>SUM('Long Term Deals'!CU151:CU162)</f>
        <v>-60043.004413111863</v>
      </c>
      <c r="CV17" s="61">
        <f>SUM('Long Term Deals'!CV151:CV162)</f>
        <v>1274403.3038433404</v>
      </c>
      <c r="CW17" s="13">
        <f t="shared" si="4"/>
        <v>21940.345811177238</v>
      </c>
      <c r="CX17" s="13">
        <f t="shared" si="9"/>
        <v>42104.61316336225</v>
      </c>
      <c r="CY17" s="13">
        <f t="shared" si="5"/>
        <v>23376410.025706913</v>
      </c>
      <c r="CZ17" s="13">
        <f t="shared" si="6"/>
        <v>17004.61316336225</v>
      </c>
      <c r="DA17" s="13">
        <f t="shared" si="7"/>
        <v>25100</v>
      </c>
    </row>
    <row r="18" spans="1:105" x14ac:dyDescent="0.25">
      <c r="A18" s="56">
        <v>40554.999999999622</v>
      </c>
      <c r="O18" s="1">
        <f>('Long Term Deals'!O163*'Prices&amp;Fuel'!$H163+'Prices&amp;Fuel'!$H164*'Long Term Deals'!O164+'Long Term Deals'!O165*'Prices&amp;Fuel'!$H165+'Long Term Deals'!O166*'Prices&amp;Fuel'!$H166+'Long Term Deals'!O167*'Prices&amp;Fuel'!$H167+'Long Term Deals'!O168*'Prices&amp;Fuel'!$H168+'Long Term Deals'!O169*'Prices&amp;Fuel'!$H169+'Long Term Deals'!O170*'Prices&amp;Fuel'!$H170+'Long Term Deals'!O171*'Prices&amp;Fuel'!$H171+'Long Term Deals'!O172*'Prices&amp;Fuel'!$H172+'Long Term Deals'!O173*'Prices&amp;Fuel'!$H173+'Long Term Deals'!O174*'Prices&amp;Fuel'!$H174)/SUM('Prices&amp;Fuel'!$H163:$H174)</f>
        <v>9036</v>
      </c>
      <c r="P18" s="1">
        <f>('Long Term Deals'!P163*'Prices&amp;Fuel'!$H163+'Prices&amp;Fuel'!$H164*'Long Term Deals'!P164+'Long Term Deals'!P165*'Prices&amp;Fuel'!$H165+'Long Term Deals'!P166*'Prices&amp;Fuel'!$H166+'Long Term Deals'!P167*'Prices&amp;Fuel'!$H167+'Long Term Deals'!P168*'Prices&amp;Fuel'!$H168+'Long Term Deals'!P169*'Prices&amp;Fuel'!$H169+'Long Term Deals'!P170*'Prices&amp;Fuel'!$H170+'Long Term Deals'!P171*'Prices&amp;Fuel'!$H171+'Long Term Deals'!P172*'Prices&amp;Fuel'!$H172+'Long Term Deals'!P173*'Prices&amp;Fuel'!$H173+'Long Term Deals'!P174*'Prices&amp;Fuel'!$H174)/SUM('Prices&amp;Fuel'!$H163:$H174)</f>
        <v>10794</v>
      </c>
      <c r="Q18" s="1">
        <f>('Long Term Deals'!Q163*'Prices&amp;Fuel'!$H163+'Prices&amp;Fuel'!$H164*'Long Term Deals'!Q164+'Long Term Deals'!Q165*'Prices&amp;Fuel'!$H165+'Long Term Deals'!Q166*'Prices&amp;Fuel'!$H166+'Long Term Deals'!Q167*'Prices&amp;Fuel'!$H167+'Long Term Deals'!Q168*'Prices&amp;Fuel'!$H168+'Long Term Deals'!Q169*'Prices&amp;Fuel'!$H169+'Long Term Deals'!Q170*'Prices&amp;Fuel'!$H170+'Long Term Deals'!Q171*'Prices&amp;Fuel'!$H171+'Long Term Deals'!Q172*'Prices&amp;Fuel'!$H172+'Long Term Deals'!Q173*'Prices&amp;Fuel'!$H173+'Long Term Deals'!Q174*'Prices&amp;Fuel'!$H174)/SUM('Prices&amp;Fuel'!$H163:$H174)</f>
        <v>5270</v>
      </c>
      <c r="T18" s="1">
        <f>SUM('Long Term Deals'!T163:T174)</f>
        <v>36365103.389999993</v>
      </c>
      <c r="U18" s="1">
        <f>SUM('Long Term Deals'!U163:U174)</f>
        <v>36238205.319999993</v>
      </c>
      <c r="V18" s="13">
        <f t="shared" si="0"/>
        <v>126898.0700000003</v>
      </c>
      <c r="BB18" s="1">
        <f>('Long Term Deals'!BB163*'Prices&amp;Fuel'!$H163+'Prices&amp;Fuel'!$H164*'Long Term Deals'!BB164+'Long Term Deals'!BB165*'Prices&amp;Fuel'!$H165+'Long Term Deals'!BB166*'Prices&amp;Fuel'!$H166+'Long Term Deals'!BB167*'Prices&amp;Fuel'!$H167+'Long Term Deals'!BB168*'Prices&amp;Fuel'!$H168+'Long Term Deals'!BB169*'Prices&amp;Fuel'!$H169+'Long Term Deals'!BB170*'Prices&amp;Fuel'!$H170+'Long Term Deals'!BB171*'Prices&amp;Fuel'!$H171+'Long Term Deals'!BB172*'Prices&amp;Fuel'!$H172+'Long Term Deals'!BB173*'Prices&amp;Fuel'!$H173+'Long Term Deals'!BB174*'Prices&amp;Fuel'!$H174)/SUM('Prices&amp;Fuel'!$H163:$H174)</f>
        <v>6831.0229953868366</v>
      </c>
      <c r="BC18" s="1">
        <f>('Long Term Deals'!BC163*'Prices&amp;Fuel'!$H163+'Prices&amp;Fuel'!$H164*'Long Term Deals'!BC164+'Long Term Deals'!BC165*'Prices&amp;Fuel'!$H165+'Long Term Deals'!BC166*'Prices&amp;Fuel'!$H166+'Long Term Deals'!BC167*'Prices&amp;Fuel'!$H167+'Long Term Deals'!BC168*'Prices&amp;Fuel'!$H168+'Long Term Deals'!BC169*'Prices&amp;Fuel'!$H169+'Long Term Deals'!BC170*'Prices&amp;Fuel'!$H170+'Long Term Deals'!BC171*'Prices&amp;Fuel'!$H171+'Long Term Deals'!BC172*'Prices&amp;Fuel'!$H172+'Long Term Deals'!BC173*'Prices&amp;Fuel'!$H173+'Long Term Deals'!BC174*'Prices&amp;Fuel'!$H174)/SUM('Prices&amp;Fuel'!$H163:$H174)</f>
        <v>0</v>
      </c>
      <c r="BD18" s="1">
        <f>('Long Term Deals'!BD163*'Prices&amp;Fuel'!$H163+'Prices&amp;Fuel'!$H164*'Long Term Deals'!BD164+'Long Term Deals'!BD165*'Prices&amp;Fuel'!$H165+'Long Term Deals'!BD166*'Prices&amp;Fuel'!$H166+'Long Term Deals'!BD167*'Prices&amp;Fuel'!$H167+'Long Term Deals'!BD168*'Prices&amp;Fuel'!$H168+'Long Term Deals'!BD169*'Prices&amp;Fuel'!$H169+'Long Term Deals'!BD170*'Prices&amp;Fuel'!$H170+'Long Term Deals'!BD171*'Prices&amp;Fuel'!$H171+'Long Term Deals'!BD172*'Prices&amp;Fuel'!$H172+'Long Term Deals'!BD173*'Prices&amp;Fuel'!$H173+'Long Term Deals'!BD174*'Prices&amp;Fuel'!$H174)/SUM('Prices&amp;Fuel'!$H163:$H174)</f>
        <v>3046.7612775996718</v>
      </c>
      <c r="BE18" s="1">
        <f>('Long Term Deals'!BE163*'Prices&amp;Fuel'!$H163+'Prices&amp;Fuel'!$H164*'Long Term Deals'!BE164+'Long Term Deals'!BE165*'Prices&amp;Fuel'!$H165+'Long Term Deals'!BE166*'Prices&amp;Fuel'!$H166+'Long Term Deals'!BE167*'Prices&amp;Fuel'!$H167+'Long Term Deals'!BE168*'Prices&amp;Fuel'!$H168+'Long Term Deals'!BE169*'Prices&amp;Fuel'!$H169+'Long Term Deals'!BE170*'Prices&amp;Fuel'!$H170+'Long Term Deals'!BE171*'Prices&amp;Fuel'!$H171+'Long Term Deals'!BE172*'Prices&amp;Fuel'!$H172+'Long Term Deals'!BE173*'Prices&amp;Fuel'!$H173+'Long Term Deals'!BE174*'Prices&amp;Fuel'!$H174)/SUM('Prices&amp;Fuel'!$H163:$H174)</f>
        <v>2306.6746487304995</v>
      </c>
      <c r="BF18" s="1">
        <f>('Long Term Deals'!BF163*'Prices&amp;Fuel'!$H163+'Prices&amp;Fuel'!$H164*'Long Term Deals'!BF164+'Long Term Deals'!BF165*'Prices&amp;Fuel'!$H165+'Long Term Deals'!BF166*'Prices&amp;Fuel'!$H166+'Long Term Deals'!BF167*'Prices&amp;Fuel'!$H167+'Long Term Deals'!BF168*'Prices&amp;Fuel'!$H168+'Long Term Deals'!BF169*'Prices&amp;Fuel'!$H169+'Long Term Deals'!BF170*'Prices&amp;Fuel'!$H170+'Long Term Deals'!BF171*'Prices&amp;Fuel'!$H171+'Long Term Deals'!BF172*'Prices&amp;Fuel'!$H172+'Long Term Deals'!BF173*'Prices&amp;Fuel'!$H173+'Long Term Deals'!BF174*'Prices&amp;Fuel'!$H174)/SUM('Prices&amp;Fuel'!$H163:$H174)</f>
        <v>3417.6567947318376</v>
      </c>
      <c r="BG18" s="1">
        <f>('Long Term Deals'!BG163*'Prices&amp;Fuel'!$H163+'Prices&amp;Fuel'!$H164*'Long Term Deals'!BG164+'Long Term Deals'!BG165*'Prices&amp;Fuel'!$H165+'Long Term Deals'!BG166*'Prices&amp;Fuel'!$H166+'Long Term Deals'!BG167*'Prices&amp;Fuel'!$H167+'Long Term Deals'!BG168*'Prices&amp;Fuel'!$H168+'Long Term Deals'!BG169*'Prices&amp;Fuel'!$H169+'Long Term Deals'!BG170*'Prices&amp;Fuel'!$H170+'Long Term Deals'!BG171*'Prices&amp;Fuel'!$H171+'Long Term Deals'!BG172*'Prices&amp;Fuel'!$H172+'Long Term Deals'!BG173*'Prices&amp;Fuel'!$H173+'Long Term Deals'!BG174*'Prices&amp;Fuel'!$H174)/SUM('Prices&amp;Fuel'!$H163:$H174)</f>
        <v>1402.4974469134061</v>
      </c>
      <c r="BH18" s="25"/>
      <c r="BI18" s="25"/>
      <c r="BJ18" s="25"/>
      <c r="BK18" s="25"/>
      <c r="BL18" s="1">
        <f>SUM('Long Term Deals'!BL163:BL174)</f>
        <v>28936255.583279941</v>
      </c>
      <c r="BM18" s="14"/>
      <c r="BN18" s="14"/>
      <c r="BP18" s="1">
        <f>SUM('Long Term Deals'!BP163:BP174)</f>
        <v>28466812.289448783</v>
      </c>
      <c r="BQ18" s="6">
        <f t="shared" si="3"/>
        <v>469443.29383115843</v>
      </c>
      <c r="CA18" s="1">
        <f>SUM('Long Term Deals'!CA163:CA174)</f>
        <v>0</v>
      </c>
      <c r="CB18" s="1">
        <f>SUM('Long Term Deals'!CB163:CB174)</f>
        <v>76840.919023136099</v>
      </c>
      <c r="CC18" s="1">
        <f>SUM('Long Term Deals'!CC163:CC174)</f>
        <v>65301358.973279946</v>
      </c>
      <c r="CD18" s="1">
        <f>SUM('Long Term Deals'!CD163:CD174)</f>
        <v>64781858.528471917</v>
      </c>
      <c r="CE18" s="1">
        <f>SUM('Long Term Deals'!CE163:CE174)</f>
        <v>519500.44480802165</v>
      </c>
      <c r="CF18" s="1">
        <f>SUM('Long Term Deals'!CF163:CF174)</f>
        <v>0</v>
      </c>
      <c r="CG18" s="1">
        <f>SUM('Long Term Deals'!CG163:CG174)</f>
        <v>0</v>
      </c>
      <c r="CH18" s="1">
        <f>SUM('Long Term Deals'!CH163:CH174)</f>
        <v>0</v>
      </c>
      <c r="CI18" s="1">
        <f>SUM('Long Term Deals'!CI163:CI174)</f>
        <v>0</v>
      </c>
      <c r="CJ18" s="1">
        <f>SUM('Long Term Deals'!CJ163:CJ174)</f>
        <v>65301358.973279946</v>
      </c>
      <c r="CK18" s="1">
        <f>SUM('Long Term Deals'!CK163:CK174)</f>
        <v>64781858.528471917</v>
      </c>
      <c r="CL18" s="1">
        <f>SUM('Long Term Deals'!CL163:CL174)</f>
        <v>519500.44480802165</v>
      </c>
      <c r="CM18" s="1">
        <f>SUM('Long Term Deals'!CM163:CM174)</f>
        <v>519500.44480802165</v>
      </c>
      <c r="CN18" s="1">
        <f>SUM('Long Term Deals'!CN163:CN174)</f>
        <v>1.9933954172302036E-8</v>
      </c>
      <c r="CO18" s="1">
        <f>SUM('Long Term Deals'!CO163:CO174)</f>
        <v>0</v>
      </c>
      <c r="CP18" s="1">
        <f>SUM('Long Term Deals'!CP163:CP174)</f>
        <v>0</v>
      </c>
      <c r="CQ18" s="1">
        <f>SUM('Long Term Deals'!CQ163:CQ174)</f>
        <v>37993.749999999927</v>
      </c>
      <c r="CR18" s="1">
        <f>SUM('Long Term Deals'!CR163:CR174)</f>
        <v>37993.749999999927</v>
      </c>
      <c r="CS18" s="1">
        <f>SUM('Long Term Deals'!CS163:CS174)</f>
        <v>0</v>
      </c>
      <c r="CT18" s="1">
        <f>SUM('Long Term Deals'!CT163:CT174)</f>
        <v>0</v>
      </c>
      <c r="CU18" s="1">
        <f>SUM('Long Term Deals'!CU163:CU174)</f>
        <v>0</v>
      </c>
      <c r="CV18" s="61">
        <f>SUM('Long Term Deals'!CV163:CV174)</f>
        <v>519500.44480800175</v>
      </c>
      <c r="CW18" s="13">
        <f t="shared" si="4"/>
        <v>0</v>
      </c>
      <c r="CX18" s="13">
        <f t="shared" si="9"/>
        <v>42104.61316336225</v>
      </c>
      <c r="CY18" s="13">
        <f t="shared" si="5"/>
        <v>15368183.804627221</v>
      </c>
      <c r="CZ18" s="13">
        <f t="shared" si="6"/>
        <v>17004.61316336225</v>
      </c>
      <c r="DA18" s="13">
        <f t="shared" si="7"/>
        <v>25100</v>
      </c>
    </row>
    <row r="19" spans="1:105" x14ac:dyDescent="0.25">
      <c r="A19" s="56">
        <v>40919.999999999593</v>
      </c>
      <c r="O19" s="1">
        <f>('Long Term Deals'!O175*'Prices&amp;Fuel'!$H175+'Prices&amp;Fuel'!$H176*'Long Term Deals'!O176+'Long Term Deals'!O177*'Prices&amp;Fuel'!$H177+'Long Term Deals'!O178*'Prices&amp;Fuel'!$H178+'Long Term Deals'!O179*'Prices&amp;Fuel'!$H179+'Long Term Deals'!O180*'Prices&amp;Fuel'!$H180+'Long Term Deals'!O181*'Prices&amp;Fuel'!$H181+'Long Term Deals'!O182*'Prices&amp;Fuel'!$H182+'Long Term Deals'!O183*'Prices&amp;Fuel'!$H183+'Long Term Deals'!O184*'Prices&amp;Fuel'!$H184+'Long Term Deals'!O185*'Prices&amp;Fuel'!$H185+'Long Term Deals'!O186*'Prices&amp;Fuel'!$H186)/SUM('Prices&amp;Fuel'!$H175:$H186)</f>
        <v>4493.311475409836</v>
      </c>
      <c r="P19" s="1">
        <f>('Long Term Deals'!P175*'Prices&amp;Fuel'!$H175+'Prices&amp;Fuel'!$H176*'Long Term Deals'!P176+'Long Term Deals'!P177*'Prices&amp;Fuel'!$H177+'Long Term Deals'!P178*'Prices&amp;Fuel'!$H178+'Long Term Deals'!P179*'Prices&amp;Fuel'!$H179+'Long Term Deals'!P180*'Prices&amp;Fuel'!$H180+'Long Term Deals'!P181*'Prices&amp;Fuel'!$H181+'Long Term Deals'!P182*'Prices&amp;Fuel'!$H182+'Long Term Deals'!P183*'Prices&amp;Fuel'!$H183+'Long Term Deals'!P184*'Prices&amp;Fuel'!$H184+'Long Term Deals'!P185*'Prices&amp;Fuel'!$H185+'Long Term Deals'!P186*'Prices&amp;Fuel'!$H186)/SUM('Prices&amp;Fuel'!$H175:$H186)</f>
        <v>5367.5081967213118</v>
      </c>
      <c r="Q19" s="1">
        <f>('Long Term Deals'!Q175*'Prices&amp;Fuel'!$H175+'Prices&amp;Fuel'!$H176*'Long Term Deals'!Q176+'Long Term Deals'!Q177*'Prices&amp;Fuel'!$H177+'Long Term Deals'!Q178*'Prices&amp;Fuel'!$H178+'Long Term Deals'!Q179*'Prices&amp;Fuel'!$H179+'Long Term Deals'!Q180*'Prices&amp;Fuel'!$H180+'Long Term Deals'!Q181*'Prices&amp;Fuel'!$H181+'Long Term Deals'!Q182*'Prices&amp;Fuel'!$H182+'Long Term Deals'!Q183*'Prices&amp;Fuel'!$H183+'Long Term Deals'!Q184*'Prices&amp;Fuel'!$H184+'Long Term Deals'!Q185*'Prices&amp;Fuel'!$H185+'Long Term Deals'!Q186*'Prices&amp;Fuel'!$H186)/SUM('Prices&amp;Fuel'!$H175:$H186)</f>
        <v>2620.601092896175</v>
      </c>
      <c r="T19" s="1">
        <f>SUM('Long Term Deals'!T175:T186)</f>
        <v>18485221.300000001</v>
      </c>
      <c r="U19" s="1">
        <f>SUM('Long Term Deals'!U175:U186)</f>
        <v>18421266.5</v>
      </c>
      <c r="V19" s="13">
        <f t="shared" si="0"/>
        <v>63954.800000000745</v>
      </c>
      <c r="BB19" s="1">
        <f>('Long Term Deals'!BB175*'Prices&amp;Fuel'!$H175+'Prices&amp;Fuel'!$H176*'Long Term Deals'!BB176+'Long Term Deals'!BB177*'Prices&amp;Fuel'!$H177+'Long Term Deals'!BB178*'Prices&amp;Fuel'!$H178+'Long Term Deals'!BB179*'Prices&amp;Fuel'!$H179+'Long Term Deals'!BB180*'Prices&amp;Fuel'!$H180+'Long Term Deals'!BB181*'Prices&amp;Fuel'!$H181+'Long Term Deals'!BB182*'Prices&amp;Fuel'!$H182+'Long Term Deals'!BB183*'Prices&amp;Fuel'!$H183+'Long Term Deals'!BB184*'Prices&amp;Fuel'!$H184+'Long Term Deals'!BB185*'Prices&amp;Fuel'!$H185+'Long Term Deals'!BB186*'Prices&amp;Fuel'!$H186)/SUM('Prices&amp;Fuel'!$H175:$H186)</f>
        <v>6824.1785719302688</v>
      </c>
      <c r="BC19" s="1">
        <f>('Long Term Deals'!BC175*'Prices&amp;Fuel'!$H175+'Prices&amp;Fuel'!$H176*'Long Term Deals'!BC176+'Long Term Deals'!BC177*'Prices&amp;Fuel'!$H177+'Long Term Deals'!BC178*'Prices&amp;Fuel'!$H178+'Long Term Deals'!BC179*'Prices&amp;Fuel'!$H179+'Long Term Deals'!BC180*'Prices&amp;Fuel'!$H180+'Long Term Deals'!BC181*'Prices&amp;Fuel'!$H181+'Long Term Deals'!BC182*'Prices&amp;Fuel'!$H182+'Long Term Deals'!BC183*'Prices&amp;Fuel'!$H183+'Long Term Deals'!BC184*'Prices&amp;Fuel'!$H184+'Long Term Deals'!BC185*'Prices&amp;Fuel'!$H185+'Long Term Deals'!BC186*'Prices&amp;Fuel'!$H186)/SUM('Prices&amp;Fuel'!$H175:$H186)</f>
        <v>0</v>
      </c>
      <c r="BD19" s="1">
        <f>('Long Term Deals'!BD175*'Prices&amp;Fuel'!$H175+'Prices&amp;Fuel'!$H176*'Long Term Deals'!BD176+'Long Term Deals'!BD177*'Prices&amp;Fuel'!$H177+'Long Term Deals'!BD178*'Prices&amp;Fuel'!$H178+'Long Term Deals'!BD179*'Prices&amp;Fuel'!$H179+'Long Term Deals'!BD180*'Prices&amp;Fuel'!$H180+'Long Term Deals'!BD181*'Prices&amp;Fuel'!$H181+'Long Term Deals'!BD182*'Prices&amp;Fuel'!$H182+'Long Term Deals'!BD183*'Prices&amp;Fuel'!$H183+'Long Term Deals'!BD184*'Prices&amp;Fuel'!$H184+'Long Term Deals'!BD185*'Prices&amp;Fuel'!$H185+'Long Term Deals'!BD186*'Prices&amp;Fuel'!$H186)/SUM('Prices&amp;Fuel'!$H175:$H186)</f>
        <v>3038.4367932346454</v>
      </c>
      <c r="BE19" s="1">
        <f>('Long Term Deals'!BE175*'Prices&amp;Fuel'!$H175+'Prices&amp;Fuel'!$H176*'Long Term Deals'!BE176+'Long Term Deals'!BE177*'Prices&amp;Fuel'!$H177+'Long Term Deals'!BE178*'Prices&amp;Fuel'!$H178+'Long Term Deals'!BE179*'Prices&amp;Fuel'!$H179+'Long Term Deals'!BE180*'Prices&amp;Fuel'!$H180+'Long Term Deals'!BE181*'Prices&amp;Fuel'!$H181+'Long Term Deals'!BE182*'Prices&amp;Fuel'!$H182+'Long Term Deals'!BE183*'Prices&amp;Fuel'!$H183+'Long Term Deals'!BE184*'Prices&amp;Fuel'!$H184+'Long Term Deals'!BE185*'Prices&amp;Fuel'!$H185+'Long Term Deals'!BE186*'Prices&amp;Fuel'!$H186)/SUM('Prices&amp;Fuel'!$H175:$H186)</f>
        <v>2307.5730119263349</v>
      </c>
      <c r="BF19" s="1">
        <f>('Long Term Deals'!BF175*'Prices&amp;Fuel'!$H175+'Prices&amp;Fuel'!$H176*'Long Term Deals'!BF176+'Long Term Deals'!BF177*'Prices&amp;Fuel'!$H177+'Long Term Deals'!BF178*'Prices&amp;Fuel'!$H178+'Long Term Deals'!BF179*'Prices&amp;Fuel'!$H179+'Long Term Deals'!BF180*'Prices&amp;Fuel'!$H180+'Long Term Deals'!BF181*'Prices&amp;Fuel'!$H181+'Long Term Deals'!BF182*'Prices&amp;Fuel'!$H182+'Long Term Deals'!BF183*'Prices&amp;Fuel'!$H183+'Long Term Deals'!BF184*'Prices&amp;Fuel'!$H184+'Long Term Deals'!BF185*'Prices&amp;Fuel'!$H185+'Long Term Deals'!BF186*'Prices&amp;Fuel'!$H186)/SUM('Prices&amp;Fuel'!$H175:$H186)</f>
        <v>3418.2786182870464</v>
      </c>
      <c r="BG19" s="1">
        <f>('Long Term Deals'!BG175*'Prices&amp;Fuel'!$H175+'Prices&amp;Fuel'!$H176*'Long Term Deals'!BG176+'Long Term Deals'!BG177*'Prices&amp;Fuel'!$H177+'Long Term Deals'!BG178*'Prices&amp;Fuel'!$H178+'Long Term Deals'!BG179*'Prices&amp;Fuel'!$H179+'Long Term Deals'!BG180*'Prices&amp;Fuel'!$H180+'Long Term Deals'!BG181*'Prices&amp;Fuel'!$H181+'Long Term Deals'!BG182*'Prices&amp;Fuel'!$H182+'Long Term Deals'!BG183*'Prices&amp;Fuel'!$H183+'Long Term Deals'!BG184*'Prices&amp;Fuel'!$H184+'Long Term Deals'!BG185*'Prices&amp;Fuel'!$H185+'Long Term Deals'!BG186*'Prices&amp;Fuel'!$H186)/SUM('Prices&amp;Fuel'!$H175:$H186)</f>
        <v>1403.3994970991894</v>
      </c>
      <c r="BH19" s="25"/>
      <c r="BI19" s="25"/>
      <c r="BJ19" s="25"/>
      <c r="BK19" s="25"/>
      <c r="BL19" s="1">
        <f>SUM('Long Term Deals'!BL175:BL186)</f>
        <v>29226949.080842853</v>
      </c>
      <c r="BM19" s="14"/>
      <c r="BN19" s="14"/>
      <c r="BP19" s="1">
        <f>SUM('Long Term Deals'!BP175:BP186)</f>
        <v>28752983.862201191</v>
      </c>
      <c r="BQ19" s="6">
        <f t="shared" si="3"/>
        <v>473965.21864166111</v>
      </c>
      <c r="CA19" s="1">
        <f>SUM('Long Term Deals'!CA175:CA186)</f>
        <v>0</v>
      </c>
      <c r="CB19" s="1">
        <f>SUM('Long Term Deals'!CB175:CB186)</f>
        <v>53936.115681233787</v>
      </c>
      <c r="CC19" s="1">
        <f>SUM('Long Term Deals'!CC175:CC186)</f>
        <v>47712170.38084285</v>
      </c>
      <c r="CD19" s="1">
        <f>SUM('Long Term Deals'!CD175:CD186)</f>
        <v>47228186.47788243</v>
      </c>
      <c r="CE19" s="1">
        <f>SUM('Long Term Deals'!CE175:CE186)</f>
        <v>483983.90296042175</v>
      </c>
      <c r="CF19" s="1">
        <f>SUM('Long Term Deals'!CF175:CF186)</f>
        <v>0</v>
      </c>
      <c r="CG19" s="1">
        <f>SUM('Long Term Deals'!CG175:CG186)</f>
        <v>0</v>
      </c>
      <c r="CH19" s="1">
        <f>SUM('Long Term Deals'!CH175:CH186)</f>
        <v>0</v>
      </c>
      <c r="CI19" s="1">
        <f>SUM('Long Term Deals'!CI175:CI186)</f>
        <v>0</v>
      </c>
      <c r="CJ19" s="1">
        <f>SUM('Long Term Deals'!CJ175:CJ186)</f>
        <v>47712170.38084285</v>
      </c>
      <c r="CK19" s="1">
        <f>SUM('Long Term Deals'!CK175:CK186)</f>
        <v>47228186.47788243</v>
      </c>
      <c r="CL19" s="1">
        <f>SUM('Long Term Deals'!CL175:CL186)</f>
        <v>483983.90296042175</v>
      </c>
      <c r="CM19" s="1">
        <f>SUM('Long Term Deals'!CM175:CM186)</f>
        <v>483983.90296042175</v>
      </c>
      <c r="CN19" s="1">
        <f>SUM('Long Term Deals'!CN175:CN186)</f>
        <v>1.9933954172302036E-8</v>
      </c>
      <c r="CO19" s="1">
        <f>SUM('Long Term Deals'!CO175:CO186)</f>
        <v>0</v>
      </c>
      <c r="CP19" s="1">
        <f>SUM('Long Term Deals'!CP175:CP186)</f>
        <v>0</v>
      </c>
      <c r="CQ19" s="1">
        <f>SUM('Long Term Deals'!CQ175:CQ186)</f>
        <v>26540.499999999931</v>
      </c>
      <c r="CR19" s="1">
        <f>SUM('Long Term Deals'!CR175:CR186)</f>
        <v>26540.499999999931</v>
      </c>
      <c r="CS19" s="1">
        <f>SUM('Long Term Deals'!CS175:CS186)</f>
        <v>0</v>
      </c>
      <c r="CT19" s="1">
        <f>SUM('Long Term Deals'!CT175:CT186)</f>
        <v>0</v>
      </c>
      <c r="CU19" s="1">
        <f>SUM('Long Term Deals'!CU175:CU186)</f>
        <v>0</v>
      </c>
      <c r="CV19" s="61">
        <f>SUM('Long Term Deals'!CV175:CV186)</f>
        <v>483983.90296040184</v>
      </c>
      <c r="CW19" s="13">
        <f t="shared" si="4"/>
        <v>0</v>
      </c>
      <c r="CX19" s="13">
        <f t="shared" si="9"/>
        <v>29473.28725750481</v>
      </c>
      <c r="CY19" s="13">
        <f t="shared" si="5"/>
        <v>10757749.848989256</v>
      </c>
      <c r="CZ19" s="13">
        <f t="shared" si="6"/>
        <v>16991.866492477486</v>
      </c>
      <c r="DA19" s="13">
        <f t="shared" si="7"/>
        <v>12481.420765027322</v>
      </c>
    </row>
    <row r="20" spans="1:105" x14ac:dyDescent="0.25">
      <c r="A20" s="56">
        <v>41284.999999999563</v>
      </c>
      <c r="BB20" s="1">
        <f>('Long Term Deals'!BB187*'Prices&amp;Fuel'!$H187+'Prices&amp;Fuel'!$H188*'Long Term Deals'!BB188+'Long Term Deals'!BB189*'Prices&amp;Fuel'!$H189+'Long Term Deals'!BB190*'Prices&amp;Fuel'!$H190+'Long Term Deals'!BB191*'Prices&amp;Fuel'!$H191+'Long Term Deals'!BB192*'Prices&amp;Fuel'!$H192+'Long Term Deals'!BB193*'Prices&amp;Fuel'!$H193+'Long Term Deals'!BB194*'Prices&amp;Fuel'!$H194+'Long Term Deals'!BB195*'Prices&amp;Fuel'!$H195+'Long Term Deals'!BB196*'Prices&amp;Fuel'!$H196+'Long Term Deals'!BB197*'Prices&amp;Fuel'!$H197+'Long Term Deals'!BB198*'Prices&amp;Fuel'!$H198)/SUM('Prices&amp;Fuel'!$H187:$H198)</f>
        <v>6108.0536676409474</v>
      </c>
      <c r="BC20" s="1">
        <f>('Long Term Deals'!BC187*'Prices&amp;Fuel'!$H187+'Prices&amp;Fuel'!$H188*'Long Term Deals'!BC188+'Long Term Deals'!BC189*'Prices&amp;Fuel'!$H189+'Long Term Deals'!BC190*'Prices&amp;Fuel'!$H190+'Long Term Deals'!BC191*'Prices&amp;Fuel'!$H191+'Long Term Deals'!BC192*'Prices&amp;Fuel'!$H192+'Long Term Deals'!BC193*'Prices&amp;Fuel'!$H193+'Long Term Deals'!BC194*'Prices&amp;Fuel'!$H194+'Long Term Deals'!BC195*'Prices&amp;Fuel'!$H195+'Long Term Deals'!BC196*'Prices&amp;Fuel'!$H196+'Long Term Deals'!BC197*'Prices&amp;Fuel'!$H197+'Long Term Deals'!BC198*'Prices&amp;Fuel'!$H198)/SUM('Prices&amp;Fuel'!$H187:$H198)</f>
        <v>0</v>
      </c>
      <c r="BD20" s="1">
        <f>('Long Term Deals'!BD187*'Prices&amp;Fuel'!$H187+'Prices&amp;Fuel'!$H188*'Long Term Deals'!BD188+'Long Term Deals'!BD189*'Prices&amp;Fuel'!$H189+'Long Term Deals'!BD190*'Prices&amp;Fuel'!$H190+'Long Term Deals'!BD191*'Prices&amp;Fuel'!$H191+'Long Term Deals'!BD192*'Prices&amp;Fuel'!$H192+'Long Term Deals'!BD193*'Prices&amp;Fuel'!$H193+'Long Term Deals'!BD194*'Prices&amp;Fuel'!$H194+'Long Term Deals'!BD195*'Prices&amp;Fuel'!$H195+'Long Term Deals'!BD196*'Prices&amp;Fuel'!$H196+'Long Term Deals'!BD197*'Prices&amp;Fuel'!$H197+'Long Term Deals'!BD198*'Prices&amp;Fuel'!$H198)/SUM('Prices&amp;Fuel'!$H187:$H198)</f>
        <v>3046.7612775996718</v>
      </c>
      <c r="BE20" s="1">
        <f>('Long Term Deals'!BE187*'Prices&amp;Fuel'!$H187+'Prices&amp;Fuel'!$H188*'Long Term Deals'!BE188+'Long Term Deals'!BE189*'Prices&amp;Fuel'!$H189+'Long Term Deals'!BE190*'Prices&amp;Fuel'!$H190+'Long Term Deals'!BE191*'Prices&amp;Fuel'!$H191+'Long Term Deals'!BE192*'Prices&amp;Fuel'!$H192+'Long Term Deals'!BE193*'Prices&amp;Fuel'!$H193+'Long Term Deals'!BE194*'Prices&amp;Fuel'!$H194+'Long Term Deals'!BE195*'Prices&amp;Fuel'!$H195+'Long Term Deals'!BE196*'Prices&amp;Fuel'!$H196+'Long Term Deals'!BE197*'Prices&amp;Fuel'!$H197+'Long Term Deals'!BE198*'Prices&amp;Fuel'!$H198)/SUM('Prices&amp;Fuel'!$H187:$H198)</f>
        <v>1866.2253054900166</v>
      </c>
      <c r="BF20" s="1">
        <f>('Long Term Deals'!BF187*'Prices&amp;Fuel'!$H187+'Prices&amp;Fuel'!$H188*'Long Term Deals'!BF188+'Long Term Deals'!BF189*'Prices&amp;Fuel'!$H189+'Long Term Deals'!BF190*'Prices&amp;Fuel'!$H190+'Long Term Deals'!BF191*'Prices&amp;Fuel'!$H191+'Long Term Deals'!BF192*'Prices&amp;Fuel'!$H192+'Long Term Deals'!BF193*'Prices&amp;Fuel'!$H193+'Long Term Deals'!BF194*'Prices&amp;Fuel'!$H194+'Long Term Deals'!BF195*'Prices&amp;Fuel'!$H195+'Long Term Deals'!BF196*'Prices&amp;Fuel'!$H196+'Long Term Deals'!BF197*'Prices&amp;Fuel'!$H197+'Long Term Deals'!BF198*'Prices&amp;Fuel'!$H198)/SUM('Prices&amp;Fuel'!$H187:$H198)</f>
        <v>2808.4515969996828</v>
      </c>
      <c r="BG20" s="1">
        <f>('Long Term Deals'!BG187*'Prices&amp;Fuel'!$H187+'Prices&amp;Fuel'!$H188*'Long Term Deals'!BG188+'Long Term Deals'!BG189*'Prices&amp;Fuel'!$H189+'Long Term Deals'!BG190*'Prices&amp;Fuel'!$H190+'Long Term Deals'!BG191*'Prices&amp;Fuel'!$H191+'Long Term Deals'!BG192*'Prices&amp;Fuel'!$H192+'Long Term Deals'!BG193*'Prices&amp;Fuel'!$H193+'Long Term Deals'!BG194*'Prices&amp;Fuel'!$H194+'Long Term Deals'!BG195*'Prices&amp;Fuel'!$H195+'Long Term Deals'!BG196*'Prices&amp;Fuel'!$H196+'Long Term Deals'!BG197*'Prices&amp;Fuel'!$H197+'Long Term Deals'!BG198*'Prices&amp;Fuel'!$H198)/SUM('Prices&amp;Fuel'!$H187:$H198)</f>
        <v>1112.931647709265</v>
      </c>
      <c r="BH20" s="25"/>
      <c r="BI20" s="25"/>
      <c r="BJ20" s="25"/>
      <c r="BK20" s="25"/>
      <c r="BL20" s="1">
        <f>SUM('Long Term Deals'!BL187:BL198)</f>
        <v>26383642.806917742</v>
      </c>
      <c r="BM20" s="14"/>
      <c r="BN20" s="14"/>
      <c r="BP20" s="1">
        <f>SUM('Long Term Deals'!BP187:BP198)</f>
        <v>26021676.136597391</v>
      </c>
      <c r="BQ20" s="6">
        <f t="shared" si="3"/>
        <v>361966.67032035068</v>
      </c>
      <c r="CA20" s="1">
        <f>SUM('Long Term Deals'!CA187:CA198)</f>
        <v>0</v>
      </c>
      <c r="CB20" s="1">
        <f>SUM('Long Term Deals'!CB187:CB198)</f>
        <v>23922.879177377781</v>
      </c>
      <c r="CC20" s="1">
        <f>SUM('Long Term Deals'!CC187:CC198)</f>
        <v>22044481.239495445</v>
      </c>
      <c r="CD20" s="1">
        <f>SUM('Long Term Deals'!CD187:CD198)</f>
        <v>21757211.300764631</v>
      </c>
      <c r="CE20" s="1">
        <f>SUM('Long Term Deals'!CE187:CE198)</f>
        <v>287269.93873081845</v>
      </c>
      <c r="CF20" s="1">
        <f>SUM('Long Term Deals'!CF187:CF198)</f>
        <v>0</v>
      </c>
      <c r="CG20" s="1">
        <f>SUM('Long Term Deals'!CG187:CG198)</f>
        <v>0</v>
      </c>
      <c r="CH20" s="1">
        <f>SUM('Long Term Deals'!CH187:CH198)</f>
        <v>0</v>
      </c>
      <c r="CI20" s="1">
        <f>SUM('Long Term Deals'!CI187:CI198)</f>
        <v>0</v>
      </c>
      <c r="CJ20" s="1">
        <f>SUM('Long Term Deals'!CJ187:CJ198)</f>
        <v>22044481.239495445</v>
      </c>
      <c r="CK20" s="1">
        <f>SUM('Long Term Deals'!CK187:CK198)</f>
        <v>21757211.300764631</v>
      </c>
      <c r="CL20" s="1">
        <f>SUM('Long Term Deals'!CL187:CL198)</f>
        <v>287269.93873081845</v>
      </c>
      <c r="CM20" s="1">
        <f>SUM('Long Term Deals'!CM187:CM198)</f>
        <v>0</v>
      </c>
      <c r="CN20" s="1">
        <f>SUM('Long Term Deals'!CN187:CN198)</f>
        <v>188569.51960001996</v>
      </c>
      <c r="CO20" s="1">
        <f>SUM('Long Term Deals'!CO187:CO198)</f>
        <v>0</v>
      </c>
      <c r="CP20" s="1">
        <f>SUM('Long Term Deals'!CP187:CP198)</f>
        <v>0</v>
      </c>
      <c r="CQ20" s="1">
        <f>SUM('Long Term Deals'!CQ187:CQ198)</f>
        <v>11632.499999999947</v>
      </c>
      <c r="CR20" s="1">
        <f>SUM('Long Term Deals'!CR187:CR198)</f>
        <v>11632.499999999947</v>
      </c>
      <c r="CS20" s="1">
        <f>SUM('Long Term Deals'!CS187:CS198)</f>
        <v>0</v>
      </c>
      <c r="CT20" s="1">
        <f>SUM('Long Term Deals'!CT187:CT198)</f>
        <v>0</v>
      </c>
      <c r="CU20" s="1">
        <f>SUM('Long Term Deals'!CU187:CU198)</f>
        <v>0</v>
      </c>
      <c r="CV20" s="61">
        <f>SUM('Long Term Deals'!CV187:CV198)</f>
        <v>98700.419130798531</v>
      </c>
      <c r="CW20" s="13">
        <f t="shared" si="4"/>
        <v>0</v>
      </c>
      <c r="CX20" s="13">
        <f t="shared" si="9"/>
        <v>14942.423495439583</v>
      </c>
      <c r="CY20" s="13">
        <f t="shared" si="5"/>
        <v>5453984.5758354478</v>
      </c>
      <c r="CZ20" s="13">
        <f t="shared" si="6"/>
        <v>14942.423495439583</v>
      </c>
      <c r="DA20" s="13">
        <f t="shared" si="7"/>
        <v>0</v>
      </c>
    </row>
    <row r="21" spans="1:105" ht="10.199999999999999" x14ac:dyDescent="0.2">
      <c r="A21" s="56">
        <f>A20+365</f>
        <v>41649.999999999563</v>
      </c>
      <c r="G21" s="1"/>
      <c r="J21" s="1"/>
      <c r="K21" s="1"/>
      <c r="L21" s="1"/>
      <c r="M21" s="1"/>
      <c r="N21" s="1"/>
      <c r="O21" s="1"/>
      <c r="P21" s="1"/>
      <c r="Q21" s="1"/>
      <c r="R21" s="1"/>
      <c r="S21" s="1"/>
      <c r="T21" s="1"/>
      <c r="U21" s="1"/>
      <c r="V21" s="1"/>
      <c r="W21" s="1"/>
      <c r="X21" s="1"/>
      <c r="Y21" s="1"/>
      <c r="Z21" s="1"/>
      <c r="AA21" s="1"/>
      <c r="AB21" s="1"/>
      <c r="AC21" s="1"/>
      <c r="AD21" s="1"/>
      <c r="AE21" s="1"/>
      <c r="AF21" s="1"/>
      <c r="AH21" s="1"/>
      <c r="AI21" s="1"/>
      <c r="AJ21" s="1"/>
      <c r="AK21" s="1"/>
      <c r="AL21" s="1"/>
      <c r="AM21" s="1"/>
      <c r="AN21" s="1"/>
      <c r="AO21" s="1"/>
      <c r="AP21" s="1"/>
      <c r="AQ21" s="1"/>
      <c r="AR21" s="1"/>
      <c r="AS21" s="1"/>
      <c r="AT21" s="1"/>
      <c r="AU21" s="1"/>
      <c r="AW21" s="1"/>
      <c r="AX21" s="1"/>
      <c r="AY21" s="1"/>
      <c r="AZ21" s="1"/>
      <c r="BA21" s="1"/>
      <c r="BB21" s="6"/>
      <c r="BC21" s="14"/>
      <c r="BD21" s="14"/>
      <c r="BE21" s="14"/>
      <c r="BF21" s="14"/>
      <c r="BG21" s="14"/>
      <c r="BH21" s="1"/>
      <c r="BI21" s="1"/>
      <c r="BJ21" s="1"/>
      <c r="BK21" s="1"/>
      <c r="BL21" s="1"/>
      <c r="BM21" s="1"/>
      <c r="BN21" s="1"/>
      <c r="BO21" s="1"/>
      <c r="BP21" s="1"/>
      <c r="BQ21" s="1"/>
      <c r="BT21" s="1"/>
      <c r="BU21" s="1"/>
      <c r="BV21" s="1"/>
      <c r="BW21" s="1"/>
      <c r="BX21" s="1"/>
      <c r="BY21" s="1"/>
      <c r="BZ21" s="1"/>
      <c r="CA21" s="1"/>
      <c r="CB21" s="1"/>
      <c r="CC21" s="1"/>
      <c r="CD21" s="1"/>
      <c r="CE21" s="1"/>
      <c r="CF21" s="1"/>
      <c r="CG21" s="1"/>
      <c r="CH21" s="1"/>
      <c r="CI21" s="1"/>
      <c r="CJ21" s="1"/>
      <c r="CK21" s="1"/>
      <c r="CL21" s="1"/>
      <c r="CM21" s="1"/>
      <c r="CN21" s="1">
        <f>SUM('Long Term Deals'!CN199:CN210)</f>
        <v>2576387.3563999999</v>
      </c>
      <c r="CV21" s="1">
        <f>SUM('Long Term Deals'!CV199:CV210)</f>
        <v>-2576387.3563999999</v>
      </c>
      <c r="CZ21" s="13">
        <f t="shared" si="6"/>
        <v>0</v>
      </c>
    </row>
    <row r="22" spans="1:105" ht="10.199999999999999" x14ac:dyDescent="0.2">
      <c r="A22" s="56">
        <f>A21+365</f>
        <v>42014.999999999563</v>
      </c>
      <c r="G22" s="1"/>
      <c r="J22" s="1"/>
      <c r="K22" s="1"/>
      <c r="L22" s="1"/>
      <c r="M22" s="1"/>
      <c r="N22" s="1"/>
      <c r="O22" s="1"/>
      <c r="P22" s="1"/>
      <c r="Q22" s="1"/>
      <c r="R22" s="1"/>
      <c r="S22" s="1"/>
      <c r="T22" s="1"/>
      <c r="U22" s="1"/>
      <c r="V22" s="1"/>
      <c r="W22" s="1"/>
      <c r="X22" s="1"/>
      <c r="Y22" s="1"/>
      <c r="Z22" s="1"/>
      <c r="AA22" s="1"/>
      <c r="AB22" s="1"/>
      <c r="AC22" s="1"/>
      <c r="AD22" s="1"/>
      <c r="AE22" s="1"/>
      <c r="AF22" s="1"/>
      <c r="AH22" s="1"/>
      <c r="AI22" s="1"/>
      <c r="AJ22" s="1"/>
      <c r="AK22" s="1"/>
      <c r="AL22" s="1"/>
      <c r="AM22" s="1"/>
      <c r="AN22" s="1"/>
      <c r="AO22" s="1"/>
      <c r="AP22" s="1"/>
      <c r="AQ22" s="1"/>
      <c r="AR22" s="1"/>
      <c r="AS22" s="1"/>
      <c r="AT22" s="1"/>
      <c r="AU22" s="1"/>
      <c r="AW22" s="1"/>
      <c r="AX22" s="1"/>
      <c r="AY22" s="1"/>
      <c r="AZ22" s="1"/>
      <c r="BA22" s="1"/>
      <c r="BB22" s="6"/>
      <c r="BC22" s="14"/>
      <c r="BD22" s="14"/>
      <c r="BE22" s="14"/>
      <c r="BF22" s="14"/>
      <c r="BG22" s="14"/>
      <c r="BH22" s="1"/>
      <c r="BI22" s="1"/>
      <c r="BJ22" s="1"/>
      <c r="BK22" s="1"/>
      <c r="BL22" s="1"/>
      <c r="BM22" s="1"/>
      <c r="BN22" s="1"/>
      <c r="BO22" s="1"/>
      <c r="BP22" s="1"/>
      <c r="BQ22" s="1"/>
      <c r="BT22" s="1"/>
      <c r="BU22" s="1"/>
      <c r="BV22" s="1"/>
      <c r="BW22" s="1"/>
      <c r="BX22" s="1"/>
      <c r="BY22" s="1"/>
      <c r="BZ22" s="1"/>
      <c r="CA22" s="1"/>
      <c r="CB22" s="1"/>
      <c r="CC22" s="1"/>
      <c r="CD22" s="1"/>
      <c r="CE22" s="1"/>
      <c r="CF22" s="1"/>
      <c r="CG22" s="1"/>
      <c r="CH22" s="1"/>
      <c r="CI22" s="1"/>
      <c r="CJ22" s="1"/>
      <c r="CK22" s="1"/>
      <c r="CL22" s="1"/>
      <c r="CM22" s="1"/>
      <c r="CN22" s="1">
        <f>SUM('Long Term Deals'!CN211:CN212)</f>
        <v>182386.9124</v>
      </c>
      <c r="CV22" s="1">
        <f>SUM('Long Term Deals'!CV211:CV212)</f>
        <v>-182386.9124</v>
      </c>
      <c r="CZ22" s="13">
        <f t="shared" si="6"/>
        <v>0</v>
      </c>
    </row>
    <row r="23" spans="1:105" ht="10.199999999999999" x14ac:dyDescent="0.2">
      <c r="A23" s="56"/>
      <c r="G23" s="1"/>
      <c r="J23" s="1"/>
      <c r="K23" s="1"/>
      <c r="L23" s="1"/>
      <c r="M23" s="1"/>
      <c r="N23" s="1"/>
      <c r="O23" s="1"/>
      <c r="P23" s="1"/>
      <c r="Q23" s="1"/>
      <c r="R23" s="1"/>
      <c r="S23" s="1"/>
      <c r="T23" s="1"/>
      <c r="U23" s="1"/>
      <c r="V23" s="1"/>
      <c r="W23" s="1"/>
      <c r="X23" s="1"/>
      <c r="Y23" s="1"/>
      <c r="Z23" s="1"/>
      <c r="AA23" s="1"/>
      <c r="AB23" s="1"/>
      <c r="AC23" s="1"/>
      <c r="AD23" s="1"/>
      <c r="AE23" s="1"/>
      <c r="AF23" s="1"/>
      <c r="AH23" s="1"/>
      <c r="AI23" s="1"/>
      <c r="AJ23" s="1"/>
      <c r="AK23" s="1"/>
      <c r="AL23" s="1"/>
      <c r="AM23" s="1"/>
      <c r="AN23" s="1"/>
      <c r="AO23" s="1"/>
      <c r="AP23" s="1"/>
      <c r="AQ23" s="1"/>
      <c r="AR23" s="1"/>
      <c r="AS23" s="1"/>
      <c r="AT23" s="1"/>
      <c r="AU23" s="1"/>
      <c r="AW23" s="1"/>
      <c r="AX23" s="1"/>
      <c r="AY23" s="1"/>
      <c r="AZ23" s="1"/>
      <c r="BA23" s="1"/>
      <c r="BB23" s="6"/>
      <c r="BC23" s="14"/>
      <c r="BD23" s="14"/>
      <c r="BE23" s="14"/>
      <c r="BF23" s="14"/>
      <c r="BG23" s="14"/>
      <c r="BH23" s="1"/>
      <c r="BI23" s="1"/>
      <c r="BJ23" s="1"/>
      <c r="BK23" s="1"/>
      <c r="BL23" s="1"/>
      <c r="BM23" s="1"/>
      <c r="BN23" s="1"/>
      <c r="BO23" s="1"/>
      <c r="BP23" s="1"/>
      <c r="BQ23" s="1"/>
      <c r="BT23" s="1"/>
      <c r="BU23" s="1"/>
      <c r="BV23" s="1"/>
      <c r="BW23" s="1"/>
      <c r="BX23" s="1"/>
      <c r="BY23" s="1"/>
      <c r="BZ23" s="1"/>
      <c r="CA23" s="1"/>
      <c r="CB23" s="1"/>
      <c r="CC23" s="1"/>
      <c r="CD23" s="1"/>
      <c r="CE23" s="1"/>
      <c r="CF23" s="1"/>
      <c r="CG23" s="1"/>
      <c r="CH23" s="1"/>
      <c r="CI23" s="1"/>
      <c r="CJ23" s="1"/>
      <c r="CK23" s="1"/>
      <c r="CL23" s="1"/>
      <c r="CM23" s="1"/>
      <c r="CV23" s="13">
        <f>SUM(CV5:CV22)</f>
        <v>94123724.677513286</v>
      </c>
      <c r="CZ23" s="13">
        <f t="shared" si="6"/>
        <v>0</v>
      </c>
    </row>
    <row r="24" spans="1:105" customFormat="1" x14ac:dyDescent="0.25">
      <c r="A24" s="56"/>
      <c r="AG24" s="53"/>
      <c r="AV24" s="53"/>
      <c r="BB24" s="6"/>
      <c r="BC24" s="14"/>
      <c r="BD24" s="14"/>
      <c r="BE24" s="14"/>
      <c r="BF24" s="14"/>
      <c r="BG24" s="14"/>
      <c r="CQ24" s="53"/>
      <c r="CR24" s="53"/>
    </row>
    <row r="25" spans="1:105" customFormat="1" x14ac:dyDescent="0.25">
      <c r="A25" s="56"/>
      <c r="AG25" s="53"/>
      <c r="AV25" s="53"/>
      <c r="BB25" s="6"/>
      <c r="BC25" s="14"/>
      <c r="BD25" s="14"/>
      <c r="BE25" s="14"/>
      <c r="BF25" s="14"/>
      <c r="BG25" s="14"/>
      <c r="CQ25" s="53"/>
      <c r="CR25" s="53"/>
    </row>
    <row r="26" spans="1:105" customFormat="1" x14ac:dyDescent="0.25">
      <c r="A26" s="56"/>
      <c r="AG26" s="53"/>
      <c r="AV26" s="53"/>
      <c r="BB26" s="6"/>
      <c r="BC26" s="14"/>
      <c r="BD26" s="14"/>
      <c r="BE26" s="14"/>
      <c r="BF26" s="14"/>
      <c r="BG26" s="14"/>
      <c r="CQ26" s="53"/>
      <c r="CR26" s="53"/>
    </row>
    <row r="27" spans="1:105" x14ac:dyDescent="0.25">
      <c r="BB27" s="6"/>
      <c r="BC27" s="14"/>
      <c r="BD27" s="14"/>
      <c r="BE27" s="14"/>
      <c r="BF27" s="14"/>
      <c r="BG27" s="14"/>
      <c r="BQ27" s="13"/>
    </row>
    <row r="28" spans="1:105" x14ac:dyDescent="0.25">
      <c r="BB28" s="6"/>
      <c r="BC28" s="14"/>
      <c r="BD28" s="14"/>
      <c r="BE28" s="14"/>
      <c r="BF28" s="14"/>
      <c r="BG28" s="14"/>
      <c r="BQ28" s="13"/>
    </row>
    <row r="29" spans="1:105" x14ac:dyDescent="0.25">
      <c r="BB29" s="6"/>
      <c r="BC29" s="14"/>
      <c r="BD29" s="14"/>
      <c r="BE29" s="14"/>
      <c r="BF29" s="14"/>
      <c r="BG29" s="14"/>
      <c r="BQ29" s="13"/>
    </row>
    <row r="30" spans="1:105" x14ac:dyDescent="0.25">
      <c r="BB30" s="6"/>
      <c r="BC30" s="14"/>
      <c r="BD30" s="14"/>
      <c r="BE30" s="14"/>
      <c r="BF30" s="14"/>
      <c r="BG30" s="14"/>
    </row>
    <row r="31" spans="1:105" x14ac:dyDescent="0.25">
      <c r="BB31" s="6"/>
      <c r="BC31" s="14"/>
      <c r="BD31" s="14"/>
      <c r="BE31" s="14"/>
      <c r="BF31" s="14"/>
      <c r="BG31" s="14"/>
    </row>
    <row r="35" spans="67:67" x14ac:dyDescent="0.25">
      <c r="BO35" s="1"/>
    </row>
  </sheetData>
  <printOptions horizontalCentered="1" gridLines="1" gridLinesSet="0"/>
  <pageMargins left="0" right="0" top="0.75" bottom="0.25" header="0" footer="0"/>
  <pageSetup scale="80" orientation="landscape" horizontalDpi="300" verticalDpi="300" r:id="rId1"/>
  <headerFooter alignWithMargins="0"/>
  <colBreaks count="3" manualBreakCount="3">
    <brk id="13" max="1048575" man="1"/>
    <brk id="22" max="1048575" man="1"/>
    <brk id="3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12"/>
  <sheetViews>
    <sheetView zoomScale="75" workbookViewId="0">
      <pane xSplit="1" ySplit="4" topLeftCell="B5" activePane="bottomRight" state="frozen"/>
      <selection activeCell="BD42" sqref="BD42"/>
      <selection pane="topRight" activeCell="BD42" sqref="BD42"/>
      <selection pane="bottomLeft" activeCell="BD42" sqref="BD42"/>
      <selection pane="bottomRight" activeCell="A23" sqref="A23"/>
    </sheetView>
  </sheetViews>
  <sheetFormatPr defaultColWidth="9.109375" defaultRowHeight="10.199999999999999" x14ac:dyDescent="0.2"/>
  <cols>
    <col min="1" max="1" width="9.109375" style="3"/>
    <col min="2" max="2" width="6.33203125" style="3" customWidth="1"/>
    <col min="3" max="3" width="6" style="3" customWidth="1"/>
    <col min="4" max="4" width="6.44140625" style="3" customWidth="1"/>
    <col min="5" max="8" width="9.109375" style="3"/>
    <col min="9" max="9" width="10.5546875" style="3" customWidth="1"/>
    <col min="10" max="10" width="6.6640625" style="3" customWidth="1"/>
    <col min="11" max="11" width="12.33203125" style="3" customWidth="1"/>
    <col min="12" max="12" width="10.44140625" style="3" customWidth="1"/>
    <col min="13" max="14" width="9.109375" style="3"/>
    <col min="15" max="16" width="12" style="3" customWidth="1"/>
    <col min="17" max="18" width="10.88671875" style="3" customWidth="1"/>
    <col min="19" max="19" width="9.88671875" style="3" customWidth="1"/>
    <col min="20" max="16384" width="9.109375" style="3"/>
  </cols>
  <sheetData>
    <row r="3" spans="1:20" ht="19.2" customHeight="1" x14ac:dyDescent="0.25">
      <c r="B3" s="39" t="s">
        <v>0</v>
      </c>
      <c r="C3" s="5"/>
      <c r="D3" s="16"/>
      <c r="E3" s="16"/>
      <c r="F3" s="16"/>
      <c r="G3" s="16"/>
      <c r="H3" s="5"/>
      <c r="I3" s="5"/>
      <c r="J3" s="5"/>
      <c r="K3" s="5"/>
      <c r="L3" s="16"/>
      <c r="M3" s="5"/>
      <c r="N3" s="5"/>
      <c r="O3" s="5"/>
      <c r="P3" s="5"/>
      <c r="Q3" s="5"/>
      <c r="R3" s="5"/>
    </row>
    <row r="4" spans="1:20" s="8" customFormat="1" ht="61.2" x14ac:dyDescent="0.2">
      <c r="A4" s="8" t="s">
        <v>1</v>
      </c>
      <c r="B4" s="8" t="s">
        <v>29</v>
      </c>
      <c r="C4" s="8" t="s">
        <v>30</v>
      </c>
      <c r="D4" s="8" t="s">
        <v>31</v>
      </c>
      <c r="E4" s="8" t="s">
        <v>5</v>
      </c>
      <c r="F4" s="8" t="s">
        <v>6</v>
      </c>
      <c r="G4" s="8" t="s">
        <v>7</v>
      </c>
      <c r="H4" s="6" t="s">
        <v>8</v>
      </c>
      <c r="I4" s="7" t="s">
        <v>9</v>
      </c>
      <c r="J4" s="7" t="s">
        <v>10</v>
      </c>
      <c r="K4" s="6" t="s">
        <v>32</v>
      </c>
      <c r="L4" s="8" t="s">
        <v>11</v>
      </c>
      <c r="M4" s="8" t="s">
        <v>18</v>
      </c>
      <c r="N4" s="8" t="s">
        <v>19</v>
      </c>
      <c r="O4" s="8" t="s">
        <v>20</v>
      </c>
      <c r="P4" s="8" t="s">
        <v>21</v>
      </c>
      <c r="Q4" s="8" t="s">
        <v>22</v>
      </c>
      <c r="R4" s="8" t="s">
        <v>23</v>
      </c>
      <c r="S4" s="8" t="s">
        <v>24</v>
      </c>
      <c r="T4" s="8" t="s">
        <v>25</v>
      </c>
    </row>
    <row r="5" spans="1:20" x14ac:dyDescent="0.2">
      <c r="A5" s="10">
        <v>35749</v>
      </c>
      <c r="B5" s="6"/>
      <c r="C5" s="6"/>
      <c r="F5" s="1">
        <f>(700+1000)/(1-'Prices&amp;Fuel'!F5)</f>
        <v>1753.4811758638473</v>
      </c>
      <c r="H5" s="11">
        <f t="shared" ref="H5:H11" si="0">(2.79*700+2.68*1000)/F5</f>
        <v>2.6421726470588238</v>
      </c>
      <c r="K5" s="3">
        <f t="shared" ref="K5:K11" si="1">2.54</f>
        <v>2.54</v>
      </c>
      <c r="L5" s="14">
        <f>(B5+C5+D5+E5+F5+G5)*H5*'Prices&amp;Fuel'!H5</f>
        <v>138990</v>
      </c>
      <c r="M5" s="14"/>
      <c r="N5" s="14"/>
      <c r="Q5" s="1">
        <f>K5*F5*'Prices&amp;Fuel'!H5</f>
        <v>133615.26560082517</v>
      </c>
      <c r="R5" s="6">
        <f t="shared" ref="R5:R11" si="2">L5-Q5</f>
        <v>5374.7343991748348</v>
      </c>
    </row>
    <row r="6" spans="1:20" x14ac:dyDescent="0.2">
      <c r="A6" s="10">
        <f t="shared" ref="A6:A69" si="3">+A5+365/12</f>
        <v>35779.416666666664</v>
      </c>
      <c r="B6" s="6"/>
      <c r="C6" s="6"/>
      <c r="F6" s="1">
        <f>(700+1000)/(1-'Prices&amp;Fuel'!F6)</f>
        <v>1753.4811758638473</v>
      </c>
      <c r="H6" s="11">
        <f t="shared" si="0"/>
        <v>2.6421726470588238</v>
      </c>
      <c r="K6" s="3">
        <f t="shared" si="1"/>
        <v>2.54</v>
      </c>
      <c r="L6" s="14">
        <f>(B6+C6+D6+E6+F6+G6)*H6*'Prices&amp;Fuel'!H6</f>
        <v>143623</v>
      </c>
      <c r="M6" s="14"/>
      <c r="N6" s="14"/>
      <c r="Q6" s="1">
        <f>K6*F6*'Prices&amp;Fuel'!H6</f>
        <v>138069.10778751934</v>
      </c>
      <c r="R6" s="6">
        <f t="shared" si="2"/>
        <v>5553.8922124806559</v>
      </c>
    </row>
    <row r="7" spans="1:20" x14ac:dyDescent="0.2">
      <c r="A7" s="10">
        <f t="shared" si="3"/>
        <v>35809.833333333328</v>
      </c>
      <c r="B7" s="6"/>
      <c r="C7" s="6"/>
      <c r="F7" s="1">
        <f>(700+1000)/(1-'Prices&amp;Fuel'!F7)</f>
        <v>1753.4811758638473</v>
      </c>
      <c r="H7" s="11">
        <f t="shared" si="0"/>
        <v>2.6421726470588238</v>
      </c>
      <c r="K7" s="3">
        <f t="shared" si="1"/>
        <v>2.54</v>
      </c>
      <c r="L7" s="14">
        <f>(B7+C7+D7+E7+F7+G7)*H7*'Prices&amp;Fuel'!H7</f>
        <v>143623</v>
      </c>
      <c r="M7" s="14"/>
      <c r="N7" s="14"/>
      <c r="Q7" s="1">
        <f>K7*F7*'Prices&amp;Fuel'!H7</f>
        <v>138069.10778751934</v>
      </c>
      <c r="R7" s="6">
        <f t="shared" si="2"/>
        <v>5553.8922124806559</v>
      </c>
    </row>
    <row r="8" spans="1:20" x14ac:dyDescent="0.2">
      <c r="A8" s="10">
        <f t="shared" si="3"/>
        <v>35840.249999999993</v>
      </c>
      <c r="B8" s="6"/>
      <c r="C8" s="6"/>
      <c r="F8" s="1">
        <f>(700+1000)/(1-'Prices&amp;Fuel'!F8)</f>
        <v>1748.0719794344473</v>
      </c>
      <c r="H8" s="11">
        <f t="shared" si="0"/>
        <v>2.6503485294117648</v>
      </c>
      <c r="K8" s="3">
        <f t="shared" si="1"/>
        <v>2.54</v>
      </c>
      <c r="L8" s="14">
        <f>(B8+C8+D8+E8+F8+G8)*H8*'Prices&amp;Fuel'!H8</f>
        <v>129724</v>
      </c>
      <c r="M8" s="14"/>
      <c r="N8" s="14"/>
      <c r="Q8" s="1">
        <f>K8*F8*'Prices&amp;Fuel'!H8</f>
        <v>124322.87917737788</v>
      </c>
      <c r="R8" s="6">
        <f t="shared" si="2"/>
        <v>5401.1208226221206</v>
      </c>
    </row>
    <row r="9" spans="1:20" x14ac:dyDescent="0.2">
      <c r="A9" s="10">
        <f t="shared" si="3"/>
        <v>35870.666666666657</v>
      </c>
      <c r="B9" s="6"/>
      <c r="C9" s="6"/>
      <c r="F9" s="1">
        <f>(700+1000)/(1-'Prices&amp;Fuel'!F9)</f>
        <v>1748.0719794344473</v>
      </c>
      <c r="H9" s="11">
        <f t="shared" si="0"/>
        <v>2.6503485294117648</v>
      </c>
      <c r="K9" s="3">
        <f t="shared" si="1"/>
        <v>2.54</v>
      </c>
      <c r="L9" s="14">
        <f>(B9+C9+D9+E9+F9+G9)*H9*'Prices&amp;Fuel'!H9</f>
        <v>143623</v>
      </c>
      <c r="M9" s="14"/>
      <c r="N9" s="14"/>
      <c r="Q9" s="1">
        <f>K9*F9*'Prices&amp;Fuel'!H9</f>
        <v>137643.18766066837</v>
      </c>
      <c r="R9" s="6">
        <f t="shared" si="2"/>
        <v>5979.8123393316346</v>
      </c>
    </row>
    <row r="10" spans="1:20" x14ac:dyDescent="0.2">
      <c r="A10" s="10">
        <f t="shared" si="3"/>
        <v>35901.083333333321</v>
      </c>
      <c r="B10" s="6"/>
      <c r="C10" s="6"/>
      <c r="F10" s="1">
        <f>(700+1000)/(1-'Prices&amp;Fuel'!F10)</f>
        <v>1760.9281126993992</v>
      </c>
      <c r="H10" s="11">
        <f t="shared" si="0"/>
        <v>2.6309989411764705</v>
      </c>
      <c r="K10" s="3">
        <f t="shared" si="1"/>
        <v>2.54</v>
      </c>
      <c r="L10" s="14">
        <f>(B10+C10+D10+E10+F10+G10)*H10*'Prices&amp;Fuel'!H10</f>
        <v>138990</v>
      </c>
      <c r="M10" s="14"/>
      <c r="N10" s="14"/>
      <c r="Q10" s="1">
        <f>K10*F10*'Prices&amp;Fuel'!H10</f>
        <v>134182.72218769422</v>
      </c>
      <c r="R10" s="6">
        <f t="shared" si="2"/>
        <v>4807.2778123057797</v>
      </c>
    </row>
    <row r="11" spans="1:20" x14ac:dyDescent="0.2">
      <c r="A11" s="10">
        <f t="shared" si="3"/>
        <v>35931.499999999985</v>
      </c>
      <c r="B11" s="6"/>
      <c r="C11" s="6"/>
      <c r="F11" s="1">
        <f>(700+1000)/(1-'Prices&amp;Fuel'!F11)</f>
        <v>1751.8549051937346</v>
      </c>
      <c r="H11" s="11">
        <f t="shared" si="0"/>
        <v>2.6446254117647059</v>
      </c>
      <c r="K11" s="3">
        <f t="shared" si="1"/>
        <v>2.54</v>
      </c>
      <c r="L11" s="14">
        <f>(B11+C11+D11+E11+F11+G11)*H11*'Prices&amp;Fuel'!H11</f>
        <v>143623</v>
      </c>
      <c r="M11" s="14"/>
      <c r="N11" s="14"/>
      <c r="Q11" s="1">
        <f>K11*F11*'Prices&amp;Fuel'!H11</f>
        <v>137941.05523495466</v>
      </c>
      <c r="R11" s="6">
        <f t="shared" si="2"/>
        <v>5681.9447650453367</v>
      </c>
    </row>
    <row r="12" spans="1:20" x14ac:dyDescent="0.2">
      <c r="A12" s="10">
        <f t="shared" si="3"/>
        <v>35961.91666666665</v>
      </c>
      <c r="B12" s="6"/>
      <c r="C12" s="6"/>
    </row>
    <row r="13" spans="1:20" x14ac:dyDescent="0.2">
      <c r="A13" s="10">
        <f t="shared" si="3"/>
        <v>35992.333333333314</v>
      </c>
      <c r="B13" s="6"/>
      <c r="C13" s="6"/>
    </row>
    <row r="14" spans="1:20" x14ac:dyDescent="0.2">
      <c r="A14" s="10">
        <f t="shared" si="3"/>
        <v>36022.749999999978</v>
      </c>
      <c r="B14" s="6"/>
      <c r="C14" s="6"/>
    </row>
    <row r="15" spans="1:20" x14ac:dyDescent="0.2">
      <c r="A15" s="10">
        <f t="shared" si="3"/>
        <v>36053.166666666642</v>
      </c>
      <c r="B15" s="14"/>
      <c r="C15" s="14"/>
      <c r="D15" s="14"/>
    </row>
    <row r="16" spans="1:20" x14ac:dyDescent="0.2">
      <c r="A16" s="10">
        <f t="shared" si="3"/>
        <v>36083.583333333307</v>
      </c>
      <c r="B16" s="6"/>
      <c r="C16" s="14"/>
      <c r="D16" s="14"/>
      <c r="E16" s="14"/>
      <c r="F16" s="14"/>
      <c r="G16" s="14"/>
      <c r="H16" s="25"/>
      <c r="I16" s="14"/>
      <c r="J16" s="14"/>
      <c r="K16" s="25"/>
      <c r="L16" s="14"/>
      <c r="M16" s="14"/>
      <c r="N16" s="14"/>
      <c r="O16" s="14"/>
      <c r="P16" s="14"/>
      <c r="Q16" s="14"/>
      <c r="R16" s="6"/>
    </row>
    <row r="17" spans="1:20" x14ac:dyDescent="0.2">
      <c r="A17" s="10">
        <f t="shared" si="3"/>
        <v>36113.999999999971</v>
      </c>
      <c r="B17" s="6">
        <f>IF(T17-((E17+F17+G17)*(1-'Prices&amp;Fuel'!F17))&lt;'Prices&amp;Fuel'!R17,(T17-(E17+F17+G17)*(1-'Prices&amp;Fuel'!F17)),'Prices&amp;Fuel'!R17)/(1-'Prices&amp;Fuel'!F17)</f>
        <v>4329.9711815561959</v>
      </c>
      <c r="C17" s="14">
        <f>(T17/(1-'Prices&amp;Fuel'!F17))-D17-E17-F17-G17-B17</f>
        <v>0</v>
      </c>
      <c r="D17" s="14">
        <f>ROUND(IF(T17/(1-'Prices&amp;Fuel'!F17)-E17-F17-G17-B17&gt;'Prices&amp;Fuel'!T17,'Prices&amp;Fuel'!T17,T17/(1-'Prices&amp;Fuel'!F17)-E17-F17-G17-B17),9)</f>
        <v>0</v>
      </c>
      <c r="E17" s="14">
        <f>'Prices&amp;Fuel'!U17/(1-'Prices&amp;Fuel'!F17)</f>
        <v>2637.9168382050225</v>
      </c>
      <c r="F17" s="14">
        <f>('Prices&amp;Fuel'!V17+'Prices&amp;Fuel'!X17)/(1-'Prices&amp;Fuel'!F17)</f>
        <v>3648.6208316179495</v>
      </c>
      <c r="G17" s="14">
        <f>'Prices&amp;Fuel'!W17/(1-'Prices&amp;Fuel'!F17)</f>
        <v>1734.2527789213668</v>
      </c>
      <c r="H17" s="25">
        <f>('Prices&amp;Fuel'!C17+'Prices&amp;Fuel'!D17)/2-0.05+(('Prices&amp;Fuel'!M17+'Prices&amp;Fuel'!P17)*(1-'Prices&amp;Fuel'!F17))</f>
        <v>2.7057478799999997</v>
      </c>
      <c r="I17" s="14">
        <f>IF(FPL!L17=80000,0,B17)</f>
        <v>0</v>
      </c>
      <c r="J17" s="14"/>
      <c r="K17" s="25">
        <f>(((B17+E17)*('Prices&amp;Fuel'!B17+0.025))+(('Prices&amp;Fuel'!D17+0.025)*(D17+G17))+(('Prices&amp;Fuel'!C17+0.025)*(C17+F17))-(I17+J17)*0.025)/(B17+C17+D17+E17+F17+G17)</f>
        <v>1.964275</v>
      </c>
      <c r="L17" s="14">
        <f>(B17+C17+D17+E17+F17+G17)*H17*'Prices&amp;Fuel'!H17</f>
        <v>1002541.4129271304</v>
      </c>
      <c r="M17" s="14">
        <f>'Prices&amp;Fuel'!X17*('Prices&amp;Fuel'!N17+'Prices&amp;Fuel'!O17)*'Prices&amp;Fuel'!H17</f>
        <v>4720.8960000000006</v>
      </c>
      <c r="N17" s="14">
        <f>('Prices&amp;Fuel'!U17+'Prices&amp;Fuel'!V17+'Prices&amp;Fuel'!W17)*('Prices&amp;Fuel'!L17+'Prices&amp;Fuel'!O17)*'Prices&amp;Fuel'!H17</f>
        <v>86941.079999999987</v>
      </c>
      <c r="O17" s="14">
        <f>((B17+C17+D17)*(1-'Prices&amp;Fuel'!G17))*('Prices&amp;Fuel'!M17+'Prices&amp;Fuel'!P17)*'Prices&amp;Fuel'!H17</f>
        <v>104665.95299999998</v>
      </c>
      <c r="P17" s="14">
        <f>((B17+C17+D17+E17+F17+G17)/(1-'Prices&amp;Fuel'!F17))*(1-'Prices&amp;Fuel'!F17)*'Prices&amp;Fuel'!H17*0.005</f>
        <v>1852.6142445450801</v>
      </c>
      <c r="Q17" s="14">
        <f>((D17+C17+B17+E17+F17+G17)*K17*'Prices&amp;Fuel'!H17)+M17+N17+O17+P17</f>
        <v>925989.31228530244</v>
      </c>
      <c r="R17" s="6">
        <f t="shared" ref="R17:R48" si="4">L17-Q17</f>
        <v>76552.100641827914</v>
      </c>
      <c r="T17" s="3">
        <v>12000</v>
      </c>
    </row>
    <row r="18" spans="1:20" x14ac:dyDescent="0.2">
      <c r="A18" s="10">
        <f t="shared" si="3"/>
        <v>36144.416666666635</v>
      </c>
      <c r="B18" s="6">
        <f>IF(T18-((E18+F18+G18)*(1-'Prices&amp;Fuel'!F18))&lt;'Prices&amp;Fuel'!R18,(T18-(E18+F18+G18)*(1-'Prices&amp;Fuel'!F18)),'Prices&amp;Fuel'!R18)/(1-'Prices&amp;Fuel'!F18)</f>
        <v>4329.9711815561959</v>
      </c>
      <c r="C18" s="14">
        <f>(T18/(1-'Prices&amp;Fuel'!F18))-D18-E18-F18-G18-B18</f>
        <v>0</v>
      </c>
      <c r="D18" s="14">
        <f>ROUND(IF(T18/(1-'Prices&amp;Fuel'!F18)-E18-F18-G18-B18&gt;'Prices&amp;Fuel'!T18,'Prices&amp;Fuel'!T18,T18/(1-'Prices&amp;Fuel'!F18)-E18-F18-G18-B18),9)</f>
        <v>0</v>
      </c>
      <c r="E18" s="14">
        <f>'Prices&amp;Fuel'!U18/(1-'Prices&amp;Fuel'!F18)</f>
        <v>2637.9168382050225</v>
      </c>
      <c r="F18" s="14">
        <f>('Prices&amp;Fuel'!V18+'Prices&amp;Fuel'!X18)/(1-'Prices&amp;Fuel'!F18)</f>
        <v>3648.6208316179495</v>
      </c>
      <c r="G18" s="14">
        <f>'Prices&amp;Fuel'!W18/(1-'Prices&amp;Fuel'!F18)</f>
        <v>1734.2527789213668</v>
      </c>
      <c r="H18" s="25">
        <f>('Prices&amp;Fuel'!C18+'Prices&amp;Fuel'!D18)/2-0.05+(('Prices&amp;Fuel'!M18+'Prices&amp;Fuel'!P18)*(1-'Prices&amp;Fuel'!F18))</f>
        <v>2.8507478800000001</v>
      </c>
      <c r="I18" s="14">
        <f>IF(FPL!L18=80000,0,B18)</f>
        <v>0</v>
      </c>
      <c r="J18" s="14"/>
      <c r="K18" s="25">
        <f>(((B18+E18)*('Prices&amp;Fuel'!B18+0.025))+(('Prices&amp;Fuel'!D18+0.025)*(D18+G18))+(('Prices&amp;Fuel'!C18+0.025)*(C18+F18))-(I18+J18)*0.025)/(B18+C18+D18+E18+F18+G18)</f>
        <v>2.1097708333333332</v>
      </c>
      <c r="L18" s="14">
        <f>(B18+C18+D18+E18+F18+G18)*H18*'Prices&amp;Fuel'!H18</f>
        <v>1091476.1335529024</v>
      </c>
      <c r="M18" s="14">
        <f>'Prices&amp;Fuel'!X18*('Prices&amp;Fuel'!N18+'Prices&amp;Fuel'!O18)*'Prices&amp;Fuel'!H18</f>
        <v>4878.2592000000004</v>
      </c>
      <c r="N18" s="14">
        <f>('Prices&amp;Fuel'!U18+'Prices&amp;Fuel'!V18+'Prices&amp;Fuel'!W18)*('Prices&amp;Fuel'!L18+'Prices&amp;Fuel'!O18)*'Prices&amp;Fuel'!H18</f>
        <v>89839.115999999995</v>
      </c>
      <c r="O18" s="14">
        <f>((B18+C18+D18)*(1-'Prices&amp;Fuel'!G18))*('Prices&amp;Fuel'!M18+'Prices&amp;Fuel'!P18)*'Prices&amp;Fuel'!H18</f>
        <v>108154.81809999999</v>
      </c>
      <c r="P18" s="14">
        <f>((B18+C18+D18+E18+F18+G18)/(1-'Prices&amp;Fuel'!F18))*(1-'Prices&amp;Fuel'!F18)*'Prices&amp;Fuel'!H18*0.005</f>
        <v>1914.3680526965827</v>
      </c>
      <c r="Q18" s="14">
        <f>((D18+C18+B18+E18+F18+G18)*K18*'Prices&amp;Fuel'!H18)+M18+N18+O18+P18</f>
        <v>1012562.1377215727</v>
      </c>
      <c r="R18" s="6">
        <f t="shared" si="4"/>
        <v>78913.995831329725</v>
      </c>
      <c r="T18" s="3">
        <f>T17</f>
        <v>12000</v>
      </c>
    </row>
    <row r="19" spans="1:20" x14ac:dyDescent="0.2">
      <c r="A19" s="10">
        <f t="shared" si="3"/>
        <v>36174.833333333299</v>
      </c>
      <c r="B19" s="6">
        <f>IF(T19-((E19+F19+G19)*(1-'Prices&amp;Fuel'!F19))&lt;'Prices&amp;Fuel'!R19,(T19-(E19+F19+G19)*(1-'Prices&amp;Fuel'!F19)),'Prices&amp;Fuel'!R19)/(1-'Prices&amp;Fuel'!F19)</f>
        <v>4314.8717948717949</v>
      </c>
      <c r="C19" s="14">
        <f>(T19/(1-'Prices&amp;Fuel'!F19))-D19-E19-F19-G19-B19</f>
        <v>0</v>
      </c>
      <c r="D19" s="14">
        <f>ROUND(IF(T19/(1-'Prices&amp;Fuel'!F19)-E19-F19-G19-B19&gt;'Prices&amp;Fuel'!T19,'Prices&amp;Fuel'!T19,T19/(1-'Prices&amp;Fuel'!F19)-E19-F19-G19-B19),9)</f>
        <v>0</v>
      </c>
      <c r="E19" s="14">
        <f>'Prices&amp;Fuel'!U19/(1-'Prices&amp;Fuel'!F19)</f>
        <v>2628.7179487179487</v>
      </c>
      <c r="F19" s="14">
        <f>('Prices&amp;Fuel'!V19+'Prices&amp;Fuel'!X19)/(1-'Prices&amp;Fuel'!F19)</f>
        <v>3635.897435897436</v>
      </c>
      <c r="G19" s="14">
        <f>'Prices&amp;Fuel'!W19/(1-'Prices&amp;Fuel'!F19)</f>
        <v>1728.2051282051282</v>
      </c>
      <c r="H19" s="25">
        <f>('Prices&amp;Fuel'!C19+'Prices&amp;Fuel'!D19)/2-0.05+(('Prices&amp;Fuel'!M19+'Prices&amp;Fuel'!P19)*(1-'Prices&amp;Fuel'!F19))</f>
        <v>2.5114224999999997</v>
      </c>
      <c r="I19" s="14">
        <f>IF(FPL!L19=80000,0,B19)</f>
        <v>0</v>
      </c>
      <c r="J19" s="14"/>
      <c r="K19" s="25">
        <f>(((B19+E19)*('Prices&amp;Fuel'!B19+0.025))+(('Prices&amp;Fuel'!D19+0.025)*(D19+G19))+(('Prices&amp;Fuel'!C19+0.025)*(C19+F19))-(I19+J19)*0.025)/(B19+C19+D19+E19+F19+G19)</f>
        <v>1.7697708333333331</v>
      </c>
      <c r="L19" s="14">
        <f>(B19+C19+D19+E19+F19+G19)*H19*'Prices&amp;Fuel'!H19</f>
        <v>958204.27692307695</v>
      </c>
      <c r="M19" s="14">
        <f>'Prices&amp;Fuel'!X19*('Prices&amp;Fuel'!N19+'Prices&amp;Fuel'!O19)*'Prices&amp;Fuel'!H19</f>
        <v>4850.7343000000001</v>
      </c>
      <c r="N19" s="14">
        <f>('Prices&amp;Fuel'!U19+'Prices&amp;Fuel'!V19+'Prices&amp;Fuel'!W19)*('Prices&amp;Fuel'!L19+'Prices&amp;Fuel'!O19)*'Prices&amp;Fuel'!H19</f>
        <v>89354.214000000007</v>
      </c>
      <c r="O19" s="14">
        <f>((B19+C19+D19)*(1-'Prices&amp;Fuel'!G19))*('Prices&amp;Fuel'!M19+'Prices&amp;Fuel'!P19)*'Prices&amp;Fuel'!H19</f>
        <v>107867.9007</v>
      </c>
      <c r="P19" s="14">
        <f>((B19+C19+D19+E19+F19+G19)/(1-'Prices&amp;Fuel'!F19))*(1-'Prices&amp;Fuel'!F19)*'Prices&amp;Fuel'!H19*0.005</f>
        <v>1907.6923076923078</v>
      </c>
      <c r="Q19" s="14">
        <f>((D19+C19+B19+E19+F19+G19)*K19*'Prices&amp;Fuel'!H19)+M19+N19+O19+P19</f>
        <v>879216.1823333333</v>
      </c>
      <c r="R19" s="6">
        <f>L19-Q19</f>
        <v>78988.094589743647</v>
      </c>
      <c r="S19" s="65">
        <f>R19/(B19+C19+D19+E19+F19+G19)/'Prices&amp;Fuel'!H19</f>
        <v>0.20702524791666679</v>
      </c>
      <c r="T19" s="3">
        <f>T18</f>
        <v>12000</v>
      </c>
    </row>
    <row r="20" spans="1:20" x14ac:dyDescent="0.2">
      <c r="A20" s="10">
        <f t="shared" si="3"/>
        <v>36205.249999999964</v>
      </c>
      <c r="B20" s="6">
        <f>IF(T20-((E20+F20+G20)*(1-'Prices&amp;Fuel'!F20))&lt;'Prices&amp;Fuel'!R20,(T20-(E20+F20+G20)*(1-'Prices&amp;Fuel'!F20)),'Prices&amp;Fuel'!R20)/(1-'Prices&amp;Fuel'!F20)</f>
        <v>4314.8717948717949</v>
      </c>
      <c r="C20" s="14">
        <f>(T20/(1-'Prices&amp;Fuel'!F20))-D20-E20-F20-G20-B20</f>
        <v>0</v>
      </c>
      <c r="D20" s="14">
        <f>ROUND(IF(T20/(1-'Prices&amp;Fuel'!F20)-E20-F20-G20-B20&gt;'Prices&amp;Fuel'!T20,'Prices&amp;Fuel'!T20,T20/(1-'Prices&amp;Fuel'!F20)-E20-F20-G20-B20),9)</f>
        <v>0</v>
      </c>
      <c r="E20" s="14">
        <f>'Prices&amp;Fuel'!U20/(1-'Prices&amp;Fuel'!F20)</f>
        <v>2628.7179487179487</v>
      </c>
      <c r="F20" s="14">
        <f>('Prices&amp;Fuel'!V20+'Prices&amp;Fuel'!X20)/(1-'Prices&amp;Fuel'!F20)</f>
        <v>3635.897435897436</v>
      </c>
      <c r="G20" s="14">
        <f>'Prices&amp;Fuel'!W20/(1-'Prices&amp;Fuel'!F20)</f>
        <v>1728.2051282051282</v>
      </c>
      <c r="H20" s="25">
        <f>('Prices&amp;Fuel'!C20+'Prices&amp;Fuel'!D20)/2-0.05+(('Prices&amp;Fuel'!M20+'Prices&amp;Fuel'!P20)*(1-'Prices&amp;Fuel'!F20))</f>
        <v>2.5114224999999997</v>
      </c>
      <c r="I20" s="14">
        <f>IF(FPL!L20=80000,0,B20)</f>
        <v>0</v>
      </c>
      <c r="J20" s="14"/>
      <c r="K20" s="25">
        <f>(((B20+E20)*('Prices&amp;Fuel'!B20+0.025))+(('Prices&amp;Fuel'!D20+0.025)*(D20+G20))+(('Prices&amp;Fuel'!C20+0.025)*(C20+F20))-(I20+J20)*0.025)/(B20+C20+D20+E20+F20+G20)</f>
        <v>1.7738624999999999</v>
      </c>
      <c r="L20" s="14">
        <f>(B20+C20+D20+E20+F20+G20)*H20*'Prices&amp;Fuel'!H20</f>
        <v>865474.83076923073</v>
      </c>
      <c r="M20" s="14">
        <f>'Prices&amp;Fuel'!X20*('Prices&amp;Fuel'!N20+'Prices&amp;Fuel'!O20)*'Prices&amp;Fuel'!H20</f>
        <v>4381.3083999999999</v>
      </c>
      <c r="N20" s="14">
        <f>('Prices&amp;Fuel'!U20+'Prices&amp;Fuel'!V20+'Prices&amp;Fuel'!W20)*('Prices&amp;Fuel'!L20+'Prices&amp;Fuel'!O20)*'Prices&amp;Fuel'!H20</f>
        <v>80707.032000000007</v>
      </c>
      <c r="O20" s="14">
        <f>((B20+C20+D20)*(1-'Prices&amp;Fuel'!G20))*('Prices&amp;Fuel'!M20+'Prices&amp;Fuel'!P20)*'Prices&amp;Fuel'!H20</f>
        <v>97429.071599999996</v>
      </c>
      <c r="P20" s="14">
        <f>((B20+C20+D20+E20+F20+G20)/(1-'Prices&amp;Fuel'!F20))*(1-'Prices&amp;Fuel'!F20)*'Prices&amp;Fuel'!H20*0.005</f>
        <v>1723.0769230769231</v>
      </c>
      <c r="Q20" s="14">
        <f>((D20+C20+B20+E20+F20+G20)*K20*'Prices&amp;Fuel'!H20)+M20+N20+O20+P20</f>
        <v>795540.79661538464</v>
      </c>
      <c r="R20" s="6">
        <f>L20-Q20</f>
        <v>69934.034153846093</v>
      </c>
      <c r="S20" s="65">
        <f>R20/(B20+C20+D20+E20+F20+G20)/'Prices&amp;Fuel'!H20</f>
        <v>0.2029335812499998</v>
      </c>
      <c r="T20" s="3">
        <f>T19</f>
        <v>12000</v>
      </c>
    </row>
    <row r="21" spans="1:20" x14ac:dyDescent="0.2">
      <c r="A21" s="10">
        <f t="shared" si="3"/>
        <v>36235.666666666628</v>
      </c>
      <c r="B21" s="6">
        <f>IF(T21-((E21+F21+G21)*(1-'Prices&amp;Fuel'!F21))&lt;'Prices&amp;Fuel'!R21,(T21-(E21+F21+G21)*(1-'Prices&amp;Fuel'!F21)),'Prices&amp;Fuel'!R21)/(1-'Prices&amp;Fuel'!F21)</f>
        <v>4314.8717948717949</v>
      </c>
      <c r="C21" s="14">
        <f>(T21/(1-'Prices&amp;Fuel'!F21))-D21-E21-F21-G21-B21</f>
        <v>0</v>
      </c>
      <c r="D21" s="14">
        <f>ROUND(IF(T21/(1-'Prices&amp;Fuel'!F21)-E21-F21-G21-B21&gt;'Prices&amp;Fuel'!T21,'Prices&amp;Fuel'!T21,T21/(1-'Prices&amp;Fuel'!F21)-E21-F21-G21-B21),9)</f>
        <v>0</v>
      </c>
      <c r="E21" s="14">
        <f>'Prices&amp;Fuel'!U21/(1-'Prices&amp;Fuel'!F21)</f>
        <v>2628.7179487179487</v>
      </c>
      <c r="F21" s="14">
        <f>('Prices&amp;Fuel'!V21+'Prices&amp;Fuel'!X21)/(1-'Prices&amp;Fuel'!F21)</f>
        <v>3635.897435897436</v>
      </c>
      <c r="G21" s="14">
        <f>'Prices&amp;Fuel'!W21/(1-'Prices&amp;Fuel'!F21)</f>
        <v>1728.2051282051282</v>
      </c>
      <c r="H21" s="25">
        <f>('Prices&amp;Fuel'!C21+'Prices&amp;Fuel'!D21)/2-0.05+(('Prices&amp;Fuel'!M21+'Prices&amp;Fuel'!P21)*(1-'Prices&amp;Fuel'!F21))</f>
        <v>2.3367125</v>
      </c>
      <c r="I21" s="14">
        <f>IF(FPL!L21=80000,0,B21)</f>
        <v>0</v>
      </c>
      <c r="J21" s="14"/>
      <c r="K21" s="25">
        <f>(((B21+E21)*('Prices&amp;Fuel'!B21+0.025))+(('Prices&amp;Fuel'!D21+0.025)*(D21+G21))+(('Prices&amp;Fuel'!C21+0.025)*(C21+F21))-(I21+J21)*0.025)/(B21+C21+D21+E21+F21+G21)</f>
        <v>1.6282208333333335</v>
      </c>
      <c r="L21" s="14">
        <f>(B21+C21+D21+E21+F21+G21)*H21*'Prices&amp;Fuel'!H21</f>
        <v>891545.69230769237</v>
      </c>
      <c r="M21" s="14">
        <f>'Prices&amp;Fuel'!X21*('Prices&amp;Fuel'!N21+'Prices&amp;Fuel'!O21)*'Prices&amp;Fuel'!H21</f>
        <v>4850.7343000000001</v>
      </c>
      <c r="N21" s="14">
        <f>('Prices&amp;Fuel'!U21+'Prices&amp;Fuel'!V21+'Prices&amp;Fuel'!W21)*('Prices&amp;Fuel'!L21+'Prices&amp;Fuel'!O21)*'Prices&amp;Fuel'!H21</f>
        <v>89354.214000000007</v>
      </c>
      <c r="O21" s="14">
        <f>((B21+C21+D21)*(1-'Prices&amp;Fuel'!G21))*('Prices&amp;Fuel'!M21+'Prices&amp;Fuel'!P21)*'Prices&amp;Fuel'!H21</f>
        <v>103225.0555</v>
      </c>
      <c r="P21" s="14">
        <f>((B21+C21+D21+E21+F21+G21)/(1-'Prices&amp;Fuel'!F21))*(1-'Prices&amp;Fuel'!F21)*'Prices&amp;Fuel'!H21*0.005</f>
        <v>1907.6923076923078</v>
      </c>
      <c r="Q21" s="14">
        <f>((D21+C21+B21+E21+F21+G21)*K21*'Prices&amp;Fuel'!H21)+M21+N21+O21+P21</f>
        <v>820566.56790256419</v>
      </c>
      <c r="R21" s="6">
        <f t="shared" si="4"/>
        <v>70979.124405128183</v>
      </c>
      <c r="S21" s="65">
        <f>R21/(B21+C21+D21+E21+F21+G21)/'Prices&amp;Fuel'!H21</f>
        <v>0.1860339954166666</v>
      </c>
      <c r="T21" s="3">
        <f t="shared" ref="T21:T28" si="5">T20</f>
        <v>12000</v>
      </c>
    </row>
    <row r="22" spans="1:20" x14ac:dyDescent="0.2">
      <c r="A22" s="10">
        <f t="shared" si="3"/>
        <v>36266.083333333292</v>
      </c>
      <c r="B22" s="6">
        <f>IF(T22-((E22+F22+G22)*(1-'Prices&amp;Fuel'!F22))&lt;'Prices&amp;Fuel'!R22,(T22-(E22+F22+G22)*(1-'Prices&amp;Fuel'!F22)),'Prices&amp;Fuel'!R22)/(1-'Prices&amp;Fuel'!F22)</f>
        <v>6262.5641025641025</v>
      </c>
      <c r="C22" s="14">
        <f>(T22/(1-'Prices&amp;Fuel'!F22))-D22-E22-F22-G22-B22</f>
        <v>0</v>
      </c>
      <c r="D22" s="14">
        <f>ROUND(IF(T22/(1-'Prices&amp;Fuel'!F22)-E22-F22-G22-B22&gt;'Prices&amp;Fuel'!T22,'Prices&amp;Fuel'!T22,T22/(1-'Prices&amp;Fuel'!F22)-E22-F22-G22-B22),9)</f>
        <v>0</v>
      </c>
      <c r="E22" s="14">
        <f>'Prices&amp;Fuel'!U22/(1-'Prices&amp;Fuel'!F22)</f>
        <v>1928.2051282051282</v>
      </c>
      <c r="F22" s="14">
        <f>('Prices&amp;Fuel'!V22+'Prices&amp;Fuel'!X22)/(1-'Prices&amp;Fuel'!F22)</f>
        <v>2826.6666666666665</v>
      </c>
      <c r="G22" s="14">
        <f>'Prices&amp;Fuel'!W22/(1-'Prices&amp;Fuel'!F22)</f>
        <v>1290.2564102564104</v>
      </c>
      <c r="H22" s="25">
        <f>('Prices&amp;Fuel'!C22+'Prices&amp;Fuel'!D22)/2-0.05+(('Prices&amp;Fuel'!M22+'Prices&amp;Fuel'!P22)*(1-'Prices&amp;Fuel'!F22))</f>
        <v>2.5933424999999999</v>
      </c>
      <c r="I22" s="14">
        <f>IF(FPL!L22=80000,0,B22)</f>
        <v>0</v>
      </c>
      <c r="J22" s="14"/>
      <c r="K22" s="25">
        <f>(((B22+E22)*('Prices&amp;Fuel'!B22+0.025))+(('Prices&amp;Fuel'!D22+0.025)*(D22+G22))+(('Prices&amp;Fuel'!C22+0.025)*(C22+F22))-(I22+J22)*0.025)/(B22+C22+D22+E22+F22+G22)</f>
        <v>1.875235</v>
      </c>
      <c r="L22" s="14">
        <f>(B22+C22+D22+E22+F22+G22)*H22*'Prices&amp;Fuel'!H22</f>
        <v>957541.84615384601</v>
      </c>
      <c r="M22" s="14">
        <f>'Prices&amp;Fuel'!X22*('Prices&amp;Fuel'!N22+'Prices&amp;Fuel'!O22)*'Prices&amp;Fuel'!H22</f>
        <v>4833.5909999999994</v>
      </c>
      <c r="N22" s="14">
        <f>('Prices&amp;Fuel'!U22+'Prices&amp;Fuel'!V22+'Prices&amp;Fuel'!W22)*('Prices&amp;Fuel'!L22+'Prices&amp;Fuel'!O22)*'Prices&amp;Fuel'!H22</f>
        <v>64439.226000000002</v>
      </c>
      <c r="O22" s="14">
        <f>((B22+C22+D22)*(1-'Prices&amp;Fuel'!G22))*('Prices&amp;Fuel'!M22+'Prices&amp;Fuel'!P22)*'Prices&amp;Fuel'!H22</f>
        <v>146232.59400000001</v>
      </c>
      <c r="P22" s="14">
        <f>((B22+C22+D22+E22+F22+G22)/(1-'Prices&amp;Fuel'!F22))*(1-'Prices&amp;Fuel'!F22)*'Prices&amp;Fuel'!H22*0.005</f>
        <v>1846.153846153846</v>
      </c>
      <c r="Q22" s="14">
        <f>((D22+C22+B22+E22+F22+G22)*K22*'Prices&amp;Fuel'!H22)+M22+N22+O22+P22</f>
        <v>909746.02638461546</v>
      </c>
      <c r="R22" s="6">
        <f t="shared" si="4"/>
        <v>47795.819769230555</v>
      </c>
      <c r="S22" s="65">
        <f>R22/(B22+C22+D22+E22+F22+G22)/'Prices&amp;Fuel'!H22</f>
        <v>0.12944701187499943</v>
      </c>
      <c r="T22" s="3">
        <f t="shared" si="5"/>
        <v>12000</v>
      </c>
    </row>
    <row r="23" spans="1:20" x14ac:dyDescent="0.2">
      <c r="A23" s="10">
        <f t="shared" si="3"/>
        <v>36296.499999999956</v>
      </c>
      <c r="B23" s="6">
        <f>IF(T23-((E23+F23+G23)*(1-'Prices&amp;Fuel'!F23))&lt;'Prices&amp;Fuel'!R23,(T23-(E23+F23+G23)*(1-'Prices&amp;Fuel'!F23)),'Prices&amp;Fuel'!R23)/(1-'Prices&amp;Fuel'!F23)</f>
        <v>9000</v>
      </c>
      <c r="C23" s="14">
        <f>(T23/(1-'Prices&amp;Fuel'!F23))-D23-E23-F23-G23-B23</f>
        <v>-3.383320290595293E-10</v>
      </c>
      <c r="D23" s="14">
        <f>ROUND(IF(T23/(1-'Prices&amp;Fuel'!F23)-E23-F23-G23-B23&gt;'Prices&amp;Fuel'!T23,'Prices&amp;Fuel'!T23,T23/(1-'Prices&amp;Fuel'!F23)-E23-F23-G23-B23),9)</f>
        <v>6573.1958762889999</v>
      </c>
      <c r="E23" s="14">
        <f>'Prices&amp;Fuel'!U23/(1-'Prices&amp;Fuel'!F23)</f>
        <v>1938.1443298969073</v>
      </c>
      <c r="F23" s="14">
        <f>('Prices&amp;Fuel'!V23+'Prices&amp;Fuel'!X23)/(1-'Prices&amp;Fuel'!F23)</f>
        <v>3070.1030927835054</v>
      </c>
      <c r="G23" s="14">
        <f>'Prices&amp;Fuel'!W23/(1-'Prices&amp;Fuel'!F23)</f>
        <v>1068.0412371134021</v>
      </c>
      <c r="H23" s="25">
        <f>('Prices&amp;Fuel'!C23+'Prices&amp;Fuel'!D23)/2-0.05+(('Prices&amp;Fuel'!M23+'Prices&amp;Fuel'!P23)*(1-'Prices&amp;Fuel'!F23))</f>
        <v>3.0493510000000006</v>
      </c>
      <c r="I23" s="14">
        <f>IF(FPL!L23=80000,0,B23)</f>
        <v>0</v>
      </c>
      <c r="J23" s="14"/>
      <c r="K23" s="25">
        <f>(((B23+E23)*('Prices&amp;Fuel'!B23+0.025))+(('Prices&amp;Fuel'!D23+0.025)*(D23+G23))+(('Prices&amp;Fuel'!C23+0.025)*(C23+F23))-(I23+J23)*0.025)/(B23+C23+D23+E23+F23+G23)</f>
        <v>2.3320904761904755</v>
      </c>
      <c r="L23" s="14">
        <f>(B23+C23+D23+E23+F23+G23)*H23*'Prices&amp;Fuel'!H23</f>
        <v>2046523.1969072169</v>
      </c>
      <c r="M23" s="14">
        <f>'Prices&amp;Fuel'!X23*('Prices&amp;Fuel'!N23+'Prices&amp;Fuel'!O23)*'Prices&amp;Fuel'!H23</f>
        <v>4994.7106999999996</v>
      </c>
      <c r="N23" s="14">
        <f>('Prices&amp;Fuel'!U23+'Prices&amp;Fuel'!V23+'Prices&amp;Fuel'!W23)*('Prices&amp;Fuel'!L23+'Prices&amp;Fuel'!O23)*'Prices&amp;Fuel'!H23</f>
        <v>66587.200200000007</v>
      </c>
      <c r="O23" s="14">
        <f>((B23+C23+D23)*(1-'Prices&amp;Fuel'!G23))*('Prices&amp;Fuel'!M23+'Prices&amp;Fuel'!P23)*'Prices&amp;Fuel'!H23</f>
        <v>373832.71380000009</v>
      </c>
      <c r="P23" s="14">
        <f>((B23+C23+D23+E23+F23+G23)/(1-'Prices&amp;Fuel'!F23))*(1-'Prices&amp;Fuel'!F23)*'Prices&amp;Fuel'!H23*0.005</f>
        <v>3355.6701030927834</v>
      </c>
      <c r="Q23" s="14">
        <f>((D23+C23+B23+E23+F23+G23)*K23*'Prices&amp;Fuel'!H23)+M23+N23+O23+P23</f>
        <v>2013915.552535051</v>
      </c>
      <c r="R23" s="6">
        <f t="shared" si="4"/>
        <v>32607.644372165902</v>
      </c>
      <c r="S23" s="65">
        <f>R23/(B23+C23+D23+E23+F23+G23)/'Prices&amp;Fuel'!H23</f>
        <v>4.8585891000001422E-2</v>
      </c>
      <c r="T23" s="3">
        <v>21000</v>
      </c>
    </row>
    <row r="24" spans="1:20" x14ac:dyDescent="0.2">
      <c r="A24" s="10">
        <f t="shared" si="3"/>
        <v>36326.916666666621</v>
      </c>
      <c r="B24" s="6">
        <f>IF(T24-((E24+F24+G24)*(1-'Prices&amp;Fuel'!F24))&lt;'Prices&amp;Fuel'!R24,(T24-(E24+F24+G24)*(1-'Prices&amp;Fuel'!F24)),'Prices&amp;Fuel'!R24)/(1-'Prices&amp;Fuel'!F24)</f>
        <v>9000</v>
      </c>
      <c r="C24" s="14">
        <f>(T24/(1-'Prices&amp;Fuel'!F24))-D24-E24-F24-G24-B24</f>
        <v>-3.383320290595293E-10</v>
      </c>
      <c r="D24" s="14">
        <f>ROUND(IF(T24/(1-'Prices&amp;Fuel'!F24)-E24-F24-G24-B24&gt;'Prices&amp;Fuel'!T24,'Prices&amp;Fuel'!T24,T24/(1-'Prices&amp;Fuel'!F24)-E24-F24-G24-B24),9)</f>
        <v>6573.1958762889999</v>
      </c>
      <c r="E24" s="14">
        <f>'Prices&amp;Fuel'!U24/(1-'Prices&amp;Fuel'!F24)</f>
        <v>1938.1443298969073</v>
      </c>
      <c r="F24" s="14">
        <f>('Prices&amp;Fuel'!V24+'Prices&amp;Fuel'!X24)/(1-'Prices&amp;Fuel'!F24)</f>
        <v>3070.1030927835054</v>
      </c>
      <c r="G24" s="14">
        <f>'Prices&amp;Fuel'!W24/(1-'Prices&amp;Fuel'!F24)</f>
        <v>1068.0412371134021</v>
      </c>
      <c r="H24" s="25">
        <f>('Prices&amp;Fuel'!C24+'Prices&amp;Fuel'!D24)/2-0.05+(('Prices&amp;Fuel'!M24+'Prices&amp;Fuel'!P24)*(1-'Prices&amp;Fuel'!F24))</f>
        <v>2.9443510000000002</v>
      </c>
      <c r="I24" s="14">
        <f>IF(FPL!L24=80000,0,B24)</f>
        <v>0</v>
      </c>
      <c r="J24" s="14"/>
      <c r="K24" s="25">
        <f>(((B24+E24)*('Prices&amp;Fuel'!B24+0.025))+(('Prices&amp;Fuel'!D24+0.025)*(D24+G24))+(('Prices&amp;Fuel'!C24+0.025)*(C24+F24))-(I24+J24)*0.025)/(B24+C24+D24+E24+F24+G24)</f>
        <v>2.2327838095238093</v>
      </c>
      <c r="L24" s="14">
        <f>(B24+C24+D24+E24+F24+G24)*H24*'Prices&amp;Fuel'!H24</f>
        <v>1912310.4432989692</v>
      </c>
      <c r="M24" s="14">
        <f>'Prices&amp;Fuel'!X24*('Prices&amp;Fuel'!N24+'Prices&amp;Fuel'!O24)*'Prices&amp;Fuel'!H24</f>
        <v>4833.5909999999994</v>
      </c>
      <c r="N24" s="14">
        <f>('Prices&amp;Fuel'!U24+'Prices&amp;Fuel'!V24+'Prices&amp;Fuel'!W24)*('Prices&amp;Fuel'!L24+'Prices&amp;Fuel'!O24)*'Prices&amp;Fuel'!H24</f>
        <v>64439.226000000002</v>
      </c>
      <c r="O24" s="14">
        <f>((B24+C24+D24)*(1-'Prices&amp;Fuel'!G24))*('Prices&amp;Fuel'!M24+'Prices&amp;Fuel'!P24)*'Prices&amp;Fuel'!H24</f>
        <v>361773.59400000004</v>
      </c>
      <c r="P24" s="14">
        <f>((B24+C24+D24+E24+F24+G24)/(1-'Prices&amp;Fuel'!F24))*(1-'Prices&amp;Fuel'!F24)*'Prices&amp;Fuel'!H24*0.005</f>
        <v>3247.4226804123709</v>
      </c>
      <c r="Q24" s="14">
        <f>((D24+C24+B24+E24+F24+G24)*K24*'Prices&amp;Fuel'!H24)+M24+N24+O24+P24</f>
        <v>1884452.3903814433</v>
      </c>
      <c r="R24" s="6">
        <f t="shared" si="4"/>
        <v>27858.052917525871</v>
      </c>
      <c r="S24" s="65">
        <f>R24/(B24+C24+D24+E24+F24+G24)/'Prices&amp;Fuel'!H24</f>
        <v>4.2892557666666817E-2</v>
      </c>
      <c r="T24" s="3">
        <f t="shared" si="5"/>
        <v>21000</v>
      </c>
    </row>
    <row r="25" spans="1:20" x14ac:dyDescent="0.2">
      <c r="A25" s="10">
        <f t="shared" si="3"/>
        <v>36357.333333333285</v>
      </c>
      <c r="B25" s="6">
        <f>IF(T25-((E25+F25+G25)*(1-'Prices&amp;Fuel'!F25))&lt;'Prices&amp;Fuel'!R25,(T25-(E25+F25+G25)*(1-'Prices&amp;Fuel'!F25)),'Prices&amp;Fuel'!R25)/(1-'Prices&amp;Fuel'!F25)</f>
        <v>9000</v>
      </c>
      <c r="C25" s="14">
        <f>(T25/(1-'Prices&amp;Fuel'!F25))-D25-E25-F25-G25-B25</f>
        <v>-3.383320290595293E-10</v>
      </c>
      <c r="D25" s="14">
        <f>ROUND(IF(T25/(1-'Prices&amp;Fuel'!F25)-E25-F25-G25-B25&gt;'Prices&amp;Fuel'!T25,'Prices&amp;Fuel'!T25,T25/(1-'Prices&amp;Fuel'!F25)-E25-F25-G25-B25),9)</f>
        <v>6573.1958762889999</v>
      </c>
      <c r="E25" s="14">
        <f>'Prices&amp;Fuel'!U25/(1-'Prices&amp;Fuel'!F25)</f>
        <v>1938.1443298969073</v>
      </c>
      <c r="F25" s="14">
        <f>('Prices&amp;Fuel'!V25+'Prices&amp;Fuel'!X25)/(1-'Prices&amp;Fuel'!F25)</f>
        <v>3070.1030927835054</v>
      </c>
      <c r="G25" s="14">
        <f>'Prices&amp;Fuel'!W25/(1-'Prices&amp;Fuel'!F25)</f>
        <v>1068.0412371134021</v>
      </c>
      <c r="H25" s="25">
        <f>('Prices&amp;Fuel'!C25+'Prices&amp;Fuel'!D25)/2-0.05+(('Prices&amp;Fuel'!M25+'Prices&amp;Fuel'!P25)*(1-'Prices&amp;Fuel'!F25))</f>
        <v>2.9793510000000003</v>
      </c>
      <c r="I25" s="14">
        <f>IF(FPL!L25=80000,0,B25)</f>
        <v>0</v>
      </c>
      <c r="J25" s="14">
        <v>217</v>
      </c>
      <c r="K25" s="25">
        <f>(((B25+E25)*('Prices&amp;Fuel'!B25+0.025))+(('Prices&amp;Fuel'!D25+0.025)*(D25+G25))+(('Prices&amp;Fuel'!C25+0.025)*(C25+F25))-(I25+J25)*0.025)/(B25+C25+D25+E25+F25+G25)</f>
        <v>2.2690037023809522</v>
      </c>
      <c r="L25" s="14">
        <f>(B25+C25+D25+E25+F25+G25)*H25*'Prices&amp;Fuel'!H25</f>
        <v>1999543.8154639176</v>
      </c>
      <c r="M25" s="14">
        <f>'Prices&amp;Fuel'!X25*('Prices&amp;Fuel'!N25+'Prices&amp;Fuel'!O25)*'Prices&amp;Fuel'!H25</f>
        <v>4994.7106999999996</v>
      </c>
      <c r="N25" s="14">
        <f>('Prices&amp;Fuel'!U25+'Prices&amp;Fuel'!V25+'Prices&amp;Fuel'!W25)*('Prices&amp;Fuel'!L25+'Prices&amp;Fuel'!O25)*'Prices&amp;Fuel'!H25</f>
        <v>66587.200200000007</v>
      </c>
      <c r="O25" s="14">
        <f>((B25+C25+D25)*(1-'Prices&amp;Fuel'!G25))*('Prices&amp;Fuel'!M25+'Prices&amp;Fuel'!P25)*'Prices&amp;Fuel'!H25</f>
        <v>373832.71380000009</v>
      </c>
      <c r="P25" s="14">
        <f>((B25+C25+D25+E25+F25+G25)/(1-'Prices&amp;Fuel'!F25))*(1-'Prices&amp;Fuel'!F25)*'Prices&amp;Fuel'!H25*0.005</f>
        <v>3355.6701030927834</v>
      </c>
      <c r="Q25" s="14">
        <f>((D25+C25+B25+E25+F25+G25)*K25*'Prices&amp;Fuel'!H25)+M25+N25+O25+P25</f>
        <v>1971575.872380412</v>
      </c>
      <c r="R25" s="6">
        <f t="shared" si="4"/>
        <v>27967.943083505612</v>
      </c>
      <c r="S25" s="65">
        <f>R25/(B25+C25+D25+E25+F25+G25)/'Prices&amp;Fuel'!H25</f>
        <v>4.1672664809524494E-2</v>
      </c>
      <c r="T25" s="3">
        <f t="shared" si="5"/>
        <v>21000</v>
      </c>
    </row>
    <row r="26" spans="1:20" x14ac:dyDescent="0.2">
      <c r="A26" s="10">
        <f t="shared" si="3"/>
        <v>36387.749999999949</v>
      </c>
      <c r="B26" s="6">
        <f>IF(T26-((E26+F26+G26)*(1-'Prices&amp;Fuel'!F26))&lt;'Prices&amp;Fuel'!R26,(T26-(E26+F26+G26)*(1-'Prices&amp;Fuel'!F26)),'Prices&amp;Fuel'!R26)/(1-'Prices&amp;Fuel'!F26)</f>
        <v>9000</v>
      </c>
      <c r="C26" s="14">
        <f>(T26/(1-'Prices&amp;Fuel'!F26))-D26-E26-F26-G26-B26</f>
        <v>-3.383320290595293E-10</v>
      </c>
      <c r="D26" s="14">
        <f>ROUND(IF(T26/(1-'Prices&amp;Fuel'!F26)-E26-F26-G26-B26&gt;'Prices&amp;Fuel'!T26,'Prices&amp;Fuel'!T26,T26/(1-'Prices&amp;Fuel'!F26)-E26-F26-G26-B26),9)</f>
        <v>6573.1958762889999</v>
      </c>
      <c r="E26" s="14">
        <f>'Prices&amp;Fuel'!U26/(1-'Prices&amp;Fuel'!F26)</f>
        <v>1938.1443298969073</v>
      </c>
      <c r="F26" s="14">
        <f>('Prices&amp;Fuel'!V26+'Prices&amp;Fuel'!X26)/(1-'Prices&amp;Fuel'!F26)</f>
        <v>3070.1030927835054</v>
      </c>
      <c r="G26" s="14">
        <f>'Prices&amp;Fuel'!W26/(1-'Prices&amp;Fuel'!F26)</f>
        <v>1068.0412371134021</v>
      </c>
      <c r="H26" s="25">
        <f>('Prices&amp;Fuel'!C26+'Prices&amp;Fuel'!D26)/2-0.05+(('Prices&amp;Fuel'!M26+'Prices&amp;Fuel'!P26)*(1-'Prices&amp;Fuel'!F26))</f>
        <v>3.3143510000000003</v>
      </c>
      <c r="I26" s="14">
        <f>IF(FPL!L26=80000,0,B26)</f>
        <v>0</v>
      </c>
      <c r="J26" s="14">
        <v>68</v>
      </c>
      <c r="K26" s="25">
        <f>(((B26+E26)*('Prices&amp;Fuel'!B26+0.025))+(('Prices&amp;Fuel'!D26+0.025)*(D26+G26))+(('Prices&amp;Fuel'!C26+0.025)*(C26+F26))-(I26+J26)*0.025)/(B26+C26+D26+E26+F26+G26)</f>
        <v>2.6005938571428571</v>
      </c>
      <c r="L26" s="14">
        <f>(B26+C26+D26+E26+F26+G26)*H26*'Prices&amp;Fuel'!H26</f>
        <v>2224373.7123711342</v>
      </c>
      <c r="M26" s="14">
        <f>'Prices&amp;Fuel'!X26*('Prices&amp;Fuel'!N26+'Prices&amp;Fuel'!O26)*'Prices&amp;Fuel'!H26</f>
        <v>4994.7106999999996</v>
      </c>
      <c r="N26" s="14">
        <f>('Prices&amp;Fuel'!U26+'Prices&amp;Fuel'!V26+'Prices&amp;Fuel'!W26)*('Prices&amp;Fuel'!L26+'Prices&amp;Fuel'!O26)*'Prices&amp;Fuel'!H26</f>
        <v>66587.200200000007</v>
      </c>
      <c r="O26" s="14">
        <f>((B26+C26+D26)*(1-'Prices&amp;Fuel'!G26))*('Prices&amp;Fuel'!M26+'Prices&amp;Fuel'!P26)*'Prices&amp;Fuel'!H26</f>
        <v>373832.71380000009</v>
      </c>
      <c r="P26" s="14">
        <f>((B26+C26+D26+E26+F26+G26)/(1-'Prices&amp;Fuel'!F26))*(1-'Prices&amp;Fuel'!F26)*'Prices&amp;Fuel'!H26*0.005</f>
        <v>3355.6701030927834</v>
      </c>
      <c r="Q26" s="14">
        <f>((D26+C26+B26+E26+F26+G26)*K26*'Prices&amp;Fuel'!H26)+M26+N26+O26+P26</f>
        <v>2194117.3061432987</v>
      </c>
      <c r="R26" s="6">
        <f t="shared" si="4"/>
        <v>30256.406227835454</v>
      </c>
      <c r="S26" s="65">
        <f>R26/(B26+C26+D26+E26+F26+G26)/'Prices&amp;Fuel'!H26</f>
        <v>4.5082510047619644E-2</v>
      </c>
      <c r="T26" s="3">
        <f t="shared" si="5"/>
        <v>21000</v>
      </c>
    </row>
    <row r="27" spans="1:20" x14ac:dyDescent="0.2">
      <c r="A27" s="10">
        <f t="shared" si="3"/>
        <v>36418.166666666613</v>
      </c>
      <c r="B27" s="6">
        <f>IF(T27-((E27+F27+G27)*(1-'Prices&amp;Fuel'!F27))&lt;'Prices&amp;Fuel'!R27,(T27-(E27+F27+G27)*(1-'Prices&amp;Fuel'!F27)),'Prices&amp;Fuel'!R27)/(1-'Prices&amp;Fuel'!F27)</f>
        <v>9000</v>
      </c>
      <c r="C27" s="14">
        <f>(T27/(1-'Prices&amp;Fuel'!F27))-D27-E27-F27-G27-B27</f>
        <v>-3.383320290595293E-10</v>
      </c>
      <c r="D27" s="14">
        <f>ROUND(IF(T27/(1-'Prices&amp;Fuel'!F27)-E27-F27-G27-B27&gt;'Prices&amp;Fuel'!T27,'Prices&amp;Fuel'!T27,T27/(1-'Prices&amp;Fuel'!F27)-E27-F27-G27-B27),9)</f>
        <v>6573.1958762889999</v>
      </c>
      <c r="E27" s="14">
        <f>'Prices&amp;Fuel'!U27/(1-'Prices&amp;Fuel'!F27)</f>
        <v>1938.1443298969073</v>
      </c>
      <c r="F27" s="14">
        <f>('Prices&amp;Fuel'!V27+'Prices&amp;Fuel'!X27)/(1-'Prices&amp;Fuel'!F27)</f>
        <v>3070.1030927835054</v>
      </c>
      <c r="G27" s="14">
        <f>'Prices&amp;Fuel'!W27/(1-'Prices&amp;Fuel'!F27)</f>
        <v>1068.0412371134021</v>
      </c>
      <c r="H27" s="25">
        <f>('Prices&amp;Fuel'!C27+'Prices&amp;Fuel'!D27)/2-0.05+(('Prices&amp;Fuel'!M27+'Prices&amp;Fuel'!P27)*(1-'Prices&amp;Fuel'!F27))</f>
        <v>3.6043510000000003</v>
      </c>
      <c r="I27" s="14">
        <f>IF(FPL!L27=80000,0,B27)</f>
        <v>0</v>
      </c>
      <c r="J27" s="14">
        <v>68</v>
      </c>
      <c r="K27" s="25">
        <f>(((B27+E27)*('Prices&amp;Fuel'!B27+0.025))+(('Prices&amp;Fuel'!D27+0.025)*(D27+G27))+(('Prices&amp;Fuel'!C27+0.025)*(C27+F27))-(I27+J27)*0.025)/(B27+C27+D27+E27+F27+G27)</f>
        <v>2.8905938571428571</v>
      </c>
      <c r="L27" s="14">
        <f>(B27+C27+D27+E27+F27+G27)*H27*'Prices&amp;Fuel'!H27</f>
        <v>2340970.2371134022</v>
      </c>
      <c r="M27" s="14">
        <f>'Prices&amp;Fuel'!X27*('Prices&amp;Fuel'!N27+'Prices&amp;Fuel'!O27)*'Prices&amp;Fuel'!H27</f>
        <v>4833.5909999999994</v>
      </c>
      <c r="N27" s="14">
        <f>('Prices&amp;Fuel'!U27+'Prices&amp;Fuel'!V27+'Prices&amp;Fuel'!W27)*('Prices&amp;Fuel'!L27+'Prices&amp;Fuel'!O27)*'Prices&amp;Fuel'!H27</f>
        <v>64439.226000000002</v>
      </c>
      <c r="O27" s="14">
        <f>((B27+C27+D27)*(1-'Prices&amp;Fuel'!G27))*('Prices&amp;Fuel'!M27+'Prices&amp;Fuel'!P27)*'Prices&amp;Fuel'!H27</f>
        <v>361773.59400000004</v>
      </c>
      <c r="P27" s="14">
        <f>((B27+C27+D27+E27+F27+G27)/(1-'Prices&amp;Fuel'!F27))*(1-'Prices&amp;Fuel'!F27)*'Prices&amp;Fuel'!H27*0.005</f>
        <v>3247.4226804123709</v>
      </c>
      <c r="Q27" s="14">
        <f>((D27+C27+B27+E27+F27+G27)*K27*'Prices&amp;Fuel'!H27)+M27+N27+O27+P27</f>
        <v>2311689.8439896908</v>
      </c>
      <c r="R27" s="6">
        <f t="shared" si="4"/>
        <v>29280.393123711459</v>
      </c>
      <c r="S27" s="65">
        <f>R27/(B27+C27+D27+E27+F27+G27)/'Prices&amp;Fuel'!H27</f>
        <v>4.5082510047619234E-2</v>
      </c>
      <c r="T27" s="3">
        <f t="shared" si="5"/>
        <v>21000</v>
      </c>
    </row>
    <row r="28" spans="1:20" x14ac:dyDescent="0.2">
      <c r="A28" s="10">
        <f t="shared" si="3"/>
        <v>36448.583333333278</v>
      </c>
      <c r="B28" s="6">
        <f>IF(T28-((E28+F28+G28)*(1-'Prices&amp;Fuel'!F28))&lt;'Prices&amp;Fuel'!R28,(T28-(E28+F28+G28)*(1-'Prices&amp;Fuel'!F28)),'Prices&amp;Fuel'!R28)/(1-'Prices&amp;Fuel'!F28)</f>
        <v>8976.8637532133671</v>
      </c>
      <c r="C28" s="14">
        <f>(T28/(1-'Prices&amp;Fuel'!F28))-D28-E28-F28-G28-B28</f>
        <v>2.0190782379359007E-10</v>
      </c>
      <c r="D28" s="14">
        <f>ROUND(IF(T28/(1-'Prices&amp;Fuel'!F28)-E28-F28-G28-B28&gt;'Prices&amp;Fuel'!T28,'Prices&amp;Fuel'!T28,T28/(1-'Prices&amp;Fuel'!F28)-E28-F28-G28-B28),9)</f>
        <v>3514.6529562979999</v>
      </c>
      <c r="E28" s="14">
        <f>'Prices&amp;Fuel'!U28/(1-'Prices&amp;Fuel'!F28)</f>
        <v>2910.025706940874</v>
      </c>
      <c r="F28" s="14">
        <f>('Prices&amp;Fuel'!V28+'Prices&amp;Fuel'!X28)/(1-'Prices&amp;Fuel'!F28)</f>
        <v>4628.2776349614396</v>
      </c>
      <c r="G28" s="14">
        <f>'Prices&amp;Fuel'!W28/(1-'Prices&amp;Fuel'!F28)</f>
        <v>1564.0102827763496</v>
      </c>
      <c r="H28" s="25">
        <f>('Prices&amp;Fuel'!C28+'Prices&amp;Fuel'!D28)/2-0.05+(('Prices&amp;Fuel'!M28+'Prices&amp;Fuel'!P28)*(1-'Prices&amp;Fuel'!F28))</f>
        <v>3.2439322500000003</v>
      </c>
      <c r="I28" s="14">
        <f>IF(FPL!L28=80000,0,B28)</f>
        <v>8976.8637532133671</v>
      </c>
      <c r="J28" s="14">
        <v>68</v>
      </c>
      <c r="K28" s="25">
        <f>(((B28+E28)*('Prices&amp;Fuel'!B28+0.025))+(('Prices&amp;Fuel'!D28+0.025)*(D28+G28))+(('Prices&amp;Fuel'!C28+0.025)*(C28+F28))-(I28+J28)*0.025)/(B28+C28+D28+E28+F28+G28)</f>
        <v>2.5131017500000006</v>
      </c>
      <c r="L28" s="14">
        <f>(B28+C28+D28+E28+F28+G28)*H28*'Prices&amp;Fuel'!H28</f>
        <v>2171516.6012853472</v>
      </c>
      <c r="M28" s="14">
        <f>'Prices&amp;Fuel'!X28*('Prices&amp;Fuel'!N28+'Prices&amp;Fuel'!O28)*'Prices&amp;Fuel'!H28</f>
        <v>7562.2547000000013</v>
      </c>
      <c r="N28" s="14">
        <f>('Prices&amp;Fuel'!U28+'Prices&amp;Fuel'!V28+'Prices&amp;Fuel'!W28)*('Prices&amp;Fuel'!L28+'Prices&amp;Fuel'!O28)*'Prices&amp;Fuel'!H28</f>
        <v>102220.02000000002</v>
      </c>
      <c r="O28" s="14">
        <f>((B28+C28+D28)*(1-'Prices&amp;Fuel'!G28))*('Prices&amp;Fuel'!M28+'Prices&amp;Fuel'!P28)*'Prices&amp;Fuel'!H28</f>
        <v>303567.58679999999</v>
      </c>
      <c r="P28" s="14">
        <f>((B28+C28+D28+E28+F28+G28)/(1-'Prices&amp;Fuel'!F28))*(1-'Prices&amp;Fuel'!F28)*'Prices&amp;Fuel'!H28*0.005</f>
        <v>3347.0437017994859</v>
      </c>
      <c r="Q28" s="14">
        <f>((D28+C28+B28+E28+F28+G28)*K28*'Prices&amp;Fuel'!H28)+M28+N28+O28+P28</f>
        <v>2098989.182065553</v>
      </c>
      <c r="R28" s="6">
        <f t="shared" si="4"/>
        <v>72527.419219794217</v>
      </c>
      <c r="S28" s="65">
        <f>R28/(B28+C28+D28+E28+F28+G28)/'Prices&amp;Fuel'!H28</f>
        <v>0.1083454918452379</v>
      </c>
      <c r="T28" s="3">
        <f t="shared" si="5"/>
        <v>21000</v>
      </c>
    </row>
    <row r="29" spans="1:20" x14ac:dyDescent="0.2">
      <c r="A29" s="10">
        <f t="shared" si="3"/>
        <v>36478.999999999942</v>
      </c>
      <c r="B29" s="6">
        <f>IF(T29-((E29+F29+G29)*(1-'Prices&amp;Fuel'!F29))&lt;'Prices&amp;Fuel'!R29,(T29-(E29+F29+G29)*(1-'Prices&amp;Fuel'!F29)),'Prices&amp;Fuel'!R29)/(1-'Prices&amp;Fuel'!F29)</f>
        <v>4325.9640102827761</v>
      </c>
      <c r="C29" s="14">
        <f>(T29/(1-'Prices&amp;Fuel'!F29))-D29-E29-F29-G29-B29</f>
        <v>0</v>
      </c>
      <c r="D29" s="14">
        <f>ROUND(IF(T29/(1-'Prices&amp;Fuel'!F29)-E29-F29-G29-B29&gt;'Prices&amp;Fuel'!T29,'Prices&amp;Fuel'!T29,T29/(1-'Prices&amp;Fuel'!F29)-E29-F29-G29-B29),9)</f>
        <v>0</v>
      </c>
      <c r="E29" s="14">
        <f>'Prices&amp;Fuel'!U29/(1-'Prices&amp;Fuel'!F29)</f>
        <v>2635.4755784061695</v>
      </c>
      <c r="F29" s="14">
        <f>('Prices&amp;Fuel'!V29+'Prices&amp;Fuel'!X29)/(1-'Prices&amp;Fuel'!F29)</f>
        <v>3645.2442159383031</v>
      </c>
      <c r="G29" s="14">
        <f>'Prices&amp;Fuel'!W29/(1-'Prices&amp;Fuel'!F29)</f>
        <v>1732.6478149100255</v>
      </c>
      <c r="H29" s="25">
        <f>('Prices&amp;Fuel'!C29+'Prices&amp;Fuel'!D29)/2-0.05+(('Prices&amp;Fuel'!M29+'Prices&amp;Fuel'!P29)*(1-'Prices&amp;Fuel'!F29))</f>
        <v>3.7339322500000005</v>
      </c>
      <c r="I29" s="14">
        <f>IF(FPL!L29=80000,0,B29)</f>
        <v>4325.9640102827761</v>
      </c>
      <c r="J29" s="14">
        <v>68</v>
      </c>
      <c r="K29" s="25">
        <f>(((B29+E29)*('Prices&amp;Fuel'!B29+0.025))+(('Prices&amp;Fuel'!D29+0.025)*(D29+G29))+(('Prices&amp;Fuel'!C29+0.025)*(C29+F29))-(I29+J29)*0.025)/(B29+C29+D29+E29+F29+G29)</f>
        <v>3.0079143125000001</v>
      </c>
      <c r="L29" s="14">
        <f>(B29+C29+D29+E29+F29+G29)*H29*'Prices&amp;Fuel'!H29</f>
        <v>1382226.8483290488</v>
      </c>
      <c r="M29" s="14">
        <f>'Prices&amp;Fuel'!X29*('Prices&amp;Fuel'!N29+'Prices&amp;Fuel'!O29)*'Prices&amp;Fuel'!H29</f>
        <v>4993.4130000000005</v>
      </c>
      <c r="N29" s="14">
        <f>('Prices&amp;Fuel'!U29+'Prices&amp;Fuel'!V29+'Prices&amp;Fuel'!W29)*('Prices&amp;Fuel'!L29+'Prices&amp;Fuel'!O29)*'Prices&amp;Fuel'!H29</f>
        <v>89586.000000000015</v>
      </c>
      <c r="O29" s="14">
        <f>((B29+C29+D29)*(1-'Prices&amp;Fuel'!G29))*('Prices&amp;Fuel'!M29+'Prices&amp;Fuel'!P29)*'Prices&amp;Fuel'!H29</f>
        <v>101737.88100000001</v>
      </c>
      <c r="P29" s="14">
        <f>((B29+C29+D29+E29+F29+G29)/(1-'Prices&amp;Fuel'!F29))*(1-'Prices&amp;Fuel'!F29)*'Prices&amp;Fuel'!H29*0.005</f>
        <v>1850.8997429305912</v>
      </c>
      <c r="Q29" s="14">
        <f>((D29+C29+B29+E29+F29+G29)*K29*'Prices&amp;Fuel'!H29)+M29+N29+O29+P29</f>
        <v>1311637.7592956298</v>
      </c>
      <c r="R29" s="6">
        <f t="shared" si="4"/>
        <v>70589.089033419034</v>
      </c>
      <c r="S29" s="65">
        <f>R29/(B29+C29+D29+E29+F29+G29)/'Prices&amp;Fuel'!H29</f>
        <v>0.1906885807916667</v>
      </c>
      <c r="T29" s="3">
        <v>12000</v>
      </c>
    </row>
    <row r="30" spans="1:20" x14ac:dyDescent="0.2">
      <c r="A30" s="10">
        <f t="shared" si="3"/>
        <v>36509.416666666606</v>
      </c>
      <c r="B30" s="6">
        <f>IF(T30-((E30+F30+G30)*(1-'Prices&amp;Fuel'!F30))&lt;'Prices&amp;Fuel'!R30,(T30-(E30+F30+G30)*(1-'Prices&amp;Fuel'!F30)),'Prices&amp;Fuel'!R30)/(1-'Prices&amp;Fuel'!F30)</f>
        <v>4325.9640102827761</v>
      </c>
      <c r="C30" s="14">
        <f>(T30/(1-'Prices&amp;Fuel'!F30))-D30-E30-F30-G30-B30</f>
        <v>0</v>
      </c>
      <c r="D30" s="14">
        <f>ROUND(IF(T30/(1-'Prices&amp;Fuel'!F30)-E30-F30-G30-B30&gt;'Prices&amp;Fuel'!T30,'Prices&amp;Fuel'!T30,T30/(1-'Prices&amp;Fuel'!F30)-E30-F30-G30-B30),9)</f>
        <v>0</v>
      </c>
      <c r="E30" s="14">
        <f>'Prices&amp;Fuel'!U30/(1-'Prices&amp;Fuel'!F30)</f>
        <v>2635.4755784061695</v>
      </c>
      <c r="F30" s="14">
        <f>('Prices&amp;Fuel'!V30+'Prices&amp;Fuel'!X30)/(1-'Prices&amp;Fuel'!F30)</f>
        <v>3645.2442159383031</v>
      </c>
      <c r="G30" s="14">
        <f>'Prices&amp;Fuel'!W30/(1-'Prices&amp;Fuel'!F30)</f>
        <v>1732.6478149100255</v>
      </c>
      <c r="H30" s="25">
        <f>('Prices&amp;Fuel'!C30+'Prices&amp;Fuel'!D30)/2-0.05+(('Prices&amp;Fuel'!M30+'Prices&amp;Fuel'!P30)*(1-'Prices&amp;Fuel'!F30))</f>
        <v>2.8539322500000006</v>
      </c>
      <c r="I30" s="14">
        <f>IF(FPL!L30=80000,0,B30)</f>
        <v>4325.9640102827761</v>
      </c>
      <c r="J30" s="14">
        <v>68</v>
      </c>
      <c r="K30" s="25">
        <f>(((B30+E30)*('Prices&amp;Fuel'!B30+0.025))+(('Prices&amp;Fuel'!D30+0.025)*(D30+G30))+(('Prices&amp;Fuel'!C30+0.025)*(C30+F30))-(I30+J30)*0.025)/(B30+C30+D30+E30+F30+G30)</f>
        <v>2.1279143125000002</v>
      </c>
      <c r="L30" s="14">
        <f>(B30+C30+D30+E30+F30+G30)*H30*'Prices&amp;Fuel'!H30</f>
        <v>1091684.1100257069</v>
      </c>
      <c r="M30" s="14">
        <f>'Prices&amp;Fuel'!X30*('Prices&amp;Fuel'!N30+'Prices&amp;Fuel'!O30)*'Prices&amp;Fuel'!H30</f>
        <v>5159.8600999999999</v>
      </c>
      <c r="N30" s="14">
        <f>('Prices&amp;Fuel'!U30+'Prices&amp;Fuel'!V30+'Prices&amp;Fuel'!W30)*('Prices&amp;Fuel'!L30+'Prices&amp;Fuel'!O30)*'Prices&amp;Fuel'!H30</f>
        <v>92572.200000000012</v>
      </c>
      <c r="O30" s="14">
        <f>((B30+C30+D30)*(1-'Prices&amp;Fuel'!G30))*('Prices&amp;Fuel'!M30+'Prices&amp;Fuel'!P30)*'Prices&amp;Fuel'!H30</f>
        <v>105129.1437</v>
      </c>
      <c r="P30" s="14">
        <f>((B30+C30+D30+E30+F30+G30)/(1-'Prices&amp;Fuel'!F30))*(1-'Prices&amp;Fuel'!F30)*'Prices&amp;Fuel'!H30*0.005</f>
        <v>1912.5964010282776</v>
      </c>
      <c r="Q30" s="14">
        <f>((D30+C30+B30+E30+F30+G30)*K30*'Prices&amp;Fuel'!H30)+M30+N30+O30+P30</f>
        <v>1018742.0513578408</v>
      </c>
      <c r="R30" s="6">
        <f t="shared" si="4"/>
        <v>72942.058667866164</v>
      </c>
      <c r="S30" s="65">
        <f>R30/(B30+C30+D30+E30+F30+G30)/'Prices&amp;Fuel'!H30</f>
        <v>0.19068858079166626</v>
      </c>
      <c r="T30" s="3">
        <f>T29</f>
        <v>12000</v>
      </c>
    </row>
    <row r="31" spans="1:20" x14ac:dyDescent="0.2">
      <c r="A31" s="10">
        <f t="shared" si="3"/>
        <v>36539.83333333327</v>
      </c>
      <c r="B31" s="6">
        <f>IF(T31-((E31+F31+G31)*(1-'Prices&amp;Fuel'!F31))&lt;'Prices&amp;Fuel'!R31,(T31-(E31+F31+G31)*(1-'Prices&amp;Fuel'!F31)),'Prices&amp;Fuel'!R31)/(1-'Prices&amp;Fuel'!F31)</f>
        <v>4325.9640102827761</v>
      </c>
      <c r="C31" s="14">
        <f>(T31/(1-'Prices&amp;Fuel'!F31))-D31-E31-F31-G31-B31</f>
        <v>0</v>
      </c>
      <c r="D31" s="14">
        <f>ROUND(IF(T31/(1-'Prices&amp;Fuel'!F31)-E31-F31-G31-B31&gt;'Prices&amp;Fuel'!T31,'Prices&amp;Fuel'!T31,T31/(1-'Prices&amp;Fuel'!F31)-E31-F31-G31-B31),9)</f>
        <v>0</v>
      </c>
      <c r="E31" s="14">
        <f>'Prices&amp;Fuel'!U31/(1-'Prices&amp;Fuel'!F31)</f>
        <v>2635.4755784061695</v>
      </c>
      <c r="F31" s="14">
        <f>('Prices&amp;Fuel'!V31+'Prices&amp;Fuel'!X31)/(1-'Prices&amp;Fuel'!F31)</f>
        <v>3645.2442159383031</v>
      </c>
      <c r="G31" s="14">
        <f>'Prices&amp;Fuel'!W31/(1-'Prices&amp;Fuel'!F31)</f>
        <v>1732.6478149100255</v>
      </c>
      <c r="H31" s="25">
        <f>('Prices&amp;Fuel'!C31+'Prices&amp;Fuel'!D31)/2-0.05+(('Prices&amp;Fuel'!M31+'Prices&amp;Fuel'!P31)*(1-'Prices&amp;Fuel'!F31))</f>
        <v>3.0626680000000004</v>
      </c>
      <c r="I31" s="14">
        <f>IF(FPL!L31=80000,0,B31)</f>
        <v>4325.9640102827761</v>
      </c>
      <c r="J31" s="14"/>
      <c r="K31" s="25">
        <f>(((B31+E31)*('Prices&amp;Fuel'!B31+0.025))+(('Prices&amp;Fuel'!D31+0.025)*(D31+G31))+(('Prices&amp;Fuel'!C31+0.025)*(C31+F31))-(I31+J31)*0.025)/(B31+C31+D31+E31+F31+G31)</f>
        <v>2.3380520833333338</v>
      </c>
      <c r="L31" s="14">
        <f>(B31+C31+D31+E31+F31+G31)*H31*'Prices&amp;Fuel'!H31</f>
        <v>1171529.5588688946</v>
      </c>
      <c r="M31" s="14">
        <f>'Prices&amp;Fuel'!X31*('Prices&amp;Fuel'!N31+'Prices&amp;Fuel'!O31)*'Prices&amp;Fuel'!H31</f>
        <v>8865.1350999999995</v>
      </c>
      <c r="N31" s="14">
        <f>('Prices&amp;Fuel'!U31+'Prices&amp;Fuel'!V31+'Prices&amp;Fuel'!W31)*('Prices&amp;Fuel'!L31+'Prices&amp;Fuel'!O31)*'Prices&amp;Fuel'!H31</f>
        <v>92285.667000000016</v>
      </c>
      <c r="O31" s="14">
        <f>((B31+C31+D31)*(1-'Prices&amp;Fuel'!G31))*('Prices&amp;Fuel'!M31+'Prices&amp;Fuel'!P31)*'Prices&amp;Fuel'!H31</f>
        <v>104959.60159999999</v>
      </c>
      <c r="P31" s="14">
        <f>((B31+C31+D31+E31+F31+G31)/(1-'Prices&amp;Fuel'!F31))*(1-'Prices&amp;Fuel'!F31)*'Prices&amp;Fuel'!H31*0.005</f>
        <v>1912.5964010282776</v>
      </c>
      <c r="Q31" s="14">
        <f>((D31+C31+B31+E31+F31+G31)*K31*'Prices&amp;Fuel'!H31)+M31+N31+O31+P31</f>
        <v>1102373.0001010285</v>
      </c>
      <c r="R31" s="6">
        <f t="shared" si="4"/>
        <v>69156.55876786611</v>
      </c>
      <c r="S31" s="65">
        <f>R31/(B31+C31+D31+E31+F31+G31)/'Prices&amp;Fuel'!H31</f>
        <v>0.18079234785416612</v>
      </c>
      <c r="T31" s="3">
        <f t="shared" ref="T31:T40" si="6">T30</f>
        <v>12000</v>
      </c>
    </row>
    <row r="32" spans="1:20" x14ac:dyDescent="0.2">
      <c r="A32" s="10">
        <f t="shared" si="3"/>
        <v>36570.249999999935</v>
      </c>
      <c r="B32" s="6">
        <f>IF(T32-((E32+F32+G32)*(1-'Prices&amp;Fuel'!F32))&lt;'Prices&amp;Fuel'!R32,(T32-(E32+F32+G32)*(1-'Prices&amp;Fuel'!F32)),'Prices&amp;Fuel'!R32)/(1-'Prices&amp;Fuel'!F32)</f>
        <v>4337.1134020618565</v>
      </c>
      <c r="C32" s="14">
        <f>(T32/(1-'Prices&amp;Fuel'!F32))-D32-E32-F32-G32-B32</f>
        <v>0</v>
      </c>
      <c r="D32" s="14">
        <f>ROUND(IF(T32/(1-'Prices&amp;Fuel'!F32)-E32-F32-G32-B32&gt;'Prices&amp;Fuel'!T32,'Prices&amp;Fuel'!T32,T32/(1-'Prices&amp;Fuel'!F32)-E32-F32-G32-B32),9)</f>
        <v>0</v>
      </c>
      <c r="E32" s="14">
        <f>'Prices&amp;Fuel'!U32/(1-'Prices&amp;Fuel'!F32)</f>
        <v>2642.2680412371133</v>
      </c>
      <c r="F32" s="14">
        <f>('Prices&amp;Fuel'!V32+'Prices&amp;Fuel'!X32)/(1-'Prices&amp;Fuel'!F32)</f>
        <v>3654.6391752577319</v>
      </c>
      <c r="G32" s="14">
        <f>'Prices&amp;Fuel'!W32/(1-'Prices&amp;Fuel'!F32)</f>
        <v>1737.1134020618558</v>
      </c>
      <c r="H32" s="25">
        <f>('Prices&amp;Fuel'!C32+'Prices&amp;Fuel'!D32)/2-0.05+(('Prices&amp;Fuel'!M32+'Prices&amp;Fuel'!P32)*(1-'Prices&amp;Fuel'!F32))</f>
        <v>3.3306560000000003</v>
      </c>
      <c r="I32" s="14">
        <f>IF(FPL!L32=80000,0,B32)</f>
        <v>4337.1134020618565</v>
      </c>
      <c r="J32" s="14"/>
      <c r="K32" s="25">
        <f>(((B32+E32)*('Prices&amp;Fuel'!B32+0.025))+(('Prices&amp;Fuel'!D32+0.025)*(D32+G32))+(('Prices&amp;Fuel'!C32+0.025)*(C32+F32))-(I32+J32)*0.025)/(B32+C32+D32+E32+F32+G32)</f>
        <v>2.6080520833333338</v>
      </c>
      <c r="L32" s="14">
        <f>(B32+C32+D32+E32+F32+G32)*H32*'Prices&amp;Fuel'!H32</f>
        <v>1194915.7608247423</v>
      </c>
      <c r="M32" s="14">
        <f>'Prices&amp;Fuel'!X32*('Prices&amp;Fuel'!N32+'Prices&amp;Fuel'!O32)*'Prices&amp;Fuel'!H32</f>
        <v>8293.1908999999996</v>
      </c>
      <c r="N32" s="14">
        <f>('Prices&amp;Fuel'!U32+'Prices&amp;Fuel'!V32+'Prices&amp;Fuel'!W32)*('Prices&amp;Fuel'!L32+'Prices&amp;Fuel'!O32)*'Prices&amp;Fuel'!H32</f>
        <v>86331.753000000012</v>
      </c>
      <c r="O32" s="14">
        <f>((B32+C32+D32)*(1-'Prices&amp;Fuel'!G32))*('Prices&amp;Fuel'!M32+'Prices&amp;Fuel'!P32)*'Prices&amp;Fuel'!H32</f>
        <v>98188.014400000015</v>
      </c>
      <c r="P32" s="14">
        <f>((B32+C32+D32+E32+F32+G32)/(1-'Prices&amp;Fuel'!F32))*(1-'Prices&amp;Fuel'!F32)*'Prices&amp;Fuel'!H32*0.005</f>
        <v>1793.8144329896907</v>
      </c>
      <c r="Q32" s="14">
        <f>((D32+C32+B32+E32+F32+G32)*K32*'Prices&amp;Fuel'!H32)+M32+N32+O32+P32</f>
        <v>1130279.0665474231</v>
      </c>
      <c r="R32" s="6">
        <f t="shared" si="4"/>
        <v>64636.694277319126</v>
      </c>
      <c r="S32" s="65">
        <f>R32/(B32+C32+D32+E32+F32+G32)/'Prices&amp;Fuel'!H32</f>
        <v>0.18016549841666538</v>
      </c>
      <c r="T32" s="3">
        <f t="shared" si="6"/>
        <v>12000</v>
      </c>
    </row>
    <row r="33" spans="1:20" x14ac:dyDescent="0.2">
      <c r="A33" s="10">
        <f t="shared" si="3"/>
        <v>36600.666666666599</v>
      </c>
      <c r="B33" s="6">
        <f>IF(T33-((E33+F33+G33)*(1-'Prices&amp;Fuel'!F33))&lt;'Prices&amp;Fuel'!R33,(T33-(E33+F33+G33)*(1-'Prices&amp;Fuel'!F33)),'Prices&amp;Fuel'!R33)/(1-'Prices&amp;Fuel'!F33)</f>
        <v>4337.1134020618565</v>
      </c>
      <c r="C33" s="14">
        <f>(T33/(1-'Prices&amp;Fuel'!F33))-D33-E33-F33-G33-B33</f>
        <v>0</v>
      </c>
      <c r="D33" s="14">
        <f>ROUND(IF(T33/(1-'Prices&amp;Fuel'!F33)-E33-F33-G33-B33&gt;'Prices&amp;Fuel'!T33,'Prices&amp;Fuel'!T33,T33/(1-'Prices&amp;Fuel'!F33)-E33-F33-G33-B33),9)</f>
        <v>0</v>
      </c>
      <c r="E33" s="14">
        <f>'Prices&amp;Fuel'!U33/(1-'Prices&amp;Fuel'!F33)</f>
        <v>2642.2680412371133</v>
      </c>
      <c r="F33" s="14">
        <f>('Prices&amp;Fuel'!V33+'Prices&amp;Fuel'!X33)/(1-'Prices&amp;Fuel'!F33)</f>
        <v>3654.6391752577319</v>
      </c>
      <c r="G33" s="14">
        <f>'Prices&amp;Fuel'!W33/(1-'Prices&amp;Fuel'!F33)</f>
        <v>1737.1134020618558</v>
      </c>
      <c r="H33" s="25">
        <f>('Prices&amp;Fuel'!C33+'Prices&amp;Fuel'!D33)/2-0.05+(('Prices&amp;Fuel'!M33+'Prices&amp;Fuel'!P33)*(1-'Prices&amp;Fuel'!F33))</f>
        <v>3.3159559999999999</v>
      </c>
      <c r="I33" s="14">
        <f>IF(FPL!L33=80000,0,B33)</f>
        <v>4337.1134020618565</v>
      </c>
      <c r="J33" s="14"/>
      <c r="K33" s="25">
        <f>(((B33+E33)*('Prices&amp;Fuel'!B33+0.025))+(('Prices&amp;Fuel'!D33+0.025)*(D33+G33))+(('Prices&amp;Fuel'!C33+0.025)*(C33+F33))-(I33+J33)*0.025)/(B33+C33+D33+E33+F33+G33)</f>
        <v>2.6066479166666672</v>
      </c>
      <c r="L33" s="14">
        <f>(B33+C33+D33+E33+F33+G33)*H33*'Prices&amp;Fuel'!H33</f>
        <v>1271686.218556701</v>
      </c>
      <c r="M33" s="14">
        <f>'Prices&amp;Fuel'!X33*('Prices&amp;Fuel'!N33+'Prices&amp;Fuel'!O33)*'Prices&amp;Fuel'!H33</f>
        <v>8865.1350999999995</v>
      </c>
      <c r="N33" s="14">
        <f>('Prices&amp;Fuel'!U33+'Prices&amp;Fuel'!V33+'Prices&amp;Fuel'!W33)*('Prices&amp;Fuel'!L33+'Prices&amp;Fuel'!O33)*'Prices&amp;Fuel'!H33</f>
        <v>92285.667000000016</v>
      </c>
      <c r="O33" s="14">
        <f>((B33+C33+D33)*(1-'Prices&amp;Fuel'!G33))*('Prices&amp;Fuel'!M33+'Prices&amp;Fuel'!P33)*'Prices&amp;Fuel'!H33</f>
        <v>103655.43160000004</v>
      </c>
      <c r="P33" s="14">
        <f>((B33+C33+D33+E33+F33+G33)/(1-'Prices&amp;Fuel'!F33))*(1-'Prices&amp;Fuel'!F33)*'Prices&amp;Fuel'!H33*0.005</f>
        <v>1917.5257731958761</v>
      </c>
      <c r="Q33" s="14">
        <f>((D33+C33+B33+E33+F33+G33)*K33*'Prices&amp;Fuel'!H33)+M33+N33+O33+P33</f>
        <v>1206386.6718443299</v>
      </c>
      <c r="R33" s="6">
        <f t="shared" si="4"/>
        <v>65299.546712371055</v>
      </c>
      <c r="S33" s="65">
        <f>R33/(B33+C33+D33+E33+F33+G33)/'Prices&amp;Fuel'!H33</f>
        <v>0.17027032341666645</v>
      </c>
      <c r="T33" s="3">
        <f t="shared" si="6"/>
        <v>12000</v>
      </c>
    </row>
    <row r="34" spans="1:20" x14ac:dyDescent="0.2">
      <c r="A34" s="10">
        <f t="shared" si="3"/>
        <v>36631.083333333263</v>
      </c>
      <c r="B34" s="6">
        <f>IF(T34-((E34+F34+G34)*(1-'Prices&amp;Fuel'!F34))&lt;'Prices&amp;Fuel'!R34,(T34-(E34+F34+G34)*(1-'Prices&amp;Fuel'!F34)),'Prices&amp;Fuel'!R34)/(1-'Prices&amp;Fuel'!F34)</f>
        <v>6294.1964745902487</v>
      </c>
      <c r="C34" s="14">
        <f>(T34/(1-'Prices&amp;Fuel'!F34))-D34-E34-F34-G34-B34</f>
        <v>0</v>
      </c>
      <c r="D34" s="14">
        <f>ROUND(IF(T34/(1-'Prices&amp;Fuel'!F34)-E34-F34-G34-B34&gt;'Prices&amp;Fuel'!T34,'Prices&amp;Fuel'!T34,T34/(1-'Prices&amp;Fuel'!F34)-E34-F34-G34-B34),9)</f>
        <v>0</v>
      </c>
      <c r="E34" s="14">
        <f>'Prices&amp;Fuel'!U34/(1-'Prices&amp;Fuel'!F34)</f>
        <v>1937.9445417998145</v>
      </c>
      <c r="F34" s="14">
        <f>('Prices&amp;Fuel'!V34+'Prices&amp;Fuel'!X34)/(1-'Prices&amp;Fuel'!F34)</f>
        <v>2840.944232553345</v>
      </c>
      <c r="G34" s="14">
        <f>'Prices&amp;Fuel'!W34/(1-'Prices&amp;Fuel'!F34)</f>
        <v>1296.7735285022163</v>
      </c>
      <c r="H34" s="25">
        <f>('Prices&amp;Fuel'!C34+'Prices&amp;Fuel'!D34)/2-0.05+(('Prices&amp;Fuel'!M34+'Prices&amp;Fuel'!P34)*(1-'Prices&amp;Fuel'!F34))</f>
        <v>3.5851623900000003</v>
      </c>
      <c r="I34" s="14">
        <f>IF(FPL!L34=80000,0,B34)</f>
        <v>6294.1964745902487</v>
      </c>
      <c r="J34" s="14"/>
      <c r="K34" s="25">
        <f>(((B34+E34)*('Prices&amp;Fuel'!B34+0.025))+(('Prices&amp;Fuel'!D34+0.025)*(D34+G34))+(('Prices&amp;Fuel'!C34+0.025)*(C34+F34))-(I34+J34)*0.025)/(B34+C34+D34+E34+F34+G34)</f>
        <v>2.8704174999999998</v>
      </c>
      <c r="L34" s="14">
        <f>(B34+C34+D34+E34+F34+G34)*H34*'Prices&amp;Fuel'!H34</f>
        <v>1330438.5737552829</v>
      </c>
      <c r="M34" s="14">
        <f>'Prices&amp;Fuel'!X34*('Prices&amp;Fuel'!N34+'Prices&amp;Fuel'!O34)*'Prices&amp;Fuel'!H34</f>
        <v>8560.7219999999998</v>
      </c>
      <c r="N34" s="14">
        <f>('Prices&amp;Fuel'!U34+'Prices&amp;Fuel'!V34+'Prices&amp;Fuel'!W34)*('Prices&amp;Fuel'!L34+'Prices&amp;Fuel'!O34)*'Prices&amp;Fuel'!H34</f>
        <v>65314.673999999999</v>
      </c>
      <c r="O34" s="14">
        <f>((B34+C34+D34)*(1-'Prices&amp;Fuel'!G34))*('Prices&amp;Fuel'!M34+'Prices&amp;Fuel'!P34)*'Prices&amp;Fuel'!H34</f>
        <v>145426.60200000001</v>
      </c>
      <c r="P34" s="14">
        <f>((B34+C34+D34+E34+F34+G34)/(1-'Prices&amp;Fuel'!F34))*(1-'Prices&amp;Fuel'!F34)*'Prices&amp;Fuel'!H34*0.005</f>
        <v>1855.4788166168437</v>
      </c>
      <c r="Q34" s="14">
        <f>((D34+C34+B34+E34+F34+G34)*K34*'Prices&amp;Fuel'!H34)+M34+N34+O34+P34</f>
        <v>1286357.2500358727</v>
      </c>
      <c r="R34" s="6">
        <f t="shared" si="4"/>
        <v>44081.323719410226</v>
      </c>
      <c r="S34" s="65">
        <f>R34/(B34+C34+D34+E34+F34+G34)/'Prices&amp;Fuel'!H34</f>
        <v>0.11878692261166628</v>
      </c>
      <c r="T34" s="3">
        <f t="shared" si="6"/>
        <v>12000</v>
      </c>
    </row>
    <row r="35" spans="1:20" x14ac:dyDescent="0.2">
      <c r="A35" s="10">
        <f t="shared" si="3"/>
        <v>36661.499999999927</v>
      </c>
      <c r="B35" s="6">
        <f>IF(T35-((E35+F35+G35)*(1-'Prices&amp;Fuel'!F35))&lt;'Prices&amp;Fuel'!R35,(T35-(E35+F35+G35)*(1-'Prices&amp;Fuel'!F35)),'Prices&amp;Fuel'!R35)/(1-'Prices&amp;Fuel'!F35)</f>
        <v>9000</v>
      </c>
      <c r="C35" s="14">
        <f>(T35/(1-'Prices&amp;Fuel'!F35))-D35-E35-F35-G35-B35</f>
        <v>-3.383320290595293E-10</v>
      </c>
      <c r="D35" s="14">
        <f>ROUND(IF(T35/(1-'Prices&amp;Fuel'!F35)-E35-F35-G35-B35&gt;'Prices&amp;Fuel'!T35,'Prices&amp;Fuel'!T35,T35/(1-'Prices&amp;Fuel'!F35)-E35-F35-G35-B35),9)</f>
        <v>6573.1958762889999</v>
      </c>
      <c r="E35" s="14">
        <f>'Prices&amp;Fuel'!U35/(1-'Prices&amp;Fuel'!F35)</f>
        <v>1938.1443298969073</v>
      </c>
      <c r="F35" s="14">
        <f>('Prices&amp;Fuel'!V35+'Prices&amp;Fuel'!X35)/(1-'Prices&amp;Fuel'!F35)</f>
        <v>3070.1030927835054</v>
      </c>
      <c r="G35" s="14">
        <f>'Prices&amp;Fuel'!W35/(1-'Prices&amp;Fuel'!F35)</f>
        <v>1068.0412371134021</v>
      </c>
      <c r="H35" s="25">
        <f>('Prices&amp;Fuel'!C35+'Prices&amp;Fuel'!D35)/2-0.05+(('Prices&amp;Fuel'!M35+'Prices&amp;Fuel'!P35)*(1-'Prices&amp;Fuel'!F35))</f>
        <v>3.7850830000000002</v>
      </c>
      <c r="I35" s="14">
        <f>IF(FPL!L35=80000,0,B35)</f>
        <v>0</v>
      </c>
      <c r="J35" s="14"/>
      <c r="K35" s="25">
        <f>(((B35+E35)*('Prices&amp;Fuel'!B35+0.025))+(('Prices&amp;Fuel'!D35+0.025)*(D35+G35))+(('Prices&amp;Fuel'!C35+0.025)*(C35+F35))-(I35+J35)*0.025)/(B35+C35+D35+E35+F35+G35)</f>
        <v>3.0742019047619045</v>
      </c>
      <c r="L35" s="14">
        <f>(B35+C35+D35+E35+F35+G35)*H35*'Prices&amp;Fuel'!H35</f>
        <v>2540297.9721649485</v>
      </c>
      <c r="M35" s="14">
        <f>'Prices&amp;Fuel'!X35*('Prices&amp;Fuel'!N35+'Prices&amp;Fuel'!O35)*'Prices&amp;Fuel'!H35</f>
        <v>8846.0793999999987</v>
      </c>
      <c r="N35" s="14">
        <f>('Prices&amp;Fuel'!U35+'Prices&amp;Fuel'!V35+'Prices&amp;Fuel'!W35)*('Prices&amp;Fuel'!L35+'Prices&amp;Fuel'!O35)*'Prices&amp;Fuel'!H35</f>
        <v>67491.829800000007</v>
      </c>
      <c r="O35" s="14">
        <f>((B35+C35+D35)*(1-'Prices&amp;Fuel'!G35))*('Prices&amp;Fuel'!M35+'Prices&amp;Fuel'!P35)*'Prices&amp;Fuel'!H35</f>
        <v>371772.25540000002</v>
      </c>
      <c r="P35" s="14">
        <f>((B35+C35+D35+E35+F35+G35)/(1-'Prices&amp;Fuel'!F35))*(1-'Prices&amp;Fuel'!F35)*'Prices&amp;Fuel'!H35*0.005</f>
        <v>3355.6701030927834</v>
      </c>
      <c r="Q35" s="14">
        <f>((D35+C35+B35+E35+F35+G35)*K35*'Prices&amp;Fuel'!H35)+M35+N35+O35+P35</f>
        <v>2514667.3192391749</v>
      </c>
      <c r="R35" s="6">
        <f t="shared" si="4"/>
        <v>25630.652925773524</v>
      </c>
      <c r="S35" s="65">
        <f>R35/(B35+C35+D35+E35+F35+G35)/'Prices&amp;Fuel'!H35</f>
        <v>3.8190066571429059E-2</v>
      </c>
      <c r="T35" s="3">
        <v>21000</v>
      </c>
    </row>
    <row r="36" spans="1:20" x14ac:dyDescent="0.2">
      <c r="A36" s="10">
        <f t="shared" si="3"/>
        <v>36691.916666666591</v>
      </c>
      <c r="B36" s="6">
        <f>IF(T36-((E36+F36+G36)*(1-'Prices&amp;Fuel'!F36))&lt;'Prices&amp;Fuel'!R36,(T36-(E36+F36+G36)*(1-'Prices&amp;Fuel'!F36)),'Prices&amp;Fuel'!R36)/(1-'Prices&amp;Fuel'!F36)</f>
        <v>8999.0722605916926</v>
      </c>
      <c r="C36" s="14">
        <f>(T36/(1-'Prices&amp;Fuel'!F36))-D36-E36-F36-G36-B36</f>
        <v>-2.2373569663614035E-10</v>
      </c>
      <c r="D36" s="14">
        <f>ROUND(IF(T36/(1-'Prices&amp;Fuel'!F36)-E36-F36-G36-B36&gt;'Prices&amp;Fuel'!T36,'Prices&amp;Fuel'!T36,T36/(1-'Prices&amp;Fuel'!F36)-E36-F36-G36-B36),9)</f>
        <v>6572.5182970830001</v>
      </c>
      <c r="E36" s="14">
        <f>'Prices&amp;Fuel'!U36/(1-'Prices&amp;Fuel'!F36)</f>
        <v>1937.9445417998145</v>
      </c>
      <c r="F36" s="14">
        <f>('Prices&amp;Fuel'!V36+'Prices&amp;Fuel'!X36)/(1-'Prices&amp;Fuel'!F36)</f>
        <v>3069.7866199360892</v>
      </c>
      <c r="G36" s="14">
        <f>'Prices&amp;Fuel'!W36/(1-'Prices&amp;Fuel'!F36)</f>
        <v>1067.9311411194722</v>
      </c>
      <c r="H36" s="25">
        <f>('Prices&amp;Fuel'!C36+'Prices&amp;Fuel'!D36)/2-0.05+(('Prices&amp;Fuel'!M36+'Prices&amp;Fuel'!P36)*(1-'Prices&amp;Fuel'!F36))</f>
        <v>5.0851623900000007</v>
      </c>
      <c r="I36" s="14">
        <f>IF(FPL!L36=80000,0,B36)</f>
        <v>0</v>
      </c>
      <c r="J36" s="14"/>
      <c r="K36" s="25">
        <f>(((B36+E36)*('Prices&amp;Fuel'!B36+0.025))+(('Prices&amp;Fuel'!D36+0.025)*(D36+G36))+(('Prices&amp;Fuel'!C36+0.025)*(C36+F36))-(I36+J36)*0.025)/(B36+C36+D36+E36+F36+G36)</f>
        <v>4.3771428571428554</v>
      </c>
      <c r="L36" s="14">
        <f>(B36+C36+D36+E36+F36+G36)*H36*'Prices&amp;Fuel'!H36</f>
        <v>3302393.882795589</v>
      </c>
      <c r="M36" s="14">
        <f>'Prices&amp;Fuel'!X36*('Prices&amp;Fuel'!N36+'Prices&amp;Fuel'!O36)*'Prices&amp;Fuel'!H36</f>
        <v>8560.7219999999998</v>
      </c>
      <c r="N36" s="14">
        <f>('Prices&amp;Fuel'!U36+'Prices&amp;Fuel'!V36+'Prices&amp;Fuel'!W36)*('Prices&amp;Fuel'!L36+'Prices&amp;Fuel'!O36)*'Prices&amp;Fuel'!H36</f>
        <v>65314.673999999999</v>
      </c>
      <c r="O36" s="14">
        <f>((B36+C36+D36)*(1-'Prices&amp;Fuel'!G36))*('Prices&amp;Fuel'!M36+'Prices&amp;Fuel'!P36)*'Prices&amp;Fuel'!H36</f>
        <v>359779.60200000007</v>
      </c>
      <c r="P36" s="14">
        <f>((B36+C36+D36+E36+F36+G36)/(1-'Prices&amp;Fuel'!F36))*(1-'Prices&amp;Fuel'!F36)*'Prices&amp;Fuel'!H36*0.005</f>
        <v>3247.0879290794769</v>
      </c>
      <c r="Q36" s="14">
        <f>((D36+C36+B36+E36+F36+G36)*K36*'Prices&amp;Fuel'!H36)+M36+N36+O36+P36</f>
        <v>3279495.6329860832</v>
      </c>
      <c r="R36" s="6">
        <f t="shared" si="4"/>
        <v>22898.249809505884</v>
      </c>
      <c r="S36" s="65">
        <f>R36/(B36+C36+D36+E36+F36+G36)/'Prices&amp;Fuel'!H36</f>
        <v>3.525967006381215E-2</v>
      </c>
      <c r="T36" s="3">
        <f t="shared" si="6"/>
        <v>21000</v>
      </c>
    </row>
    <row r="37" spans="1:20" x14ac:dyDescent="0.2">
      <c r="A37" s="10">
        <f t="shared" si="3"/>
        <v>36722.333333333256</v>
      </c>
      <c r="B37" s="6">
        <f>IF(T37-((E37+F37+G37)*(1-'Prices&amp;Fuel'!F37))&lt;'Prices&amp;Fuel'!R37,(T37-(E37+F37+G37)*(1-'Prices&amp;Fuel'!F37)),'Prices&amp;Fuel'!R37)/(1-'Prices&amp;Fuel'!F37)</f>
        <v>8999.0722605916926</v>
      </c>
      <c r="C37" s="14">
        <f>(T37/(1-'Prices&amp;Fuel'!F37))-D37-E37-F37-G37-B37</f>
        <v>-2.2373569663614035E-10</v>
      </c>
      <c r="D37" s="14">
        <f>ROUND(IF(T37/(1-'Prices&amp;Fuel'!F37)-E37-F37-G37-B37&gt;'Prices&amp;Fuel'!T37,'Prices&amp;Fuel'!T37,T37/(1-'Prices&amp;Fuel'!F37)-E37-F37-G37-B37),9)</f>
        <v>6572.5182970830001</v>
      </c>
      <c r="E37" s="14">
        <f>'Prices&amp;Fuel'!U37/(1-'Prices&amp;Fuel'!F37)</f>
        <v>1937.9445417998145</v>
      </c>
      <c r="F37" s="14">
        <f>('Prices&amp;Fuel'!V37+'Prices&amp;Fuel'!X37)/(1-'Prices&amp;Fuel'!F37)</f>
        <v>3069.7866199360892</v>
      </c>
      <c r="G37" s="14">
        <f>'Prices&amp;Fuel'!W37/(1-'Prices&amp;Fuel'!F37)</f>
        <v>1067.9311411194722</v>
      </c>
      <c r="H37" s="25">
        <f>('Prices&amp;Fuel'!C37+'Prices&amp;Fuel'!D37)/2-0.05+(('Prices&amp;Fuel'!M37+'Prices&amp;Fuel'!P37)*(1-'Prices&amp;Fuel'!F37))</f>
        <v>5.0751623900000009</v>
      </c>
      <c r="I37" s="14">
        <f>IF(FPL!L37=80000,0,B37)</f>
        <v>0</v>
      </c>
      <c r="J37" s="14"/>
      <c r="K37" s="25">
        <f>(((B37+E37)*('Prices&amp;Fuel'!B37+0.025))+(('Prices&amp;Fuel'!D37+0.025)*(D37+G37))+(('Prices&amp;Fuel'!C37+0.025)*(C37+F37))-(I37+J37)*0.025)/(B37+C37+D37+E37+F37+G37)</f>
        <v>4.3671428571428565</v>
      </c>
      <c r="L37" s="14">
        <f>(B37+C37+D37+E37+F37+G37)*H37*'Prices&amp;Fuel'!H37</f>
        <v>3405763.0305020115</v>
      </c>
      <c r="M37" s="14">
        <f>'Prices&amp;Fuel'!X37*('Prices&amp;Fuel'!N37+'Prices&amp;Fuel'!O37)*'Prices&amp;Fuel'!H37</f>
        <v>8846.0793999999987</v>
      </c>
      <c r="N37" s="14">
        <f>('Prices&amp;Fuel'!U37+'Prices&amp;Fuel'!V37+'Prices&amp;Fuel'!W37)*('Prices&amp;Fuel'!L37+'Prices&amp;Fuel'!O37)*'Prices&amp;Fuel'!H37</f>
        <v>67491.829800000007</v>
      </c>
      <c r="O37" s="14">
        <f>((B37+C37+D37)*(1-'Prices&amp;Fuel'!G37))*('Prices&amp;Fuel'!M37+'Prices&amp;Fuel'!P37)*'Prices&amp;Fuel'!H37</f>
        <v>371772.25540000008</v>
      </c>
      <c r="P37" s="14">
        <f>((B37+C37+D37+E37+F37+G37)/(1-'Prices&amp;Fuel'!F37))*(1-'Prices&amp;Fuel'!F37)*'Prices&amp;Fuel'!H37*0.005</f>
        <v>3355.3241933821264</v>
      </c>
      <c r="Q37" s="14">
        <f>((D37+C37+B37+E37+F37+G37)*K37*'Prices&amp;Fuel'!H37)+M37+N37+O37+P37</f>
        <v>3382101.5056988564</v>
      </c>
      <c r="R37" s="6">
        <f t="shared" si="4"/>
        <v>23661.524803155102</v>
      </c>
      <c r="S37" s="65">
        <f>R37/(B37+C37+D37+E37+F37+G37)/'Prices&amp;Fuel'!H37</f>
        <v>3.5259670063810686E-2</v>
      </c>
      <c r="T37" s="3">
        <f t="shared" si="6"/>
        <v>21000</v>
      </c>
    </row>
    <row r="38" spans="1:20" x14ac:dyDescent="0.2">
      <c r="A38" s="10">
        <f t="shared" si="3"/>
        <v>36752.74999999992</v>
      </c>
      <c r="B38" s="6">
        <f>IF(T38-((E38+F38+G38)*(1-'Prices&amp;Fuel'!F38))&lt;'Prices&amp;Fuel'!R38,(T38-(E38+F38+G38)*(1-'Prices&amp;Fuel'!F38)),'Prices&amp;Fuel'!R38)/(1-'Prices&amp;Fuel'!F38)</f>
        <v>8999.0722605916926</v>
      </c>
      <c r="C38" s="14">
        <f>(T38/(1-'Prices&amp;Fuel'!F38))-D38-E38-F38-G38-B38</f>
        <v>-2.2373569663614035E-10</v>
      </c>
      <c r="D38" s="14">
        <f>ROUND(IF(T38/(1-'Prices&amp;Fuel'!F38)-E38-F38-G38-B38&gt;'Prices&amp;Fuel'!T38,'Prices&amp;Fuel'!T38,T38/(1-'Prices&amp;Fuel'!F38)-E38-F38-G38-B38),9)</f>
        <v>6572.5182970830001</v>
      </c>
      <c r="E38" s="14">
        <f>'Prices&amp;Fuel'!U38/(1-'Prices&amp;Fuel'!F38)</f>
        <v>1937.9445417998145</v>
      </c>
      <c r="F38" s="14">
        <f>('Prices&amp;Fuel'!V38+'Prices&amp;Fuel'!X38)/(1-'Prices&amp;Fuel'!F38)</f>
        <v>3069.7866199360892</v>
      </c>
      <c r="G38" s="14">
        <f>'Prices&amp;Fuel'!W38/(1-'Prices&amp;Fuel'!F38)</f>
        <v>1067.9311411194722</v>
      </c>
      <c r="H38" s="25">
        <f>('Prices&amp;Fuel'!C38+'Prices&amp;Fuel'!D38)/2-0.05+(('Prices&amp;Fuel'!M38+'Prices&amp;Fuel'!P38)*(1-'Prices&amp;Fuel'!F38))</f>
        <v>4.53516239</v>
      </c>
      <c r="I38" s="14">
        <f>IF(FPL!L38=80000,0,B38)</f>
        <v>0</v>
      </c>
      <c r="J38" s="14"/>
      <c r="K38" s="25">
        <f>(((B38+E38)*('Prices&amp;Fuel'!B38+0.025))+(('Prices&amp;Fuel'!D38+0.025)*(D38+G38))+(('Prices&amp;Fuel'!C38+0.025)*(C38+F38))-(I38+J38)*0.025)/(B38+C38+D38+E38+F38+G38)</f>
        <v>3.8271428571428556</v>
      </c>
      <c r="L38" s="14">
        <f>(B38+C38+D38+E38+F38+G38)*H38*'Prices&amp;Fuel'!H38</f>
        <v>3043388.0176167409</v>
      </c>
      <c r="M38" s="14">
        <f>'Prices&amp;Fuel'!X38*('Prices&amp;Fuel'!N38+'Prices&amp;Fuel'!O38)*'Prices&amp;Fuel'!H38</f>
        <v>8846.0793999999987</v>
      </c>
      <c r="N38" s="14">
        <f>('Prices&amp;Fuel'!U38+'Prices&amp;Fuel'!V38+'Prices&amp;Fuel'!W38)*('Prices&amp;Fuel'!L38+'Prices&amp;Fuel'!O38)*'Prices&amp;Fuel'!H38</f>
        <v>67491.829800000007</v>
      </c>
      <c r="O38" s="14">
        <f>((B38+C38+D38)*(1-'Prices&amp;Fuel'!G38))*('Prices&amp;Fuel'!M38+'Prices&amp;Fuel'!P38)*'Prices&amp;Fuel'!H38</f>
        <v>371772.25540000008</v>
      </c>
      <c r="P38" s="14">
        <f>((B38+C38+D38+E38+F38+G38)/(1-'Prices&amp;Fuel'!F38))*(1-'Prices&amp;Fuel'!F38)*'Prices&amp;Fuel'!H38*0.005</f>
        <v>3355.3241933821264</v>
      </c>
      <c r="Q38" s="14">
        <f>((D38+C38+B38+E38+F38+G38)*K38*'Prices&amp;Fuel'!H38)+M38+N38+O38+P38</f>
        <v>3019726.4928135863</v>
      </c>
      <c r="R38" s="6">
        <f t="shared" si="4"/>
        <v>23661.524803154636</v>
      </c>
      <c r="S38" s="65">
        <f>R38/(B38+C38+D38+E38+F38+G38)/'Prices&amp;Fuel'!H38</f>
        <v>3.5259670063809992E-2</v>
      </c>
      <c r="T38" s="3">
        <f t="shared" si="6"/>
        <v>21000</v>
      </c>
    </row>
    <row r="39" spans="1:20" x14ac:dyDescent="0.2">
      <c r="A39" s="10">
        <f t="shared" si="3"/>
        <v>36783.166666666584</v>
      </c>
      <c r="B39" s="6">
        <f>IF(T39-((E39+F39+G39)*(1-'Prices&amp;Fuel'!F39))&lt;'Prices&amp;Fuel'!R39,(T39-(E39+F39+G39)*(1-'Prices&amp;Fuel'!F39)),'Prices&amp;Fuel'!R39)/(1-'Prices&amp;Fuel'!F39)</f>
        <v>8999.0722605916926</v>
      </c>
      <c r="C39" s="14">
        <f>(T39/(1-'Prices&amp;Fuel'!F39))-D39-E39-F39-G39-B39</f>
        <v>-2.2373569663614035E-10</v>
      </c>
      <c r="D39" s="14">
        <f>ROUND(IF(T39/(1-'Prices&amp;Fuel'!F39)-E39-F39-G39-B39&gt;'Prices&amp;Fuel'!T39,'Prices&amp;Fuel'!T39,T39/(1-'Prices&amp;Fuel'!F39)-E39-F39-G39-B39),9)</f>
        <v>6572.5182970830001</v>
      </c>
      <c r="E39" s="14">
        <f>'Prices&amp;Fuel'!U39/(1-'Prices&amp;Fuel'!F39)</f>
        <v>1937.9445417998145</v>
      </c>
      <c r="F39" s="14">
        <f>('Prices&amp;Fuel'!V39+'Prices&amp;Fuel'!X39)/(1-'Prices&amp;Fuel'!F39)</f>
        <v>3069.7866199360892</v>
      </c>
      <c r="G39" s="14">
        <f>'Prices&amp;Fuel'!W39/(1-'Prices&amp;Fuel'!F39)</f>
        <v>1067.9311411194722</v>
      </c>
      <c r="H39" s="25">
        <f>('Prices&amp;Fuel'!C39+'Prices&amp;Fuel'!D39)/2-0.05+(('Prices&amp;Fuel'!M39+'Prices&amp;Fuel'!P39)*(1-'Prices&amp;Fuel'!F39))</f>
        <v>5.3202069100000005</v>
      </c>
      <c r="I39" s="14">
        <f>IF(FPL!L39=80000,0,B39)</f>
        <v>0</v>
      </c>
      <c r="J39" s="14"/>
      <c r="K39" s="25">
        <f>(((B39+E39)*('Prices&amp;Fuel'!B39+0.025))+(('Prices&amp;Fuel'!D39+0.025)*(D39+G39))+(('Prices&amp;Fuel'!C39+0.025)*(C39+F39))-(I39+J39)*0.025)/(B39+C39+D39+E39+F39+G39)</f>
        <v>4.609254285714286</v>
      </c>
      <c r="L39" s="14">
        <f>(B39+C39+D39+E39+F39+G39)*H39*'Prices&amp;Fuel'!H39</f>
        <v>3455035.9275332452</v>
      </c>
      <c r="M39" s="14">
        <f>'Prices&amp;Fuel'!X39*('Prices&amp;Fuel'!N39+'Prices&amp;Fuel'!O39)*'Prices&amp;Fuel'!H39</f>
        <v>8667.2700000000023</v>
      </c>
      <c r="N39" s="14">
        <f>('Prices&amp;Fuel'!U39+'Prices&amp;Fuel'!V39+'Prices&amp;Fuel'!W39)*('Prices&amp;Fuel'!L39+'Prices&amp;Fuel'!O39)*'Prices&amp;Fuel'!H39</f>
        <v>66127.590000000011</v>
      </c>
      <c r="O39" s="14">
        <f>((B39+C39+D39)*(1-'Prices&amp;Fuel'!G39))*('Prices&amp;Fuel'!M39+'Prices&amp;Fuel'!P39)*'Prices&amp;Fuel'!H39</f>
        <v>362136.13800000009</v>
      </c>
      <c r="P39" s="14">
        <f>((B39+C39+D39+E39+F39+G39)/(1-'Prices&amp;Fuel'!F39))*(1-'Prices&amp;Fuel'!F39)*'Prices&amp;Fuel'!H39*0.005</f>
        <v>3247.0879290794769</v>
      </c>
      <c r="Q39" s="14">
        <f>((D39+C39+B39+E39+F39+G39)*K39*'Prices&amp;Fuel'!H39)+M39+N39+O39+P39</f>
        <v>3433508.8765692203</v>
      </c>
      <c r="R39" s="6">
        <f t="shared" si="4"/>
        <v>21527.050964024849</v>
      </c>
      <c r="S39" s="65">
        <f>R39/(B39+C39+D39+E39+F39+G39)/'Prices&amp;Fuel'!H39</f>
        <v>3.3148241492381748E-2</v>
      </c>
      <c r="T39" s="3">
        <f t="shared" si="6"/>
        <v>21000</v>
      </c>
    </row>
    <row r="40" spans="1:20" x14ac:dyDescent="0.2">
      <c r="A40" s="10">
        <f t="shared" si="3"/>
        <v>36813.583333333248</v>
      </c>
      <c r="B40" s="6">
        <f>IF(T40-((E40+F40+G40)*(1-'Prices&amp;Fuel'!F40))&lt;'Prices&amp;Fuel'!R40,(T40-(E40+F40+G40)*(1-'Prices&amp;Fuel'!F40)),'Prices&amp;Fuel'!R40)/(1-'Prices&amp;Fuel'!F40)</f>
        <v>9013.0084658269661</v>
      </c>
      <c r="C40" s="14">
        <f>(T40/(1-'Prices&amp;Fuel'!F40))-D40-E40-F40-G40-B40</f>
        <v>4.2564352042973042E-10</v>
      </c>
      <c r="D40" s="14">
        <f>ROUND(IF(T40/(1-'Prices&amp;Fuel'!F40)-E40-F40-G40-B40&gt;'Prices&amp;Fuel'!T40,'Prices&amp;Fuel'!T40,T40/(1-'Prices&amp;Fuel'!F40)-E40-F40-G40-B40),9)</f>
        <v>3528.8044600449998</v>
      </c>
      <c r="E40" s="14">
        <f>'Prices&amp;Fuel'!U40/(1-'Prices&amp;Fuel'!F40)</f>
        <v>2921.7427214536442</v>
      </c>
      <c r="F40" s="14">
        <f>('Prices&amp;Fuel'!V40+'Prices&amp;Fuel'!X40)/(1-'Prices&amp;Fuel'!F40)</f>
        <v>4646.913070410902</v>
      </c>
      <c r="G40" s="14">
        <f>'Prices&amp;Fuel'!W40/(1-'Prices&amp;Fuel'!F40)</f>
        <v>1570.3076605409869</v>
      </c>
      <c r="H40" s="25">
        <f>('Prices&amp;Fuel'!C40+'Prices&amp;Fuel'!D40)/2-0.05+(('Prices&amp;Fuel'!M40+'Prices&amp;Fuel'!P40)*(1-'Prices&amp;Fuel'!F40))</f>
        <v>5.9790082600000005</v>
      </c>
      <c r="I40" s="14">
        <f>IF(FPL!L40=80000,0,B40)</f>
        <v>9013.0084658269661</v>
      </c>
      <c r="J40" s="14"/>
      <c r="K40" s="25">
        <f>(((B40+E40)*('Prices&amp;Fuel'!B40+0.025))+(('Prices&amp;Fuel'!D40+0.025)*(D40+G40))+(('Prices&amp;Fuel'!C40+0.025)*(C40+F40))-(I40+J40)*0.025)/(B40+C40+D40+E40+F40+G40)</f>
        <v>5.2496104761904778</v>
      </c>
      <c r="L40" s="14">
        <f>(B40+C40+D40+E40+F40+G40)*H40*'Prices&amp;Fuel'!H40</f>
        <v>4018515.7725170352</v>
      </c>
      <c r="M40" s="14">
        <f>'Prices&amp;Fuel'!X40*('Prices&amp;Fuel'!N40+'Prices&amp;Fuel'!O40)*'Prices&amp;Fuel'!H40</f>
        <v>13126.113000000001</v>
      </c>
      <c r="N40" s="14">
        <f>('Prices&amp;Fuel'!U40+'Prices&amp;Fuel'!V40+'Prices&amp;Fuel'!W40)*('Prices&amp;Fuel'!L40+'Prices&amp;Fuel'!O40)*'Prices&amp;Fuel'!H40</f>
        <v>102950.16300000002</v>
      </c>
      <c r="O40" s="14">
        <f>((B40+C40+D40)*(1-'Prices&amp;Fuel'!G40))*('Prices&amp;Fuel'!M40+'Prices&amp;Fuel'!P40)*'Prices&amp;Fuel'!H40</f>
        <v>300931.47079999995</v>
      </c>
      <c r="P40" s="14">
        <f>((B40+C40+D40+E40+F40+G40)/(1-'Prices&amp;Fuel'!F40))*(1-'Prices&amp;Fuel'!F40)*'Prices&amp;Fuel'!H40*0.005</f>
        <v>3360.5203386330786</v>
      </c>
      <c r="Q40" s="14">
        <f>((D40+C40+B40+E40+F40+G40)*K40*'Prices&amp;Fuel'!H40)+M40+N40+O40+P40</f>
        <v>3948652.822166509</v>
      </c>
      <c r="R40" s="6">
        <f t="shared" si="4"/>
        <v>69862.950350526255</v>
      </c>
      <c r="S40" s="65">
        <f>R40/(B40+C40+D40+E40+F40+G40)/'Prices&amp;Fuel'!H40</f>
        <v>0.10394662628190435</v>
      </c>
      <c r="T40" s="3">
        <f t="shared" si="6"/>
        <v>21000</v>
      </c>
    </row>
    <row r="41" spans="1:20" x14ac:dyDescent="0.2">
      <c r="A41" s="10">
        <f t="shared" si="3"/>
        <v>36843.999999999913</v>
      </c>
      <c r="B41" s="6">
        <f>IF(T41-((E41+F41+G41)*(1-'Prices&amp;Fuel'!F41))&lt;'Prices&amp;Fuel'!R41,(T41-(E41+F41+G41)*(1-'Prices&amp;Fuel'!F41)),'Prices&amp;Fuel'!R41)/(1-'Prices&amp;Fuel'!F41)</f>
        <v>4325.9640102827761</v>
      </c>
      <c r="C41" s="14">
        <f>(T41/(1-'Prices&amp;Fuel'!F41))-D41-E41-F41-G41-B41</f>
        <v>0</v>
      </c>
      <c r="D41" s="14">
        <f>ROUND(IF(T41/(1-'Prices&amp;Fuel'!F41)-E41-F41-G41-B41&gt;'Prices&amp;Fuel'!T41,'Prices&amp;Fuel'!T41,T41/(1-'Prices&amp;Fuel'!F41)-E41-F41-G41-B41),9)</f>
        <v>0</v>
      </c>
      <c r="E41" s="14">
        <f>'Prices&amp;Fuel'!U41/(1-'Prices&amp;Fuel'!F41)</f>
        <v>2635.4755784061695</v>
      </c>
      <c r="F41" s="14">
        <f>('Prices&amp;Fuel'!V41+'Prices&amp;Fuel'!X41)/(1-'Prices&amp;Fuel'!F41)</f>
        <v>3645.2442159383031</v>
      </c>
      <c r="G41" s="14">
        <f>'Prices&amp;Fuel'!W41/(1-'Prices&amp;Fuel'!F41)</f>
        <v>1732.6478149100255</v>
      </c>
      <c r="H41" s="25">
        <f>('Prices&amp;Fuel'!C41+'Prices&amp;Fuel'!D41)/2-0.05+(('Prices&amp;Fuel'!M41+'Prices&amp;Fuel'!P41)*(1-'Prices&amp;Fuel'!F41))</f>
        <v>4.2621247499999999</v>
      </c>
      <c r="I41" s="14">
        <f>IF(FPL!L41=80000,0,B41)</f>
        <v>4325.9640102827761</v>
      </c>
      <c r="J41" s="14"/>
      <c r="K41" s="25">
        <f>(((B41+E41)*('Prices&amp;Fuel'!B41+0.025))+(('Prices&amp;Fuel'!D41+0.025)*(D41+G41))+(('Prices&amp;Fuel'!C41+0.025)*(C41+F41))-(I41+J41)*0.025)/(B41+C41+D41+E41+F41+G41)</f>
        <v>3.5353645833333331</v>
      </c>
      <c r="L41" s="14">
        <f>(B41+C41+D41+E41+F41+G41)*H41*'Prices&amp;Fuel'!H41</f>
        <v>1577753.120822622</v>
      </c>
      <c r="M41" s="14">
        <f>'Prices&amp;Fuel'!X41*('Prices&amp;Fuel'!N41+'Prices&amp;Fuel'!O41)*'Prices&amp;Fuel'!H41</f>
        <v>8667.2700000000023</v>
      </c>
      <c r="N41" s="14">
        <f>('Prices&amp;Fuel'!U41+'Prices&amp;Fuel'!V41+'Prices&amp;Fuel'!W41)*('Prices&amp;Fuel'!L41+'Prices&amp;Fuel'!O41)*'Prices&amp;Fuel'!H41</f>
        <v>90225.900000000009</v>
      </c>
      <c r="O41" s="14">
        <f>((B41+C41+D41)*(1-'Prices&amp;Fuel'!G41))*('Prices&amp;Fuel'!M41+'Prices&amp;Fuel'!P41)*'Prices&amp;Fuel'!H41</f>
        <v>100854.41100000001</v>
      </c>
      <c r="P41" s="14">
        <f>((B41+C41+D41+E41+F41+G41)/(1-'Prices&amp;Fuel'!F41))*(1-'Prices&amp;Fuel'!F41)*'Prices&amp;Fuel'!H41*0.005</f>
        <v>1850.8997429305912</v>
      </c>
      <c r="Q41" s="14">
        <f>((D41+C41+B41+E41+F41+G41)*K41*'Prices&amp;Fuel'!H41)+M41+N41+O41+P41</f>
        <v>1510319.5604344471</v>
      </c>
      <c r="R41" s="6">
        <f t="shared" si="4"/>
        <v>67433.560388174839</v>
      </c>
      <c r="S41" s="65">
        <f>R41/(B41+C41+D41+E41+F41+G41)/'Prices&amp;Fuel'!H41</f>
        <v>0.18216427077083344</v>
      </c>
      <c r="T41" s="3">
        <v>12000</v>
      </c>
    </row>
    <row r="42" spans="1:20" x14ac:dyDescent="0.2">
      <c r="A42" s="10">
        <f t="shared" si="3"/>
        <v>36874.416666666577</v>
      </c>
      <c r="B42" s="6">
        <f>IF(T42-((E42+F42+G42)*(1-'Prices&amp;Fuel'!F42))&lt;'Prices&amp;Fuel'!R42,(T42-(E42+F42+G42)*(1-'Prices&amp;Fuel'!F42)),'Prices&amp;Fuel'!R42)/(1-'Prices&amp;Fuel'!F42)</f>
        <v>4325.9640102827761</v>
      </c>
      <c r="C42" s="14">
        <f>(T42/(1-'Prices&amp;Fuel'!F42))-D42-E42-F42-G42-B42</f>
        <v>0</v>
      </c>
      <c r="D42" s="14">
        <f>ROUND(IF(T42/(1-'Prices&amp;Fuel'!F42)-E42-F42-G42-B42&gt;'Prices&amp;Fuel'!T42,'Prices&amp;Fuel'!T42,T42/(1-'Prices&amp;Fuel'!F42)-E42-F42-G42-B42),9)</f>
        <v>0</v>
      </c>
      <c r="E42" s="14">
        <f>'Prices&amp;Fuel'!U42/(1-'Prices&amp;Fuel'!F42)</f>
        <v>2635.4755784061695</v>
      </c>
      <c r="F42" s="14">
        <f>('Prices&amp;Fuel'!V42+'Prices&amp;Fuel'!X42)/(1-'Prices&amp;Fuel'!F42)</f>
        <v>3645.2442159383031</v>
      </c>
      <c r="G42" s="14">
        <f>'Prices&amp;Fuel'!W42/(1-'Prices&amp;Fuel'!F42)</f>
        <v>1732.6478149100255</v>
      </c>
      <c r="H42" s="25">
        <f>('Prices&amp;Fuel'!C42+'Prices&amp;Fuel'!D42)/2-0.05+(('Prices&amp;Fuel'!M42+'Prices&amp;Fuel'!P42)*(1-'Prices&amp;Fuel'!F42))</f>
        <v>3.3821247500000005</v>
      </c>
      <c r="I42" s="14">
        <f>IF(FPL!L42=80000,0,B42)</f>
        <v>4325.9640102827761</v>
      </c>
      <c r="J42" s="14"/>
      <c r="K42" s="25">
        <f>(((B42+E42)*('Prices&amp;Fuel'!B42+0.025))+(('Prices&amp;Fuel'!D42+0.025)*(D42+G42))+(('Prices&amp;Fuel'!C42+0.025)*(C42+F42))-(I42+J42)*0.025)/(B42+C42+D42+E42+F42+G42)</f>
        <v>2.6553645833333333</v>
      </c>
      <c r="L42" s="14">
        <f>(B42+C42+D42+E42+F42+G42)*H42*'Prices&amp;Fuel'!H42</f>
        <v>1293727.9249357325</v>
      </c>
      <c r="M42" s="14">
        <f>'Prices&amp;Fuel'!X42*('Prices&amp;Fuel'!N42+'Prices&amp;Fuel'!O42)*'Prices&amp;Fuel'!H42</f>
        <v>8956.1790000000019</v>
      </c>
      <c r="N42" s="14">
        <f>('Prices&amp;Fuel'!U42+'Prices&amp;Fuel'!V42+'Prices&amp;Fuel'!W42)*('Prices&amp;Fuel'!L42+'Prices&amp;Fuel'!O42)*'Prices&amp;Fuel'!H42</f>
        <v>93233.430000000008</v>
      </c>
      <c r="O42" s="14">
        <f>((B42+C42+D42)*(1-'Prices&amp;Fuel'!G42))*('Prices&amp;Fuel'!M42+'Prices&amp;Fuel'!P42)*'Prices&amp;Fuel'!H42</f>
        <v>104216.22470000001</v>
      </c>
      <c r="P42" s="14">
        <f>((B42+C42+D42+E42+F42+G42)/(1-'Prices&amp;Fuel'!F42))*(1-'Prices&amp;Fuel'!F42)*'Prices&amp;Fuel'!H42*0.005</f>
        <v>1912.5964010282776</v>
      </c>
      <c r="Q42" s="14">
        <f>((D42+C42+B42+E42+F42+G42)*K42*'Prices&amp;Fuel'!H42)+M42+N42+O42+P42</f>
        <v>1224046.5792012853</v>
      </c>
      <c r="R42" s="6">
        <f t="shared" si="4"/>
        <v>69681.345734447241</v>
      </c>
      <c r="S42" s="65">
        <f>R42/(B42+C42+D42+E42+F42+G42)/'Prices&amp;Fuel'!H42</f>
        <v>0.18216427077083322</v>
      </c>
      <c r="T42" s="3">
        <f>T41</f>
        <v>12000</v>
      </c>
    </row>
    <row r="43" spans="1:20" x14ac:dyDescent="0.2">
      <c r="A43" s="10">
        <f t="shared" si="3"/>
        <v>36904.833333333241</v>
      </c>
      <c r="B43" s="6">
        <f>IF(T43-((E43+F43+G43)*(1-'Prices&amp;Fuel'!F43))&lt;'Prices&amp;Fuel'!R43,(T43-(E43+F43+G43)*(1-'Prices&amp;Fuel'!F43)),'Prices&amp;Fuel'!R43)/(1-'Prices&amp;Fuel'!F43)</f>
        <v>4325.9640102827761</v>
      </c>
      <c r="C43" s="14">
        <f>(T43/(1-'Prices&amp;Fuel'!F43))-D43-E43-F43-G43-B43</f>
        <v>0</v>
      </c>
      <c r="D43" s="14">
        <f>ROUND(IF(T43/(1-'Prices&amp;Fuel'!F43)-E43-F43-G43-B43&gt;'Prices&amp;Fuel'!T43,'Prices&amp;Fuel'!T43,T43/(1-'Prices&amp;Fuel'!F43)-E43-F43-G43-B43),9)</f>
        <v>0</v>
      </c>
      <c r="E43" s="14">
        <f>'Prices&amp;Fuel'!U43/(1-'Prices&amp;Fuel'!F43)</f>
        <v>2635.4755784061695</v>
      </c>
      <c r="F43" s="14">
        <f>('Prices&amp;Fuel'!V43+'Prices&amp;Fuel'!X43)/(1-'Prices&amp;Fuel'!F43)</f>
        <v>3645.2442159383031</v>
      </c>
      <c r="G43" s="14">
        <f>'Prices&amp;Fuel'!W43/(1-'Prices&amp;Fuel'!F43)</f>
        <v>1732.6478149100255</v>
      </c>
      <c r="H43" s="25">
        <f>('Prices&amp;Fuel'!C43+'Prices&amp;Fuel'!D43)/2-0.05+(('Prices&amp;Fuel'!M43+'Prices&amp;Fuel'!P43)*(1-'Prices&amp;Fuel'!F43))</f>
        <v>2.9821247500000005</v>
      </c>
      <c r="I43" s="14">
        <f>IF(FPL!L43=80000,0,B43)</f>
        <v>4325.9640102827761</v>
      </c>
      <c r="J43" s="14"/>
      <c r="K43" s="25">
        <f>(((B43+E43)*('Prices&amp;Fuel'!B43+0.025))+(('Prices&amp;Fuel'!D43+0.025)*(D43+G43))+(('Prices&amp;Fuel'!C43+0.025)*(C43+F43))-(I43+J43)*0.025)/(B43+C43+D43+E43+F43+G43)</f>
        <v>2.2553645833333338</v>
      </c>
      <c r="L43" s="14">
        <f>(B43+C43+D43+E43+F43+G43)*H43*'Prices&amp;Fuel'!H43</f>
        <v>1140720.2128534706</v>
      </c>
      <c r="M43" s="14">
        <f>'Prices&amp;Fuel'!X43*('Prices&amp;Fuel'!N43+'Prices&amp;Fuel'!O43)*'Prices&amp;Fuel'!H43</f>
        <v>8956.1790000000019</v>
      </c>
      <c r="N43" s="14">
        <f>('Prices&amp;Fuel'!U43+'Prices&amp;Fuel'!V43+'Prices&amp;Fuel'!W43)*('Prices&amp;Fuel'!L43+'Prices&amp;Fuel'!O43)*'Prices&amp;Fuel'!H43</f>
        <v>93233.430000000008</v>
      </c>
      <c r="O43" s="14">
        <f>((B43+C43+D43)*(1-'Prices&amp;Fuel'!G43))*('Prices&amp;Fuel'!M43+'Prices&amp;Fuel'!P43)*'Prices&amp;Fuel'!H43</f>
        <v>104216.22470000001</v>
      </c>
      <c r="P43" s="14">
        <f>((B43+C43+D43+E43+F43+G43)/(1-'Prices&amp;Fuel'!F43))*(1-'Prices&amp;Fuel'!F43)*'Prices&amp;Fuel'!H43*0.005</f>
        <v>1912.5964010282776</v>
      </c>
      <c r="Q43" s="14">
        <f>((D43+C43+B43+E43+F43+G43)*K43*'Prices&amp;Fuel'!H43)+M43+N43+O43+P43</f>
        <v>1071038.8671190233</v>
      </c>
      <c r="R43" s="6">
        <f t="shared" si="4"/>
        <v>69681.345734447241</v>
      </c>
      <c r="S43" s="65">
        <f>R43/(B43+C43+D43+E43+F43+G43)/'Prices&amp;Fuel'!H43</f>
        <v>0.18216427077083322</v>
      </c>
      <c r="T43" s="3">
        <f t="shared" ref="T43:T52" si="7">T42</f>
        <v>12000</v>
      </c>
    </row>
    <row r="44" spans="1:20" x14ac:dyDescent="0.2">
      <c r="A44" s="10">
        <f t="shared" si="3"/>
        <v>36935.249999999905</v>
      </c>
      <c r="B44" s="6">
        <f>IF(T44-((E44+F44+G44)*(1-'Prices&amp;Fuel'!F44))&lt;'Prices&amp;Fuel'!R44,(T44-(E44+F44+G44)*(1-'Prices&amp;Fuel'!F44)),'Prices&amp;Fuel'!R44)/(1-'Prices&amp;Fuel'!F44)</f>
        <v>4325.9640102827761</v>
      </c>
      <c r="C44" s="14">
        <f>(T44/(1-'Prices&amp;Fuel'!F44))-D44-E44-F44-G44-B44</f>
        <v>0</v>
      </c>
      <c r="D44" s="14">
        <f>ROUND(IF(T44/(1-'Prices&amp;Fuel'!F44)-E44-F44-G44-B44&gt;'Prices&amp;Fuel'!T44,'Prices&amp;Fuel'!T44,T44/(1-'Prices&amp;Fuel'!F44)-E44-F44-G44-B44),9)</f>
        <v>0</v>
      </c>
      <c r="E44" s="14">
        <f>'Prices&amp;Fuel'!U44/(1-'Prices&amp;Fuel'!F44)</f>
        <v>2635.4755784061695</v>
      </c>
      <c r="F44" s="14">
        <f>('Prices&amp;Fuel'!V44+'Prices&amp;Fuel'!X44)/(1-'Prices&amp;Fuel'!F44)</f>
        <v>3645.2442159383031</v>
      </c>
      <c r="G44" s="14">
        <f>'Prices&amp;Fuel'!W44/(1-'Prices&amp;Fuel'!F44)</f>
        <v>1732.6478149100255</v>
      </c>
      <c r="H44" s="25">
        <f>('Prices&amp;Fuel'!C44+'Prices&amp;Fuel'!D44)/2-0.05+(('Prices&amp;Fuel'!M44+'Prices&amp;Fuel'!P44)*(1-'Prices&amp;Fuel'!F44))</f>
        <v>3.2521247500000006</v>
      </c>
      <c r="I44" s="14">
        <f>IF(FPL!L44=80000,0,B44)</f>
        <v>4325.9640102827761</v>
      </c>
      <c r="J44" s="14"/>
      <c r="K44" s="25">
        <f>(((B44+E44)*('Prices&amp;Fuel'!B44+0.025))+(('Prices&amp;Fuel'!D44+0.025)*(D44+G44))+(('Prices&amp;Fuel'!C44+0.025)*(C44+F44))-(I44+J44)*0.025)/(B44+C44+D44+E44+F44+G44)</f>
        <v>2.5253645833333338</v>
      </c>
      <c r="L44" s="14">
        <f>(B44+C44+D44+E44+F44+G44)*H44*'Prices&amp;Fuel'!H44</f>
        <v>1123613.2812339333</v>
      </c>
      <c r="M44" s="14">
        <f>'Prices&amp;Fuel'!X44*('Prices&amp;Fuel'!N44+'Prices&amp;Fuel'!O44)*'Prices&amp;Fuel'!H44</f>
        <v>8089.4520000000011</v>
      </c>
      <c r="N44" s="14">
        <f>('Prices&amp;Fuel'!U44+'Prices&amp;Fuel'!V44+'Prices&amp;Fuel'!W44)*('Prices&amp;Fuel'!L44+'Prices&amp;Fuel'!O44)*'Prices&amp;Fuel'!H44</f>
        <v>84210.840000000011</v>
      </c>
      <c r="O44" s="14">
        <f>((B44+C44+D44)*(1-'Prices&amp;Fuel'!G44))*('Prices&amp;Fuel'!M44+'Prices&amp;Fuel'!P44)*'Prices&amp;Fuel'!H44</f>
        <v>94130.78360000001</v>
      </c>
      <c r="P44" s="14">
        <f>((B44+C44+D44+E44+F44+G44)/(1-'Prices&amp;Fuel'!F44))*(1-'Prices&amp;Fuel'!F44)*'Prices&amp;Fuel'!H44*0.005</f>
        <v>1727.5064267352184</v>
      </c>
      <c r="Q44" s="14">
        <f>((D44+C44+B44+E44+F44+G44)*K44*'Prices&amp;Fuel'!H44)+M44+N44+O44+P44</f>
        <v>1060675.2915383035</v>
      </c>
      <c r="R44" s="6">
        <f t="shared" si="4"/>
        <v>62937.989695629803</v>
      </c>
      <c r="S44" s="65">
        <f>R44/(B44+C44+D44+E44+F44+G44)/'Prices&amp;Fuel'!H44</f>
        <v>0.1821642707708333</v>
      </c>
      <c r="T44" s="3">
        <f t="shared" si="7"/>
        <v>12000</v>
      </c>
    </row>
    <row r="45" spans="1:20" x14ac:dyDescent="0.2">
      <c r="A45" s="10">
        <f t="shared" si="3"/>
        <v>36965.66666666657</v>
      </c>
      <c r="B45" s="6">
        <f>IF(T45-((E45+F45+G45)*(1-'Prices&amp;Fuel'!F45))&lt;'Prices&amp;Fuel'!R45,(T45-(E45+F45+G45)*(1-'Prices&amp;Fuel'!F45)),'Prices&amp;Fuel'!R45)/(1-'Prices&amp;Fuel'!F45)</f>
        <v>4325.9640102827761</v>
      </c>
      <c r="C45" s="14">
        <f>(T45/(1-'Prices&amp;Fuel'!F45))-D45-E45-F45-G45-B45</f>
        <v>0</v>
      </c>
      <c r="D45" s="14">
        <f>ROUND(IF(T45/(1-'Prices&amp;Fuel'!F45)-E45-F45-G45-B45&gt;'Prices&amp;Fuel'!T45,'Prices&amp;Fuel'!T45,T45/(1-'Prices&amp;Fuel'!F45)-E45-F45-G45-B45),9)</f>
        <v>0</v>
      </c>
      <c r="E45" s="14">
        <f>'Prices&amp;Fuel'!U45/(1-'Prices&amp;Fuel'!F45)</f>
        <v>2635.4755784061695</v>
      </c>
      <c r="F45" s="14">
        <f>('Prices&amp;Fuel'!V45+'Prices&amp;Fuel'!X45)/(1-'Prices&amp;Fuel'!F45)</f>
        <v>3645.2442159383031</v>
      </c>
      <c r="G45" s="14">
        <f>'Prices&amp;Fuel'!W45/(1-'Prices&amp;Fuel'!F45)</f>
        <v>1732.6478149100255</v>
      </c>
      <c r="H45" s="25">
        <f>('Prices&amp;Fuel'!C45+'Prices&amp;Fuel'!D45)/2-0.05+(('Prices&amp;Fuel'!M45+'Prices&amp;Fuel'!P45)*(1-'Prices&amp;Fuel'!F45))</f>
        <v>3.2521247500000006</v>
      </c>
      <c r="I45" s="14">
        <f>IF(FPL!L45=80000,0,B45)</f>
        <v>4325.9640102827761</v>
      </c>
      <c r="J45" s="14"/>
      <c r="K45" s="25">
        <f>(((B45+E45)*('Prices&amp;Fuel'!B45+0.025))+(('Prices&amp;Fuel'!D45+0.025)*(D45+G45))+(('Prices&amp;Fuel'!C45+0.025)*(C45+F45))-(I45+J45)*0.025)/(B45+C45+D45+E45+F45+G45)</f>
        <v>2.5253645833333338</v>
      </c>
      <c r="L45" s="14">
        <f>(B45+C45+D45+E45+F45+G45)*H45*'Prices&amp;Fuel'!H45</f>
        <v>1244000.4185089977</v>
      </c>
      <c r="M45" s="14">
        <f>'Prices&amp;Fuel'!X45*('Prices&amp;Fuel'!N45+'Prices&amp;Fuel'!O45)*'Prices&amp;Fuel'!H45</f>
        <v>8956.1790000000019</v>
      </c>
      <c r="N45" s="14">
        <f>('Prices&amp;Fuel'!U45+'Prices&amp;Fuel'!V45+'Prices&amp;Fuel'!W45)*('Prices&amp;Fuel'!L45+'Prices&amp;Fuel'!O45)*'Prices&amp;Fuel'!H45</f>
        <v>93233.430000000008</v>
      </c>
      <c r="O45" s="14">
        <f>((B45+C45+D45)*(1-'Prices&amp;Fuel'!G45))*('Prices&amp;Fuel'!M45+'Prices&amp;Fuel'!P45)*'Prices&amp;Fuel'!H45</f>
        <v>104216.22470000001</v>
      </c>
      <c r="P45" s="14">
        <f>((B45+C45+D45+E45+F45+G45)/(1-'Prices&amp;Fuel'!F45))*(1-'Prices&amp;Fuel'!F45)*'Prices&amp;Fuel'!H45*0.005</f>
        <v>1912.5964010282776</v>
      </c>
      <c r="Q45" s="14">
        <f>((D45+C45+B45+E45+F45+G45)*K45*'Prices&amp;Fuel'!H45)+M45+N45+O45+P45</f>
        <v>1174319.0727745502</v>
      </c>
      <c r="R45" s="6">
        <f t="shared" si="4"/>
        <v>69681.345734447474</v>
      </c>
      <c r="S45" s="65">
        <f>R45/(B45+C45+D45+E45+F45+G45)/'Prices&amp;Fuel'!H45</f>
        <v>0.1821642707708338</v>
      </c>
      <c r="T45" s="3">
        <f t="shared" si="7"/>
        <v>12000</v>
      </c>
    </row>
    <row r="46" spans="1:20" x14ac:dyDescent="0.2">
      <c r="A46" s="10">
        <f t="shared" si="3"/>
        <v>36996.083333333234</v>
      </c>
      <c r="B46" s="6">
        <f>IF(T46-((E46+F46+G46)*(1-'Prices&amp;Fuel'!F46))&lt;'Prices&amp;Fuel'!R46,(T46-(E46+F46+G46)*(1-'Prices&amp;Fuel'!F46)),'Prices&amp;Fuel'!R46)/(1-'Prices&amp;Fuel'!F46)</f>
        <v>6278.6632390745499</v>
      </c>
      <c r="C46" s="14">
        <f>(T46/(1-'Prices&amp;Fuel'!F46))-D46-E46-F46-G46-B46</f>
        <v>0</v>
      </c>
      <c r="D46" s="14">
        <f>ROUND(IF(T46/(1-'Prices&amp;Fuel'!F46)-E46-F46-G46-B46&gt;'Prices&amp;Fuel'!T46,'Prices&amp;Fuel'!T46,T46/(1-'Prices&amp;Fuel'!F46)-E46-F46-G46-B46),9)</f>
        <v>0</v>
      </c>
      <c r="E46" s="14">
        <f>'Prices&amp;Fuel'!U46/(1-'Prices&amp;Fuel'!F46)</f>
        <v>1933.1619537275064</v>
      </c>
      <c r="F46" s="14">
        <f>('Prices&amp;Fuel'!V46+'Prices&amp;Fuel'!X46)/(1-'Prices&amp;Fuel'!F46)</f>
        <v>2833.9331619537274</v>
      </c>
      <c r="G46" s="14">
        <f>'Prices&amp;Fuel'!W46/(1-'Prices&amp;Fuel'!F46)</f>
        <v>1293.5732647814909</v>
      </c>
      <c r="H46" s="25">
        <f>('Prices&amp;Fuel'!C46+'Prices&amp;Fuel'!D46)/2-0.05+(('Prices&amp;Fuel'!M46+'Prices&amp;Fuel'!P46)*(1-'Prices&amp;Fuel'!F46))</f>
        <v>3.5221247500000006</v>
      </c>
      <c r="I46" s="14">
        <f>IF(FPL!L46=80000,0,B46)</f>
        <v>6278.6632390745499</v>
      </c>
      <c r="J46" s="14"/>
      <c r="K46" s="25">
        <f>(((B46+E46)*('Prices&amp;Fuel'!B46+0.025))+(('Prices&amp;Fuel'!D46+0.025)*(D46+G46))+(('Prices&amp;Fuel'!C46+0.025)*(C46+F46))-(I46+J46)*0.025)/(B46+C46+D46+E46+F46+G46)</f>
        <v>2.7871075000000003</v>
      </c>
      <c r="L46" s="14">
        <f>(B46+C46+D46+E46+F46+G46)*H46*'Prices&amp;Fuel'!H46</f>
        <v>1303819.9588688947</v>
      </c>
      <c r="M46" s="14">
        <f>'Prices&amp;Fuel'!X46*('Prices&amp;Fuel'!N46+'Prices&amp;Fuel'!O46)*'Prices&amp;Fuel'!H46</f>
        <v>8667.2700000000023</v>
      </c>
      <c r="N46" s="14">
        <f>('Prices&amp;Fuel'!U46+'Prices&amp;Fuel'!V46+'Prices&amp;Fuel'!W46)*('Prices&amp;Fuel'!L46+'Prices&amp;Fuel'!O46)*'Prices&amp;Fuel'!H46</f>
        <v>66127.590000000011</v>
      </c>
      <c r="O46" s="14">
        <f>((B46+C46+D46)*(1-'Prices&amp;Fuel'!G46))*('Prices&amp;Fuel'!M46+'Prices&amp;Fuel'!P46)*'Prices&amp;Fuel'!H46</f>
        <v>146379.13800000001</v>
      </c>
      <c r="P46" s="14">
        <f>((B46+C46+D46+E46+F46+G46)/(1-'Prices&amp;Fuel'!F46))*(1-'Prices&amp;Fuel'!F46)*'Prices&amp;Fuel'!H46*0.005</f>
        <v>1850.8997429305914</v>
      </c>
      <c r="Q46" s="14">
        <f>((D46+C46+B46+E46+F46+G46)*K46*'Prices&amp;Fuel'!H46)+M46+N46+O46+P46</f>
        <v>1254756.2087969156</v>
      </c>
      <c r="R46" s="6">
        <f t="shared" si="4"/>
        <v>49063.750071979128</v>
      </c>
      <c r="S46" s="65">
        <f>R46/(B46+C46+D46+E46+F46+G46)/'Prices&amp;Fuel'!H46</f>
        <v>0.13254026929166585</v>
      </c>
      <c r="T46" s="3">
        <f t="shared" si="7"/>
        <v>12000</v>
      </c>
    </row>
    <row r="47" spans="1:20" x14ac:dyDescent="0.2">
      <c r="A47" s="10">
        <f t="shared" si="3"/>
        <v>37026.499999999898</v>
      </c>
      <c r="B47" s="6">
        <f>IF(T47-((E47+F47+G47)*(1-'Prices&amp;Fuel'!F47))&lt;'Prices&amp;Fuel'!R47,(T47-(E47+F47+G47)*(1-'Prices&amp;Fuel'!F47)),'Prices&amp;Fuel'!R47)/(1-'Prices&amp;Fuel'!F47)</f>
        <v>8976.8637532133671</v>
      </c>
      <c r="C47" s="14">
        <f>(T47/(1-'Prices&amp;Fuel'!F47))-D47-E47-F47-G47-B47</f>
        <v>1.3824319466948509E-10</v>
      </c>
      <c r="D47" s="14">
        <f>ROUND(IF(T47/(1-'Prices&amp;Fuel'!F47)-E47-F47-G47-B47&gt;'Prices&amp;Fuel'!T47,'Prices&amp;Fuel'!T47,T47/(1-'Prices&amp;Fuel'!F47)-E47-F47-G47-B47),9)</f>
        <v>6556.2982005140002</v>
      </c>
      <c r="E47" s="14">
        <f>'Prices&amp;Fuel'!U47/(1-'Prices&amp;Fuel'!F47)</f>
        <v>1933.1619537275064</v>
      </c>
      <c r="F47" s="14">
        <f>('Prices&amp;Fuel'!V47+'Prices&amp;Fuel'!X47)/(1-'Prices&amp;Fuel'!F47)</f>
        <v>3062.2107969151671</v>
      </c>
      <c r="G47" s="14">
        <f>'Prices&amp;Fuel'!W47/(1-'Prices&amp;Fuel'!F47)</f>
        <v>1065.2956298200513</v>
      </c>
      <c r="H47" s="25">
        <f>('Prices&amp;Fuel'!C47+'Prices&amp;Fuel'!D47)/2-0.05+(('Prices&amp;Fuel'!M47+'Prices&amp;Fuel'!P47)*(1-'Prices&amp;Fuel'!F47))</f>
        <v>3.6839222500000006</v>
      </c>
      <c r="I47" s="14">
        <f>IF(FPL!L47=80000,0,B47)</f>
        <v>0</v>
      </c>
      <c r="J47" s="14"/>
      <c r="K47" s="25">
        <f>(((B47+E47)*('Prices&amp;Fuel'!B47+0.025))+(('Prices&amp;Fuel'!D47+0.025)*(D47+G47))+(('Prices&amp;Fuel'!C47+0.025)*(C47+F47))-(I47+J47)*0.025)/(B47+C47+D47+E47+F47+G47)</f>
        <v>2.9870380952380962</v>
      </c>
      <c r="L47" s="14">
        <f>(B47+C47+D47+E47+F47+G47)*H47*'Prices&amp;Fuel'!H47</f>
        <v>2466049.7529562982</v>
      </c>
      <c r="M47" s="14">
        <f>'Prices&amp;Fuel'!X47*('Prices&amp;Fuel'!N47+'Prices&amp;Fuel'!O47)*'Prices&amp;Fuel'!H47</f>
        <v>8956.1790000000019</v>
      </c>
      <c r="N47" s="14">
        <f>('Prices&amp;Fuel'!U47+'Prices&amp;Fuel'!V47+'Prices&amp;Fuel'!W47)*('Prices&amp;Fuel'!L47+'Prices&amp;Fuel'!O47)*'Prices&amp;Fuel'!H47</f>
        <v>68331.843000000008</v>
      </c>
      <c r="O47" s="14">
        <f>((B47+C47+D47)*(1-'Prices&amp;Fuel'!G47))*('Prices&amp;Fuel'!M47+'Prices&amp;Fuel'!P47)*'Prices&amp;Fuel'!H47</f>
        <v>360627.04860000004</v>
      </c>
      <c r="P47" s="14">
        <f>((B47+C47+D47+E47+F47+G47)/(1-'Prices&amp;Fuel'!F47))*(1-'Prices&amp;Fuel'!F47)*'Prices&amp;Fuel'!H47*0.005</f>
        <v>3347.043701799485</v>
      </c>
      <c r="Q47" s="14">
        <f>((D47+C47+B47+E47+F47+G47)*K47*'Prices&amp;Fuel'!H47)+M47+N47+O47+P47</f>
        <v>2440811.5230421601</v>
      </c>
      <c r="R47" s="6">
        <f t="shared" si="4"/>
        <v>25238.229914138094</v>
      </c>
      <c r="S47" s="65">
        <f>R47/(B47+C47+D47+E47+F47+G47)/'Prices&amp;Fuel'!H47</f>
        <v>3.7702271261903689E-2</v>
      </c>
      <c r="T47" s="3">
        <v>21000</v>
      </c>
    </row>
    <row r="48" spans="1:20" x14ac:dyDescent="0.2">
      <c r="A48" s="10">
        <f t="shared" si="3"/>
        <v>37056.916666666562</v>
      </c>
      <c r="B48" s="6">
        <f>IF(T48-((E48+F48+G48)*(1-'Prices&amp;Fuel'!F48))&lt;'Prices&amp;Fuel'!R48,(T48-(E48+F48+G48)*(1-'Prices&amp;Fuel'!F48)),'Prices&amp;Fuel'!R48)/(1-'Prices&amp;Fuel'!F48)</f>
        <v>8976.8637532133671</v>
      </c>
      <c r="C48" s="14">
        <f>(T48/(1-'Prices&amp;Fuel'!F48))-D48-E48-F48-G48-B48</f>
        <v>1.3824319466948509E-10</v>
      </c>
      <c r="D48" s="14">
        <f>ROUND(IF(T48/(1-'Prices&amp;Fuel'!F48)-E48-F48-G48-B48&gt;'Prices&amp;Fuel'!T48,'Prices&amp;Fuel'!T48,T48/(1-'Prices&amp;Fuel'!F48)-E48-F48-G48-B48),9)</f>
        <v>6556.2982005140002</v>
      </c>
      <c r="E48" s="14">
        <f>'Prices&amp;Fuel'!U48/(1-'Prices&amp;Fuel'!F48)</f>
        <v>1933.1619537275064</v>
      </c>
      <c r="F48" s="14">
        <f>('Prices&amp;Fuel'!V48+'Prices&amp;Fuel'!X48)/(1-'Prices&amp;Fuel'!F48)</f>
        <v>3062.2107969151671</v>
      </c>
      <c r="G48" s="14">
        <f>'Prices&amp;Fuel'!W48/(1-'Prices&amp;Fuel'!F48)</f>
        <v>1065.2956298200513</v>
      </c>
      <c r="H48" s="25">
        <f>('Prices&amp;Fuel'!C48+'Prices&amp;Fuel'!D48)/2-0.05+(('Prices&amp;Fuel'!M48+'Prices&amp;Fuel'!P48)*(1-'Prices&amp;Fuel'!F48))</f>
        <v>4.9939222499999998</v>
      </c>
      <c r="I48" s="14">
        <f>IF(FPL!L48=80000,0,B48)</f>
        <v>0</v>
      </c>
      <c r="J48" s="14"/>
      <c r="K48" s="25">
        <f>(((B48+E48)*('Prices&amp;Fuel'!B48+0.025))+(('Prices&amp;Fuel'!D48+0.025)*(D48+G48))+(('Prices&amp;Fuel'!C48+0.025)*(C48+F48))-(I48+J48)*0.025)/(B48+C48+D48+E48+F48+G48)</f>
        <v>4.2970380952380962</v>
      </c>
      <c r="L48" s="14">
        <f>(B48+C48+D48+E48+F48+G48)*H48*'Prices&amp;Fuel'!H48</f>
        <v>3235137.2930591255</v>
      </c>
      <c r="M48" s="14">
        <f>'Prices&amp;Fuel'!X48*('Prices&amp;Fuel'!N48+'Prices&amp;Fuel'!O48)*'Prices&amp;Fuel'!H48</f>
        <v>8667.2700000000023</v>
      </c>
      <c r="N48" s="14">
        <f>('Prices&amp;Fuel'!U48+'Prices&amp;Fuel'!V48+'Prices&amp;Fuel'!W48)*('Prices&amp;Fuel'!L48+'Prices&amp;Fuel'!O48)*'Prices&amp;Fuel'!H48</f>
        <v>66127.590000000011</v>
      </c>
      <c r="O48" s="14">
        <f>((B48+C48+D48)*(1-'Prices&amp;Fuel'!G48))*('Prices&amp;Fuel'!M48+'Prices&amp;Fuel'!P48)*'Prices&amp;Fuel'!H48</f>
        <v>348993.91800000001</v>
      </c>
      <c r="P48" s="14">
        <f>((B48+C48+D48+E48+F48+G48)/(1-'Prices&amp;Fuel'!F48))*(1-'Prices&amp;Fuel'!F48)*'Prices&amp;Fuel'!H48*0.005</f>
        <v>3239.0745501285346</v>
      </c>
      <c r="Q48" s="14">
        <f>((D48+C48+B48+E48+F48+G48)*K48*'Prices&amp;Fuel'!H48)+M48+N48+O48+P48</f>
        <v>3210713.1995938304</v>
      </c>
      <c r="R48" s="6">
        <f t="shared" si="4"/>
        <v>24424.093465295155</v>
      </c>
      <c r="S48" s="65">
        <f>R48/(B48+C48+D48+E48+F48+G48)/'Prices&amp;Fuel'!H48</f>
        <v>3.7702271261904036E-2</v>
      </c>
      <c r="T48" s="3">
        <f t="shared" si="7"/>
        <v>21000</v>
      </c>
    </row>
    <row r="49" spans="1:20" x14ac:dyDescent="0.2">
      <c r="A49" s="10">
        <f t="shared" si="3"/>
        <v>37087.333333333227</v>
      </c>
      <c r="B49" s="6">
        <f>IF(T49-((E49+F49+G49)*(1-'Prices&amp;Fuel'!F49))&lt;'Prices&amp;Fuel'!R49,(T49-(E49+F49+G49)*(1-'Prices&amp;Fuel'!F49)),'Prices&amp;Fuel'!R49)/(1-'Prices&amp;Fuel'!F49)</f>
        <v>8976.8637532133671</v>
      </c>
      <c r="C49" s="14">
        <f>(T49/(1-'Prices&amp;Fuel'!F49))-D49-E49-F49-G49-B49</f>
        <v>1.3824319466948509E-10</v>
      </c>
      <c r="D49" s="14">
        <f>ROUND(IF(T49/(1-'Prices&amp;Fuel'!F49)-E49-F49-G49-B49&gt;'Prices&amp;Fuel'!T49,'Prices&amp;Fuel'!T49,T49/(1-'Prices&amp;Fuel'!F49)-E49-F49-G49-B49),9)</f>
        <v>6556.2982005140002</v>
      </c>
      <c r="E49" s="14">
        <f>'Prices&amp;Fuel'!U49/(1-'Prices&amp;Fuel'!F49)</f>
        <v>1933.1619537275064</v>
      </c>
      <c r="F49" s="14">
        <f>('Prices&amp;Fuel'!V49+'Prices&amp;Fuel'!X49)/(1-'Prices&amp;Fuel'!F49)</f>
        <v>3062.2107969151671</v>
      </c>
      <c r="G49" s="14">
        <f>'Prices&amp;Fuel'!W49/(1-'Prices&amp;Fuel'!F49)</f>
        <v>1065.2956298200513</v>
      </c>
      <c r="H49" s="25">
        <f>('Prices&amp;Fuel'!C49+'Prices&amp;Fuel'!D49)/2-0.05+(('Prices&amp;Fuel'!M49+'Prices&amp;Fuel'!P49)*(1-'Prices&amp;Fuel'!F49))</f>
        <v>4.98392225</v>
      </c>
      <c r="I49" s="14">
        <f>IF(FPL!L49=80000,0,B49)</f>
        <v>0</v>
      </c>
      <c r="J49" s="14"/>
      <c r="K49" s="25">
        <f>(((B49+E49)*('Prices&amp;Fuel'!B49+0.025))+(('Prices&amp;Fuel'!D49+0.025)*(D49+G49))+(('Prices&amp;Fuel'!C49+0.025)*(C49+F49))-(I49+J49)*0.025)/(B49+C49+D49+E49+F49+G49)</f>
        <v>4.2870380952380955</v>
      </c>
      <c r="L49" s="14">
        <f>(B49+C49+D49+E49+F49+G49)*H49*'Prices&amp;Fuel'!H49</f>
        <v>3336281.1154241641</v>
      </c>
      <c r="M49" s="14">
        <f>'Prices&amp;Fuel'!X49*('Prices&amp;Fuel'!N49+'Prices&amp;Fuel'!O49)*'Prices&amp;Fuel'!H49</f>
        <v>8956.1790000000019</v>
      </c>
      <c r="N49" s="14">
        <f>('Prices&amp;Fuel'!U49+'Prices&amp;Fuel'!V49+'Prices&amp;Fuel'!W49)*('Prices&amp;Fuel'!L49+'Prices&amp;Fuel'!O49)*'Prices&amp;Fuel'!H49</f>
        <v>68331.843000000008</v>
      </c>
      <c r="O49" s="14">
        <f>((B49+C49+D49)*(1-'Prices&amp;Fuel'!G49))*('Prices&amp;Fuel'!M49+'Prices&amp;Fuel'!P49)*'Prices&amp;Fuel'!H49</f>
        <v>360627.04860000004</v>
      </c>
      <c r="P49" s="14">
        <f>((B49+C49+D49+E49+F49+G49)/(1-'Prices&amp;Fuel'!F49))*(1-'Prices&amp;Fuel'!F49)*'Prices&amp;Fuel'!H49*0.005</f>
        <v>3347.043701799485</v>
      </c>
      <c r="Q49" s="14">
        <f>((D49+C49+B49+E49+F49+G49)*K49*'Prices&amp;Fuel'!H49)+M49+N49+O49+P49</f>
        <v>3311042.8855100255</v>
      </c>
      <c r="R49" s="6">
        <f t="shared" ref="R49:R80" si="8">L49-Q49</f>
        <v>25238.229914138559</v>
      </c>
      <c r="S49" s="65">
        <f>R49/(B49+C49+D49+E49+F49+G49)/'Prices&amp;Fuel'!H49</f>
        <v>3.7702271261904383E-2</v>
      </c>
      <c r="T49" s="3">
        <f t="shared" si="7"/>
        <v>21000</v>
      </c>
    </row>
    <row r="50" spans="1:20" x14ac:dyDescent="0.2">
      <c r="A50" s="10">
        <f t="shared" si="3"/>
        <v>37117.749999999891</v>
      </c>
      <c r="B50" s="6">
        <f>IF(T50-((E50+F50+G50)*(1-'Prices&amp;Fuel'!F50))&lt;'Prices&amp;Fuel'!R50,(T50-(E50+F50+G50)*(1-'Prices&amp;Fuel'!F50)),'Prices&amp;Fuel'!R50)/(1-'Prices&amp;Fuel'!F50)</f>
        <v>8976.8637532133671</v>
      </c>
      <c r="C50" s="14">
        <f>(T50/(1-'Prices&amp;Fuel'!F50))-D50-E50-F50-G50-B50</f>
        <v>1.3824319466948509E-10</v>
      </c>
      <c r="D50" s="14">
        <f>ROUND(IF(T50/(1-'Prices&amp;Fuel'!F50)-E50-F50-G50-B50&gt;'Prices&amp;Fuel'!T50,'Prices&amp;Fuel'!T50,T50/(1-'Prices&amp;Fuel'!F50)-E50-F50-G50-B50),9)</f>
        <v>6556.2982005140002</v>
      </c>
      <c r="E50" s="14">
        <f>'Prices&amp;Fuel'!U50/(1-'Prices&amp;Fuel'!F50)</f>
        <v>1933.1619537275064</v>
      </c>
      <c r="F50" s="14">
        <f>('Prices&amp;Fuel'!V50+'Prices&amp;Fuel'!X50)/(1-'Prices&amp;Fuel'!F50)</f>
        <v>3062.2107969151671</v>
      </c>
      <c r="G50" s="14">
        <f>'Prices&amp;Fuel'!W50/(1-'Prices&amp;Fuel'!F50)</f>
        <v>1065.2956298200513</v>
      </c>
      <c r="H50" s="25">
        <f>('Prices&amp;Fuel'!C50+'Prices&amp;Fuel'!D50)/2-0.05+(('Prices&amp;Fuel'!M50+'Prices&amp;Fuel'!P50)*(1-'Prices&amp;Fuel'!F50))</f>
        <v>4.44392225</v>
      </c>
      <c r="I50" s="14">
        <f>IF(FPL!L50=80000,0,B50)</f>
        <v>0</v>
      </c>
      <c r="J50" s="14"/>
      <c r="K50" s="25">
        <f>(((B50+E50)*('Prices&amp;Fuel'!B50+0.025))+(('Prices&amp;Fuel'!D50+0.025)*(D50+G50))+(('Prices&amp;Fuel'!C50+0.025)*(C50+F50))-(I50+J50)*0.025)/(B50+C50+D50+E50+F50+G50)</f>
        <v>3.7470380952380964</v>
      </c>
      <c r="L50" s="14">
        <f>(B50+C50+D50+E50+F50+G50)*H50*'Prices&amp;Fuel'!H50</f>
        <v>2974800.3956298195</v>
      </c>
      <c r="M50" s="14">
        <f>'Prices&amp;Fuel'!X50*('Prices&amp;Fuel'!N50+'Prices&amp;Fuel'!O50)*'Prices&amp;Fuel'!H50</f>
        <v>8956.1790000000019</v>
      </c>
      <c r="N50" s="14">
        <f>('Prices&amp;Fuel'!U50+'Prices&amp;Fuel'!V50+'Prices&amp;Fuel'!W50)*('Prices&amp;Fuel'!L50+'Prices&amp;Fuel'!O50)*'Prices&amp;Fuel'!H50</f>
        <v>68331.843000000008</v>
      </c>
      <c r="O50" s="14">
        <f>((B50+C50+D50)*(1-'Prices&amp;Fuel'!G50))*('Prices&amp;Fuel'!M50+'Prices&amp;Fuel'!P50)*'Prices&amp;Fuel'!H50</f>
        <v>360627.04860000004</v>
      </c>
      <c r="P50" s="14">
        <f>((B50+C50+D50+E50+F50+G50)/(1-'Prices&amp;Fuel'!F50))*(1-'Prices&amp;Fuel'!F50)*'Prices&amp;Fuel'!H50*0.005</f>
        <v>3347.043701799485</v>
      </c>
      <c r="Q50" s="14">
        <f>((D50+C50+B50+E50+F50+G50)*K50*'Prices&amp;Fuel'!H50)+M50+N50+O50+P50</f>
        <v>2949562.1657156814</v>
      </c>
      <c r="R50" s="6">
        <f t="shared" si="8"/>
        <v>25238.229914138094</v>
      </c>
      <c r="S50" s="65">
        <f>R50/(B50+C50+D50+E50+F50+G50)/'Prices&amp;Fuel'!H50</f>
        <v>3.7702271261903689E-2</v>
      </c>
      <c r="T50" s="3">
        <f t="shared" si="7"/>
        <v>21000</v>
      </c>
    </row>
    <row r="51" spans="1:20" x14ac:dyDescent="0.2">
      <c r="A51" s="10">
        <f t="shared" si="3"/>
        <v>37148.166666666555</v>
      </c>
      <c r="B51" s="6">
        <f>IF(T51-((E51+F51+G51)*(1-'Prices&amp;Fuel'!F51))&lt;'Prices&amp;Fuel'!R51,(T51-(E51+F51+G51)*(1-'Prices&amp;Fuel'!F51)),'Prices&amp;Fuel'!R51)/(1-'Prices&amp;Fuel'!F51)</f>
        <v>8976.8637532133671</v>
      </c>
      <c r="C51" s="14">
        <f>(T51/(1-'Prices&amp;Fuel'!F51))-D51-E51-F51-G51-B51</f>
        <v>1.3824319466948509E-10</v>
      </c>
      <c r="D51" s="14">
        <f>ROUND(IF(T51/(1-'Prices&amp;Fuel'!F51)-E51-F51-G51-B51&gt;'Prices&amp;Fuel'!T51,'Prices&amp;Fuel'!T51,T51/(1-'Prices&amp;Fuel'!F51)-E51-F51-G51-B51),9)</f>
        <v>6556.2982005140002</v>
      </c>
      <c r="E51" s="14">
        <f>'Prices&amp;Fuel'!U51/(1-'Prices&amp;Fuel'!F51)</f>
        <v>1933.1619537275064</v>
      </c>
      <c r="F51" s="14">
        <f>('Prices&amp;Fuel'!V51+'Prices&amp;Fuel'!X51)/(1-'Prices&amp;Fuel'!F51)</f>
        <v>3062.2107969151671</v>
      </c>
      <c r="G51" s="14">
        <f>'Prices&amp;Fuel'!W51/(1-'Prices&amp;Fuel'!F51)</f>
        <v>1065.2956298200513</v>
      </c>
      <c r="H51" s="25">
        <f>('Prices&amp;Fuel'!C51+'Prices&amp;Fuel'!D51)/2-0.05+(('Prices&amp;Fuel'!M51+'Prices&amp;Fuel'!P51)*(1-'Prices&amp;Fuel'!F51))</f>
        <v>5.2139222500000004</v>
      </c>
      <c r="I51" s="14">
        <f>IF(FPL!L51=80000,0,B51)</f>
        <v>0</v>
      </c>
      <c r="J51" s="14"/>
      <c r="K51" s="25">
        <f>(((B51+E51)*('Prices&amp;Fuel'!B51+0.025))+(('Prices&amp;Fuel'!D51+0.025)*(D51+G51))+(('Prices&amp;Fuel'!C51+0.025)*(C51+F51))-(I51+J51)*0.025)/(B51+C51+D51+E51+F51+G51)</f>
        <v>4.5170380952380969</v>
      </c>
      <c r="L51" s="14">
        <f>(B51+C51+D51+E51+F51+G51)*H51*'Prices&amp;Fuel'!H51</f>
        <v>3377656.5732647814</v>
      </c>
      <c r="M51" s="14">
        <f>'Prices&amp;Fuel'!X51*('Prices&amp;Fuel'!N51+'Prices&amp;Fuel'!O51)*'Prices&amp;Fuel'!H51</f>
        <v>8667.2700000000023</v>
      </c>
      <c r="N51" s="14">
        <f>('Prices&amp;Fuel'!U51+'Prices&amp;Fuel'!V51+'Prices&amp;Fuel'!W51)*('Prices&amp;Fuel'!L51+'Prices&amp;Fuel'!O51)*'Prices&amp;Fuel'!H51</f>
        <v>66127.590000000011</v>
      </c>
      <c r="O51" s="14">
        <f>((B51+C51+D51)*(1-'Prices&amp;Fuel'!G51))*('Prices&amp;Fuel'!M51+'Prices&amp;Fuel'!P51)*'Prices&amp;Fuel'!H51</f>
        <v>348993.91800000001</v>
      </c>
      <c r="P51" s="14">
        <f>((B51+C51+D51+E51+F51+G51)/(1-'Prices&amp;Fuel'!F51))*(1-'Prices&amp;Fuel'!F51)*'Prices&amp;Fuel'!H51*0.005</f>
        <v>3239.0745501285346</v>
      </c>
      <c r="Q51" s="14">
        <f>((D51+C51+B51+E51+F51+G51)*K51*'Prices&amp;Fuel'!H51)+M51+N51+O51+P51</f>
        <v>3353232.4797994867</v>
      </c>
      <c r="R51" s="6">
        <f t="shared" si="8"/>
        <v>24424.093465294689</v>
      </c>
      <c r="S51" s="65">
        <f>R51/(B51+C51+D51+E51+F51+G51)/'Prices&amp;Fuel'!H51</f>
        <v>3.7702271261903314E-2</v>
      </c>
      <c r="T51" s="3">
        <f t="shared" si="7"/>
        <v>21000</v>
      </c>
    </row>
    <row r="52" spans="1:20" x14ac:dyDescent="0.2">
      <c r="A52" s="10">
        <f t="shared" si="3"/>
        <v>37178.583333333219</v>
      </c>
      <c r="B52" s="6">
        <f>IF(T52-((E52+F52+G52)*(1-'Prices&amp;Fuel'!F52))&lt;'Prices&amp;Fuel'!R52,(T52-(E52+F52+G52)*(1-'Prices&amp;Fuel'!F52)),'Prices&amp;Fuel'!R52)/(1-'Prices&amp;Fuel'!F52)</f>
        <v>8976.8637532133671</v>
      </c>
      <c r="C52" s="14">
        <f>(T52/(1-'Prices&amp;Fuel'!F52))-D52-E52-F52-G52-B52</f>
        <v>2.0190782379359007E-10</v>
      </c>
      <c r="D52" s="14">
        <f>ROUND(IF(T52/(1-'Prices&amp;Fuel'!F52)-E52-F52-G52-B52&gt;'Prices&amp;Fuel'!T52,'Prices&amp;Fuel'!T52,T52/(1-'Prices&amp;Fuel'!F52)-E52-F52-G52-B52),9)</f>
        <v>3514.6529562979999</v>
      </c>
      <c r="E52" s="14">
        <f>'Prices&amp;Fuel'!U52/(1-'Prices&amp;Fuel'!F52)</f>
        <v>2910.025706940874</v>
      </c>
      <c r="F52" s="14">
        <f>('Prices&amp;Fuel'!V52+'Prices&amp;Fuel'!X52)/(1-'Prices&amp;Fuel'!F52)</f>
        <v>4628.2776349614396</v>
      </c>
      <c r="G52" s="14">
        <f>'Prices&amp;Fuel'!W52/(1-'Prices&amp;Fuel'!F52)</f>
        <v>1564.0102827763496</v>
      </c>
      <c r="H52" s="25">
        <f>('Prices&amp;Fuel'!C52+'Prices&amp;Fuel'!D52)/2-0.05+(('Prices&amp;Fuel'!M52+'Prices&amp;Fuel'!P52)*(1-'Prices&amp;Fuel'!F52))</f>
        <v>5.8939222500000001</v>
      </c>
      <c r="I52" s="14">
        <f>IF(FPL!L52=80000,0,B52)</f>
        <v>8976.8637532133671</v>
      </c>
      <c r="J52" s="14"/>
      <c r="K52" s="25">
        <f>(((B52+E52)*('Prices&amp;Fuel'!B52+0.025))+(('Prices&amp;Fuel'!D52+0.025)*(D52+G52))+(('Prices&amp;Fuel'!C52+0.025)*(C52+F52))-(I52+J52)*0.025)/(B52+C52+D52+E52+F52+G52)</f>
        <v>5.1898190476190482</v>
      </c>
      <c r="L52" s="14">
        <f>(B52+C52+D52+E52+F52+G52)*H52*'Prices&amp;Fuel'!H52</f>
        <v>3945443.0691516716</v>
      </c>
      <c r="M52" s="14">
        <f>'Prices&amp;Fuel'!X52*('Prices&amp;Fuel'!N52+'Prices&amp;Fuel'!O52)*'Prices&amp;Fuel'!H52</f>
        <v>13126.113000000001</v>
      </c>
      <c r="N52" s="14">
        <f>('Prices&amp;Fuel'!U52+'Prices&amp;Fuel'!V52+'Prices&amp;Fuel'!W52)*('Prices&amp;Fuel'!L52+'Prices&amp;Fuel'!O52)*'Prices&amp;Fuel'!H52</f>
        <v>102950.16300000002</v>
      </c>
      <c r="O52" s="14">
        <f>((B52+C52+D52)*(1-'Prices&amp;Fuel'!G52))*('Prices&amp;Fuel'!M52+'Prices&amp;Fuel'!P52)*'Prices&amp;Fuel'!H52</f>
        <v>290010.41880000004</v>
      </c>
      <c r="P52" s="14">
        <f>((B52+C52+D52+E52+F52+G52)/(1-'Prices&amp;Fuel'!F52))*(1-'Prices&amp;Fuel'!F52)*'Prices&amp;Fuel'!H52*0.005</f>
        <v>3347.0437017994859</v>
      </c>
      <c r="Q52" s="14">
        <f>((D52+C52+B52+E52+F52+G52)*K52*'Prices&amp;Fuel'!H52)+M52+N52+O52+P52</f>
        <v>3883543.9698642683</v>
      </c>
      <c r="R52" s="6">
        <f t="shared" si="8"/>
        <v>61899.099287403282</v>
      </c>
      <c r="S52" s="65">
        <f>R52/(B52+C52+D52+E52+F52+G52)/'Prices&amp;Fuel'!H52</f>
        <v>9.2468316523809047E-2</v>
      </c>
      <c r="T52" s="3">
        <f t="shared" si="7"/>
        <v>21000</v>
      </c>
    </row>
    <row r="53" spans="1:20" x14ac:dyDescent="0.2">
      <c r="A53" s="10">
        <f t="shared" si="3"/>
        <v>37208.999999999884</v>
      </c>
      <c r="B53" s="6">
        <f>IF(T53-((E53+F53+G53)*(1-'Prices&amp;Fuel'!F53))&lt;'Prices&amp;Fuel'!R53,(T53-(E53+F53+G53)*(1-'Prices&amp;Fuel'!F53)),'Prices&amp;Fuel'!R53)/(1-'Prices&amp;Fuel'!F53)</f>
        <v>4325.9640102827761</v>
      </c>
      <c r="C53" s="14">
        <f>(T53/(1-'Prices&amp;Fuel'!F53))-D53-E53-F53-G53-B53</f>
        <v>0</v>
      </c>
      <c r="D53" s="14">
        <f>ROUND(IF(T53/(1-'Prices&amp;Fuel'!F53)-E53-F53-G53-B53&gt;'Prices&amp;Fuel'!T53,'Prices&amp;Fuel'!T53,T53/(1-'Prices&amp;Fuel'!F53)-E53-F53-G53-B53),9)</f>
        <v>0</v>
      </c>
      <c r="E53" s="14">
        <f>'Prices&amp;Fuel'!U53/(1-'Prices&amp;Fuel'!F53)</f>
        <v>2635.4755784061695</v>
      </c>
      <c r="F53" s="14">
        <f>('Prices&amp;Fuel'!V53+'Prices&amp;Fuel'!X53)/(1-'Prices&amp;Fuel'!F53)</f>
        <v>3645.2442159383031</v>
      </c>
      <c r="G53" s="14">
        <f>'Prices&amp;Fuel'!W53/(1-'Prices&amp;Fuel'!F53)</f>
        <v>1732.6478149100255</v>
      </c>
      <c r="H53" s="25">
        <f>('Prices&amp;Fuel'!C53+'Prices&amp;Fuel'!D53)/2-0.05+(('Prices&amp;Fuel'!M53+'Prices&amp;Fuel'!P53)*(1-'Prices&amp;Fuel'!F53))</f>
        <v>4.1639222500000006</v>
      </c>
      <c r="I53" s="14">
        <f>IF(FPL!L53=80000,0,B53)</f>
        <v>4325.9640102827761</v>
      </c>
      <c r="J53" s="14"/>
      <c r="K53" s="25">
        <f>(((B53+E53)*('Prices&amp;Fuel'!B53+0.025))+(('Prices&amp;Fuel'!D53+0.025)*(D53+G53))+(('Prices&amp;Fuel'!C53+0.025)*(C53+F53))-(I53+J53)*0.025)/(B53+C53+D53+E53+F53+G53)</f>
        <v>3.4653645833333333</v>
      </c>
      <c r="L53" s="14">
        <f>(B53+C53+D53+E53+F53+G53)*H53*'Prices&amp;Fuel'!H53</f>
        <v>1541400.5244215939</v>
      </c>
      <c r="M53" s="14">
        <f>'Prices&amp;Fuel'!X53*('Prices&amp;Fuel'!N53+'Prices&amp;Fuel'!O53)*'Prices&amp;Fuel'!H53</f>
        <v>8667.2700000000023</v>
      </c>
      <c r="N53" s="14">
        <f>('Prices&amp;Fuel'!U53+'Prices&amp;Fuel'!V53+'Prices&amp;Fuel'!W53)*('Prices&amp;Fuel'!L53+'Prices&amp;Fuel'!O53)*'Prices&amp;Fuel'!H53</f>
        <v>90225.900000000009</v>
      </c>
      <c r="O53" s="14">
        <f>((B53+C53+D53)*(1-'Prices&amp;Fuel'!G53))*('Prices&amp;Fuel'!M53+'Prices&amp;Fuel'!P53)*'Prices&amp;Fuel'!H53</f>
        <v>97194.320999999996</v>
      </c>
      <c r="P53" s="14">
        <f>((B53+C53+D53+E53+F53+G53)/(1-'Prices&amp;Fuel'!F53))*(1-'Prices&amp;Fuel'!F53)*'Prices&amp;Fuel'!H53*0.005</f>
        <v>1850.8997429305912</v>
      </c>
      <c r="Q53" s="14">
        <f>((D53+C53+B53+E53+F53+G53)*K53*'Prices&amp;Fuel'!H53)+M53+N53+O53+P53</f>
        <v>1480746.8740334189</v>
      </c>
      <c r="R53" s="6">
        <f t="shared" si="8"/>
        <v>60653.650388174923</v>
      </c>
      <c r="S53" s="65">
        <f>R53/(B53+C53+D53+E53+F53+G53)/'Prices&amp;Fuel'!H53</f>
        <v>0.16384909722916699</v>
      </c>
      <c r="T53" s="3">
        <v>12000</v>
      </c>
    </row>
    <row r="54" spans="1:20" x14ac:dyDescent="0.2">
      <c r="A54" s="10">
        <f t="shared" si="3"/>
        <v>37239.416666666548</v>
      </c>
      <c r="B54" s="6">
        <f>IF(T54-((E54+F54+G54)*(1-'Prices&amp;Fuel'!F54))&lt;'Prices&amp;Fuel'!R54,(T54-(E54+F54+G54)*(1-'Prices&amp;Fuel'!F54)),'Prices&amp;Fuel'!R54)/(1-'Prices&amp;Fuel'!F54)</f>
        <v>4325.9640102827761</v>
      </c>
      <c r="C54" s="14">
        <f>(T54/(1-'Prices&amp;Fuel'!F54))-D54-E54-F54-G54-B54</f>
        <v>0</v>
      </c>
      <c r="D54" s="14">
        <f>ROUND(IF(T54/(1-'Prices&amp;Fuel'!F54)-E54-F54-G54-B54&gt;'Prices&amp;Fuel'!T54,'Prices&amp;Fuel'!T54,T54/(1-'Prices&amp;Fuel'!F54)-E54-F54-G54-B54),9)</f>
        <v>0</v>
      </c>
      <c r="E54" s="14">
        <f>'Prices&amp;Fuel'!U54/(1-'Prices&amp;Fuel'!F54)</f>
        <v>2635.4755784061695</v>
      </c>
      <c r="F54" s="14">
        <f>('Prices&amp;Fuel'!V54+'Prices&amp;Fuel'!X54)/(1-'Prices&amp;Fuel'!F54)</f>
        <v>3645.2442159383031</v>
      </c>
      <c r="G54" s="14">
        <f>'Prices&amp;Fuel'!W54/(1-'Prices&amp;Fuel'!F54)</f>
        <v>1732.6478149100255</v>
      </c>
      <c r="H54" s="25">
        <f>('Prices&amp;Fuel'!C54+'Prices&amp;Fuel'!D54)/2-0.05+(('Prices&amp;Fuel'!M54+'Prices&amp;Fuel'!P54)*(1-'Prices&amp;Fuel'!F54))</f>
        <v>3.2839222500000007</v>
      </c>
      <c r="I54" s="14">
        <f>IF(FPL!L54=80000,0,B54)</f>
        <v>4325.9640102827761</v>
      </c>
      <c r="J54" s="14"/>
      <c r="K54" s="25">
        <f>(((B54+E54)*('Prices&amp;Fuel'!B54+0.025))+(('Prices&amp;Fuel'!D54+0.025)*(D54+G54))+(('Prices&amp;Fuel'!C54+0.025)*(C54+F54))-(I54+J54)*0.025)/(B54+C54+D54+E54+F54+G54)</f>
        <v>2.5853645833333334</v>
      </c>
      <c r="L54" s="14">
        <f>(B54+C54+D54+E54+F54+G54)*H54*'Prices&amp;Fuel'!H54</f>
        <v>1256163.5753213367</v>
      </c>
      <c r="M54" s="14">
        <f>'Prices&amp;Fuel'!X54*('Prices&amp;Fuel'!N54+'Prices&amp;Fuel'!O54)*'Prices&amp;Fuel'!H54</f>
        <v>8956.1790000000019</v>
      </c>
      <c r="N54" s="14">
        <f>('Prices&amp;Fuel'!U54+'Prices&amp;Fuel'!V54+'Prices&amp;Fuel'!W54)*('Prices&amp;Fuel'!L54+'Prices&amp;Fuel'!O54)*'Prices&amp;Fuel'!H54</f>
        <v>93233.430000000008</v>
      </c>
      <c r="O54" s="14">
        <f>((B54+C54+D54)*(1-'Prices&amp;Fuel'!G54))*('Prices&amp;Fuel'!M54+'Prices&amp;Fuel'!P54)*'Prices&amp;Fuel'!H54</f>
        <v>100434.1317</v>
      </c>
      <c r="P54" s="14">
        <f>((B54+C54+D54+E54+F54+G54)/(1-'Prices&amp;Fuel'!F54))*(1-'Prices&amp;Fuel'!F54)*'Prices&amp;Fuel'!H54*0.005</f>
        <v>1912.5964010282776</v>
      </c>
      <c r="Q54" s="14">
        <f>((D54+C54+B54+E54+F54+G54)*K54*'Prices&amp;Fuel'!H54)+M54+N54+O54+P54</f>
        <v>1193488.1365868894</v>
      </c>
      <c r="R54" s="6">
        <f t="shared" si="8"/>
        <v>62675.438734447351</v>
      </c>
      <c r="S54" s="65">
        <f>R54/(B54+C54+D54+E54+F54+G54)/'Prices&amp;Fuel'!H54</f>
        <v>0.16384909722916682</v>
      </c>
      <c r="T54" s="3">
        <f>T53</f>
        <v>12000</v>
      </c>
    </row>
    <row r="55" spans="1:20" x14ac:dyDescent="0.2">
      <c r="A55" s="10">
        <f t="shared" si="3"/>
        <v>37269.833333333212</v>
      </c>
      <c r="B55" s="6">
        <f>IF(T55-((E55+F55+G55)*(1-'Prices&amp;Fuel'!F55))&lt;'Prices&amp;Fuel'!R55,(T55-(E55+F55+G55)*(1-'Prices&amp;Fuel'!F55)),'Prices&amp;Fuel'!R55)/(1-'Prices&amp;Fuel'!F55)</f>
        <v>4325.9640102827761</v>
      </c>
      <c r="C55" s="14">
        <f>(T55/(1-'Prices&amp;Fuel'!F55))-D55-E55-F55-G55-B55</f>
        <v>0</v>
      </c>
      <c r="D55" s="14">
        <f>ROUND(IF(T55/(1-'Prices&amp;Fuel'!F55)-E55-F55-G55-B55&gt;'Prices&amp;Fuel'!T55,'Prices&amp;Fuel'!T55,T55/(1-'Prices&amp;Fuel'!F55)-E55-F55-G55-B55),9)</f>
        <v>0</v>
      </c>
      <c r="E55" s="14">
        <f>'Prices&amp;Fuel'!U55/(1-'Prices&amp;Fuel'!F55)</f>
        <v>2635.4755784061695</v>
      </c>
      <c r="F55" s="14">
        <f>('Prices&amp;Fuel'!V55+'Prices&amp;Fuel'!X55)/(1-'Prices&amp;Fuel'!F55)</f>
        <v>3645.2442159383031</v>
      </c>
      <c r="G55" s="14">
        <f>'Prices&amp;Fuel'!W55/(1-'Prices&amp;Fuel'!F55)</f>
        <v>1732.6478149100255</v>
      </c>
      <c r="H55" s="25">
        <f>('Prices&amp;Fuel'!C55+'Prices&amp;Fuel'!D55)/2-0.05+(('Prices&amp;Fuel'!M55+'Prices&amp;Fuel'!P55)*(1-'Prices&amp;Fuel'!F55))</f>
        <v>2.9439222500000009</v>
      </c>
      <c r="I55" s="14">
        <f>IF(FPL!L55=80000,0,B55)</f>
        <v>4325.9640102827761</v>
      </c>
      <c r="J55" s="14"/>
      <c r="K55" s="25">
        <f>(((B55+E55)*('Prices&amp;Fuel'!B55+0.025))+(('Prices&amp;Fuel'!D55+0.025)*(D55+G55))+(('Prices&amp;Fuel'!C55+0.025)*(C55+F55))-(I55+J55)*0.025)/(B55+C55+D55+E55+F55+G55)</f>
        <v>2.2453645833333336</v>
      </c>
      <c r="L55" s="14">
        <f>(B55+C55+D55+E55+F55+G55)*H55*'Prices&amp;Fuel'!H55</f>
        <v>1126107.0200514141</v>
      </c>
      <c r="M55" s="14">
        <f>'Prices&amp;Fuel'!X55*('Prices&amp;Fuel'!N55+'Prices&amp;Fuel'!O55)*'Prices&amp;Fuel'!H55</f>
        <v>8956.1790000000019</v>
      </c>
      <c r="N55" s="14">
        <f>('Prices&amp;Fuel'!U55+'Prices&amp;Fuel'!V55+'Prices&amp;Fuel'!W55)*('Prices&amp;Fuel'!L55+'Prices&amp;Fuel'!O55)*'Prices&amp;Fuel'!H55</f>
        <v>93233.430000000008</v>
      </c>
      <c r="O55" s="14">
        <f>((B55+C55+D55)*(1-'Prices&amp;Fuel'!G55))*('Prices&amp;Fuel'!M55+'Prices&amp;Fuel'!P55)*'Prices&amp;Fuel'!H55</f>
        <v>100434.1317</v>
      </c>
      <c r="P55" s="14">
        <f>((B55+C55+D55+E55+F55+G55)/(1-'Prices&amp;Fuel'!F55))*(1-'Prices&amp;Fuel'!F55)*'Prices&amp;Fuel'!H55*0.005</f>
        <v>1912.5964010282776</v>
      </c>
      <c r="Q55" s="14">
        <f>((D55+C55+B55+E55+F55+G55)*K55*'Prices&amp;Fuel'!H55)+M55+N55+O55+P55</f>
        <v>1063431.5813169666</v>
      </c>
      <c r="R55" s="6">
        <f t="shared" si="8"/>
        <v>62675.438734447584</v>
      </c>
      <c r="S55" s="65">
        <f>R55/(B55+C55+D55+E55+F55+G55)/'Prices&amp;Fuel'!H55</f>
        <v>0.16384909722916743</v>
      </c>
      <c r="T55" s="3">
        <f t="shared" ref="T55:T64" si="9">T54</f>
        <v>12000</v>
      </c>
    </row>
    <row r="56" spans="1:20" x14ac:dyDescent="0.2">
      <c r="A56" s="10">
        <f t="shared" si="3"/>
        <v>37300.249999999876</v>
      </c>
      <c r="B56" s="6">
        <f>IF(T56-((E56+F56+G56)*(1-'Prices&amp;Fuel'!F56))&lt;'Prices&amp;Fuel'!R56,(T56-(E56+F56+G56)*(1-'Prices&amp;Fuel'!F56)),'Prices&amp;Fuel'!R56)/(1-'Prices&amp;Fuel'!F56)</f>
        <v>4325.9640102827761</v>
      </c>
      <c r="C56" s="14">
        <f>(T56/(1-'Prices&amp;Fuel'!F56))-D56-E56-F56-G56-B56</f>
        <v>0</v>
      </c>
      <c r="D56" s="14">
        <f>ROUND(IF(T56/(1-'Prices&amp;Fuel'!F56)-E56-F56-G56-B56&gt;'Prices&amp;Fuel'!T56,'Prices&amp;Fuel'!T56,T56/(1-'Prices&amp;Fuel'!F56)-E56-F56-G56-B56),9)</f>
        <v>0</v>
      </c>
      <c r="E56" s="14">
        <f>'Prices&amp;Fuel'!U56/(1-'Prices&amp;Fuel'!F56)</f>
        <v>2635.4755784061695</v>
      </c>
      <c r="F56" s="14">
        <f>('Prices&amp;Fuel'!V56+'Prices&amp;Fuel'!X56)/(1-'Prices&amp;Fuel'!F56)</f>
        <v>3645.2442159383031</v>
      </c>
      <c r="G56" s="14">
        <f>'Prices&amp;Fuel'!W56/(1-'Prices&amp;Fuel'!F56)</f>
        <v>1732.6478149100255</v>
      </c>
      <c r="H56" s="25">
        <f>('Prices&amp;Fuel'!C56+'Prices&amp;Fuel'!D56)/2-0.05+(('Prices&amp;Fuel'!M56+'Prices&amp;Fuel'!P56)*(1-'Prices&amp;Fuel'!F56))</f>
        <v>3.2139222500000009</v>
      </c>
      <c r="I56" s="14">
        <f>IF(FPL!L56=80000,0,B56)</f>
        <v>4325.9640102827761</v>
      </c>
      <c r="J56" s="14"/>
      <c r="K56" s="25">
        <f>(((B56+E56)*('Prices&amp;Fuel'!B56+0.025))+(('Prices&amp;Fuel'!D56+0.025)*(D56+G56))+(('Prices&amp;Fuel'!C56+0.025)*(C56+F56))-(I56+J56)*0.025)/(B56+C56+D56+E56+F56+G56)</f>
        <v>2.5153645833333336</v>
      </c>
      <c r="L56" s="14">
        <f>(B56+C56+D56+E56+F56+G56)*H56*'Prices&amp;Fuel'!H56</f>
        <v>1110414.2683804629</v>
      </c>
      <c r="M56" s="14">
        <f>'Prices&amp;Fuel'!X56*('Prices&amp;Fuel'!N56+'Prices&amp;Fuel'!O56)*'Prices&amp;Fuel'!H56</f>
        <v>8089.4520000000011</v>
      </c>
      <c r="N56" s="14">
        <f>('Prices&amp;Fuel'!U56+'Prices&amp;Fuel'!V56+'Prices&amp;Fuel'!W56)*('Prices&amp;Fuel'!L56+'Prices&amp;Fuel'!O56)*'Prices&amp;Fuel'!H56</f>
        <v>84210.840000000011</v>
      </c>
      <c r="O56" s="14">
        <f>((B56+C56+D56)*(1-'Prices&amp;Fuel'!G56))*('Prices&amp;Fuel'!M56+'Prices&amp;Fuel'!P56)*'Prices&amp;Fuel'!H56</f>
        <v>90714.699599999993</v>
      </c>
      <c r="P56" s="14">
        <f>((B56+C56+D56+E56+F56+G56)/(1-'Prices&amp;Fuel'!F56))*(1-'Prices&amp;Fuel'!F56)*'Prices&amp;Fuel'!H56*0.005</f>
        <v>1727.5064267352184</v>
      </c>
      <c r="Q56" s="14">
        <f>((D56+C56+B56+E56+F56+G56)*K56*'Prices&amp;Fuel'!H56)+M56+N56+O56+P56</f>
        <v>1053804.1946848331</v>
      </c>
      <c r="R56" s="6">
        <f t="shared" si="8"/>
        <v>56610.073695629835</v>
      </c>
      <c r="S56" s="65">
        <f>R56/(B56+C56+D56+E56+F56+G56)/'Prices&amp;Fuel'!H56</f>
        <v>0.16384909722916671</v>
      </c>
      <c r="T56" s="3">
        <f t="shared" si="9"/>
        <v>12000</v>
      </c>
    </row>
    <row r="57" spans="1:20" x14ac:dyDescent="0.2">
      <c r="A57" s="10">
        <f t="shared" si="3"/>
        <v>37330.666666666541</v>
      </c>
      <c r="B57" s="6">
        <f>IF(T57-((E57+F57+G57)*(1-'Prices&amp;Fuel'!F57))&lt;'Prices&amp;Fuel'!R57,(T57-(E57+F57+G57)*(1-'Prices&amp;Fuel'!F57)),'Prices&amp;Fuel'!R57)/(1-'Prices&amp;Fuel'!F57)</f>
        <v>4325.9640102827761</v>
      </c>
      <c r="C57" s="14">
        <f>(T57/(1-'Prices&amp;Fuel'!F57))-D57-E57-F57-G57-B57</f>
        <v>0</v>
      </c>
      <c r="D57" s="14">
        <f>ROUND(IF(T57/(1-'Prices&amp;Fuel'!F57)-E57-F57-G57-B57&gt;'Prices&amp;Fuel'!T57,'Prices&amp;Fuel'!T57,T57/(1-'Prices&amp;Fuel'!F57)-E57-F57-G57-B57),9)</f>
        <v>0</v>
      </c>
      <c r="E57" s="14">
        <f>'Prices&amp;Fuel'!U57/(1-'Prices&amp;Fuel'!F57)</f>
        <v>2635.4755784061695</v>
      </c>
      <c r="F57" s="14">
        <f>('Prices&amp;Fuel'!V57+'Prices&amp;Fuel'!X57)/(1-'Prices&amp;Fuel'!F57)</f>
        <v>3645.2442159383031</v>
      </c>
      <c r="G57" s="14">
        <f>'Prices&amp;Fuel'!W57/(1-'Prices&amp;Fuel'!F57)</f>
        <v>1732.6478149100255</v>
      </c>
      <c r="H57" s="25">
        <f>('Prices&amp;Fuel'!C57+'Prices&amp;Fuel'!D57)/2-0.05+(('Prices&amp;Fuel'!M57+'Prices&amp;Fuel'!P57)*(1-'Prices&amp;Fuel'!F57))</f>
        <v>3.2139222500000009</v>
      </c>
      <c r="I57" s="14">
        <f>IF(FPL!L57=80000,0,B57)</f>
        <v>4325.9640102827761</v>
      </c>
      <c r="J57" s="14"/>
      <c r="K57" s="25">
        <f>(((B57+E57)*('Prices&amp;Fuel'!B57+0.025))+(('Prices&amp;Fuel'!D57+0.025)*(D57+G57))+(('Prices&amp;Fuel'!C57+0.025)*(C57+F57))-(I57+J57)*0.025)/(B57+C57+D57+E57+F57+G57)</f>
        <v>2.5153645833333336</v>
      </c>
      <c r="L57" s="14">
        <f>(B57+C57+D57+E57+F57+G57)*H57*'Prices&amp;Fuel'!H57</f>
        <v>1229387.225706941</v>
      </c>
      <c r="M57" s="14">
        <f>'Prices&amp;Fuel'!X57*('Prices&amp;Fuel'!N57+'Prices&amp;Fuel'!O57)*'Prices&amp;Fuel'!H57</f>
        <v>8956.1790000000019</v>
      </c>
      <c r="N57" s="14">
        <f>('Prices&amp;Fuel'!U57+'Prices&amp;Fuel'!V57+'Prices&amp;Fuel'!W57)*('Prices&amp;Fuel'!L57+'Prices&amp;Fuel'!O57)*'Prices&amp;Fuel'!H57</f>
        <v>93233.430000000008</v>
      </c>
      <c r="O57" s="14">
        <f>((B57+C57+D57)*(1-'Prices&amp;Fuel'!G57))*('Prices&amp;Fuel'!M57+'Prices&amp;Fuel'!P57)*'Prices&amp;Fuel'!H57</f>
        <v>100434.1317</v>
      </c>
      <c r="P57" s="14">
        <f>((B57+C57+D57+E57+F57+G57)/(1-'Prices&amp;Fuel'!F57))*(1-'Prices&amp;Fuel'!F57)*'Prices&amp;Fuel'!H57*0.005</f>
        <v>1912.5964010282776</v>
      </c>
      <c r="Q57" s="14">
        <f>((D57+C57+B57+E57+F57+G57)*K57*'Prices&amp;Fuel'!H57)+M57+N57+O57+P57</f>
        <v>1166711.7869724936</v>
      </c>
      <c r="R57" s="6">
        <f t="shared" si="8"/>
        <v>62675.438734447351</v>
      </c>
      <c r="S57" s="65">
        <f>R57/(B57+C57+D57+E57+F57+G57)/'Prices&amp;Fuel'!H57</f>
        <v>0.16384909722916682</v>
      </c>
      <c r="T57" s="3">
        <f t="shared" si="9"/>
        <v>12000</v>
      </c>
    </row>
    <row r="58" spans="1:20" x14ac:dyDescent="0.2">
      <c r="A58" s="10">
        <f t="shared" si="3"/>
        <v>37361.083333333205</v>
      </c>
      <c r="B58" s="6">
        <f>IF(T58-((E58+F58+G58)*(1-'Prices&amp;Fuel'!F58))&lt;'Prices&amp;Fuel'!R58,(T58-(E58+F58+G58)*(1-'Prices&amp;Fuel'!F58)),'Prices&amp;Fuel'!R58)/(1-'Prices&amp;Fuel'!F58)</f>
        <v>6278.6632390745499</v>
      </c>
      <c r="C58" s="14">
        <f>(T58/(1-'Prices&amp;Fuel'!F58))-D58-E58-F58-G58-B58</f>
        <v>0</v>
      </c>
      <c r="D58" s="14">
        <f>ROUND(IF(T58/(1-'Prices&amp;Fuel'!F58)-E58-F58-G58-B58&gt;'Prices&amp;Fuel'!T58,'Prices&amp;Fuel'!T58,T58/(1-'Prices&amp;Fuel'!F58)-E58-F58-G58-B58),9)</f>
        <v>0</v>
      </c>
      <c r="E58" s="14">
        <f>'Prices&amp;Fuel'!U58/(1-'Prices&amp;Fuel'!F58)</f>
        <v>1933.1619537275064</v>
      </c>
      <c r="F58" s="14">
        <f>('Prices&amp;Fuel'!V58+'Prices&amp;Fuel'!X58)/(1-'Prices&amp;Fuel'!F58)</f>
        <v>2833.9331619537274</v>
      </c>
      <c r="G58" s="14">
        <f>'Prices&amp;Fuel'!W58/(1-'Prices&amp;Fuel'!F58)</f>
        <v>1293.5732647814909</v>
      </c>
      <c r="H58" s="25">
        <f>('Prices&amp;Fuel'!C58+'Prices&amp;Fuel'!D58)/2-0.05+(('Prices&amp;Fuel'!M58+'Prices&amp;Fuel'!P58)*(1-'Prices&amp;Fuel'!F58))</f>
        <v>3.4839222500000009</v>
      </c>
      <c r="I58" s="14">
        <f>IF(FPL!L58=80000,0,B58)</f>
        <v>6278.6632390745499</v>
      </c>
      <c r="J58" s="14"/>
      <c r="K58" s="25">
        <f>(((B58+E58)*('Prices&amp;Fuel'!B58+0.025))+(('Prices&amp;Fuel'!D58+0.025)*(D58+G58))+(('Prices&amp;Fuel'!C58+0.025)*(C58+F58))-(I58+J58)*0.025)/(B58+C58+D58+E58+F58+G58)</f>
        <v>2.777107500000001</v>
      </c>
      <c r="L58" s="14">
        <f>(B58+C58+D58+E58+F58+G58)*H58*'Prices&amp;Fuel'!H58</f>
        <v>1289678.1593830339</v>
      </c>
      <c r="M58" s="14">
        <f>'Prices&amp;Fuel'!X58*('Prices&amp;Fuel'!N58+'Prices&amp;Fuel'!O58)*'Prices&amp;Fuel'!H58</f>
        <v>8667.2700000000023</v>
      </c>
      <c r="N58" s="14">
        <f>('Prices&amp;Fuel'!U58+'Prices&amp;Fuel'!V58+'Prices&amp;Fuel'!W58)*('Prices&amp;Fuel'!L58+'Prices&amp;Fuel'!O58)*'Prices&amp;Fuel'!H58</f>
        <v>66127.590000000011</v>
      </c>
      <c r="O58" s="14">
        <f>((B58+C58+D58)*(1-'Prices&amp;Fuel'!G58))*('Prices&amp;Fuel'!M58+'Prices&amp;Fuel'!P58)*'Prices&amp;Fuel'!H58</f>
        <v>141066.91800000001</v>
      </c>
      <c r="P58" s="14">
        <f>((B58+C58+D58+E58+F58+G58)/(1-'Prices&amp;Fuel'!F58))*(1-'Prices&amp;Fuel'!F58)*'Prices&amp;Fuel'!H58*0.005</f>
        <v>1850.8997429305914</v>
      </c>
      <c r="Q58" s="14">
        <f>((D58+C58+B58+E58+F58+G58)*K58*'Prices&amp;Fuel'!H58)+M58+N58+O58+P58</f>
        <v>1245742.1893110545</v>
      </c>
      <c r="R58" s="6">
        <f t="shared" si="8"/>
        <v>43935.970071979333</v>
      </c>
      <c r="S58" s="65">
        <f>R58/(B58+C58+D58+E58+F58+G58)/'Prices&amp;Fuel'!H58</f>
        <v>0.11868814137499971</v>
      </c>
      <c r="T58" s="3">
        <f t="shared" si="9"/>
        <v>12000</v>
      </c>
    </row>
    <row r="59" spans="1:20" x14ac:dyDescent="0.2">
      <c r="A59" s="10">
        <f t="shared" si="3"/>
        <v>37391.499999999869</v>
      </c>
      <c r="B59" s="6">
        <f>IF(T59-((E59+F59+G59)*(1-'Prices&amp;Fuel'!F59))&lt;'Prices&amp;Fuel'!R59,(T59-(E59+F59+G59)*(1-'Prices&amp;Fuel'!F59)),'Prices&amp;Fuel'!R59)/(1-'Prices&amp;Fuel'!F59)</f>
        <v>8976.8637532133671</v>
      </c>
      <c r="C59" s="14">
        <f>(T59/(1-'Prices&amp;Fuel'!F59))-D59-E59-F59-G59-B59</f>
        <v>1.3824319466948509E-10</v>
      </c>
      <c r="D59" s="14">
        <f>ROUND(IF(T59/(1-'Prices&amp;Fuel'!F59)-E59-F59-G59-B59&gt;'Prices&amp;Fuel'!T59,'Prices&amp;Fuel'!T59,T59/(1-'Prices&amp;Fuel'!F59)-E59-F59-G59-B59),9)</f>
        <v>6556.2982005140002</v>
      </c>
      <c r="E59" s="14">
        <f>'Prices&amp;Fuel'!U59/(1-'Prices&amp;Fuel'!F59)</f>
        <v>1933.1619537275064</v>
      </c>
      <c r="F59" s="14">
        <f>('Prices&amp;Fuel'!V59+'Prices&amp;Fuel'!X59)/(1-'Prices&amp;Fuel'!F59)</f>
        <v>3062.2107969151671</v>
      </c>
      <c r="G59" s="14">
        <f>'Prices&amp;Fuel'!W59/(1-'Prices&amp;Fuel'!F59)</f>
        <v>1065.2956298200513</v>
      </c>
      <c r="H59" s="25">
        <f>('Prices&amp;Fuel'!C59+'Prices&amp;Fuel'!D59)/2-0.05+(('Prices&amp;Fuel'!M59+'Prices&amp;Fuel'!P59)*(1-'Prices&amp;Fuel'!F59))</f>
        <v>3.6739222500000008</v>
      </c>
      <c r="I59" s="14">
        <f>IF(FPL!L59=80000,0,B59)</f>
        <v>0</v>
      </c>
      <c r="J59" s="14"/>
      <c r="K59" s="25">
        <f>(((B59+E59)*('Prices&amp;Fuel'!B59+0.025))+(('Prices&amp;Fuel'!D59+0.025)*(D59+G59))+(('Prices&amp;Fuel'!C59+0.025)*(C59+F59))-(I59+J59)*0.025)/(B59+C59+D59+E59+F59+G59)</f>
        <v>2.9770380952380959</v>
      </c>
      <c r="L59" s="14">
        <f>(B59+C59+D59+E59+F59+G59)*H59*'Prices&amp;Fuel'!H59</f>
        <v>2459355.665552699</v>
      </c>
      <c r="M59" s="14">
        <f>'Prices&amp;Fuel'!X59*('Prices&amp;Fuel'!N59+'Prices&amp;Fuel'!O59)*'Prices&amp;Fuel'!H59</f>
        <v>8956.1790000000019</v>
      </c>
      <c r="N59" s="14">
        <f>('Prices&amp;Fuel'!U59+'Prices&amp;Fuel'!V59+'Prices&amp;Fuel'!W59)*('Prices&amp;Fuel'!L59+'Prices&amp;Fuel'!O59)*'Prices&amp;Fuel'!H59</f>
        <v>68331.843000000008</v>
      </c>
      <c r="O59" s="14">
        <f>((B59+C59+D59)*(1-'Prices&amp;Fuel'!G59))*('Prices&amp;Fuel'!M59+'Prices&amp;Fuel'!P59)*'Prices&amp;Fuel'!H59</f>
        <v>360627.04860000004</v>
      </c>
      <c r="P59" s="14">
        <f>((B59+C59+D59+E59+F59+G59)/(1-'Prices&amp;Fuel'!F59))*(1-'Prices&amp;Fuel'!F59)*'Prices&amp;Fuel'!H59*0.005</f>
        <v>3347.043701799485</v>
      </c>
      <c r="Q59" s="14">
        <f>((D59+C59+B59+E59+F59+G59)*K59*'Prices&amp;Fuel'!H59)+M59+N59+O59+P59</f>
        <v>2434117.4356385604</v>
      </c>
      <c r="R59" s="6">
        <f t="shared" si="8"/>
        <v>25238.229914138559</v>
      </c>
      <c r="S59" s="65">
        <f>R59/(B59+C59+D59+E59+F59+G59)/'Prices&amp;Fuel'!H59</f>
        <v>3.7702271261904383E-2</v>
      </c>
      <c r="T59" s="3">
        <v>21000</v>
      </c>
    </row>
    <row r="60" spans="1:20" x14ac:dyDescent="0.2">
      <c r="A60" s="10">
        <f t="shared" si="3"/>
        <v>37421.916666666533</v>
      </c>
      <c r="B60" s="6">
        <f>IF(T60-((E60+F60+G60)*(1-'Prices&amp;Fuel'!F60))&lt;'Prices&amp;Fuel'!R60,(T60-(E60+F60+G60)*(1-'Prices&amp;Fuel'!F60)),'Prices&amp;Fuel'!R60)/(1-'Prices&amp;Fuel'!F60)</f>
        <v>8976.8637532133671</v>
      </c>
      <c r="C60" s="14">
        <f>(T60/(1-'Prices&amp;Fuel'!F60))-D60-E60-F60-G60-B60</f>
        <v>1.3824319466948509E-10</v>
      </c>
      <c r="D60" s="14">
        <f>ROUND(IF(T60/(1-'Prices&amp;Fuel'!F60)-E60-F60-G60-B60&gt;'Prices&amp;Fuel'!T60,'Prices&amp;Fuel'!T60,T60/(1-'Prices&amp;Fuel'!F60)-E60-F60-G60-B60),9)</f>
        <v>6556.2982005140002</v>
      </c>
      <c r="E60" s="14">
        <f>'Prices&amp;Fuel'!U60/(1-'Prices&amp;Fuel'!F60)</f>
        <v>1933.1619537275064</v>
      </c>
      <c r="F60" s="14">
        <f>('Prices&amp;Fuel'!V60+'Prices&amp;Fuel'!X60)/(1-'Prices&amp;Fuel'!F60)</f>
        <v>3062.2107969151671</v>
      </c>
      <c r="G60" s="14">
        <f>'Prices&amp;Fuel'!W60/(1-'Prices&amp;Fuel'!F60)</f>
        <v>1065.2956298200513</v>
      </c>
      <c r="H60" s="25">
        <f>('Prices&amp;Fuel'!C60+'Prices&amp;Fuel'!D60)/2-0.05+(('Prices&amp;Fuel'!M60+'Prices&amp;Fuel'!P60)*(1-'Prices&amp;Fuel'!F60))</f>
        <v>4.98392225</v>
      </c>
      <c r="I60" s="14">
        <f>IF(FPL!L60=80000,0,B60)</f>
        <v>0</v>
      </c>
      <c r="J60" s="14"/>
      <c r="K60" s="25">
        <f>(((B60+E60)*('Prices&amp;Fuel'!B60+0.025))+(('Prices&amp;Fuel'!D60+0.025)*(D60+G60))+(('Prices&amp;Fuel'!C60+0.025)*(C60+F60))-(I60+J60)*0.025)/(B60+C60+D60+E60+F60+G60)</f>
        <v>4.2870380952380955</v>
      </c>
      <c r="L60" s="14">
        <f>(B60+C60+D60+E60+F60+G60)*H60*'Prices&amp;Fuel'!H60</f>
        <v>3228659.1439588685</v>
      </c>
      <c r="M60" s="14">
        <f>'Prices&amp;Fuel'!X60*('Prices&amp;Fuel'!N60+'Prices&amp;Fuel'!O60)*'Prices&amp;Fuel'!H60</f>
        <v>8667.2700000000023</v>
      </c>
      <c r="N60" s="14">
        <f>('Prices&amp;Fuel'!U60+'Prices&amp;Fuel'!V60+'Prices&amp;Fuel'!W60)*('Prices&amp;Fuel'!L60+'Prices&amp;Fuel'!O60)*'Prices&amp;Fuel'!H60</f>
        <v>66127.590000000011</v>
      </c>
      <c r="O60" s="14">
        <f>((B60+C60+D60)*(1-'Prices&amp;Fuel'!G60))*('Prices&amp;Fuel'!M60+'Prices&amp;Fuel'!P60)*'Prices&amp;Fuel'!H60</f>
        <v>348993.91800000001</v>
      </c>
      <c r="P60" s="14">
        <f>((B60+C60+D60+E60+F60+G60)/(1-'Prices&amp;Fuel'!F60))*(1-'Prices&amp;Fuel'!F60)*'Prices&amp;Fuel'!H60*0.005</f>
        <v>3239.0745501285346</v>
      </c>
      <c r="Q60" s="14">
        <f>((D60+C60+B60+E60+F60+G60)*K60*'Prices&amp;Fuel'!H60)+M60+N60+O60+P60</f>
        <v>3204235.0504935733</v>
      </c>
      <c r="R60" s="6">
        <f t="shared" si="8"/>
        <v>24424.093465295155</v>
      </c>
      <c r="S60" s="65">
        <f>R60/(B60+C60+D60+E60+F60+G60)/'Prices&amp;Fuel'!H60</f>
        <v>3.7702271261904036E-2</v>
      </c>
      <c r="T60" s="3">
        <f t="shared" si="9"/>
        <v>21000</v>
      </c>
    </row>
    <row r="61" spans="1:20" x14ac:dyDescent="0.2">
      <c r="A61" s="10">
        <f t="shared" si="3"/>
        <v>37452.333333333198</v>
      </c>
      <c r="B61" s="6">
        <f>IF(T61-((E61+F61+G61)*(1-'Prices&amp;Fuel'!F61))&lt;'Prices&amp;Fuel'!R61,(T61-(E61+F61+G61)*(1-'Prices&amp;Fuel'!F61)),'Prices&amp;Fuel'!R61)/(1-'Prices&amp;Fuel'!F61)</f>
        <v>8976.8637532133671</v>
      </c>
      <c r="C61" s="14">
        <f>(T61/(1-'Prices&amp;Fuel'!F61))-D61-E61-F61-G61-B61</f>
        <v>1.3824319466948509E-10</v>
      </c>
      <c r="D61" s="14">
        <f>ROUND(IF(T61/(1-'Prices&amp;Fuel'!F61)-E61-F61-G61-B61&gt;'Prices&amp;Fuel'!T61,'Prices&amp;Fuel'!T61,T61/(1-'Prices&amp;Fuel'!F61)-E61-F61-G61-B61),9)</f>
        <v>6556.2982005140002</v>
      </c>
      <c r="E61" s="14">
        <f>'Prices&amp;Fuel'!U61/(1-'Prices&amp;Fuel'!F61)</f>
        <v>1933.1619537275064</v>
      </c>
      <c r="F61" s="14">
        <f>('Prices&amp;Fuel'!V61+'Prices&amp;Fuel'!X61)/(1-'Prices&amp;Fuel'!F61)</f>
        <v>3062.2107969151671</v>
      </c>
      <c r="G61" s="14">
        <f>'Prices&amp;Fuel'!W61/(1-'Prices&amp;Fuel'!F61)</f>
        <v>1065.2956298200513</v>
      </c>
      <c r="H61" s="25">
        <f>('Prices&amp;Fuel'!C61+'Prices&amp;Fuel'!D61)/2-0.05+(('Prices&amp;Fuel'!M61+'Prices&amp;Fuel'!P61)*(1-'Prices&amp;Fuel'!F61))</f>
        <v>4.9739222500000002</v>
      </c>
      <c r="I61" s="14">
        <f>IF(FPL!L61=80000,0,B61)</f>
        <v>0</v>
      </c>
      <c r="J61" s="14"/>
      <c r="K61" s="25">
        <f>(((B61+E61)*('Prices&amp;Fuel'!B61+0.025))+(('Prices&amp;Fuel'!D61+0.025)*(D61+G61))+(('Prices&amp;Fuel'!C61+0.025)*(C61+F61))-(I61+J61)*0.025)/(B61+C61+D61+E61+F61+G61)</f>
        <v>4.2770380952380966</v>
      </c>
      <c r="L61" s="14">
        <f>(B61+C61+D61+E61+F61+G61)*H61*'Prices&amp;Fuel'!H61</f>
        <v>3329587.0280205654</v>
      </c>
      <c r="M61" s="14">
        <f>'Prices&amp;Fuel'!X61*('Prices&amp;Fuel'!N61+'Prices&amp;Fuel'!O61)*'Prices&amp;Fuel'!H61</f>
        <v>8956.1790000000019</v>
      </c>
      <c r="N61" s="14">
        <f>('Prices&amp;Fuel'!U61+'Prices&amp;Fuel'!V61+'Prices&amp;Fuel'!W61)*('Prices&amp;Fuel'!L61+'Prices&amp;Fuel'!O61)*'Prices&amp;Fuel'!H61</f>
        <v>68331.843000000008</v>
      </c>
      <c r="O61" s="14">
        <f>((B61+C61+D61)*(1-'Prices&amp;Fuel'!G61))*('Prices&amp;Fuel'!M61+'Prices&amp;Fuel'!P61)*'Prices&amp;Fuel'!H61</f>
        <v>360627.04860000004</v>
      </c>
      <c r="P61" s="14">
        <f>((B61+C61+D61+E61+F61+G61)/(1-'Prices&amp;Fuel'!F61))*(1-'Prices&amp;Fuel'!F61)*'Prices&amp;Fuel'!H61*0.005</f>
        <v>3347.043701799485</v>
      </c>
      <c r="Q61" s="14">
        <f>((D61+C61+B61+E61+F61+G61)*K61*'Prices&amp;Fuel'!H61)+M61+N61+O61+P61</f>
        <v>3304348.7981064268</v>
      </c>
      <c r="R61" s="6">
        <f t="shared" si="8"/>
        <v>25238.229914138559</v>
      </c>
      <c r="S61" s="65">
        <f>R61/(B61+C61+D61+E61+F61+G61)/'Prices&amp;Fuel'!H61</f>
        <v>3.7702271261904383E-2</v>
      </c>
      <c r="T61" s="3">
        <f t="shared" si="9"/>
        <v>21000</v>
      </c>
    </row>
    <row r="62" spans="1:20" x14ac:dyDescent="0.2">
      <c r="A62" s="10">
        <f t="shared" si="3"/>
        <v>37482.749999999862</v>
      </c>
      <c r="B62" s="6">
        <f>IF(T62-((E62+F62+G62)*(1-'Prices&amp;Fuel'!F62))&lt;'Prices&amp;Fuel'!R62,(T62-(E62+F62+G62)*(1-'Prices&amp;Fuel'!F62)),'Prices&amp;Fuel'!R62)/(1-'Prices&amp;Fuel'!F62)</f>
        <v>8976.8637532133671</v>
      </c>
      <c r="C62" s="14">
        <f>(T62/(1-'Prices&amp;Fuel'!F62))-D62-E62-F62-G62-B62</f>
        <v>1.3824319466948509E-10</v>
      </c>
      <c r="D62" s="14">
        <f>ROUND(IF(T62/(1-'Prices&amp;Fuel'!F62)-E62-F62-G62-B62&gt;'Prices&amp;Fuel'!T62,'Prices&amp;Fuel'!T62,T62/(1-'Prices&amp;Fuel'!F62)-E62-F62-G62-B62),9)</f>
        <v>6556.2982005140002</v>
      </c>
      <c r="E62" s="14">
        <f>'Prices&amp;Fuel'!U62/(1-'Prices&amp;Fuel'!F62)</f>
        <v>1933.1619537275064</v>
      </c>
      <c r="F62" s="14">
        <f>('Prices&amp;Fuel'!V62+'Prices&amp;Fuel'!X62)/(1-'Prices&amp;Fuel'!F62)</f>
        <v>3062.2107969151671</v>
      </c>
      <c r="G62" s="14">
        <f>'Prices&amp;Fuel'!W62/(1-'Prices&amp;Fuel'!F62)</f>
        <v>1065.2956298200513</v>
      </c>
      <c r="H62" s="25">
        <f>('Prices&amp;Fuel'!C62+'Prices&amp;Fuel'!D62)/2-0.05+(('Prices&amp;Fuel'!M62+'Prices&amp;Fuel'!P62)*(1-'Prices&amp;Fuel'!F62))</f>
        <v>4.4339222500000002</v>
      </c>
      <c r="I62" s="14">
        <f>IF(FPL!L62=80000,0,B62)</f>
        <v>0</v>
      </c>
      <c r="J62" s="14"/>
      <c r="K62" s="25">
        <f>(((B62+E62)*('Prices&amp;Fuel'!B62+0.025))+(('Prices&amp;Fuel'!D62+0.025)*(D62+G62))+(('Prices&amp;Fuel'!C62+0.025)*(C62+F62))-(I62+J62)*0.025)/(B62+C62+D62+E62+F62+G62)</f>
        <v>3.7370380952380957</v>
      </c>
      <c r="L62" s="14">
        <f>(B62+C62+D62+E62+F62+G62)*H62*'Prices&amp;Fuel'!H62</f>
        <v>2968106.3082262208</v>
      </c>
      <c r="M62" s="14">
        <f>'Prices&amp;Fuel'!X62*('Prices&amp;Fuel'!N62+'Prices&amp;Fuel'!O62)*'Prices&amp;Fuel'!H62</f>
        <v>8956.1790000000019</v>
      </c>
      <c r="N62" s="14">
        <f>('Prices&amp;Fuel'!U62+'Prices&amp;Fuel'!V62+'Prices&amp;Fuel'!W62)*('Prices&amp;Fuel'!L62+'Prices&amp;Fuel'!O62)*'Prices&amp;Fuel'!H62</f>
        <v>68331.843000000008</v>
      </c>
      <c r="O62" s="14">
        <f>((B62+C62+D62)*(1-'Prices&amp;Fuel'!G62))*('Prices&amp;Fuel'!M62+'Prices&amp;Fuel'!P62)*'Prices&amp;Fuel'!H62</f>
        <v>360627.04860000004</v>
      </c>
      <c r="P62" s="14">
        <f>((B62+C62+D62+E62+F62+G62)/(1-'Prices&amp;Fuel'!F62))*(1-'Prices&amp;Fuel'!F62)*'Prices&amp;Fuel'!H62*0.005</f>
        <v>3347.043701799485</v>
      </c>
      <c r="Q62" s="14">
        <f>((D62+C62+B62+E62+F62+G62)*K62*'Prices&amp;Fuel'!H62)+M62+N62+O62+P62</f>
        <v>2942868.0783120822</v>
      </c>
      <c r="R62" s="6">
        <f t="shared" si="8"/>
        <v>25238.229914138559</v>
      </c>
      <c r="S62" s="65">
        <f>R62/(B62+C62+D62+E62+F62+G62)/'Prices&amp;Fuel'!H62</f>
        <v>3.7702271261904383E-2</v>
      </c>
      <c r="T62" s="3">
        <f t="shared" si="9"/>
        <v>21000</v>
      </c>
    </row>
    <row r="63" spans="1:20" x14ac:dyDescent="0.2">
      <c r="A63" s="10">
        <f t="shared" si="3"/>
        <v>37513.166666666526</v>
      </c>
      <c r="B63" s="6">
        <f>IF(T63-((E63+F63+G63)*(1-'Prices&amp;Fuel'!F63))&lt;'Prices&amp;Fuel'!R63,(T63-(E63+F63+G63)*(1-'Prices&amp;Fuel'!F63)),'Prices&amp;Fuel'!R63)/(1-'Prices&amp;Fuel'!F63)</f>
        <v>8976.8637532133671</v>
      </c>
      <c r="C63" s="14">
        <f>(T63/(1-'Prices&amp;Fuel'!F63))-D63-E63-F63-G63-B63</f>
        <v>1.3824319466948509E-10</v>
      </c>
      <c r="D63" s="14">
        <f>ROUND(IF(T63/(1-'Prices&amp;Fuel'!F63)-E63-F63-G63-B63&gt;'Prices&amp;Fuel'!T63,'Prices&amp;Fuel'!T63,T63/(1-'Prices&amp;Fuel'!F63)-E63-F63-G63-B63),9)</f>
        <v>6556.2982005140002</v>
      </c>
      <c r="E63" s="14">
        <f>'Prices&amp;Fuel'!U63/(1-'Prices&amp;Fuel'!F63)</f>
        <v>1933.1619537275064</v>
      </c>
      <c r="F63" s="14">
        <f>('Prices&amp;Fuel'!V63+'Prices&amp;Fuel'!X63)/(1-'Prices&amp;Fuel'!F63)</f>
        <v>3062.2107969151671</v>
      </c>
      <c r="G63" s="14">
        <f>'Prices&amp;Fuel'!W63/(1-'Prices&amp;Fuel'!F63)</f>
        <v>1065.2956298200513</v>
      </c>
      <c r="H63" s="25">
        <f>('Prices&amp;Fuel'!C63+'Prices&amp;Fuel'!D63)/2-0.05+(('Prices&amp;Fuel'!M63+'Prices&amp;Fuel'!P63)*(1-'Prices&amp;Fuel'!F63))</f>
        <v>5.2039222500000006</v>
      </c>
      <c r="I63" s="14">
        <f>IF(FPL!L63=80000,0,B63)</f>
        <v>0</v>
      </c>
      <c r="J63" s="14"/>
      <c r="K63" s="25">
        <f>(((B63+E63)*('Prices&amp;Fuel'!B63+0.025))+(('Prices&amp;Fuel'!D63+0.025)*(D63+G63))+(('Prices&amp;Fuel'!C63+0.025)*(C63+F63))-(I63+J63)*0.025)/(B63+C63+D63+E63+F63+G63)</f>
        <v>4.5070380952380962</v>
      </c>
      <c r="L63" s="14">
        <f>(B63+C63+D63+E63+F63+G63)*H63*'Prices&amp;Fuel'!H63</f>
        <v>3371178.4241645243</v>
      </c>
      <c r="M63" s="14">
        <f>'Prices&amp;Fuel'!X63*('Prices&amp;Fuel'!N63+'Prices&amp;Fuel'!O63)*'Prices&amp;Fuel'!H63</f>
        <v>8667.2700000000023</v>
      </c>
      <c r="N63" s="14">
        <f>('Prices&amp;Fuel'!U63+'Prices&amp;Fuel'!V63+'Prices&amp;Fuel'!W63)*('Prices&amp;Fuel'!L63+'Prices&amp;Fuel'!O63)*'Prices&amp;Fuel'!H63</f>
        <v>66127.590000000011</v>
      </c>
      <c r="O63" s="14">
        <f>((B63+C63+D63)*(1-'Prices&amp;Fuel'!G63))*('Prices&amp;Fuel'!M63+'Prices&amp;Fuel'!P63)*'Prices&amp;Fuel'!H63</f>
        <v>348993.91800000001</v>
      </c>
      <c r="P63" s="14">
        <f>((B63+C63+D63+E63+F63+G63)/(1-'Prices&amp;Fuel'!F63))*(1-'Prices&amp;Fuel'!F63)*'Prices&amp;Fuel'!H63*0.005</f>
        <v>3239.0745501285346</v>
      </c>
      <c r="Q63" s="14">
        <f>((D63+C63+B63+E63+F63+G63)*K63*'Prices&amp;Fuel'!H63)+M63+N63+O63+P63</f>
        <v>3346754.3306992287</v>
      </c>
      <c r="R63" s="6">
        <f t="shared" si="8"/>
        <v>24424.09346529562</v>
      </c>
      <c r="S63" s="65">
        <f>R63/(B63+C63+D63+E63+F63+G63)/'Prices&amp;Fuel'!H63</f>
        <v>3.770227126190475E-2</v>
      </c>
      <c r="T63" s="3">
        <f t="shared" si="9"/>
        <v>21000</v>
      </c>
    </row>
    <row r="64" spans="1:20" x14ac:dyDescent="0.2">
      <c r="A64" s="10">
        <f t="shared" si="3"/>
        <v>37543.58333333319</v>
      </c>
      <c r="B64" s="6">
        <f>IF(T64-((E64+F64+G64)*(1-'Prices&amp;Fuel'!F64))&lt;'Prices&amp;Fuel'!R64,(T64-(E64+F64+G64)*(1-'Prices&amp;Fuel'!F64)),'Prices&amp;Fuel'!R64)/(1-'Prices&amp;Fuel'!F64)</f>
        <v>8976.8637532133671</v>
      </c>
      <c r="C64" s="14">
        <f>(T64/(1-'Prices&amp;Fuel'!F64))-D64-E64-F64-G64-B64</f>
        <v>2.0190782379359007E-10</v>
      </c>
      <c r="D64" s="14">
        <f>ROUND(IF(T64/(1-'Prices&amp;Fuel'!F64)-E64-F64-G64-B64&gt;'Prices&amp;Fuel'!T64,'Prices&amp;Fuel'!T64,T64/(1-'Prices&amp;Fuel'!F64)-E64-F64-G64-B64),9)</f>
        <v>3514.6529562979999</v>
      </c>
      <c r="E64" s="14">
        <f>'Prices&amp;Fuel'!U64/(1-'Prices&amp;Fuel'!F64)</f>
        <v>2910.025706940874</v>
      </c>
      <c r="F64" s="14">
        <f>('Prices&amp;Fuel'!V64+'Prices&amp;Fuel'!X64)/(1-'Prices&amp;Fuel'!F64)</f>
        <v>4628.2776349614396</v>
      </c>
      <c r="G64" s="14">
        <f>'Prices&amp;Fuel'!W64/(1-'Prices&amp;Fuel'!F64)</f>
        <v>1564.0102827763496</v>
      </c>
      <c r="H64" s="25">
        <f>('Prices&amp;Fuel'!C64+'Prices&amp;Fuel'!D64)/2-0.05+(('Prices&amp;Fuel'!M64+'Prices&amp;Fuel'!P64)*(1-'Prices&amp;Fuel'!F64))</f>
        <v>5.8839222500000004</v>
      </c>
      <c r="I64" s="14">
        <f>IF(FPL!L64=80000,0,B64)</f>
        <v>8976.8637532133671</v>
      </c>
      <c r="J64" s="14"/>
      <c r="K64" s="25">
        <f>(((B64+E64)*('Prices&amp;Fuel'!B64+0.025))+(('Prices&amp;Fuel'!D64+0.025)*(D64+G64))+(('Prices&amp;Fuel'!C64+0.025)*(C64+F64))-(I64+J64)*0.025)/(B64+C64+D64+E64+F64+G64)</f>
        <v>5.1798190476190493</v>
      </c>
      <c r="L64" s="14">
        <f>(B64+C64+D64+E64+F64+G64)*H64*'Prices&amp;Fuel'!H64</f>
        <v>3938748.9817480724</v>
      </c>
      <c r="M64" s="14">
        <f>'Prices&amp;Fuel'!X64*('Prices&amp;Fuel'!N64+'Prices&amp;Fuel'!O64)*'Prices&amp;Fuel'!H64</f>
        <v>13126.113000000001</v>
      </c>
      <c r="N64" s="14">
        <f>('Prices&amp;Fuel'!U64+'Prices&amp;Fuel'!V64+'Prices&amp;Fuel'!W64)*('Prices&amp;Fuel'!L64+'Prices&amp;Fuel'!O64)*'Prices&amp;Fuel'!H64</f>
        <v>102950.16300000002</v>
      </c>
      <c r="O64" s="14">
        <f>((B64+C64+D64)*(1-'Prices&amp;Fuel'!G64))*('Prices&amp;Fuel'!M64+'Prices&amp;Fuel'!P64)*'Prices&amp;Fuel'!H64</f>
        <v>290010.41880000004</v>
      </c>
      <c r="P64" s="14">
        <f>((B64+C64+D64+E64+F64+G64)/(1-'Prices&amp;Fuel'!F64))*(1-'Prices&amp;Fuel'!F64)*'Prices&amp;Fuel'!H64*0.005</f>
        <v>3347.0437017994859</v>
      </c>
      <c r="Q64" s="14">
        <f>((D64+C64+B64+E64+F64+G64)*K64*'Prices&amp;Fuel'!H64)+M64+N64+O64+P64</f>
        <v>3876849.8824606701</v>
      </c>
      <c r="R64" s="6">
        <f t="shared" si="8"/>
        <v>61899.09928740235</v>
      </c>
      <c r="S64" s="65">
        <f>R64/(B64+C64+D64+E64+F64+G64)/'Prices&amp;Fuel'!H64</f>
        <v>9.2468316523807659E-2</v>
      </c>
      <c r="T64" s="3">
        <f t="shared" si="9"/>
        <v>21000</v>
      </c>
    </row>
    <row r="65" spans="1:20" x14ac:dyDescent="0.2">
      <c r="A65" s="10">
        <f t="shared" si="3"/>
        <v>37573.999999999854</v>
      </c>
      <c r="B65" s="6">
        <f>IF(T65-((E65+F65+G65)*(1-'Prices&amp;Fuel'!F65))&lt;'Prices&amp;Fuel'!R65,(T65-(E65+F65+G65)*(1-'Prices&amp;Fuel'!F65)),'Prices&amp;Fuel'!R65)/(1-'Prices&amp;Fuel'!F65)</f>
        <v>4325.9640102827761</v>
      </c>
      <c r="C65" s="14">
        <f>(T65/(1-'Prices&amp;Fuel'!F65))-D65-E65-F65-G65-B65</f>
        <v>0</v>
      </c>
      <c r="D65" s="14">
        <f>ROUND(IF(T65/(1-'Prices&amp;Fuel'!F65)-E65-F65-G65-B65&gt;'Prices&amp;Fuel'!T65,'Prices&amp;Fuel'!T65,T65/(1-'Prices&amp;Fuel'!F65)-E65-F65-G65-B65),9)</f>
        <v>0</v>
      </c>
      <c r="E65" s="14">
        <f>'Prices&amp;Fuel'!U65/(1-'Prices&amp;Fuel'!F65)</f>
        <v>2635.4755784061695</v>
      </c>
      <c r="F65" s="14">
        <f>('Prices&amp;Fuel'!V65+'Prices&amp;Fuel'!X65)/(1-'Prices&amp;Fuel'!F65)</f>
        <v>3645.2442159383031</v>
      </c>
      <c r="G65" s="14">
        <f>'Prices&amp;Fuel'!W65/(1-'Prices&amp;Fuel'!F65)</f>
        <v>1732.6478149100255</v>
      </c>
      <c r="H65" s="25">
        <f>('Prices&amp;Fuel'!C65+'Prices&amp;Fuel'!D65)/2-0.05+(('Prices&amp;Fuel'!M65+'Prices&amp;Fuel'!P65)*(1-'Prices&amp;Fuel'!F65))</f>
        <v>4.1539222500000008</v>
      </c>
      <c r="I65" s="14">
        <f>IF(FPL!L65=80000,0,B65)</f>
        <v>4325.9640102827761</v>
      </c>
      <c r="J65" s="14"/>
      <c r="K65" s="25">
        <f>(((B65+E65)*('Prices&amp;Fuel'!B65+0.025))+(('Prices&amp;Fuel'!D65+0.025)*(D65+G65))+(('Prices&amp;Fuel'!C65+0.025)*(C65+F65))-(I65+J65)*0.025)/(B65+C65+D65+E65+F65+G65)</f>
        <v>3.455364583333334</v>
      </c>
      <c r="L65" s="14">
        <f>(B65+C65+D65+E65+F65+G65)*H65*'Prices&amp;Fuel'!H65</f>
        <v>1537698.7249357328</v>
      </c>
      <c r="M65" s="14">
        <f>'Prices&amp;Fuel'!X65*('Prices&amp;Fuel'!N65+'Prices&amp;Fuel'!O65)*'Prices&amp;Fuel'!H65</f>
        <v>8667.2700000000023</v>
      </c>
      <c r="N65" s="14">
        <f>('Prices&amp;Fuel'!U65+'Prices&amp;Fuel'!V65+'Prices&amp;Fuel'!W65)*('Prices&amp;Fuel'!L65+'Prices&amp;Fuel'!O65)*'Prices&amp;Fuel'!H65</f>
        <v>90225.900000000009</v>
      </c>
      <c r="O65" s="14">
        <f>((B65+C65+D65)*(1-'Prices&amp;Fuel'!G65))*('Prices&amp;Fuel'!M65+'Prices&amp;Fuel'!P65)*'Prices&amp;Fuel'!H65</f>
        <v>97194.320999999996</v>
      </c>
      <c r="P65" s="14">
        <f>((B65+C65+D65+E65+F65+G65)/(1-'Prices&amp;Fuel'!F65))*(1-'Prices&amp;Fuel'!F65)*'Prices&amp;Fuel'!H65*0.005</f>
        <v>1850.8997429305912</v>
      </c>
      <c r="Q65" s="14">
        <f>((D65+C65+B65+E65+F65+G65)*K65*'Prices&amp;Fuel'!H65)+M65+N65+O65+P65</f>
        <v>1477045.0745475579</v>
      </c>
      <c r="R65" s="6">
        <f t="shared" si="8"/>
        <v>60653.650388174923</v>
      </c>
      <c r="S65" s="65">
        <f>R65/(B65+C65+D65+E65+F65+G65)/'Prices&amp;Fuel'!H65</f>
        <v>0.16384909722916699</v>
      </c>
      <c r="T65" s="3">
        <v>12000</v>
      </c>
    </row>
    <row r="66" spans="1:20" x14ac:dyDescent="0.2">
      <c r="A66" s="10">
        <f t="shared" si="3"/>
        <v>37604.416666666519</v>
      </c>
      <c r="B66" s="6">
        <f>IF(T66-((E66+F66+G66)*(1-'Prices&amp;Fuel'!F66))&lt;'Prices&amp;Fuel'!R66,(T66-(E66+F66+G66)*(1-'Prices&amp;Fuel'!F66)),'Prices&amp;Fuel'!R66)/(1-'Prices&amp;Fuel'!F66)</f>
        <v>4325.9640102827761</v>
      </c>
      <c r="C66" s="14">
        <f>(T66/(1-'Prices&amp;Fuel'!F66))-D66-E66-F66-G66-B66</f>
        <v>0</v>
      </c>
      <c r="D66" s="14">
        <f>ROUND(IF(T66/(1-'Prices&amp;Fuel'!F66)-E66-F66-G66-B66&gt;'Prices&amp;Fuel'!T66,'Prices&amp;Fuel'!T66,T66/(1-'Prices&amp;Fuel'!F66)-E66-F66-G66-B66),9)</f>
        <v>0</v>
      </c>
      <c r="E66" s="14">
        <f>'Prices&amp;Fuel'!U66/(1-'Prices&amp;Fuel'!F66)</f>
        <v>2635.4755784061695</v>
      </c>
      <c r="F66" s="14">
        <f>('Prices&amp;Fuel'!V66+'Prices&amp;Fuel'!X66)/(1-'Prices&amp;Fuel'!F66)</f>
        <v>3645.2442159383031</v>
      </c>
      <c r="G66" s="14">
        <f>'Prices&amp;Fuel'!W66/(1-'Prices&amp;Fuel'!F66)</f>
        <v>1732.6478149100255</v>
      </c>
      <c r="H66" s="25">
        <f>('Prices&amp;Fuel'!C66+'Prices&amp;Fuel'!D66)/2-0.05+(('Prices&amp;Fuel'!M66+'Prices&amp;Fuel'!P66)*(1-'Prices&amp;Fuel'!F66))</f>
        <v>3.2739222500000009</v>
      </c>
      <c r="I66" s="14">
        <f>IF(FPL!L66=80000,0,B66)</f>
        <v>4325.9640102827761</v>
      </c>
      <c r="J66" s="14"/>
      <c r="K66" s="25">
        <f>(((B66+E66)*('Prices&amp;Fuel'!B66+0.025))+(('Prices&amp;Fuel'!D66+0.025)*(D66+G66))+(('Prices&amp;Fuel'!C66+0.025)*(C66+F66))-(I66+J66)*0.025)/(B66+C66+D66+E66+F66+G66)</f>
        <v>2.5753645833333341</v>
      </c>
      <c r="L66" s="14">
        <f>(B66+C66+D66+E66+F66+G66)*H66*'Prices&amp;Fuel'!H66</f>
        <v>1252338.3825192803</v>
      </c>
      <c r="M66" s="14">
        <f>'Prices&amp;Fuel'!X66*('Prices&amp;Fuel'!N66+'Prices&amp;Fuel'!O66)*'Prices&amp;Fuel'!H66</f>
        <v>8956.1790000000019</v>
      </c>
      <c r="N66" s="14">
        <f>('Prices&amp;Fuel'!U66+'Prices&amp;Fuel'!V66+'Prices&amp;Fuel'!W66)*('Prices&amp;Fuel'!L66+'Prices&amp;Fuel'!O66)*'Prices&amp;Fuel'!H66</f>
        <v>93233.430000000008</v>
      </c>
      <c r="O66" s="14">
        <f>((B66+C66+D66)*(1-'Prices&amp;Fuel'!G66))*('Prices&amp;Fuel'!M66+'Prices&amp;Fuel'!P66)*'Prices&amp;Fuel'!H66</f>
        <v>100434.1317</v>
      </c>
      <c r="P66" s="14">
        <f>((B66+C66+D66+E66+F66+G66)/(1-'Prices&amp;Fuel'!F66))*(1-'Prices&amp;Fuel'!F66)*'Prices&amp;Fuel'!H66*0.005</f>
        <v>1912.5964010282776</v>
      </c>
      <c r="Q66" s="14">
        <f>((D66+C66+B66+E66+F66+G66)*K66*'Prices&amp;Fuel'!H66)+M66+N66+O66+P66</f>
        <v>1189662.9437848332</v>
      </c>
      <c r="R66" s="6">
        <f t="shared" si="8"/>
        <v>62675.438734447118</v>
      </c>
      <c r="S66" s="65">
        <f>R66/(B66+C66+D66+E66+F66+G66)/'Prices&amp;Fuel'!H66</f>
        <v>0.16384909722916621</v>
      </c>
      <c r="T66" s="3">
        <f>T65</f>
        <v>12000</v>
      </c>
    </row>
    <row r="67" spans="1:20" x14ac:dyDescent="0.2">
      <c r="A67" s="10">
        <f t="shared" si="3"/>
        <v>37634.833333333183</v>
      </c>
      <c r="B67" s="6">
        <f>IF(T67-((E67+F67+G67)*(1-'Prices&amp;Fuel'!F67))&lt;'Prices&amp;Fuel'!R67,(T67-(E67+F67+G67)*(1-'Prices&amp;Fuel'!F67)),'Prices&amp;Fuel'!R67)/(1-'Prices&amp;Fuel'!F67)</f>
        <v>4325.9640102827761</v>
      </c>
      <c r="C67" s="14">
        <f>(T67/(1-'Prices&amp;Fuel'!F67))-D67-E67-F67-G67-B67</f>
        <v>0</v>
      </c>
      <c r="D67" s="14">
        <f>ROUND(IF(T67/(1-'Prices&amp;Fuel'!F67)-E67-F67-G67-B67&gt;'Prices&amp;Fuel'!T67,'Prices&amp;Fuel'!T67,T67/(1-'Prices&amp;Fuel'!F67)-E67-F67-G67-B67),9)</f>
        <v>0</v>
      </c>
      <c r="E67" s="14">
        <f>'Prices&amp;Fuel'!U67/(1-'Prices&amp;Fuel'!F67)</f>
        <v>2635.4755784061695</v>
      </c>
      <c r="F67" s="14">
        <f>('Prices&amp;Fuel'!V67+'Prices&amp;Fuel'!X67)/(1-'Prices&amp;Fuel'!F67)</f>
        <v>3645.2442159383031</v>
      </c>
      <c r="G67" s="14">
        <f>'Prices&amp;Fuel'!W67/(1-'Prices&amp;Fuel'!F67)</f>
        <v>1732.6478149100255</v>
      </c>
      <c r="H67" s="25">
        <f>('Prices&amp;Fuel'!C67+'Prices&amp;Fuel'!D67)/2-0.05+(('Prices&amp;Fuel'!M67+'Prices&amp;Fuel'!P67)*(1-'Prices&amp;Fuel'!F67))</f>
        <v>2.9666222500000008</v>
      </c>
      <c r="I67" s="14">
        <f>IF(FPL!L67=80000,0,B67)</f>
        <v>4325.9640102827761</v>
      </c>
      <c r="J67" s="14"/>
      <c r="K67" s="25">
        <f>(((B67+E67)*('Prices&amp;Fuel'!B67+0.025))+(('Prices&amp;Fuel'!D67+0.025)*(D67+G67))+(('Prices&amp;Fuel'!C67+0.025)*(C67+F67))-(I67+J67)*0.025)/(B67+C67+D67+E67+F67+G67)</f>
        <v>2.2680645833333335</v>
      </c>
      <c r="L67" s="14">
        <f>(B67+C67+D67+E67+F67+G67)*H67*'Prices&amp;Fuel'!H67</f>
        <v>1134790.2077120824</v>
      </c>
      <c r="M67" s="14">
        <f>'Prices&amp;Fuel'!X67*('Prices&amp;Fuel'!N67+'Prices&amp;Fuel'!O67)*'Prices&amp;Fuel'!H67</f>
        <v>8908.4139348759727</v>
      </c>
      <c r="N67" s="14">
        <f>('Prices&amp;Fuel'!U67+'Prices&amp;Fuel'!V67+'Prices&amp;Fuel'!W67)*('Prices&amp;Fuel'!L67+'Prices&amp;Fuel'!O67)*'Prices&amp;Fuel'!H67</f>
        <v>92736.197770085157</v>
      </c>
      <c r="O67" s="14">
        <f>((B67+C67+D67)*(1-'Prices&amp;Fuel'!G67))*('Prices&amp;Fuel'!M67+'Prices&amp;Fuel'!P67)*'Prices&amp;Fuel'!H67</f>
        <v>100434.1317</v>
      </c>
      <c r="P67" s="14">
        <f>((B67+C67+D67+E67+F67+G67)/(1-'Prices&amp;Fuel'!F67))*(1-'Prices&amp;Fuel'!F67)*'Prices&amp;Fuel'!H67*0.005</f>
        <v>1912.5964010282776</v>
      </c>
      <c r="Q67" s="14">
        <f>((D67+C67+B67+E67+F67+G67)*K67*'Prices&amp;Fuel'!H67)+M67+N67+O67+P67</f>
        <v>1071569.7716825961</v>
      </c>
      <c r="R67" s="6">
        <f t="shared" si="8"/>
        <v>63220.436029486358</v>
      </c>
      <c r="S67" s="65">
        <f>R67/(B67+C67+D67+E67+F67+G67)/'Prices&amp;Fuel'!H67</f>
        <v>0.16527385494267605</v>
      </c>
      <c r="T67" s="3">
        <f t="shared" ref="T67:T76" si="10">T66</f>
        <v>12000</v>
      </c>
    </row>
    <row r="68" spans="1:20" x14ac:dyDescent="0.2">
      <c r="A68" s="10">
        <f t="shared" si="3"/>
        <v>37665.249999999847</v>
      </c>
      <c r="B68" s="6">
        <f>IF(T68-((E68+F68+G68)*(1-'Prices&amp;Fuel'!F68))&lt;'Prices&amp;Fuel'!R68,(T68-(E68+F68+G68)*(1-'Prices&amp;Fuel'!F68)),'Prices&amp;Fuel'!R68)/(1-'Prices&amp;Fuel'!F68)</f>
        <v>4325.9640102827761</v>
      </c>
      <c r="C68" s="14">
        <f>(T68/(1-'Prices&amp;Fuel'!F68))-D68-E68-F68-G68-B68</f>
        <v>0</v>
      </c>
      <c r="D68" s="14">
        <f>ROUND(IF(T68/(1-'Prices&amp;Fuel'!F68)-E68-F68-G68-B68&gt;'Prices&amp;Fuel'!T68,'Prices&amp;Fuel'!T68,T68/(1-'Prices&amp;Fuel'!F68)-E68-F68-G68-B68),9)</f>
        <v>0</v>
      </c>
      <c r="E68" s="14">
        <f>'Prices&amp;Fuel'!U68/(1-'Prices&amp;Fuel'!F68)</f>
        <v>2635.4755784061695</v>
      </c>
      <c r="F68" s="14">
        <f>('Prices&amp;Fuel'!V68+'Prices&amp;Fuel'!X68)/(1-'Prices&amp;Fuel'!F68)</f>
        <v>3645.2442159383031</v>
      </c>
      <c r="G68" s="14">
        <f>'Prices&amp;Fuel'!W68/(1-'Prices&amp;Fuel'!F68)</f>
        <v>1732.6478149100255</v>
      </c>
      <c r="H68" s="25">
        <f>('Prices&amp;Fuel'!C68+'Prices&amp;Fuel'!D68)/2-0.05+(('Prices&amp;Fuel'!M68+'Prices&amp;Fuel'!P68)*(1-'Prices&amp;Fuel'!F68))</f>
        <v>3.2393222500000007</v>
      </c>
      <c r="I68" s="14">
        <f>IF(FPL!L68=80000,0,B68)</f>
        <v>4325.9640102827761</v>
      </c>
      <c r="J68" s="14"/>
      <c r="K68" s="25">
        <f>(((B68+E68)*('Prices&amp;Fuel'!B68+0.025))+(('Prices&amp;Fuel'!D68+0.025)*(D68+G68))+(('Prices&amp;Fuel'!C68+0.025)*(C68+F68))-(I68+J68)*0.025)/(B68+C68+D68+E68+F68+G68)</f>
        <v>2.5407645833333334</v>
      </c>
      <c r="L68" s="14">
        <f>(B68+C68+D68+E68+F68+G68)*H68*'Prices&amp;Fuel'!H68</f>
        <v>1119190.0010282779</v>
      </c>
      <c r="M68" s="14">
        <f>'Prices&amp;Fuel'!X68*('Prices&amp;Fuel'!N68+'Prices&amp;Fuel'!O68)*'Prices&amp;Fuel'!H68</f>
        <v>8046.3093605331378</v>
      </c>
      <c r="N68" s="14">
        <f>('Prices&amp;Fuel'!U68+'Prices&amp;Fuel'!V68+'Prices&amp;Fuel'!W68)*('Prices&amp;Fuel'!L68+'Prices&amp;Fuel'!O68)*'Prices&amp;Fuel'!H68</f>
        <v>83761.727018141435</v>
      </c>
      <c r="O68" s="14">
        <f>((B68+C68+D68)*(1-'Prices&amp;Fuel'!G68))*('Prices&amp;Fuel'!M68+'Prices&amp;Fuel'!P68)*'Prices&amp;Fuel'!H68</f>
        <v>90714.699599999993</v>
      </c>
      <c r="P68" s="14">
        <f>((B68+C68+D68+E68+F68+G68)/(1-'Prices&amp;Fuel'!F68))*(1-'Prices&amp;Fuel'!F68)*'Prices&amp;Fuel'!H68*0.005</f>
        <v>1727.5064267352184</v>
      </c>
      <c r="Q68" s="14">
        <f>((D68+C68+B68+E68+F68+G68)*K68*'Prices&amp;Fuel'!H68)+M68+N68+O68+P68</f>
        <v>1062087.6717113224</v>
      </c>
      <c r="R68" s="6">
        <f t="shared" si="8"/>
        <v>57102.329316955525</v>
      </c>
      <c r="S68" s="65">
        <f>R68/(B68+C68+D68+E68+F68+G68)/'Prices&amp;Fuel'!H68</f>
        <v>0.16527385494267635</v>
      </c>
      <c r="T68" s="3">
        <f t="shared" si="10"/>
        <v>12000</v>
      </c>
    </row>
    <row r="69" spans="1:20" x14ac:dyDescent="0.2">
      <c r="A69" s="10">
        <f t="shared" si="3"/>
        <v>37695.666666666511</v>
      </c>
      <c r="B69" s="6">
        <f>IF(T69-((E69+F69+G69)*(1-'Prices&amp;Fuel'!F69))&lt;'Prices&amp;Fuel'!R69,(T69-(E69+F69+G69)*(1-'Prices&amp;Fuel'!F69)),'Prices&amp;Fuel'!R69)/(1-'Prices&amp;Fuel'!F69)</f>
        <v>4325.9640102827761</v>
      </c>
      <c r="C69" s="14">
        <f>(T69/(1-'Prices&amp;Fuel'!F69))-D69-E69-F69-G69-B69</f>
        <v>0</v>
      </c>
      <c r="D69" s="14">
        <f>ROUND(IF(T69/(1-'Prices&amp;Fuel'!F69)-E69-F69-G69-B69&gt;'Prices&amp;Fuel'!T69,'Prices&amp;Fuel'!T69,T69/(1-'Prices&amp;Fuel'!F69)-E69-F69-G69-B69),9)</f>
        <v>0</v>
      </c>
      <c r="E69" s="14">
        <f>'Prices&amp;Fuel'!U69/(1-'Prices&amp;Fuel'!F69)</f>
        <v>2635.4755784061695</v>
      </c>
      <c r="F69" s="14">
        <f>('Prices&amp;Fuel'!V69+'Prices&amp;Fuel'!X69)/(1-'Prices&amp;Fuel'!F69)</f>
        <v>3645.2442159383031</v>
      </c>
      <c r="G69" s="14">
        <f>'Prices&amp;Fuel'!W69/(1-'Prices&amp;Fuel'!F69)</f>
        <v>1732.6478149100255</v>
      </c>
      <c r="H69" s="25">
        <f>('Prices&amp;Fuel'!C69+'Prices&amp;Fuel'!D69)/2-0.05+(('Prices&amp;Fuel'!M69+'Prices&amp;Fuel'!P69)*(1-'Prices&amp;Fuel'!F69))</f>
        <v>3.2393222500000007</v>
      </c>
      <c r="I69" s="14">
        <f>IF(FPL!L69=80000,0,B69)</f>
        <v>4325.9640102827761</v>
      </c>
      <c r="J69" s="14"/>
      <c r="K69" s="25">
        <f>(((B69+E69)*('Prices&amp;Fuel'!B69+0.025))+(('Prices&amp;Fuel'!D69+0.025)*(D69+G69))+(('Prices&amp;Fuel'!C69+0.025)*(C69+F69))-(I69+J69)*0.025)/(B69+C69+D69+E69+F69+G69)</f>
        <v>2.5407645833333334</v>
      </c>
      <c r="L69" s="14">
        <f>(B69+C69+D69+E69+F69+G69)*H69*'Prices&amp;Fuel'!H69</f>
        <v>1239103.2154241647</v>
      </c>
      <c r="M69" s="14">
        <f>'Prices&amp;Fuel'!X69*('Prices&amp;Fuel'!N69+'Prices&amp;Fuel'!O69)*'Prices&amp;Fuel'!H69</f>
        <v>8908.4139348759727</v>
      </c>
      <c r="N69" s="14">
        <f>('Prices&amp;Fuel'!U69+'Prices&amp;Fuel'!V69+'Prices&amp;Fuel'!W69)*('Prices&amp;Fuel'!L69+'Prices&amp;Fuel'!O69)*'Prices&amp;Fuel'!H69</f>
        <v>92736.197770085157</v>
      </c>
      <c r="O69" s="14">
        <f>((B69+C69+D69)*(1-'Prices&amp;Fuel'!G69))*('Prices&amp;Fuel'!M69+'Prices&amp;Fuel'!P69)*'Prices&amp;Fuel'!H69</f>
        <v>100434.1317</v>
      </c>
      <c r="P69" s="14">
        <f>((B69+C69+D69+E69+F69+G69)/(1-'Prices&amp;Fuel'!F69))*(1-'Prices&amp;Fuel'!F69)*'Prices&amp;Fuel'!H69*0.005</f>
        <v>1912.5964010282776</v>
      </c>
      <c r="Q69" s="14">
        <f>((D69+C69+B69+E69+F69+G69)*K69*'Prices&amp;Fuel'!H69)+M69+N69+O69+P69</f>
        <v>1175882.7793946783</v>
      </c>
      <c r="R69" s="6">
        <f t="shared" si="8"/>
        <v>63220.436029486358</v>
      </c>
      <c r="S69" s="65">
        <f>R69/(B69+C69+D69+E69+F69+G69)/'Prices&amp;Fuel'!H69</f>
        <v>0.16527385494267605</v>
      </c>
      <c r="T69" s="3">
        <f t="shared" si="10"/>
        <v>12000</v>
      </c>
    </row>
    <row r="70" spans="1:20" x14ac:dyDescent="0.2">
      <c r="A70" s="10">
        <f t="shared" ref="A70:A133" si="11">+A69+365/12</f>
        <v>37726.083333333176</v>
      </c>
      <c r="B70" s="6">
        <f>IF(T70-((E70+F70+G70)*(1-'Prices&amp;Fuel'!F70))&lt;'Prices&amp;Fuel'!R70,(T70-(E70+F70+G70)*(1-'Prices&amp;Fuel'!F70)),'Prices&amp;Fuel'!R70)/(1-'Prices&amp;Fuel'!F70)</f>
        <v>6278.6632390745499</v>
      </c>
      <c r="C70" s="14">
        <f>(T70/(1-'Prices&amp;Fuel'!F70))-D70-E70-F70-G70-B70</f>
        <v>0</v>
      </c>
      <c r="D70" s="14">
        <f>ROUND(IF(T70/(1-'Prices&amp;Fuel'!F70)-E70-F70-G70-B70&gt;'Prices&amp;Fuel'!T70,'Prices&amp;Fuel'!T70,T70/(1-'Prices&amp;Fuel'!F70)-E70-F70-G70-B70),9)</f>
        <v>0</v>
      </c>
      <c r="E70" s="14">
        <f>'Prices&amp;Fuel'!U70/(1-'Prices&amp;Fuel'!F70)</f>
        <v>1933.1619537275064</v>
      </c>
      <c r="F70" s="14">
        <f>('Prices&amp;Fuel'!V70+'Prices&amp;Fuel'!X70)/(1-'Prices&amp;Fuel'!F70)</f>
        <v>2833.9331619537274</v>
      </c>
      <c r="G70" s="14">
        <f>'Prices&amp;Fuel'!W70/(1-'Prices&amp;Fuel'!F70)</f>
        <v>1293.5732647814909</v>
      </c>
      <c r="H70" s="25">
        <f>('Prices&amp;Fuel'!C70+'Prices&amp;Fuel'!D70)/2-0.05+(('Prices&amp;Fuel'!M70+'Prices&amp;Fuel'!P70)*(1-'Prices&amp;Fuel'!F70))</f>
        <v>3.5120222500000011</v>
      </c>
      <c r="I70" s="14">
        <f>IF(FPL!L70=80000,0,B70)</f>
        <v>6278.6632390745499</v>
      </c>
      <c r="J70" s="14"/>
      <c r="K70" s="25">
        <f>(((B70+E70)*('Prices&amp;Fuel'!B70+0.025))+(('Prices&amp;Fuel'!D70+0.025)*(D70+G70))+(('Prices&amp;Fuel'!C70+0.025)*(C70+F70))-(I70+J70)*0.025)/(B70+C70+D70+E70+F70+G70)</f>
        <v>2.8052075000000007</v>
      </c>
      <c r="L70" s="14">
        <f>(B70+C70+D70+E70+F70+G70)*H70*'Prices&amp;Fuel'!H70</f>
        <v>1300080.2159383036</v>
      </c>
      <c r="M70" s="14">
        <f>'Prices&amp;Fuel'!X70*('Prices&amp;Fuel'!N70+'Prices&amp;Fuel'!O70)*'Prices&amp;Fuel'!H70</f>
        <v>8621.0457434283617</v>
      </c>
      <c r="N70" s="14">
        <f>('Prices&amp;Fuel'!U70+'Prices&amp;Fuel'!V70+'Prices&amp;Fuel'!W70)*('Prices&amp;Fuel'!L70+'Prices&amp;Fuel'!O70)*'Prices&amp;Fuel'!H70</f>
        <v>65774.918549055918</v>
      </c>
      <c r="O70" s="14">
        <f>((B70+C70+D70)*(1-'Prices&amp;Fuel'!G70))*('Prices&amp;Fuel'!M70+'Prices&amp;Fuel'!P70)*'Prices&amp;Fuel'!H70</f>
        <v>141066.91800000001</v>
      </c>
      <c r="P70" s="14">
        <f>((B70+C70+D70+E70+F70+G70)/(1-'Prices&amp;Fuel'!F70))*(1-'Prices&amp;Fuel'!F70)*'Prices&amp;Fuel'!H70*0.005</f>
        <v>1850.8997429305914</v>
      </c>
      <c r="Q70" s="14">
        <f>((D70+C70+B70+E70+F70+G70)*K70*'Prices&amp;Fuel'!H70)+M70+N70+O70+P70</f>
        <v>1255745.3501588088</v>
      </c>
      <c r="R70" s="6">
        <f t="shared" si="8"/>
        <v>44334.865779494867</v>
      </c>
      <c r="S70" s="65">
        <f>R70/(B70+C70+D70+E70+F70+G70)/'Prices&amp;Fuel'!H70</f>
        <v>0.11976571380710767</v>
      </c>
      <c r="T70" s="3">
        <f t="shared" si="10"/>
        <v>12000</v>
      </c>
    </row>
    <row r="71" spans="1:20" x14ac:dyDescent="0.2">
      <c r="A71" s="10">
        <f t="shared" si="11"/>
        <v>37756.49999999984</v>
      </c>
      <c r="B71" s="6">
        <f>IF(T71-((E71+F71+G71)*(1-'Prices&amp;Fuel'!F71))&lt;'Prices&amp;Fuel'!R71,(T71-(E71+F71+G71)*(1-'Prices&amp;Fuel'!F71)),'Prices&amp;Fuel'!R71)/(1-'Prices&amp;Fuel'!F71)</f>
        <v>8976.8637532133671</v>
      </c>
      <c r="C71" s="14">
        <f>(T71/(1-'Prices&amp;Fuel'!F71))-D71-E71-F71-G71-B71</f>
        <v>1.3824319466948509E-10</v>
      </c>
      <c r="D71" s="14">
        <f>ROUND(IF(T71/(1-'Prices&amp;Fuel'!F71)-E71-F71-G71-B71&gt;'Prices&amp;Fuel'!T71,'Prices&amp;Fuel'!T71,T71/(1-'Prices&amp;Fuel'!F71)-E71-F71-G71-B71),9)</f>
        <v>6556.2982005140002</v>
      </c>
      <c r="E71" s="14">
        <f>'Prices&amp;Fuel'!U71/(1-'Prices&amp;Fuel'!F71)</f>
        <v>1933.1619537275064</v>
      </c>
      <c r="F71" s="14">
        <f>('Prices&amp;Fuel'!V71+'Prices&amp;Fuel'!X71)/(1-'Prices&amp;Fuel'!F71)</f>
        <v>3062.2107969151671</v>
      </c>
      <c r="G71" s="14">
        <f>'Prices&amp;Fuel'!W71/(1-'Prices&amp;Fuel'!F71)</f>
        <v>1065.2956298200513</v>
      </c>
      <c r="H71" s="25">
        <f>('Prices&amp;Fuel'!C71+'Prices&amp;Fuel'!D71)/2-0.05+(('Prices&amp;Fuel'!M71+'Prices&amp;Fuel'!P71)*(1-'Prices&amp;Fuel'!F71))</f>
        <v>3.7039222500000011</v>
      </c>
      <c r="I71" s="14">
        <f>IF(FPL!L71=80000,0,B71)</f>
        <v>0</v>
      </c>
      <c r="J71" s="14"/>
      <c r="K71" s="25">
        <f>(((B71+E71)*('Prices&amp;Fuel'!B71+0.025))+(('Prices&amp;Fuel'!D71+0.025)*(D71+G71))+(('Prices&amp;Fuel'!C71+0.025)*(C71+F71))-(I71+J71)*0.025)/(B71+C71+D71+E71+F71+G71)</f>
        <v>3.0070380952380966</v>
      </c>
      <c r="L71" s="14">
        <f>(B71+C71+D71+E71+F71+G71)*H71*'Prices&amp;Fuel'!H71</f>
        <v>2479437.9277634965</v>
      </c>
      <c r="M71" s="14">
        <f>'Prices&amp;Fuel'!X71*('Prices&amp;Fuel'!N71+'Prices&amp;Fuel'!O71)*'Prices&amp;Fuel'!H71</f>
        <v>8908.4139348759727</v>
      </c>
      <c r="N71" s="14">
        <f>('Prices&amp;Fuel'!U71+'Prices&amp;Fuel'!V71+'Prices&amp;Fuel'!W71)*('Prices&amp;Fuel'!L71+'Prices&amp;Fuel'!O71)*'Prices&amp;Fuel'!H71</f>
        <v>67967.415834024447</v>
      </c>
      <c r="O71" s="14">
        <f>((B71+C71+D71)*(1-'Prices&amp;Fuel'!G71))*('Prices&amp;Fuel'!M71+'Prices&amp;Fuel'!P71)*'Prices&amp;Fuel'!H71</f>
        <v>360627.04860000004</v>
      </c>
      <c r="P71" s="14">
        <f>((B71+C71+D71+E71+F71+G71)/(1-'Prices&amp;Fuel'!F71))*(1-'Prices&amp;Fuel'!F71)*'Prices&amp;Fuel'!H71*0.005</f>
        <v>3347.043701799485</v>
      </c>
      <c r="Q71" s="14">
        <f>((D71+C71+B71+E71+F71+G71)*K71*'Prices&amp;Fuel'!H71)+M71+N71+O71+P71</f>
        <v>2453787.5056182588</v>
      </c>
      <c r="R71" s="6">
        <f t="shared" si="8"/>
        <v>25650.422145237681</v>
      </c>
      <c r="S71" s="65">
        <f>R71/(B71+C71+D71+E71+F71+G71)/'Prices&amp;Fuel'!H71</f>
        <v>3.8318026937394237E-2</v>
      </c>
      <c r="T71" s="3">
        <v>21000</v>
      </c>
    </row>
    <row r="72" spans="1:20" x14ac:dyDescent="0.2">
      <c r="A72" s="10">
        <f t="shared" si="11"/>
        <v>37786.916666666504</v>
      </c>
      <c r="B72" s="6">
        <f>IF(T72-((E72+F72+G72)*(1-'Prices&amp;Fuel'!F72))&lt;'Prices&amp;Fuel'!R72,(T72-(E72+F72+G72)*(1-'Prices&amp;Fuel'!F72)),'Prices&amp;Fuel'!R72)/(1-'Prices&amp;Fuel'!F72)</f>
        <v>8976.8637532133671</v>
      </c>
      <c r="C72" s="14">
        <f>(T72/(1-'Prices&amp;Fuel'!F72))-D72-E72-F72-G72-B72</f>
        <v>1.3824319466948509E-10</v>
      </c>
      <c r="D72" s="14">
        <f>ROUND(IF(T72/(1-'Prices&amp;Fuel'!F72)-E72-F72-G72-B72&gt;'Prices&amp;Fuel'!T72,'Prices&amp;Fuel'!T72,T72/(1-'Prices&amp;Fuel'!F72)-E72-F72-G72-B72),9)</f>
        <v>6556.2982005140002</v>
      </c>
      <c r="E72" s="14">
        <f>'Prices&amp;Fuel'!U72/(1-'Prices&amp;Fuel'!F72)</f>
        <v>1933.1619537275064</v>
      </c>
      <c r="F72" s="14">
        <f>('Prices&amp;Fuel'!V72+'Prices&amp;Fuel'!X72)/(1-'Prices&amp;Fuel'!F72)</f>
        <v>3062.2107969151671</v>
      </c>
      <c r="G72" s="14">
        <f>'Prices&amp;Fuel'!W72/(1-'Prices&amp;Fuel'!F72)</f>
        <v>1065.2956298200513</v>
      </c>
      <c r="H72" s="25">
        <f>('Prices&amp;Fuel'!C72+'Prices&amp;Fuel'!D72)/2-0.05+(('Prices&amp;Fuel'!M72+'Prices&amp;Fuel'!P72)*(1-'Prices&amp;Fuel'!F72))</f>
        <v>5.027022249999999</v>
      </c>
      <c r="I72" s="14">
        <f>IF(FPL!L72=80000,0,B72)</f>
        <v>0</v>
      </c>
      <c r="J72" s="14"/>
      <c r="K72" s="25">
        <f>(((B72+E72)*('Prices&amp;Fuel'!B72+0.025))+(('Prices&amp;Fuel'!D72+0.025)*(D72+G72))+(('Prices&amp;Fuel'!C72+0.025)*(C72+F72))-(I72+J72)*0.025)/(B72+C72+D72+E72+F72+G72)</f>
        <v>4.3301380952380955</v>
      </c>
      <c r="L72" s="14">
        <f>(B72+C72+D72+E72+F72+G72)*H72*'Prices&amp;Fuel'!H72</f>
        <v>3256579.9665809758</v>
      </c>
      <c r="M72" s="14">
        <f>'Prices&amp;Fuel'!X72*('Prices&amp;Fuel'!N72+'Prices&amp;Fuel'!O72)*'Prices&amp;Fuel'!H72</f>
        <v>8621.0457434283617</v>
      </c>
      <c r="N72" s="14">
        <f>('Prices&amp;Fuel'!U72+'Prices&amp;Fuel'!V72+'Prices&amp;Fuel'!W72)*('Prices&amp;Fuel'!L72+'Prices&amp;Fuel'!O72)*'Prices&amp;Fuel'!H72</f>
        <v>65774.918549055918</v>
      </c>
      <c r="O72" s="14">
        <f>((B72+C72+D72)*(1-'Prices&amp;Fuel'!G72))*('Prices&amp;Fuel'!M72+'Prices&amp;Fuel'!P72)*'Prices&amp;Fuel'!H72</f>
        <v>348993.91800000001</v>
      </c>
      <c r="P72" s="14">
        <f>((B72+C72+D72+E72+F72+G72)/(1-'Prices&amp;Fuel'!F72))*(1-'Prices&amp;Fuel'!F72)*'Prices&amp;Fuel'!H72*0.005</f>
        <v>3239.0745501285346</v>
      </c>
      <c r="Q72" s="14">
        <f>((D72+C72+B72+E72+F72+G72)*K72*'Prices&amp;Fuel'!H72)+M72+N72+O72+P72</f>
        <v>3231756.9774081651</v>
      </c>
      <c r="R72" s="6">
        <f t="shared" si="8"/>
        <v>24822.989172810689</v>
      </c>
      <c r="S72" s="65">
        <f>R72/(B72+C72+D72+E72+F72+G72)/'Prices&amp;Fuel'!H72</f>
        <v>3.8318026937394285E-2</v>
      </c>
      <c r="T72" s="3">
        <f t="shared" si="10"/>
        <v>21000</v>
      </c>
    </row>
    <row r="73" spans="1:20" x14ac:dyDescent="0.2">
      <c r="A73" s="10">
        <f t="shared" si="11"/>
        <v>37817.333333333168</v>
      </c>
      <c r="B73" s="6">
        <f>IF(T73-((E73+F73+G73)*(1-'Prices&amp;Fuel'!F73))&lt;'Prices&amp;Fuel'!R73,(T73-(E73+F73+G73)*(1-'Prices&amp;Fuel'!F73)),'Prices&amp;Fuel'!R73)/(1-'Prices&amp;Fuel'!F73)</f>
        <v>8976.8637532133671</v>
      </c>
      <c r="C73" s="14">
        <f>(T73/(1-'Prices&amp;Fuel'!F73))-D73-E73-F73-G73-B73</f>
        <v>1.3824319466948509E-10</v>
      </c>
      <c r="D73" s="14">
        <f>ROUND(IF(T73/(1-'Prices&amp;Fuel'!F73)-E73-F73-G73-B73&gt;'Prices&amp;Fuel'!T73,'Prices&amp;Fuel'!T73,T73/(1-'Prices&amp;Fuel'!F73)-E73-F73-G73-B73),9)</f>
        <v>6556.2982005140002</v>
      </c>
      <c r="E73" s="14">
        <f>'Prices&amp;Fuel'!U73/(1-'Prices&amp;Fuel'!F73)</f>
        <v>1933.1619537275064</v>
      </c>
      <c r="F73" s="14">
        <f>('Prices&amp;Fuel'!V73+'Prices&amp;Fuel'!X73)/(1-'Prices&amp;Fuel'!F73)</f>
        <v>3062.2107969151671</v>
      </c>
      <c r="G73" s="14">
        <f>'Prices&amp;Fuel'!W73/(1-'Prices&amp;Fuel'!F73)</f>
        <v>1065.2956298200513</v>
      </c>
      <c r="H73" s="25">
        <f>('Prices&amp;Fuel'!C73+'Prices&amp;Fuel'!D73)/2-0.05+(('Prices&amp;Fuel'!M73+'Prices&amp;Fuel'!P73)*(1-'Prices&amp;Fuel'!F73))</f>
        <v>5.0169222499999995</v>
      </c>
      <c r="I73" s="14">
        <f>IF(FPL!L73=80000,0,B73)</f>
        <v>0</v>
      </c>
      <c r="J73" s="14"/>
      <c r="K73" s="25">
        <f>(((B73+E73)*('Prices&amp;Fuel'!B73+0.025))+(('Prices&amp;Fuel'!D73+0.025)*(D73+G73))+(('Prices&amp;Fuel'!C73+0.025)*(C73+F73))-(I73+J73)*0.025)/(B73+C73+D73+E73+F73+G73)</f>
        <v>4.3200380952380959</v>
      </c>
      <c r="L73" s="14">
        <f>(B73+C73+D73+E73+F73+G73)*H73*'Prices&amp;Fuel'!H73</f>
        <v>3358371.6038560402</v>
      </c>
      <c r="M73" s="14">
        <f>'Prices&amp;Fuel'!X73*('Prices&amp;Fuel'!N73+'Prices&amp;Fuel'!O73)*'Prices&amp;Fuel'!H73</f>
        <v>8908.4139348759727</v>
      </c>
      <c r="N73" s="14">
        <f>('Prices&amp;Fuel'!U73+'Prices&amp;Fuel'!V73+'Prices&amp;Fuel'!W73)*('Prices&amp;Fuel'!L73+'Prices&amp;Fuel'!O73)*'Prices&amp;Fuel'!H73</f>
        <v>67967.415834024447</v>
      </c>
      <c r="O73" s="14">
        <f>((B73+C73+D73)*(1-'Prices&amp;Fuel'!G73))*('Prices&amp;Fuel'!M73+'Prices&amp;Fuel'!P73)*'Prices&amp;Fuel'!H73</f>
        <v>360627.04860000004</v>
      </c>
      <c r="P73" s="14">
        <f>((B73+C73+D73+E73+F73+G73)/(1-'Prices&amp;Fuel'!F73))*(1-'Prices&amp;Fuel'!F73)*'Prices&amp;Fuel'!H73*0.005</f>
        <v>3347.043701799485</v>
      </c>
      <c r="Q73" s="14">
        <f>((D73+C73+B73+E73+F73+G73)*K73*'Prices&amp;Fuel'!H73)+M73+N73+O73+P73</f>
        <v>3332721.1817108025</v>
      </c>
      <c r="R73" s="6">
        <f t="shared" si="8"/>
        <v>25650.422145237681</v>
      </c>
      <c r="S73" s="65">
        <f>R73/(B73+C73+D73+E73+F73+G73)/'Prices&amp;Fuel'!H73</f>
        <v>3.8318026937394237E-2</v>
      </c>
      <c r="T73" s="3">
        <f t="shared" si="10"/>
        <v>21000</v>
      </c>
    </row>
    <row r="74" spans="1:20" x14ac:dyDescent="0.2">
      <c r="A74" s="10">
        <f t="shared" si="11"/>
        <v>37847.749999999833</v>
      </c>
      <c r="B74" s="6">
        <f>IF(T74-((E74+F74+G74)*(1-'Prices&amp;Fuel'!F74))&lt;'Prices&amp;Fuel'!R74,(T74-(E74+F74+G74)*(1-'Prices&amp;Fuel'!F74)),'Prices&amp;Fuel'!R74)/(1-'Prices&amp;Fuel'!F74)</f>
        <v>8976.8637532133671</v>
      </c>
      <c r="C74" s="14">
        <f>(T74/(1-'Prices&amp;Fuel'!F74))-D74-E74-F74-G74-B74</f>
        <v>1.3824319466948509E-10</v>
      </c>
      <c r="D74" s="14">
        <f>ROUND(IF(T74/(1-'Prices&amp;Fuel'!F74)-E74-F74-G74-B74&gt;'Prices&amp;Fuel'!T74,'Prices&amp;Fuel'!T74,T74/(1-'Prices&amp;Fuel'!F74)-E74-F74-G74-B74),9)</f>
        <v>6556.2982005140002</v>
      </c>
      <c r="E74" s="14">
        <f>'Prices&amp;Fuel'!U74/(1-'Prices&amp;Fuel'!F74)</f>
        <v>1933.1619537275064</v>
      </c>
      <c r="F74" s="14">
        <f>('Prices&amp;Fuel'!V74+'Prices&amp;Fuel'!X74)/(1-'Prices&amp;Fuel'!F74)</f>
        <v>3062.2107969151671</v>
      </c>
      <c r="G74" s="14">
        <f>'Prices&amp;Fuel'!W74/(1-'Prices&amp;Fuel'!F74)</f>
        <v>1065.2956298200513</v>
      </c>
      <c r="H74" s="25">
        <f>('Prices&amp;Fuel'!C74+'Prices&amp;Fuel'!D74)/2-0.05+(('Prices&amp;Fuel'!M74+'Prices&amp;Fuel'!P74)*(1-'Prices&amp;Fuel'!F74))</f>
        <v>4.4715222500000005</v>
      </c>
      <c r="I74" s="14">
        <f>IF(FPL!L74=80000,0,B74)</f>
        <v>0</v>
      </c>
      <c r="J74" s="14"/>
      <c r="K74" s="25">
        <f>(((B74+E74)*('Prices&amp;Fuel'!B74+0.025))+(('Prices&amp;Fuel'!D74+0.025)*(D74+G74))+(('Prices&amp;Fuel'!C74+0.025)*(C74+F74))-(I74+J74)*0.025)/(B74+C74+D74+E74+F74+G74)</f>
        <v>3.7746380952380965</v>
      </c>
      <c r="L74" s="14">
        <f>(B74+C74+D74+E74+F74+G74)*H74*'Prices&amp;Fuel'!H74</f>
        <v>2993276.0768637527</v>
      </c>
      <c r="M74" s="14">
        <f>'Prices&amp;Fuel'!X74*('Prices&amp;Fuel'!N74+'Prices&amp;Fuel'!O74)*'Prices&amp;Fuel'!H74</f>
        <v>8908.4139348759727</v>
      </c>
      <c r="N74" s="14">
        <f>('Prices&amp;Fuel'!U74+'Prices&amp;Fuel'!V74+'Prices&amp;Fuel'!W74)*('Prices&amp;Fuel'!L74+'Prices&amp;Fuel'!O74)*'Prices&amp;Fuel'!H74</f>
        <v>67967.415834024447</v>
      </c>
      <c r="O74" s="14">
        <f>((B74+C74+D74)*(1-'Prices&amp;Fuel'!G74))*('Prices&amp;Fuel'!M74+'Prices&amp;Fuel'!P74)*'Prices&amp;Fuel'!H74</f>
        <v>360627.04860000004</v>
      </c>
      <c r="P74" s="14">
        <f>((B74+C74+D74+E74+F74+G74)/(1-'Prices&amp;Fuel'!F74))*(1-'Prices&amp;Fuel'!F74)*'Prices&amp;Fuel'!H74*0.005</f>
        <v>3347.043701799485</v>
      </c>
      <c r="Q74" s="14">
        <f>((D74+C74+B74+E74+F74+G74)*K74*'Prices&amp;Fuel'!H74)+M74+N74+O74+P74</f>
        <v>2967625.654718515</v>
      </c>
      <c r="R74" s="6">
        <f t="shared" si="8"/>
        <v>25650.422145237681</v>
      </c>
      <c r="S74" s="65">
        <f>R74/(B74+C74+D74+E74+F74+G74)/'Prices&amp;Fuel'!H74</f>
        <v>3.8318026937394237E-2</v>
      </c>
      <c r="T74" s="3">
        <f t="shared" si="10"/>
        <v>21000</v>
      </c>
    </row>
    <row r="75" spans="1:20" x14ac:dyDescent="0.2">
      <c r="A75" s="10">
        <f t="shared" si="11"/>
        <v>37878.166666666497</v>
      </c>
      <c r="B75" s="6">
        <f>IF(T75-((E75+F75+G75)*(1-'Prices&amp;Fuel'!F75))&lt;'Prices&amp;Fuel'!R75,(T75-(E75+F75+G75)*(1-'Prices&amp;Fuel'!F75)),'Prices&amp;Fuel'!R75)/(1-'Prices&amp;Fuel'!F75)</f>
        <v>8976.8637532133671</v>
      </c>
      <c r="C75" s="14">
        <f>(T75/(1-'Prices&amp;Fuel'!F75))-D75-E75-F75-G75-B75</f>
        <v>1.3824319466948509E-10</v>
      </c>
      <c r="D75" s="14">
        <f>ROUND(IF(T75/(1-'Prices&amp;Fuel'!F75)-E75-F75-G75-B75&gt;'Prices&amp;Fuel'!T75,'Prices&amp;Fuel'!T75,T75/(1-'Prices&amp;Fuel'!F75)-E75-F75-G75-B75),9)</f>
        <v>6556.2982005140002</v>
      </c>
      <c r="E75" s="14">
        <f>'Prices&amp;Fuel'!U75/(1-'Prices&amp;Fuel'!F75)</f>
        <v>1933.1619537275064</v>
      </c>
      <c r="F75" s="14">
        <f>('Prices&amp;Fuel'!V75+'Prices&amp;Fuel'!X75)/(1-'Prices&amp;Fuel'!F75)</f>
        <v>3062.2107969151671</v>
      </c>
      <c r="G75" s="14">
        <f>'Prices&amp;Fuel'!W75/(1-'Prices&amp;Fuel'!F75)</f>
        <v>1065.2956298200513</v>
      </c>
      <c r="H75" s="25">
        <f>('Prices&amp;Fuel'!C75+'Prices&amp;Fuel'!D75)/2-0.05+(('Prices&amp;Fuel'!M75+'Prices&amp;Fuel'!P75)*(1-'Prices&amp;Fuel'!F75))</f>
        <v>5.2492222499999999</v>
      </c>
      <c r="I75" s="14">
        <f>IF(FPL!L75=80000,0,B75)</f>
        <v>0</v>
      </c>
      <c r="J75" s="14"/>
      <c r="K75" s="25">
        <f>(((B75+E75)*('Prices&amp;Fuel'!B75+0.025))+(('Prices&amp;Fuel'!D75+0.025)*(D75+G75))+(('Prices&amp;Fuel'!C75+0.025)*(C75+F75))-(I75+J75)*0.025)/(B75+C75+D75+E75+F75+G75)</f>
        <v>4.5523380952380972</v>
      </c>
      <c r="L75" s="14">
        <f>(B75+C75+D75+E75+F75+G75)*H75*'Prices&amp;Fuel'!H75</f>
        <v>3400524.4395886883</v>
      </c>
      <c r="M75" s="14">
        <f>'Prices&amp;Fuel'!X75*('Prices&amp;Fuel'!N75+'Prices&amp;Fuel'!O75)*'Prices&amp;Fuel'!H75</f>
        <v>8621.0457434283617</v>
      </c>
      <c r="N75" s="14">
        <f>('Prices&amp;Fuel'!U75+'Prices&amp;Fuel'!V75+'Prices&amp;Fuel'!W75)*('Prices&amp;Fuel'!L75+'Prices&amp;Fuel'!O75)*'Prices&amp;Fuel'!H75</f>
        <v>65774.918549055918</v>
      </c>
      <c r="O75" s="14">
        <f>((B75+C75+D75)*(1-'Prices&amp;Fuel'!G75))*('Prices&amp;Fuel'!M75+'Prices&amp;Fuel'!P75)*'Prices&amp;Fuel'!H75</f>
        <v>348993.91800000001</v>
      </c>
      <c r="P75" s="14">
        <f>((B75+C75+D75+E75+F75+G75)/(1-'Prices&amp;Fuel'!F75))*(1-'Prices&amp;Fuel'!F75)*'Prices&amp;Fuel'!H75*0.005</f>
        <v>3239.0745501285346</v>
      </c>
      <c r="Q75" s="14">
        <f>((D75+C75+B75+E75+F75+G75)*K75*'Prices&amp;Fuel'!H75)+M75+N75+O75+P75</f>
        <v>3375701.4504158781</v>
      </c>
      <c r="R75" s="6">
        <f t="shared" si="8"/>
        <v>24822.989172810223</v>
      </c>
      <c r="S75" s="65">
        <f>R75/(B75+C75+D75+E75+F75+G75)/'Prices&amp;Fuel'!H75</f>
        <v>3.8318026937393564E-2</v>
      </c>
      <c r="T75" s="3">
        <f t="shared" si="10"/>
        <v>21000</v>
      </c>
    </row>
    <row r="76" spans="1:20" x14ac:dyDescent="0.2">
      <c r="A76" s="10">
        <f t="shared" si="11"/>
        <v>37908.583333333161</v>
      </c>
      <c r="B76" s="6">
        <f>IF(T76-((E76+F76+G76)*(1-'Prices&amp;Fuel'!F76))&lt;'Prices&amp;Fuel'!R76,(T76-(E76+F76+G76)*(1-'Prices&amp;Fuel'!F76)),'Prices&amp;Fuel'!R76)/(1-'Prices&amp;Fuel'!F76)</f>
        <v>8976.8637532133671</v>
      </c>
      <c r="C76" s="14">
        <f>(T76/(1-'Prices&amp;Fuel'!F76))-D76-E76-F76-G76-B76</f>
        <v>2.0190782379359007E-10</v>
      </c>
      <c r="D76" s="14">
        <f>ROUND(IF(T76/(1-'Prices&amp;Fuel'!F76)-E76-F76-G76-B76&gt;'Prices&amp;Fuel'!T76,'Prices&amp;Fuel'!T76,T76/(1-'Prices&amp;Fuel'!F76)-E76-F76-G76-B76),9)</f>
        <v>3514.6529562979999</v>
      </c>
      <c r="E76" s="14">
        <f>'Prices&amp;Fuel'!U76/(1-'Prices&amp;Fuel'!F76)</f>
        <v>2910.025706940874</v>
      </c>
      <c r="F76" s="14">
        <f>('Prices&amp;Fuel'!V76+'Prices&amp;Fuel'!X76)/(1-'Prices&amp;Fuel'!F76)</f>
        <v>4628.2776349614396</v>
      </c>
      <c r="G76" s="14">
        <f>'Prices&amp;Fuel'!W76/(1-'Prices&amp;Fuel'!F76)</f>
        <v>1564.0102827763496</v>
      </c>
      <c r="H76" s="25">
        <f>('Prices&amp;Fuel'!C76+'Prices&amp;Fuel'!D76)/2-0.05+(('Prices&amp;Fuel'!M76+'Prices&amp;Fuel'!P76)*(1-'Prices&amp;Fuel'!F76))</f>
        <v>5.9360222499999997</v>
      </c>
      <c r="I76" s="14">
        <f>IF(FPL!L76=80000,0,B76)</f>
        <v>8976.8637532133671</v>
      </c>
      <c r="J76" s="14"/>
      <c r="K76" s="25">
        <f>(((B76+E76)*('Prices&amp;Fuel'!B76+0.025))+(('Prices&amp;Fuel'!D76+0.025)*(D76+G76))+(('Prices&amp;Fuel'!C76+0.025)*(C76+F76))-(I76+J76)*0.025)/(B76+C76+D76+E76+F76+G76)</f>
        <v>5.2319190476190487</v>
      </c>
      <c r="L76" s="14">
        <f>(B76+C76+D76+E76+F76+G76)*H76*'Prices&amp;Fuel'!H76</f>
        <v>3973625.1771208225</v>
      </c>
      <c r="M76" s="14">
        <f>'Prices&amp;Fuel'!X76*('Prices&amp;Fuel'!N76+'Prices&amp;Fuel'!O76)*'Prices&amp;Fuel'!H76</f>
        <v>13056.108856238432</v>
      </c>
      <c r="N76" s="14">
        <f>('Prices&amp;Fuel'!U76+'Prices&amp;Fuel'!V76+'Prices&amp;Fuel'!W76)*('Prices&amp;Fuel'!L76+'Prices&amp;Fuel'!O76)*'Prices&amp;Fuel'!H76</f>
        <v>102401.10952080712</v>
      </c>
      <c r="O76" s="14">
        <f>((B76+C76+D76)*(1-'Prices&amp;Fuel'!G76))*('Prices&amp;Fuel'!M76+'Prices&amp;Fuel'!P76)*'Prices&amp;Fuel'!H76</f>
        <v>290010.41880000004</v>
      </c>
      <c r="P76" s="14">
        <f>((B76+C76+D76+E76+F76+G76)/(1-'Prices&amp;Fuel'!F76))*(1-'Prices&amp;Fuel'!F76)*'Prices&amp;Fuel'!H76*0.005</f>
        <v>3347.0437017994859</v>
      </c>
      <c r="Q76" s="14">
        <f>((D76+C76+B76+E76+F76+G76)*K76*'Prices&amp;Fuel'!H76)+M76+N76+O76+P76</f>
        <v>3911107.0202104654</v>
      </c>
      <c r="R76" s="6">
        <f t="shared" si="8"/>
        <v>62518.156910357065</v>
      </c>
      <c r="S76" s="65">
        <f>R76/(B76+C76+D76+E76+F76+G76)/'Prices&amp;Fuel'!H76</f>
        <v>9.3393099224765366E-2</v>
      </c>
      <c r="T76" s="3">
        <f t="shared" si="10"/>
        <v>21000</v>
      </c>
    </row>
    <row r="77" spans="1:20" x14ac:dyDescent="0.2">
      <c r="A77" s="10">
        <f t="shared" si="11"/>
        <v>37938.999999999825</v>
      </c>
      <c r="B77" s="6">
        <f>IF(T77-((E77+F77+G77)*(1-'Prices&amp;Fuel'!F77))&lt;'Prices&amp;Fuel'!R77,(T77-(E77+F77+G77)*(1-'Prices&amp;Fuel'!F77)),'Prices&amp;Fuel'!R77)/(1-'Prices&amp;Fuel'!F77)</f>
        <v>4325.9640102827761</v>
      </c>
      <c r="C77" s="14">
        <f>(T77/(1-'Prices&amp;Fuel'!F77))-D77-E77-F77-G77-B77</f>
        <v>0</v>
      </c>
      <c r="D77" s="14">
        <f>ROUND(IF(T77/(1-'Prices&amp;Fuel'!F77)-E77-F77-G77-B77&gt;'Prices&amp;Fuel'!T77,'Prices&amp;Fuel'!T77,T77/(1-'Prices&amp;Fuel'!F77)-E77-F77-G77-B77),9)</f>
        <v>0</v>
      </c>
      <c r="E77" s="14">
        <f>'Prices&amp;Fuel'!U77/(1-'Prices&amp;Fuel'!F77)</f>
        <v>2635.4755784061695</v>
      </c>
      <c r="F77" s="14">
        <f>('Prices&amp;Fuel'!V77+'Prices&amp;Fuel'!X77)/(1-'Prices&amp;Fuel'!F77)</f>
        <v>3645.2442159383031</v>
      </c>
      <c r="G77" s="14">
        <f>'Prices&amp;Fuel'!W77/(1-'Prices&amp;Fuel'!F77)</f>
        <v>1732.6478149100255</v>
      </c>
      <c r="H77" s="25">
        <f>('Prices&amp;Fuel'!C77+'Prices&amp;Fuel'!D77)/2-0.04+(('Prices&amp;Fuel'!M77+'Prices&amp;Fuel'!P77)*(1-'Prices&amp;Fuel'!F77))</f>
        <v>4.1987222500000003</v>
      </c>
      <c r="I77" s="14">
        <f>IF(FPL!L77=80000,0,B77)</f>
        <v>4325.9640102827761</v>
      </c>
      <c r="J77" s="14"/>
      <c r="K77" s="25">
        <f>(((B77+E77)*('Prices&amp;Fuel'!B77+0.025))+(('Prices&amp;Fuel'!D77+0.025)*(D77+G77))+(('Prices&amp;Fuel'!C77+0.025)*(C77+F77))-(I77+J77)*0.025)/(B77+C77+D77+E77+F77+G77)</f>
        <v>3.4901645833333337</v>
      </c>
      <c r="L77" s="14">
        <f>(B77+C77+D77+E77+F77+G77)*H77*'Prices&amp;Fuel'!H77</f>
        <v>1554282.7866323907</v>
      </c>
      <c r="M77" s="14">
        <f>'Prices&amp;Fuel'!X77*('Prices&amp;Fuel'!N77+'Prices&amp;Fuel'!O77)*'Prices&amp;Fuel'!H77</f>
        <v>8621.0457434283617</v>
      </c>
      <c r="N77" s="14">
        <f>('Prices&amp;Fuel'!U77+'Prices&amp;Fuel'!V77+'Prices&amp;Fuel'!W77)*('Prices&amp;Fuel'!L77+'Prices&amp;Fuel'!O77)*'Prices&amp;Fuel'!H77</f>
        <v>89744.707519437245</v>
      </c>
      <c r="O77" s="14">
        <f>((B77+C77+D77)*(1-'Prices&amp;Fuel'!G77))*('Prices&amp;Fuel'!M77+'Prices&amp;Fuel'!P77)*'Prices&amp;Fuel'!H77</f>
        <v>97194.320999999996</v>
      </c>
      <c r="P77" s="14">
        <f>((B77+C77+D77+E77+F77+G77)/(1-'Prices&amp;Fuel'!F77))*(1-'Prices&amp;Fuel'!F77)*'Prices&amp;Fuel'!H77*0.005</f>
        <v>1850.8997429305912</v>
      </c>
      <c r="Q77" s="14">
        <f>((D77+C77+B77+E77+F77+G77)*K77*'Prices&amp;Fuel'!H77)+M77+N77+O77+P77</f>
        <v>1489399.9200212203</v>
      </c>
      <c r="R77" s="6">
        <f t="shared" si="8"/>
        <v>64882.86661117035</v>
      </c>
      <c r="S77" s="65">
        <f>R77/(B77+C77+D77+E77+F77+G77)/'Prices&amp;Fuel'!H77</f>
        <v>0.17527385494267547</v>
      </c>
      <c r="T77" s="3">
        <v>12000</v>
      </c>
    </row>
    <row r="78" spans="1:20" x14ac:dyDescent="0.2">
      <c r="A78" s="10">
        <f t="shared" si="11"/>
        <v>37969.41666666649</v>
      </c>
      <c r="B78" s="6">
        <f>IF(T78-((E78+F78+G78)*(1-'Prices&amp;Fuel'!F78))&lt;'Prices&amp;Fuel'!R78,(T78-(E78+F78+G78)*(1-'Prices&amp;Fuel'!F78)),'Prices&amp;Fuel'!R78)/(1-'Prices&amp;Fuel'!F78)</f>
        <v>4325.9640102827761</v>
      </c>
      <c r="C78" s="14">
        <f>(T78/(1-'Prices&amp;Fuel'!F78))-D78-E78-F78-G78-B78</f>
        <v>0</v>
      </c>
      <c r="D78" s="14">
        <f>ROUND(IF(T78/(1-'Prices&amp;Fuel'!F78)-E78-F78-G78-B78&gt;'Prices&amp;Fuel'!T78,'Prices&amp;Fuel'!T78,T78/(1-'Prices&amp;Fuel'!F78)-E78-F78-G78-B78),9)</f>
        <v>0</v>
      </c>
      <c r="E78" s="14">
        <f>'Prices&amp;Fuel'!U78/(1-'Prices&amp;Fuel'!F78)</f>
        <v>2635.4755784061695</v>
      </c>
      <c r="F78" s="14">
        <f>('Prices&amp;Fuel'!V78+'Prices&amp;Fuel'!X78)/(1-'Prices&amp;Fuel'!F78)</f>
        <v>3645.2442159383031</v>
      </c>
      <c r="G78" s="14">
        <f>'Prices&amp;Fuel'!W78/(1-'Prices&amp;Fuel'!F78)</f>
        <v>1732.6478149100255</v>
      </c>
      <c r="H78" s="25">
        <f>('Prices&amp;Fuel'!C78+'Prices&amp;Fuel'!D78)/2-0.04+(('Prices&amp;Fuel'!M78+'Prices&amp;Fuel'!P78)*(1-'Prices&amp;Fuel'!F78))</f>
        <v>3.309922250000001</v>
      </c>
      <c r="I78" s="14">
        <f>IF(FPL!L78=80000,0,B78)</f>
        <v>4325.9640102827761</v>
      </c>
      <c r="J78" s="14"/>
      <c r="K78" s="25">
        <f>(((B78+E78)*('Prices&amp;Fuel'!B78+0.025))+(('Prices&amp;Fuel'!D78+0.025)*(D78+G78))+(('Prices&amp;Fuel'!C78+0.025)*(C78+F78))-(I78+J78)*0.025)/(B78+C78+D78+E78+F78+G78)</f>
        <v>2.6013645833333339</v>
      </c>
      <c r="L78" s="14">
        <f>(B78+C78+D78+E78+F78+G78)*H78*'Prices&amp;Fuel'!H78</f>
        <v>1266109.0766066839</v>
      </c>
      <c r="M78" s="14">
        <f>'Prices&amp;Fuel'!X78*('Prices&amp;Fuel'!N78+'Prices&amp;Fuel'!O78)*'Prices&amp;Fuel'!H78</f>
        <v>8908.4139348759727</v>
      </c>
      <c r="N78" s="14">
        <f>('Prices&amp;Fuel'!U78+'Prices&amp;Fuel'!V78+'Prices&amp;Fuel'!W78)*('Prices&amp;Fuel'!L78+'Prices&amp;Fuel'!O78)*'Prices&amp;Fuel'!H78</f>
        <v>92736.197770085157</v>
      </c>
      <c r="O78" s="14">
        <f>((B78+C78+D78)*(1-'Prices&amp;Fuel'!G78))*('Prices&amp;Fuel'!M78+'Prices&amp;Fuel'!P78)*'Prices&amp;Fuel'!H78</f>
        <v>100434.1317</v>
      </c>
      <c r="P78" s="14">
        <f>((B78+C78+D78+E78+F78+G78)/(1-'Prices&amp;Fuel'!F78))*(1-'Prices&amp;Fuel'!F78)*'Prices&amp;Fuel'!H78*0.005</f>
        <v>1912.5964010282776</v>
      </c>
      <c r="Q78" s="14">
        <f>((D78+C78+B78+E78+F78+G78)*K78*'Prices&amp;Fuel'!H78)+M78+N78+O78+P78</f>
        <v>1199063.4477751411</v>
      </c>
      <c r="R78" s="6">
        <f t="shared" si="8"/>
        <v>67045.628831542796</v>
      </c>
      <c r="S78" s="65">
        <f>R78/(B78+C78+D78+E78+F78+G78)/'Prices&amp;Fuel'!H78</f>
        <v>0.17527385494267575</v>
      </c>
      <c r="T78" s="3">
        <f>T77</f>
        <v>12000</v>
      </c>
    </row>
    <row r="79" spans="1:20" x14ac:dyDescent="0.2">
      <c r="A79" s="10">
        <f t="shared" si="11"/>
        <v>37999.833333333154</v>
      </c>
      <c r="B79" s="6">
        <f>IF(T79-((E79+F79+G79)*(1-'Prices&amp;Fuel'!F79))&lt;'Prices&amp;Fuel'!R79,(T79-(E79+F79+G79)*(1-'Prices&amp;Fuel'!F79)),'Prices&amp;Fuel'!R79)/(1-'Prices&amp;Fuel'!F79)</f>
        <v>4325.9640102827761</v>
      </c>
      <c r="C79" s="14">
        <f>(T79/(1-'Prices&amp;Fuel'!F79))-D79-E79-F79-G79-B79</f>
        <v>0</v>
      </c>
      <c r="D79" s="14">
        <f>ROUND(IF(T79/(1-'Prices&amp;Fuel'!F79)-E79-F79-G79-B79&gt;'Prices&amp;Fuel'!T79,'Prices&amp;Fuel'!T79,T79/(1-'Prices&amp;Fuel'!F79)-E79-F79-G79-B79),9)</f>
        <v>0</v>
      </c>
      <c r="E79" s="14">
        <f>'Prices&amp;Fuel'!U79/(1-'Prices&amp;Fuel'!F79)</f>
        <v>2635.4755784061695</v>
      </c>
      <c r="F79" s="14">
        <f>('Prices&amp;Fuel'!V79+'Prices&amp;Fuel'!X79)/(1-'Prices&amp;Fuel'!F79)</f>
        <v>3645.2442159383031</v>
      </c>
      <c r="G79" s="14">
        <f>'Prices&amp;Fuel'!W79/(1-'Prices&amp;Fuel'!F79)</f>
        <v>1732.6478149100255</v>
      </c>
      <c r="H79" s="25">
        <f>('Prices&amp;Fuel'!C79+'Prices&amp;Fuel'!D79)/2-0.04+(('Prices&amp;Fuel'!M79+'Prices&amp;Fuel'!P79)*(1-'Prices&amp;Fuel'!F79))</f>
        <v>2.9950757500000007</v>
      </c>
      <c r="I79" s="14">
        <f>IF(FPL!L79=80000,0,B79)</f>
        <v>4325.9640102827761</v>
      </c>
      <c r="J79" s="14"/>
      <c r="K79" s="25">
        <f>(((B79+E79)*('Prices&amp;Fuel'!B79+0.025))+(('Prices&amp;Fuel'!D79+0.025)*(D79+G79))+(('Prices&amp;Fuel'!C79+0.025)*(C79+F79))-(I79+J79)*0.025)/(B79+C79+D79+E79+F79+G79)</f>
        <v>2.2909915833333341</v>
      </c>
      <c r="L79" s="14">
        <f>(B79+C79+D79+E79+F79+G79)*H79*'Prices&amp;Fuel'!H79</f>
        <v>1145674.2200514141</v>
      </c>
      <c r="M79" s="14">
        <f>'Prices&amp;Fuel'!X79*('Prices&amp;Fuel'!N79+'Prices&amp;Fuel'!O79)*'Prices&amp;Fuel'!H79</f>
        <v>8908.4139348759727</v>
      </c>
      <c r="N79" s="14">
        <f>('Prices&amp;Fuel'!U79+'Prices&amp;Fuel'!V79+'Prices&amp;Fuel'!W79)*('Prices&amp;Fuel'!L79+'Prices&amp;Fuel'!O79)*'Prices&amp;Fuel'!H79</f>
        <v>92736.197770085157</v>
      </c>
      <c r="O79" s="14">
        <f>((B79+C79+D79)*(1-'Prices&amp;Fuel'!G79))*('Prices&amp;Fuel'!M79+'Prices&amp;Fuel'!P79)*'Prices&amp;Fuel'!H79</f>
        <v>99834.213499999998</v>
      </c>
      <c r="P79" s="14">
        <f>((B79+C79+D79+E79+F79+G79)/(1-'Prices&amp;Fuel'!F79))*(1-'Prices&amp;Fuel'!F79)*'Prices&amp;Fuel'!H79*0.005</f>
        <v>1912.5964010282776</v>
      </c>
      <c r="Q79" s="14">
        <f>((D79+C79+B79+E79+F79+G79)*K79*'Prices&amp;Fuel'!H79)+M79+N79+O79+P79</f>
        <v>1079739.8730198715</v>
      </c>
      <c r="R79" s="6">
        <f t="shared" si="8"/>
        <v>65934.347031542566</v>
      </c>
      <c r="T79" s="3">
        <f t="shared" ref="T79:T88" si="12">T78</f>
        <v>12000</v>
      </c>
    </row>
    <row r="80" spans="1:20" x14ac:dyDescent="0.2">
      <c r="A80" s="10">
        <f t="shared" si="11"/>
        <v>38030.249999999818</v>
      </c>
      <c r="B80" s="6">
        <f>IF(T80-((E80+F80+G80)*(1-'Prices&amp;Fuel'!F80))&lt;'Prices&amp;Fuel'!R80,(T80-(E80+F80+G80)*(1-'Prices&amp;Fuel'!F80)),'Prices&amp;Fuel'!R80)/(1-'Prices&amp;Fuel'!F80)</f>
        <v>4325.9640102827761</v>
      </c>
      <c r="C80" s="14">
        <f>(T80/(1-'Prices&amp;Fuel'!F80))-D80-E80-F80-G80-B80</f>
        <v>0</v>
      </c>
      <c r="D80" s="14">
        <f>ROUND(IF(T80/(1-'Prices&amp;Fuel'!F80)-E80-F80-G80-B80&gt;'Prices&amp;Fuel'!T80,'Prices&amp;Fuel'!T80,T80/(1-'Prices&amp;Fuel'!F80)-E80-F80-G80-B80),9)</f>
        <v>0</v>
      </c>
      <c r="E80" s="14">
        <f>'Prices&amp;Fuel'!U80/(1-'Prices&amp;Fuel'!F80)</f>
        <v>2635.4755784061695</v>
      </c>
      <c r="F80" s="14">
        <f>('Prices&amp;Fuel'!V80+'Prices&amp;Fuel'!X80)/(1-'Prices&amp;Fuel'!F80)</f>
        <v>3645.2442159383031</v>
      </c>
      <c r="G80" s="14">
        <f>'Prices&amp;Fuel'!W80/(1-'Prices&amp;Fuel'!F80)</f>
        <v>1732.6478149100255</v>
      </c>
      <c r="H80" s="25">
        <f>('Prices&amp;Fuel'!C80+'Prices&amp;Fuel'!D80)/2-0.04+(('Prices&amp;Fuel'!M80+'Prices&amp;Fuel'!P80)*(1-'Prices&amp;Fuel'!F80))</f>
        <v>3.2705027500000003</v>
      </c>
      <c r="I80" s="14">
        <f>IF(FPL!L80=80000,0,B80)</f>
        <v>4325.9640102827761</v>
      </c>
      <c r="J80" s="14"/>
      <c r="K80" s="25">
        <f>(((B80+E80)*('Prices&amp;Fuel'!B80+0.025))+(('Prices&amp;Fuel'!D80+0.025)*(D80+G80))+(('Prices&amp;Fuel'!C80+0.025)*(C80+F80))-(I80+J80)*0.025)/(B80+C80+D80+E80+F80+G80)</f>
        <v>2.5664185833333337</v>
      </c>
      <c r="L80" s="14">
        <f>(B80+C80+D80+E80+F80+G80)*H80*'Prices&amp;Fuel'!H80</f>
        <v>1170318.7218508997</v>
      </c>
      <c r="M80" s="14">
        <f>'Prices&amp;Fuel'!X80*('Prices&amp;Fuel'!N80+'Prices&amp;Fuel'!O80)*'Prices&amp;Fuel'!H80</f>
        <v>8333.6775519807488</v>
      </c>
      <c r="N80" s="14">
        <f>('Prices&amp;Fuel'!U80+'Prices&amp;Fuel'!V80+'Prices&amp;Fuel'!W80)*('Prices&amp;Fuel'!L80+'Prices&amp;Fuel'!O80)*'Prices&amp;Fuel'!H80</f>
        <v>86753.217268789347</v>
      </c>
      <c r="O80" s="14">
        <f>((B80+C80+D80)*(1-'Prices&amp;Fuel'!G80))*('Prices&amp;Fuel'!M80+'Prices&amp;Fuel'!P80)*'Prices&amp;Fuel'!H80</f>
        <v>93393.296499999997</v>
      </c>
      <c r="P80" s="14">
        <f>((B80+C80+D80+E80+F80+G80)/(1-'Prices&amp;Fuel'!F80))*(1-'Prices&amp;Fuel'!F80)*'Prices&amp;Fuel'!H80*0.005</f>
        <v>1789.2030848329046</v>
      </c>
      <c r="Q80" s="14">
        <f>((D80+C80+B80+E80+F80+G80)*K80*'Prices&amp;Fuel'!H80)+M80+N80+O80+P80</f>
        <v>1108638.2036601016</v>
      </c>
      <c r="R80" s="6">
        <f t="shared" si="8"/>
        <v>61680.518190798117</v>
      </c>
      <c r="T80" s="3">
        <f t="shared" si="12"/>
        <v>12000</v>
      </c>
    </row>
    <row r="81" spans="1:20" x14ac:dyDescent="0.2">
      <c r="A81" s="10">
        <f t="shared" si="11"/>
        <v>38060.666666666482</v>
      </c>
      <c r="B81" s="6">
        <f>IF(T81-((E81+F81+G81)*(1-'Prices&amp;Fuel'!F81))&lt;'Prices&amp;Fuel'!R81,(T81-(E81+F81+G81)*(1-'Prices&amp;Fuel'!F81)),'Prices&amp;Fuel'!R81)/(1-'Prices&amp;Fuel'!F81)</f>
        <v>4325.9640102827761</v>
      </c>
      <c r="C81" s="14">
        <f>(T81/(1-'Prices&amp;Fuel'!F81))-D81-E81-F81-G81-B81</f>
        <v>0</v>
      </c>
      <c r="D81" s="14">
        <f>ROUND(IF(T81/(1-'Prices&amp;Fuel'!F81)-E81-F81-G81-B81&gt;'Prices&amp;Fuel'!T81,'Prices&amp;Fuel'!T81,T81/(1-'Prices&amp;Fuel'!F81)-E81-F81-G81-B81),9)</f>
        <v>0</v>
      </c>
      <c r="E81" s="14">
        <f>'Prices&amp;Fuel'!U81/(1-'Prices&amp;Fuel'!F81)</f>
        <v>2635.4755784061695</v>
      </c>
      <c r="F81" s="14">
        <f>('Prices&amp;Fuel'!V81+'Prices&amp;Fuel'!X81)/(1-'Prices&amp;Fuel'!F81)</f>
        <v>3645.2442159383031</v>
      </c>
      <c r="G81" s="14">
        <f>'Prices&amp;Fuel'!W81/(1-'Prices&amp;Fuel'!F81)</f>
        <v>1732.6478149100255</v>
      </c>
      <c r="H81" s="25">
        <f>('Prices&amp;Fuel'!C81+'Prices&amp;Fuel'!D81)/2-0.04+(('Prices&amp;Fuel'!M81+'Prices&amp;Fuel'!P81)*(1-'Prices&amp;Fuel'!F81))</f>
        <v>3.2705027500000003</v>
      </c>
      <c r="I81" s="14">
        <f>IF(FPL!L81=80000,0,B81)</f>
        <v>4325.9640102827761</v>
      </c>
      <c r="J81" s="14"/>
      <c r="K81" s="25">
        <f>(((B81+E81)*('Prices&amp;Fuel'!B81+0.025))+(('Prices&amp;Fuel'!D81+0.025)*(D81+G81))+(('Prices&amp;Fuel'!C81+0.025)*(C81+F81))-(I81+J81)*0.025)/(B81+C81+D81+E81+F81+G81)</f>
        <v>2.5664185833333337</v>
      </c>
      <c r="L81" s="14">
        <f>(B81+C81+D81+E81+F81+G81)*H81*'Prices&amp;Fuel'!H81</f>
        <v>1251030.357840617</v>
      </c>
      <c r="M81" s="14">
        <f>'Prices&amp;Fuel'!X81*('Prices&amp;Fuel'!N81+'Prices&amp;Fuel'!O81)*'Prices&amp;Fuel'!H81</f>
        <v>8908.4139348759727</v>
      </c>
      <c r="N81" s="14">
        <f>('Prices&amp;Fuel'!U81+'Prices&amp;Fuel'!V81+'Prices&amp;Fuel'!W81)*('Prices&amp;Fuel'!L81+'Prices&amp;Fuel'!O81)*'Prices&amp;Fuel'!H81</f>
        <v>92736.197770085157</v>
      </c>
      <c r="O81" s="14">
        <f>((B81+C81+D81)*(1-'Prices&amp;Fuel'!G81))*('Prices&amp;Fuel'!M81+'Prices&amp;Fuel'!P81)*'Prices&amp;Fuel'!H81</f>
        <v>99834.213499999998</v>
      </c>
      <c r="P81" s="14">
        <f>((B81+C81+D81+E81+F81+G81)/(1-'Prices&amp;Fuel'!F81))*(1-'Prices&amp;Fuel'!F81)*'Prices&amp;Fuel'!H81*0.005</f>
        <v>1912.5964010282776</v>
      </c>
      <c r="Q81" s="14">
        <f>((D81+C81+B81+E81+F81+G81)*K81*'Prices&amp;Fuel'!H81)+M81+N81+O81+P81</f>
        <v>1185096.0108090744</v>
      </c>
      <c r="R81" s="6">
        <f t="shared" ref="R81:R112" si="13">L81-Q81</f>
        <v>65934.347031542566</v>
      </c>
      <c r="T81" s="3">
        <f t="shared" si="12"/>
        <v>12000</v>
      </c>
    </row>
    <row r="82" spans="1:20" x14ac:dyDescent="0.2">
      <c r="A82" s="10">
        <f t="shared" si="11"/>
        <v>38091.083333333147</v>
      </c>
      <c r="B82" s="6">
        <f>IF(T82-((E82+F82+G82)*(1-'Prices&amp;Fuel'!F82))&lt;'Prices&amp;Fuel'!R82,(T82-(E82+F82+G82)*(1-'Prices&amp;Fuel'!F82)),'Prices&amp;Fuel'!R82)/(1-'Prices&amp;Fuel'!F82)</f>
        <v>6278.6632390745499</v>
      </c>
      <c r="C82" s="14">
        <f>(T82/(1-'Prices&amp;Fuel'!F82))-D82-E82-F82-G82-B82</f>
        <v>0</v>
      </c>
      <c r="D82" s="14">
        <f>ROUND(IF(T82/(1-'Prices&amp;Fuel'!F82)-E82-F82-G82-B82&gt;'Prices&amp;Fuel'!T82,'Prices&amp;Fuel'!T82,T82/(1-'Prices&amp;Fuel'!F82)-E82-F82-G82-B82),9)</f>
        <v>0</v>
      </c>
      <c r="E82" s="14">
        <f>'Prices&amp;Fuel'!U82/(1-'Prices&amp;Fuel'!F82)</f>
        <v>1933.1619537275064</v>
      </c>
      <c r="F82" s="14">
        <f>('Prices&amp;Fuel'!V82+'Prices&amp;Fuel'!X82)/(1-'Prices&amp;Fuel'!F82)</f>
        <v>2833.9331619537274</v>
      </c>
      <c r="G82" s="14">
        <f>'Prices&amp;Fuel'!W82/(1-'Prices&amp;Fuel'!F82)</f>
        <v>1293.5732647814909</v>
      </c>
      <c r="H82" s="25">
        <f>('Prices&amp;Fuel'!C82+'Prices&amp;Fuel'!D82)/2-0.04+(('Prices&amp;Fuel'!M82+'Prices&amp;Fuel'!P82)*(1-'Prices&amp;Fuel'!F82))</f>
        <v>3.5459297500000009</v>
      </c>
      <c r="I82" s="14">
        <f>IF(FPL!L82=80000,0,B82)</f>
        <v>6278.6632390745499</v>
      </c>
      <c r="J82" s="14"/>
      <c r="K82" s="25">
        <f>(((B82+E82)*('Prices&amp;Fuel'!B82+0.025))+(('Prices&amp;Fuel'!D82+0.025)*(D82+G82))+(('Prices&amp;Fuel'!C82+0.025)*(C82+F82))-(I82+J82)*0.025)/(B82+C82+D82+E82+F82+G82)</f>
        <v>2.8335885000000007</v>
      </c>
      <c r="L82" s="14">
        <f>(B82+C82+D82+E82+F82+G82)*H82*'Prices&amp;Fuel'!H82</f>
        <v>1312632.0925449876</v>
      </c>
      <c r="M82" s="14">
        <f>'Prices&amp;Fuel'!X82*('Prices&amp;Fuel'!N82+'Prices&amp;Fuel'!O82)*'Prices&amp;Fuel'!H82</f>
        <v>8621.0457434283617</v>
      </c>
      <c r="N82" s="14">
        <f>('Prices&amp;Fuel'!U82+'Prices&amp;Fuel'!V82+'Prices&amp;Fuel'!W82)*('Prices&amp;Fuel'!L82+'Prices&amp;Fuel'!O82)*'Prices&amp;Fuel'!H82</f>
        <v>65774.918549055918</v>
      </c>
      <c r="O82" s="14">
        <f>((B82+C82+D82)*(1-'Prices&amp;Fuel'!G82))*('Prices&amp;Fuel'!M82+'Prices&amp;Fuel'!P82)*'Prices&amp;Fuel'!H82</f>
        <v>140224.29</v>
      </c>
      <c r="P82" s="14">
        <f>((B82+C82+D82+E82+F82+G82)/(1-'Prices&amp;Fuel'!F82))*(1-'Prices&amp;Fuel'!F82)*'Prices&amp;Fuel'!H82*0.005</f>
        <v>1850.8997429305914</v>
      </c>
      <c r="Q82" s="14">
        <f>((D82+C82+B82+E82+F82+G82)*K82*'Prices&amp;Fuel'!H82)+M82+N82+O82+P82</f>
        <v>1265408.7992796311</v>
      </c>
      <c r="R82" s="6">
        <f t="shared" si="13"/>
        <v>47223.293265356449</v>
      </c>
      <c r="T82" s="3">
        <f t="shared" si="12"/>
        <v>12000</v>
      </c>
    </row>
    <row r="83" spans="1:20" x14ac:dyDescent="0.2">
      <c r="A83" s="10">
        <f t="shared" si="11"/>
        <v>38121.499999999811</v>
      </c>
      <c r="B83" s="6">
        <f>IF(T83-((E83+F83+G83)*(1-'Prices&amp;Fuel'!F83))&lt;'Prices&amp;Fuel'!R83,(T83-(E83+F83+G83)*(1-'Prices&amp;Fuel'!F83)),'Prices&amp;Fuel'!R83)/(1-'Prices&amp;Fuel'!F83)</f>
        <v>8976.8637532133671</v>
      </c>
      <c r="C83" s="14">
        <f>(T83/(1-'Prices&amp;Fuel'!F83))-D83-E83-F83-G83-B83</f>
        <v>1.3824319466948509E-10</v>
      </c>
      <c r="D83" s="14">
        <f>ROUND(IF(T83/(1-'Prices&amp;Fuel'!F83)-E83-F83-G83-B83&gt;'Prices&amp;Fuel'!T83,'Prices&amp;Fuel'!T83,T83/(1-'Prices&amp;Fuel'!F83)-E83-F83-G83-B83),9)</f>
        <v>6556.2982005140002</v>
      </c>
      <c r="E83" s="14">
        <f>'Prices&amp;Fuel'!U83/(1-'Prices&amp;Fuel'!F83)</f>
        <v>1933.1619537275064</v>
      </c>
      <c r="F83" s="14">
        <f>('Prices&amp;Fuel'!V83+'Prices&amp;Fuel'!X83)/(1-'Prices&amp;Fuel'!F83)</f>
        <v>3062.2107969151671</v>
      </c>
      <c r="G83" s="14">
        <f>'Prices&amp;Fuel'!W83/(1-'Prices&amp;Fuel'!F83)</f>
        <v>1065.2956298200513</v>
      </c>
      <c r="H83" s="25">
        <f>('Prices&amp;Fuel'!C83+'Prices&amp;Fuel'!D83)/2-0.04+(('Prices&amp;Fuel'!M83+'Prices&amp;Fuel'!P83)*(1-'Prices&amp;Fuel'!F83))</f>
        <v>3.7397487500000008</v>
      </c>
      <c r="I83" s="14">
        <f>IF(FPL!L83=80000,0,B83)</f>
        <v>0</v>
      </c>
      <c r="J83" s="14"/>
      <c r="K83" s="25">
        <f>(((B83+E83)*('Prices&amp;Fuel'!B83+0.025))+(('Prices&amp;Fuel'!D83+0.025)*(D83+G83))+(('Prices&amp;Fuel'!C83+0.025)*(C83+F83))-(I83+J83)*0.025)/(B83+C83+D83+E83+F83+G83)</f>
        <v>3.0373380952380966</v>
      </c>
      <c r="L83" s="14">
        <f>(B83+C83+D83+E83+F83+G83)*H83*'Prices&amp;Fuel'!H83</f>
        <v>2503420.5</v>
      </c>
      <c r="M83" s="14">
        <f>'Prices&amp;Fuel'!X83*('Prices&amp;Fuel'!N83+'Prices&amp;Fuel'!O83)*'Prices&amp;Fuel'!H83</f>
        <v>8908.4139348759727</v>
      </c>
      <c r="N83" s="14">
        <f>('Prices&amp;Fuel'!U83+'Prices&amp;Fuel'!V83+'Prices&amp;Fuel'!W83)*('Prices&amp;Fuel'!L83+'Prices&amp;Fuel'!O83)*'Prices&amp;Fuel'!H83</f>
        <v>67967.415834024447</v>
      </c>
      <c r="O83" s="14">
        <f>((B83+C83+D83)*(1-'Prices&amp;Fuel'!G83))*('Prices&amp;Fuel'!M83+'Prices&amp;Fuel'!P83)*'Prices&amp;Fuel'!H83</f>
        <v>358472.93300000002</v>
      </c>
      <c r="P83" s="14">
        <f>((B83+C83+D83+E83+F83+G83)/(1-'Prices&amp;Fuel'!F83))*(1-'Prices&amp;Fuel'!F83)*'Prices&amp;Fuel'!H83*0.005</f>
        <v>3347.043701799485</v>
      </c>
      <c r="Q83" s="14">
        <f>((D83+C83+B83+E83+F83+G83)*K83*'Prices&amp;Fuel'!H83)+M83+N83+O83+P83</f>
        <v>2471916.4748511636</v>
      </c>
      <c r="R83" s="6">
        <f t="shared" si="13"/>
        <v>31504.02514883643</v>
      </c>
      <c r="T83" s="3">
        <v>21000</v>
      </c>
    </row>
    <row r="84" spans="1:20" x14ac:dyDescent="0.2">
      <c r="A84" s="10">
        <f t="shared" si="11"/>
        <v>38151.916666666475</v>
      </c>
      <c r="B84" s="6">
        <f>IF(T84-((E84+F84+G84)*(1-'Prices&amp;Fuel'!F84))&lt;'Prices&amp;Fuel'!R84,(T84-(E84+F84+G84)*(1-'Prices&amp;Fuel'!F84)),'Prices&amp;Fuel'!R84)/(1-'Prices&amp;Fuel'!F84)</f>
        <v>8976.8637532133671</v>
      </c>
      <c r="C84" s="14">
        <f>(T84/(1-'Prices&amp;Fuel'!F84))-D84-E84-F84-G84-B84</f>
        <v>1.3824319466948509E-10</v>
      </c>
      <c r="D84" s="14">
        <f>ROUND(IF(T84/(1-'Prices&amp;Fuel'!F84)-E84-F84-G84-B84&gt;'Prices&amp;Fuel'!T84,'Prices&amp;Fuel'!T84,T84/(1-'Prices&amp;Fuel'!F84)-E84-F84-G84-B84),9)</f>
        <v>6556.2982005140002</v>
      </c>
      <c r="E84" s="14">
        <f>'Prices&amp;Fuel'!U84/(1-'Prices&amp;Fuel'!F84)</f>
        <v>1933.1619537275064</v>
      </c>
      <c r="F84" s="14">
        <f>('Prices&amp;Fuel'!V84+'Prices&amp;Fuel'!X84)/(1-'Prices&amp;Fuel'!F84)</f>
        <v>3062.2107969151671</v>
      </c>
      <c r="G84" s="14">
        <f>'Prices&amp;Fuel'!W84/(1-'Prices&amp;Fuel'!F84)</f>
        <v>1065.2956298200513</v>
      </c>
      <c r="H84" s="25">
        <f>('Prices&amp;Fuel'!C84+'Prices&amp;Fuel'!D84)/2-0.04+(('Prices&amp;Fuel'!M84+'Prices&amp;Fuel'!P84)*(1-'Prices&amp;Fuel'!F84))</f>
        <v>5.076079749999999</v>
      </c>
      <c r="I84" s="14">
        <f>IF(FPL!L84=80000,0,B84)</f>
        <v>0</v>
      </c>
      <c r="J84" s="14"/>
      <c r="K84" s="25">
        <f>(((B84+E84)*('Prices&amp;Fuel'!B84+0.025))+(('Prices&amp;Fuel'!D84+0.025)*(D84+G84))+(('Prices&amp;Fuel'!C84+0.025)*(C84+F84))-(I84+J84)*0.025)/(B84+C84+D84+E84+F84+G84)</f>
        <v>4.3736690952380961</v>
      </c>
      <c r="L84" s="14">
        <f>(B84+C84+D84+E84+F84+G84)*H84*'Prices&amp;Fuel'!H84</f>
        <v>3288360.1465295618</v>
      </c>
      <c r="M84" s="14">
        <f>'Prices&amp;Fuel'!X84*('Prices&amp;Fuel'!N84+'Prices&amp;Fuel'!O84)*'Prices&amp;Fuel'!H84</f>
        <v>8621.0457434283617</v>
      </c>
      <c r="N84" s="14">
        <f>('Prices&amp;Fuel'!U84+'Prices&amp;Fuel'!V84+'Prices&amp;Fuel'!W84)*('Prices&amp;Fuel'!L84+'Prices&amp;Fuel'!O84)*'Prices&amp;Fuel'!H84</f>
        <v>65774.918549055918</v>
      </c>
      <c r="O84" s="14">
        <f>((B84+C84+D84)*(1-'Prices&amp;Fuel'!G84))*('Prices&amp;Fuel'!M84+'Prices&amp;Fuel'!P84)*'Prices&amp;Fuel'!H84</f>
        <v>346909.29</v>
      </c>
      <c r="P84" s="14">
        <f>((B84+C84+D84+E84+F84+G84)/(1-'Prices&amp;Fuel'!F84))*(1-'Prices&amp;Fuel'!F84)*'Prices&amp;Fuel'!H84*0.005</f>
        <v>3239.0745501285346</v>
      </c>
      <c r="Q84" s="14">
        <f>((D84+C84+B84+E84+F84+G84)*K84*'Prices&amp;Fuel'!H84)+M84+N84+O84+P84</f>
        <v>3257872.3802564945</v>
      </c>
      <c r="R84" s="6">
        <f t="shared" si="13"/>
        <v>30487.766273067333</v>
      </c>
      <c r="T84" s="3">
        <f t="shared" si="12"/>
        <v>21000</v>
      </c>
    </row>
    <row r="85" spans="1:20" x14ac:dyDescent="0.2">
      <c r="A85" s="10">
        <f t="shared" si="11"/>
        <v>38182.333333333139</v>
      </c>
      <c r="B85" s="6">
        <f>IF(T85-((E85+F85+G85)*(1-'Prices&amp;Fuel'!F85))&lt;'Prices&amp;Fuel'!R85,(T85-(E85+F85+G85)*(1-'Prices&amp;Fuel'!F85)),'Prices&amp;Fuel'!R85)/(1-'Prices&amp;Fuel'!F85)</f>
        <v>8976.8637532133671</v>
      </c>
      <c r="C85" s="14">
        <f>(T85/(1-'Prices&amp;Fuel'!F85))-D85-E85-F85-G85-B85</f>
        <v>1.3824319466948509E-10</v>
      </c>
      <c r="D85" s="14">
        <f>ROUND(IF(T85/(1-'Prices&amp;Fuel'!F85)-E85-F85-G85-B85&gt;'Prices&amp;Fuel'!T85,'Prices&amp;Fuel'!T85,T85/(1-'Prices&amp;Fuel'!F85)-E85-F85-G85-B85),9)</f>
        <v>6556.2982005140002</v>
      </c>
      <c r="E85" s="14">
        <f>'Prices&amp;Fuel'!U85/(1-'Prices&amp;Fuel'!F85)</f>
        <v>1933.1619537275064</v>
      </c>
      <c r="F85" s="14">
        <f>('Prices&amp;Fuel'!V85+'Prices&amp;Fuel'!X85)/(1-'Prices&amp;Fuel'!F85)</f>
        <v>3062.2107969151671</v>
      </c>
      <c r="G85" s="14">
        <f>'Prices&amp;Fuel'!W85/(1-'Prices&amp;Fuel'!F85)</f>
        <v>1065.2956298200513</v>
      </c>
      <c r="H85" s="25">
        <f>('Prices&amp;Fuel'!C85+'Prices&amp;Fuel'!D85)/2-0.04+(('Prices&amp;Fuel'!M85+'Prices&amp;Fuel'!P85)*(1-'Prices&amp;Fuel'!F85))</f>
        <v>5.0658787500000004</v>
      </c>
      <c r="I85" s="14">
        <f>IF(FPL!L85=80000,0,B85)</f>
        <v>0</v>
      </c>
      <c r="J85" s="14"/>
      <c r="K85" s="25">
        <f>(((B85+E85)*('Prices&amp;Fuel'!B85+0.025))+(('Prices&amp;Fuel'!D85+0.025)*(D85+G85))+(('Prices&amp;Fuel'!C85+0.025)*(C85+F85))-(I85+J85)*0.025)/(B85+C85+D85+E85+F85+G85)</f>
        <v>4.3634680952380958</v>
      </c>
      <c r="L85" s="14">
        <f>(B85+C85+D85+E85+F85+G85)*H85*'Prices&amp;Fuel'!H85</f>
        <v>3391143.5128534706</v>
      </c>
      <c r="M85" s="14">
        <f>'Prices&amp;Fuel'!X85*('Prices&amp;Fuel'!N85+'Prices&amp;Fuel'!O85)*'Prices&amp;Fuel'!H85</f>
        <v>8908.4139348759727</v>
      </c>
      <c r="N85" s="14">
        <f>('Prices&amp;Fuel'!U85+'Prices&amp;Fuel'!V85+'Prices&amp;Fuel'!W85)*('Prices&amp;Fuel'!L85+'Prices&amp;Fuel'!O85)*'Prices&amp;Fuel'!H85</f>
        <v>67967.415834024447</v>
      </c>
      <c r="O85" s="14">
        <f>((B85+C85+D85)*(1-'Prices&amp;Fuel'!G85))*('Prices&amp;Fuel'!M85+'Prices&amp;Fuel'!P85)*'Prices&amp;Fuel'!H85</f>
        <v>358472.93300000002</v>
      </c>
      <c r="P85" s="14">
        <f>((B85+C85+D85+E85+F85+G85)/(1-'Prices&amp;Fuel'!F85))*(1-'Prices&amp;Fuel'!F85)*'Prices&amp;Fuel'!H85*0.005</f>
        <v>3347.043701799485</v>
      </c>
      <c r="Q85" s="14">
        <f>((D85+C85+B85+E85+F85+G85)*K85*'Prices&amp;Fuel'!H85)+M85+N85+O85+P85</f>
        <v>3359639.4877046333</v>
      </c>
      <c r="R85" s="6">
        <f t="shared" si="13"/>
        <v>31504.025148837361</v>
      </c>
      <c r="T85" s="3">
        <f t="shared" si="12"/>
        <v>21000</v>
      </c>
    </row>
    <row r="86" spans="1:20" x14ac:dyDescent="0.2">
      <c r="A86" s="10">
        <f t="shared" si="11"/>
        <v>38212.749999999804</v>
      </c>
      <c r="B86" s="6">
        <f>IF(T86-((E86+F86+G86)*(1-'Prices&amp;Fuel'!F86))&lt;'Prices&amp;Fuel'!R86,(T86-(E86+F86+G86)*(1-'Prices&amp;Fuel'!F86)),'Prices&amp;Fuel'!R86)/(1-'Prices&amp;Fuel'!F86)</f>
        <v>8976.8637532133671</v>
      </c>
      <c r="C86" s="14">
        <f>(T86/(1-'Prices&amp;Fuel'!F86))-D86-E86-F86-G86-B86</f>
        <v>1.3824319466948509E-10</v>
      </c>
      <c r="D86" s="14">
        <f>ROUND(IF(T86/(1-'Prices&amp;Fuel'!F86)-E86-F86-G86-B86&gt;'Prices&amp;Fuel'!T86,'Prices&amp;Fuel'!T86,T86/(1-'Prices&amp;Fuel'!F86)-E86-F86-G86-B86),9)</f>
        <v>6556.2982005140002</v>
      </c>
      <c r="E86" s="14">
        <f>'Prices&amp;Fuel'!U86/(1-'Prices&amp;Fuel'!F86)</f>
        <v>1933.1619537275064</v>
      </c>
      <c r="F86" s="14">
        <f>('Prices&amp;Fuel'!V86+'Prices&amp;Fuel'!X86)/(1-'Prices&amp;Fuel'!F86)</f>
        <v>3062.2107969151671</v>
      </c>
      <c r="G86" s="14">
        <f>'Prices&amp;Fuel'!W86/(1-'Prices&amp;Fuel'!F86)</f>
        <v>1065.2956298200513</v>
      </c>
      <c r="H86" s="25">
        <f>('Prices&amp;Fuel'!C86+'Prices&amp;Fuel'!D86)/2-0.04+(('Prices&amp;Fuel'!M86+'Prices&amp;Fuel'!P86)*(1-'Prices&amp;Fuel'!F86))</f>
        <v>4.5150247500000003</v>
      </c>
      <c r="I86" s="14">
        <f>IF(FPL!L86=80000,0,B86)</f>
        <v>0</v>
      </c>
      <c r="J86" s="14"/>
      <c r="K86" s="25">
        <f>(((B86+E86)*('Prices&amp;Fuel'!B86+0.025))+(('Prices&amp;Fuel'!D86+0.025)*(D86+G86))+(('Prices&amp;Fuel'!C86+0.025)*(C86+F86))-(I86+J86)*0.025)/(B86+C86+D86+E86+F86+G86)</f>
        <v>3.812614095238096</v>
      </c>
      <c r="L86" s="14">
        <f>(B86+C86+D86+E86+F86+G86)*H86*'Prices&amp;Fuel'!H86</f>
        <v>3022397.0305912592</v>
      </c>
      <c r="M86" s="14">
        <f>'Prices&amp;Fuel'!X86*('Prices&amp;Fuel'!N86+'Prices&amp;Fuel'!O86)*'Prices&amp;Fuel'!H86</f>
        <v>8908.4139348759727</v>
      </c>
      <c r="N86" s="14">
        <f>('Prices&amp;Fuel'!U86+'Prices&amp;Fuel'!V86+'Prices&amp;Fuel'!W86)*('Prices&amp;Fuel'!L86+'Prices&amp;Fuel'!O86)*'Prices&amp;Fuel'!H86</f>
        <v>67967.415834024447</v>
      </c>
      <c r="O86" s="14">
        <f>((B86+C86+D86)*(1-'Prices&amp;Fuel'!G86))*('Prices&amp;Fuel'!M86+'Prices&amp;Fuel'!P86)*'Prices&amp;Fuel'!H86</f>
        <v>358472.93300000002</v>
      </c>
      <c r="P86" s="14">
        <f>((B86+C86+D86+E86+F86+G86)/(1-'Prices&amp;Fuel'!F86))*(1-'Prices&amp;Fuel'!F86)*'Prices&amp;Fuel'!H86*0.005</f>
        <v>3347.043701799485</v>
      </c>
      <c r="Q86" s="14">
        <f>((D86+C86+B86+E86+F86+G86)*K86*'Prices&amp;Fuel'!H86)+M86+N86+O86+P86</f>
        <v>2990893.0054424223</v>
      </c>
      <c r="R86" s="6">
        <f t="shared" si="13"/>
        <v>31504.025148836896</v>
      </c>
      <c r="T86" s="3">
        <f t="shared" si="12"/>
        <v>21000</v>
      </c>
    </row>
    <row r="87" spans="1:20" x14ac:dyDescent="0.2">
      <c r="A87" s="10">
        <f t="shared" si="11"/>
        <v>38243.166666666468</v>
      </c>
      <c r="B87" s="6">
        <f>IF(T87-((E87+F87+G87)*(1-'Prices&amp;Fuel'!F87))&lt;'Prices&amp;Fuel'!R87,(T87-(E87+F87+G87)*(1-'Prices&amp;Fuel'!F87)),'Prices&amp;Fuel'!R87)/(1-'Prices&amp;Fuel'!F87)</f>
        <v>8976.8637532133671</v>
      </c>
      <c r="C87" s="14">
        <f>(T87/(1-'Prices&amp;Fuel'!F87))-D87-E87-F87-G87-B87</f>
        <v>1.3824319466948509E-10</v>
      </c>
      <c r="D87" s="14">
        <f>ROUND(IF(T87/(1-'Prices&amp;Fuel'!F87)-E87-F87-G87-B87&gt;'Prices&amp;Fuel'!T87,'Prices&amp;Fuel'!T87,T87/(1-'Prices&amp;Fuel'!F87)-E87-F87-G87-B87),9)</f>
        <v>6556.2982005140002</v>
      </c>
      <c r="E87" s="14">
        <f>'Prices&amp;Fuel'!U87/(1-'Prices&amp;Fuel'!F87)</f>
        <v>1933.1619537275064</v>
      </c>
      <c r="F87" s="14">
        <f>('Prices&amp;Fuel'!V87+'Prices&amp;Fuel'!X87)/(1-'Prices&amp;Fuel'!F87)</f>
        <v>3062.2107969151671</v>
      </c>
      <c r="G87" s="14">
        <f>'Prices&amp;Fuel'!W87/(1-'Prices&amp;Fuel'!F87)</f>
        <v>1065.2956298200513</v>
      </c>
      <c r="H87" s="25">
        <f>('Prices&amp;Fuel'!C87+'Prices&amp;Fuel'!D87)/2-0.04+(('Prices&amp;Fuel'!M87+'Prices&amp;Fuel'!P87)*(1-'Prices&amp;Fuel'!F87))</f>
        <v>5.3005017500000013</v>
      </c>
      <c r="I87" s="14">
        <f>IF(FPL!L87=80000,0,B87)</f>
        <v>0</v>
      </c>
      <c r="J87" s="14"/>
      <c r="K87" s="25">
        <f>(((B87+E87)*('Prices&amp;Fuel'!B87+0.025))+(('Prices&amp;Fuel'!D87+0.025)*(D87+G87))+(('Prices&amp;Fuel'!C87+0.025)*(C87+F87))-(I87+J87)*0.025)/(B87+C87+D87+E87+F87+G87)</f>
        <v>4.5980910952380967</v>
      </c>
      <c r="L87" s="14">
        <f>(B87+C87+D87+E87+F87+G87)*H87*'Prices&amp;Fuel'!H87</f>
        <v>3433744.0642673522</v>
      </c>
      <c r="M87" s="14">
        <f>'Prices&amp;Fuel'!X87*('Prices&amp;Fuel'!N87+'Prices&amp;Fuel'!O87)*'Prices&amp;Fuel'!H87</f>
        <v>8621.0457434283617</v>
      </c>
      <c r="N87" s="14">
        <f>('Prices&amp;Fuel'!U87+'Prices&amp;Fuel'!V87+'Prices&amp;Fuel'!W87)*('Prices&amp;Fuel'!L87+'Prices&amp;Fuel'!O87)*'Prices&amp;Fuel'!H87</f>
        <v>65774.918549055918</v>
      </c>
      <c r="O87" s="14">
        <f>((B87+C87+D87)*(1-'Prices&amp;Fuel'!G87))*('Prices&amp;Fuel'!M87+'Prices&amp;Fuel'!P87)*'Prices&amp;Fuel'!H87</f>
        <v>346909.29</v>
      </c>
      <c r="P87" s="14">
        <f>((B87+C87+D87+E87+F87+G87)/(1-'Prices&amp;Fuel'!F87))*(1-'Prices&amp;Fuel'!F87)*'Prices&amp;Fuel'!H87*0.005</f>
        <v>3239.0745501285346</v>
      </c>
      <c r="Q87" s="14">
        <f>((D87+C87+B87+E87+F87+G87)*K87*'Prices&amp;Fuel'!H87)+M87+N87+O87+P87</f>
        <v>3403256.297994284</v>
      </c>
      <c r="R87" s="6">
        <f t="shared" si="13"/>
        <v>30487.766273068264</v>
      </c>
      <c r="T87" s="3">
        <f t="shared" si="12"/>
        <v>21000</v>
      </c>
    </row>
    <row r="88" spans="1:20" x14ac:dyDescent="0.2">
      <c r="A88" s="10">
        <f t="shared" si="11"/>
        <v>38273.583333333132</v>
      </c>
      <c r="B88" s="6">
        <f>IF(T88-((E88+F88+G88)*(1-'Prices&amp;Fuel'!F88))&lt;'Prices&amp;Fuel'!R88,(T88-(E88+F88+G88)*(1-'Prices&amp;Fuel'!F88)),'Prices&amp;Fuel'!R88)/(1-'Prices&amp;Fuel'!F88)</f>
        <v>8976.8637532133671</v>
      </c>
      <c r="C88" s="14">
        <f>(T88/(1-'Prices&amp;Fuel'!F88))-D88-E88-F88-G88-B88</f>
        <v>2.0190782379359007E-10</v>
      </c>
      <c r="D88" s="14">
        <f>ROUND(IF(T88/(1-'Prices&amp;Fuel'!F88)-E88-F88-G88-B88&gt;'Prices&amp;Fuel'!T88,'Prices&amp;Fuel'!T88,T88/(1-'Prices&amp;Fuel'!F88)-E88-F88-G88-B88),9)</f>
        <v>3514.6529562979999</v>
      </c>
      <c r="E88" s="14">
        <f>'Prices&amp;Fuel'!U88/(1-'Prices&amp;Fuel'!F88)</f>
        <v>2910.025706940874</v>
      </c>
      <c r="F88" s="14">
        <f>('Prices&amp;Fuel'!V88+'Prices&amp;Fuel'!X88)/(1-'Prices&amp;Fuel'!F88)</f>
        <v>4628.2776349614396</v>
      </c>
      <c r="G88" s="14">
        <f>'Prices&amp;Fuel'!W88/(1-'Prices&amp;Fuel'!F88)</f>
        <v>1564.0102827763496</v>
      </c>
      <c r="H88" s="25">
        <f>('Prices&amp;Fuel'!C88+'Prices&amp;Fuel'!D88)/2-0.04+(('Prices&amp;Fuel'!M88+'Prices&amp;Fuel'!P88)*(1-'Prices&amp;Fuel'!F88))</f>
        <v>5.9941697500000002</v>
      </c>
      <c r="I88" s="14">
        <f>IF(FPL!L88=80000,0,B88)</f>
        <v>8976.8637532133671</v>
      </c>
      <c r="J88" s="14"/>
      <c r="K88" s="25">
        <f>(((B88+E88)*('Prices&amp;Fuel'!B88+0.025))+(('Prices&amp;Fuel'!D88+0.025)*(D88+G88))+(('Prices&amp;Fuel'!C88+0.025)*(C88+F88))-(I88+J88)*0.025)/(B88+C88+D88+E88+F88+G88)</f>
        <v>5.2845400476190498</v>
      </c>
      <c r="L88" s="14">
        <f>(B88+C88+D88+E88+F88+G88)*H88*'Prices&amp;Fuel'!H88</f>
        <v>4012549.6218508999</v>
      </c>
      <c r="M88" s="14">
        <f>'Prices&amp;Fuel'!X88*('Prices&amp;Fuel'!N88+'Prices&amp;Fuel'!O88)*'Prices&amp;Fuel'!H88</f>
        <v>13056.108856238432</v>
      </c>
      <c r="N88" s="14">
        <f>('Prices&amp;Fuel'!U88+'Prices&amp;Fuel'!V88+'Prices&amp;Fuel'!W88)*('Prices&amp;Fuel'!L88+'Prices&amp;Fuel'!O88)*'Prices&amp;Fuel'!H88</f>
        <v>102401.10952080712</v>
      </c>
      <c r="O88" s="14">
        <f>((B88+C88+D88)*(1-'Prices&amp;Fuel'!G88))*('Prices&amp;Fuel'!M88+'Prices&amp;Fuel'!P88)*'Prices&amp;Fuel'!H88</f>
        <v>288278.114</v>
      </c>
      <c r="P88" s="14">
        <f>((B88+C88+D88+E88+F88+G88)/(1-'Prices&amp;Fuel'!F88))*(1-'Prices&amp;Fuel'!F88)*'Prices&amp;Fuel'!H88*0.005</f>
        <v>3347.0437017994859</v>
      </c>
      <c r="Q88" s="14">
        <f>((D88+C88+B88+E88+F88+G88)*K88*'Prices&amp;Fuel'!H88)+M88+N88+O88+P88</f>
        <v>3944599.6727369442</v>
      </c>
      <c r="R88" s="6">
        <f t="shared" si="13"/>
        <v>67949.949113955721</v>
      </c>
      <c r="T88" s="3">
        <f t="shared" si="12"/>
        <v>21000</v>
      </c>
    </row>
    <row r="89" spans="1:20" x14ac:dyDescent="0.2">
      <c r="A89" s="10">
        <f t="shared" si="11"/>
        <v>38303.999999999796</v>
      </c>
      <c r="B89" s="6">
        <f>IF(T89-((E89+F89+G89)*(1-'Prices&amp;Fuel'!F89))&lt;'Prices&amp;Fuel'!R89,(T89-(E89+F89+G89)*(1-'Prices&amp;Fuel'!F89)),'Prices&amp;Fuel'!R89)/(1-'Prices&amp;Fuel'!F89)</f>
        <v>4325.9640102827761</v>
      </c>
      <c r="C89" s="14">
        <f>(T89/(1-'Prices&amp;Fuel'!F89))-D89-E89-F89-G89-B89</f>
        <v>0</v>
      </c>
      <c r="D89" s="14">
        <f>ROUND(IF(T89/(1-'Prices&amp;Fuel'!F89)-E89-F89-G89-B89&gt;'Prices&amp;Fuel'!T89,'Prices&amp;Fuel'!T89,T89/(1-'Prices&amp;Fuel'!F89)-E89-F89-G89-B89),9)</f>
        <v>0</v>
      </c>
      <c r="E89" s="14">
        <f>'Prices&amp;Fuel'!U89/(1-'Prices&amp;Fuel'!F89)</f>
        <v>2635.4755784061695</v>
      </c>
      <c r="F89" s="14">
        <f>('Prices&amp;Fuel'!V89+'Prices&amp;Fuel'!X89)/(1-'Prices&amp;Fuel'!F89)</f>
        <v>3645.2442159383031</v>
      </c>
      <c r="G89" s="14">
        <f>'Prices&amp;Fuel'!W89/(1-'Prices&amp;Fuel'!F89)</f>
        <v>1732.6478149100255</v>
      </c>
      <c r="H89" s="25">
        <f>('Prices&amp;Fuel'!C89+'Prices&amp;Fuel'!D89)/2-0.03+(('Prices&amp;Fuel'!M89+'Prices&amp;Fuel'!P89)*(1-'Prices&amp;Fuel'!F89))</f>
        <v>4.2393967500000009</v>
      </c>
      <c r="I89" s="14">
        <f>IF(FPL!L89=80000,0,B89)</f>
        <v>4325.9640102827761</v>
      </c>
      <c r="J89" s="14"/>
      <c r="K89" s="25">
        <f>(((B89+E89)*('Prices&amp;Fuel'!B89+0.025))+(('Prices&amp;Fuel'!D89+0.025)*(D89+G89))+(('Prices&amp;Fuel'!C89+0.025)*(C89+F89))-(I89+J89)*0.025)/(B89+C89+D89+E89+F89+G89)</f>
        <v>3.5253125833333336</v>
      </c>
      <c r="L89" s="14">
        <f>(B89+C89+D89+E89+F89+G89)*H89*'Prices&amp;Fuel'!H89</f>
        <v>1569339.6709511569</v>
      </c>
      <c r="M89" s="14">
        <f>'Prices&amp;Fuel'!X89*('Prices&amp;Fuel'!N89+'Prices&amp;Fuel'!O89)*'Prices&amp;Fuel'!H89</f>
        <v>8621.0457434283617</v>
      </c>
      <c r="N89" s="14">
        <f>('Prices&amp;Fuel'!U89+'Prices&amp;Fuel'!V89+'Prices&amp;Fuel'!W89)*('Prices&amp;Fuel'!L89+'Prices&amp;Fuel'!O89)*'Prices&amp;Fuel'!H89</f>
        <v>89744.707519437245</v>
      </c>
      <c r="O89" s="14">
        <f>((B89+C89+D89)*(1-'Prices&amp;Fuel'!G89))*('Prices&amp;Fuel'!M89+'Prices&amp;Fuel'!P89)*'Prices&amp;Fuel'!H89</f>
        <v>96613.75499999999</v>
      </c>
      <c r="P89" s="14">
        <f>((B89+C89+D89+E89+F89+G89)/(1-'Prices&amp;Fuel'!F89))*(1-'Prices&amp;Fuel'!F89)*'Prices&amp;Fuel'!H89*0.005</f>
        <v>1850.8997429305912</v>
      </c>
      <c r="Q89" s="14">
        <f>((D89+C89+B89+E89+F89+G89)*K89*'Prices&amp;Fuel'!H89)+M89+N89+O89+P89</f>
        <v>1501830.4388541251</v>
      </c>
      <c r="R89" s="6">
        <f t="shared" si="13"/>
        <v>67509.232097031781</v>
      </c>
      <c r="T89" s="3">
        <v>12000</v>
      </c>
    </row>
    <row r="90" spans="1:20" x14ac:dyDescent="0.2">
      <c r="A90" s="10">
        <f t="shared" si="11"/>
        <v>38334.416666666461</v>
      </c>
      <c r="B90" s="6">
        <f>IF(T90-((E90+F90+G90)*(1-'Prices&amp;Fuel'!F90))&lt;'Prices&amp;Fuel'!R90,(T90-(E90+F90+G90)*(1-'Prices&amp;Fuel'!F90)),'Prices&amp;Fuel'!R90)/(1-'Prices&amp;Fuel'!F90)</f>
        <v>4325.9640102827761</v>
      </c>
      <c r="C90" s="14">
        <f>(T90/(1-'Prices&amp;Fuel'!F90))-D90-E90-F90-G90-B90</f>
        <v>0</v>
      </c>
      <c r="D90" s="14">
        <f>ROUND(IF(T90/(1-'Prices&amp;Fuel'!F90)-E90-F90-G90-B90&gt;'Prices&amp;Fuel'!T90,'Prices&amp;Fuel'!T90,T90/(1-'Prices&amp;Fuel'!F90)-E90-F90-G90-B90),9)</f>
        <v>0</v>
      </c>
      <c r="E90" s="14">
        <f>'Prices&amp;Fuel'!U90/(1-'Prices&amp;Fuel'!F90)</f>
        <v>2635.4755784061695</v>
      </c>
      <c r="F90" s="14">
        <f>('Prices&amp;Fuel'!V90+'Prices&amp;Fuel'!X90)/(1-'Prices&amp;Fuel'!F90)</f>
        <v>3645.2442159383031</v>
      </c>
      <c r="G90" s="14">
        <f>'Prices&amp;Fuel'!W90/(1-'Prices&amp;Fuel'!F90)</f>
        <v>1732.6478149100255</v>
      </c>
      <c r="H90" s="25">
        <f>('Prices&amp;Fuel'!C90+'Prices&amp;Fuel'!D90)/2-0.03+(('Prices&amp;Fuel'!M90+'Prices&amp;Fuel'!P90)*(1-'Prices&amp;Fuel'!F90))</f>
        <v>3.3417087500000013</v>
      </c>
      <c r="I90" s="14">
        <f>IF(FPL!L90=80000,0,B90)</f>
        <v>4325.9640102827761</v>
      </c>
      <c r="J90" s="14"/>
      <c r="K90" s="25">
        <f>(((B90+E90)*('Prices&amp;Fuel'!B90+0.025))+(('Prices&amp;Fuel'!D90+0.025)*(D90+G90))+(('Prices&amp;Fuel'!C90+0.025)*(C90+F90))-(I90+J90)*0.025)/(B90+C90+D90+E90+F90+G90)</f>
        <v>2.627624583333334</v>
      </c>
      <c r="L90" s="14">
        <f>(B90+C90+D90+E90+F90+G90)*H90*'Prices&amp;Fuel'!H90</f>
        <v>1278268.0257069413</v>
      </c>
      <c r="M90" s="14">
        <f>'Prices&amp;Fuel'!X90*('Prices&amp;Fuel'!N90+'Prices&amp;Fuel'!O90)*'Prices&amp;Fuel'!H90</f>
        <v>8908.4139348759727</v>
      </c>
      <c r="N90" s="14">
        <f>('Prices&amp;Fuel'!U90+'Prices&amp;Fuel'!V90+'Prices&amp;Fuel'!W90)*('Prices&amp;Fuel'!L90+'Prices&amp;Fuel'!O90)*'Prices&amp;Fuel'!H90</f>
        <v>92736.197770085157</v>
      </c>
      <c r="O90" s="14">
        <f>((B90+C90+D90)*(1-'Prices&amp;Fuel'!G90))*('Prices&amp;Fuel'!M90+'Prices&amp;Fuel'!P90)*'Prices&amp;Fuel'!H90</f>
        <v>99834.213499999998</v>
      </c>
      <c r="P90" s="14">
        <f>((B90+C90+D90+E90+F90+G90)/(1-'Prices&amp;Fuel'!F90))*(1-'Prices&amp;Fuel'!F90)*'Prices&amp;Fuel'!H90*0.005</f>
        <v>1912.5964010282776</v>
      </c>
      <c r="Q90" s="14">
        <f>((D90+C90+B90+E90+F90+G90)*K90*'Prices&amp;Fuel'!H90)+M90+N90+O90+P90</f>
        <v>1208508.4858733418</v>
      </c>
      <c r="R90" s="6">
        <f t="shared" si="13"/>
        <v>69759.539833599469</v>
      </c>
      <c r="T90" s="3">
        <f>T89</f>
        <v>12000</v>
      </c>
    </row>
    <row r="91" spans="1:20" x14ac:dyDescent="0.2">
      <c r="A91" s="10">
        <f t="shared" si="11"/>
        <v>38364.833333333125</v>
      </c>
      <c r="B91" s="6">
        <f>IF(T91-((E91+F91+G91)*(1-'Prices&amp;Fuel'!F91))&lt;'Prices&amp;Fuel'!R91,(T91-(E91+F91+G91)*(1-'Prices&amp;Fuel'!F91)),'Prices&amp;Fuel'!R91)/(1-'Prices&amp;Fuel'!F91)</f>
        <v>4325.9640102827761</v>
      </c>
      <c r="C91" s="14">
        <f>(T91/(1-'Prices&amp;Fuel'!F91))-D91-E91-F91-G91-B91</f>
        <v>0</v>
      </c>
      <c r="D91" s="14">
        <f>ROUND(IF(T91/(1-'Prices&amp;Fuel'!F91)-E91-F91-G91-B91&gt;'Prices&amp;Fuel'!T91,'Prices&amp;Fuel'!T91,T91/(1-'Prices&amp;Fuel'!F91)-E91-F91-G91-B91),9)</f>
        <v>0</v>
      </c>
      <c r="E91" s="14">
        <f>'Prices&amp;Fuel'!U91/(1-'Prices&amp;Fuel'!F91)</f>
        <v>2635.4755784061695</v>
      </c>
      <c r="F91" s="14">
        <f>('Prices&amp;Fuel'!V91+'Prices&amp;Fuel'!X91)/(1-'Prices&amp;Fuel'!F91)</f>
        <v>3645.2442159383031</v>
      </c>
      <c r="G91" s="14">
        <f>'Prices&amp;Fuel'!W91/(1-'Prices&amp;Fuel'!F91)</f>
        <v>1732.6478149100255</v>
      </c>
      <c r="H91" s="25">
        <f>('Prices&amp;Fuel'!C91+'Prices&amp;Fuel'!D91)/2-0.03+(('Prices&amp;Fuel'!M91+'Prices&amp;Fuel'!P91)*(1-'Prices&amp;Fuel'!F91))</f>
        <v>3.0282320200000008</v>
      </c>
      <c r="I91" s="14">
        <f>IF(FPL!L91=80000,0,B91)</f>
        <v>4325.9640102827761</v>
      </c>
      <c r="J91" s="14"/>
      <c r="K91" s="25">
        <f>(((B91+E91)*('Prices&amp;Fuel'!B91+0.025))+(('Prices&amp;Fuel'!D91+0.025)*(D91+G91))+(('Prices&amp;Fuel'!C91+0.025)*(C91+F91))-(I91+J91)*0.025)/(B91+C91+D91+E91+F91+G91)</f>
        <v>2.3141478533333335</v>
      </c>
      <c r="L91" s="14">
        <f>(B91+C91+D91+E91+F91+G91)*H91*'Prices&amp;Fuel'!H91</f>
        <v>1158357.1325861185</v>
      </c>
      <c r="M91" s="14">
        <f>'Prices&amp;Fuel'!X91*('Prices&amp;Fuel'!N91+'Prices&amp;Fuel'!O91)*'Prices&amp;Fuel'!H91</f>
        <v>9438.6404139577935</v>
      </c>
      <c r="N91" s="14">
        <f>('Prices&amp;Fuel'!U91+'Prices&amp;Fuel'!V91+'Prices&amp;Fuel'!W91)*('Prices&amp;Fuel'!L91+'Prices&amp;Fuel'!O91)*'Prices&amp;Fuel'!H91</f>
        <v>98255.832127730479</v>
      </c>
      <c r="O91" s="14">
        <f>((B91+C91+D91)*(1-'Prices&amp;Fuel'!G91))*('Prices&amp;Fuel'!M91+'Prices&amp;Fuel'!P91)*'Prices&amp;Fuel'!H91</f>
        <v>99834.213499999998</v>
      </c>
      <c r="P91" s="14">
        <f>((B91+C91+D91+E91+F91+G91)/(1-'Prices&amp;Fuel'!F91))*(1-'Prices&amp;Fuel'!F91)*'Prices&amp;Fuel'!H91*0.005</f>
        <v>1912.5964010282776</v>
      </c>
      <c r="Q91" s="14">
        <f>((D91+C91+B91+E91+F91+G91)*K91*'Prices&amp;Fuel'!H91)+M91+N91+O91+P91</f>
        <v>1094647.4535892461</v>
      </c>
      <c r="R91" s="6">
        <f t="shared" si="13"/>
        <v>63709.67899687239</v>
      </c>
      <c r="T91" s="3">
        <f t="shared" ref="T91:T100" si="14">T90</f>
        <v>12000</v>
      </c>
    </row>
    <row r="92" spans="1:20" x14ac:dyDescent="0.2">
      <c r="A92" s="10">
        <f t="shared" si="11"/>
        <v>38395.249999999789</v>
      </c>
      <c r="B92" s="6">
        <f>IF(T92-((E92+F92+G92)*(1-'Prices&amp;Fuel'!F92))&lt;'Prices&amp;Fuel'!R92,(T92-(E92+F92+G92)*(1-'Prices&amp;Fuel'!F92)),'Prices&amp;Fuel'!R92)/(1-'Prices&amp;Fuel'!F92)</f>
        <v>4325.9640102827761</v>
      </c>
      <c r="C92" s="14">
        <f>(T92/(1-'Prices&amp;Fuel'!F92))-D92-E92-F92-G92-B92</f>
        <v>0</v>
      </c>
      <c r="D92" s="14">
        <f>ROUND(IF(T92/(1-'Prices&amp;Fuel'!F92)-E92-F92-G92-B92&gt;'Prices&amp;Fuel'!T92,'Prices&amp;Fuel'!T92,T92/(1-'Prices&amp;Fuel'!F92)-E92-F92-G92-B92),9)</f>
        <v>0</v>
      </c>
      <c r="E92" s="14">
        <f>'Prices&amp;Fuel'!U92/(1-'Prices&amp;Fuel'!F92)</f>
        <v>2635.4755784061695</v>
      </c>
      <c r="F92" s="14">
        <f>('Prices&amp;Fuel'!V92+'Prices&amp;Fuel'!X92)/(1-'Prices&amp;Fuel'!F92)</f>
        <v>3645.2442159383031</v>
      </c>
      <c r="G92" s="14">
        <f>'Prices&amp;Fuel'!W92/(1-'Prices&amp;Fuel'!F92)</f>
        <v>1732.6478149100255</v>
      </c>
      <c r="H92" s="25">
        <f>('Prices&amp;Fuel'!C92+'Prices&amp;Fuel'!D92)/2-0.03+(('Prices&amp;Fuel'!M92+'Prices&amp;Fuel'!P92)*(1-'Prices&amp;Fuel'!F92))</f>
        <v>3.3064132900000005</v>
      </c>
      <c r="I92" s="14">
        <f>IF(FPL!L92=80000,0,B92)</f>
        <v>4325.9640102827761</v>
      </c>
      <c r="J92" s="14"/>
      <c r="K92" s="25">
        <f>(((B92+E92)*('Prices&amp;Fuel'!B92+0.025))+(('Prices&amp;Fuel'!D92+0.025)*(D92+G92))+(('Prices&amp;Fuel'!C92+0.025)*(C92+F92))-(I92+J92)*0.025)/(B92+C92+D92+E92+F92+G92)</f>
        <v>2.5923291233333332</v>
      </c>
      <c r="L92" s="14">
        <f>(B92+C92+D92+E92+F92+G92)*H92*'Prices&amp;Fuel'!H92</f>
        <v>1142370.0415835476</v>
      </c>
      <c r="M92" s="14">
        <f>'Prices&amp;Fuel'!X92*('Prices&amp;Fuel'!N92+'Prices&amp;Fuel'!O92)*'Prices&amp;Fuel'!H92</f>
        <v>8525.2235997038133</v>
      </c>
      <c r="N92" s="14">
        <f>('Prices&amp;Fuel'!U92+'Prices&amp;Fuel'!V92+'Prices&amp;Fuel'!W92)*('Prices&amp;Fuel'!L92+'Prices&amp;Fuel'!O92)*'Prices&amp;Fuel'!H92</f>
        <v>88747.203212143664</v>
      </c>
      <c r="O92" s="14">
        <f>((B92+C92+D92)*(1-'Prices&amp;Fuel'!G92))*('Prices&amp;Fuel'!M92+'Prices&amp;Fuel'!P92)*'Prices&amp;Fuel'!H92</f>
        <v>90172.837999999989</v>
      </c>
      <c r="P92" s="14">
        <f>((B92+C92+D92+E92+F92+G92)/(1-'Prices&amp;Fuel'!F92))*(1-'Prices&amp;Fuel'!F92)*'Prices&amp;Fuel'!H92*0.005</f>
        <v>1727.5064267352184</v>
      </c>
      <c r="Q92" s="14">
        <f>((D92+C92+B92+E92+F92+G92)*K92*'Prices&amp;Fuel'!H92)+M92+N92+O92+P92</f>
        <v>1084825.8153928244</v>
      </c>
      <c r="R92" s="6">
        <f t="shared" si="13"/>
        <v>57544.226190723246</v>
      </c>
      <c r="T92" s="3">
        <f t="shared" si="14"/>
        <v>12000</v>
      </c>
    </row>
    <row r="93" spans="1:20" x14ac:dyDescent="0.2">
      <c r="A93" s="10">
        <f t="shared" si="11"/>
        <v>38425.666666666453</v>
      </c>
      <c r="B93" s="6">
        <f>IF(T93-((E93+F93+G93)*(1-'Prices&amp;Fuel'!F93))&lt;'Prices&amp;Fuel'!R93,(T93-(E93+F93+G93)*(1-'Prices&amp;Fuel'!F93)),'Prices&amp;Fuel'!R93)/(1-'Prices&amp;Fuel'!F93)</f>
        <v>4325.9640102827761</v>
      </c>
      <c r="C93" s="14">
        <f>(T93/(1-'Prices&amp;Fuel'!F93))-D93-E93-F93-G93-B93</f>
        <v>0</v>
      </c>
      <c r="D93" s="14">
        <f>ROUND(IF(T93/(1-'Prices&amp;Fuel'!F93)-E93-F93-G93-B93&gt;'Prices&amp;Fuel'!T93,'Prices&amp;Fuel'!T93,T93/(1-'Prices&amp;Fuel'!F93)-E93-F93-G93-B93),9)</f>
        <v>0</v>
      </c>
      <c r="E93" s="14">
        <f>'Prices&amp;Fuel'!U93/(1-'Prices&amp;Fuel'!F93)</f>
        <v>2635.4755784061695</v>
      </c>
      <c r="F93" s="14">
        <f>('Prices&amp;Fuel'!V93+'Prices&amp;Fuel'!X93)/(1-'Prices&amp;Fuel'!F93)</f>
        <v>3645.2442159383031</v>
      </c>
      <c r="G93" s="14">
        <f>'Prices&amp;Fuel'!W93/(1-'Prices&amp;Fuel'!F93)</f>
        <v>1732.6478149100255</v>
      </c>
      <c r="H93" s="25">
        <f>('Prices&amp;Fuel'!C93+'Prices&amp;Fuel'!D93)/2-0.03+(('Prices&amp;Fuel'!M93+'Prices&amp;Fuel'!P93)*(1-'Prices&amp;Fuel'!F93))</f>
        <v>3.3064132900000005</v>
      </c>
      <c r="I93" s="14">
        <f>IF(FPL!L93=80000,0,B93)</f>
        <v>4325.9640102827761</v>
      </c>
      <c r="J93" s="14"/>
      <c r="K93" s="25">
        <f>(((B93+E93)*('Prices&amp;Fuel'!B93+0.025))+(('Prices&amp;Fuel'!D93+0.025)*(D93+G93))+(('Prices&amp;Fuel'!C93+0.025)*(C93+F93))-(I93+J93)*0.025)/(B93+C93+D93+E93+F93+G93)</f>
        <v>2.5923291233333332</v>
      </c>
      <c r="L93" s="14">
        <f>(B93+C93+D93+E93+F93+G93)*H93*'Prices&amp;Fuel'!H93</f>
        <v>1264766.8317532134</v>
      </c>
      <c r="M93" s="14">
        <f>'Prices&amp;Fuel'!X93*('Prices&amp;Fuel'!N93+'Prices&amp;Fuel'!O93)*'Prices&amp;Fuel'!H93</f>
        <v>9438.6404139577935</v>
      </c>
      <c r="N93" s="14">
        <f>('Prices&amp;Fuel'!U93+'Prices&amp;Fuel'!V93+'Prices&amp;Fuel'!W93)*('Prices&amp;Fuel'!L93+'Prices&amp;Fuel'!O93)*'Prices&amp;Fuel'!H93</f>
        <v>98255.832127730479</v>
      </c>
      <c r="O93" s="14">
        <f>((B93+C93+D93)*(1-'Prices&amp;Fuel'!G93))*('Prices&amp;Fuel'!M93+'Prices&amp;Fuel'!P93)*'Prices&amp;Fuel'!H93</f>
        <v>99834.213499999998</v>
      </c>
      <c r="P93" s="14">
        <f>((B93+C93+D93+E93+F93+G93)/(1-'Prices&amp;Fuel'!F93))*(1-'Prices&amp;Fuel'!F93)*'Prices&amp;Fuel'!H93*0.005</f>
        <v>1912.5964010282776</v>
      </c>
      <c r="Q93" s="14">
        <f>((D93+C93+B93+E93+F93+G93)*K93*'Prices&amp;Fuel'!H93)+M93+N93+O93+P93</f>
        <v>1201057.1527563413</v>
      </c>
      <c r="R93" s="6">
        <f t="shared" si="13"/>
        <v>63709.678996872157</v>
      </c>
      <c r="T93" s="3">
        <f t="shared" si="14"/>
        <v>12000</v>
      </c>
    </row>
    <row r="94" spans="1:20" x14ac:dyDescent="0.2">
      <c r="A94" s="10">
        <f t="shared" si="11"/>
        <v>38456.083333333117</v>
      </c>
      <c r="B94" s="6">
        <f>IF(T94-((E94+F94+G94)*(1-'Prices&amp;Fuel'!F94))&lt;'Prices&amp;Fuel'!R94,(T94-(E94+F94+G94)*(1-'Prices&amp;Fuel'!F94)),'Prices&amp;Fuel'!R94)/(1-'Prices&amp;Fuel'!F94)</f>
        <v>6278.6632390745499</v>
      </c>
      <c r="C94" s="14">
        <f>(T94/(1-'Prices&amp;Fuel'!F94))-D94-E94-F94-G94-B94</f>
        <v>0</v>
      </c>
      <c r="D94" s="14">
        <f>ROUND(IF(T94/(1-'Prices&amp;Fuel'!F94)-E94-F94-G94-B94&gt;'Prices&amp;Fuel'!T94,'Prices&amp;Fuel'!T94,T94/(1-'Prices&amp;Fuel'!F94)-E94-F94-G94-B94),9)</f>
        <v>0</v>
      </c>
      <c r="E94" s="14">
        <f>'Prices&amp;Fuel'!U94/(1-'Prices&amp;Fuel'!F94)</f>
        <v>1933.1619537275064</v>
      </c>
      <c r="F94" s="14">
        <f>('Prices&amp;Fuel'!V94+'Prices&amp;Fuel'!X94)/(1-'Prices&amp;Fuel'!F94)</f>
        <v>2833.9331619537274</v>
      </c>
      <c r="G94" s="14">
        <f>'Prices&amp;Fuel'!W94/(1-'Prices&amp;Fuel'!F94)</f>
        <v>1293.5732647814909</v>
      </c>
      <c r="H94" s="25">
        <f>('Prices&amp;Fuel'!C94+'Prices&amp;Fuel'!D94)/2-0.03+(('Prices&amp;Fuel'!M94+'Prices&amp;Fuel'!P94)*(1-'Prices&amp;Fuel'!F94))</f>
        <v>3.5845945600000011</v>
      </c>
      <c r="I94" s="14">
        <f>IF(FPL!L94=80000,0,B94)</f>
        <v>6278.6632390745499</v>
      </c>
      <c r="J94" s="14"/>
      <c r="K94" s="25">
        <f>(((B94+E94)*('Prices&amp;Fuel'!B94+0.025))+(('Prices&amp;Fuel'!D94+0.025)*(D94+G94))+(('Prices&amp;Fuel'!C94+0.025)*(C94+F94))-(I94+J94)*0.025)/(B94+C94+D94+E94+F94+G94)</f>
        <v>2.8622533100000003</v>
      </c>
      <c r="L94" s="14">
        <f>(B94+C94+D94+E94+F94+G94)*H94*'Prices&amp;Fuel'!H94</f>
        <v>1326945.0299228795</v>
      </c>
      <c r="M94" s="14">
        <f>'Prices&amp;Fuel'!X94*('Prices&amp;Fuel'!N94+'Prices&amp;Fuel'!O94)*'Prices&amp;Fuel'!H94</f>
        <v>9134.1681425398001</v>
      </c>
      <c r="N94" s="14">
        <f>('Prices&amp;Fuel'!U94+'Prices&amp;Fuel'!V94+'Prices&amp;Fuel'!W94)*('Prices&amp;Fuel'!L94+'Prices&amp;Fuel'!O94)*'Prices&amp;Fuel'!H94</f>
        <v>69689.82458385783</v>
      </c>
      <c r="O94" s="14">
        <f>((B94+C94+D94)*(1-'Prices&amp;Fuel'!G94))*('Prices&amp;Fuel'!M94+'Prices&amp;Fuel'!P94)*'Prices&amp;Fuel'!H94</f>
        <v>140224.29</v>
      </c>
      <c r="P94" s="14">
        <f>((B94+C94+D94+E94+F94+G94)/(1-'Prices&amp;Fuel'!F94))*(1-'Prices&amp;Fuel'!F94)*'Prices&amp;Fuel'!H94*0.005</f>
        <v>1850.8997429305914</v>
      </c>
      <c r="Q94" s="14">
        <f>((D94+C94+B94+E94+F94+G94)*K94*'Prices&amp;Fuel'!H94)+M94+N94+O94+P94</f>
        <v>1280447.9656055754</v>
      </c>
      <c r="R94" s="6">
        <f t="shared" si="13"/>
        <v>46497.064317304175</v>
      </c>
      <c r="T94" s="3">
        <f t="shared" si="14"/>
        <v>12000</v>
      </c>
    </row>
    <row r="95" spans="1:20" x14ac:dyDescent="0.2">
      <c r="A95" s="10">
        <f t="shared" si="11"/>
        <v>38486.499999999782</v>
      </c>
      <c r="B95" s="6">
        <f>IF(T95-((E95+F95+G95)*(1-'Prices&amp;Fuel'!F95))&lt;'Prices&amp;Fuel'!R95,(T95-(E95+F95+G95)*(1-'Prices&amp;Fuel'!F95)),'Prices&amp;Fuel'!R95)/(1-'Prices&amp;Fuel'!F95)</f>
        <v>8976.8637532133671</v>
      </c>
      <c r="C95" s="14">
        <f>(T95/(1-'Prices&amp;Fuel'!F95))-D95-E95-F95-G95-B95</f>
        <v>1.3824319466948509E-10</v>
      </c>
      <c r="D95" s="14">
        <f>ROUND(IF(T95/(1-'Prices&amp;Fuel'!F95)-E95-F95-G95-B95&gt;'Prices&amp;Fuel'!T95,'Prices&amp;Fuel'!T95,T95/(1-'Prices&amp;Fuel'!F95)-E95-F95-G95-B95),9)</f>
        <v>6556.2982005140002</v>
      </c>
      <c r="E95" s="14">
        <f>'Prices&amp;Fuel'!U95/(1-'Prices&amp;Fuel'!F95)</f>
        <v>1933.1619537275064</v>
      </c>
      <c r="F95" s="14">
        <f>('Prices&amp;Fuel'!V95+'Prices&amp;Fuel'!X95)/(1-'Prices&amp;Fuel'!F95)</f>
        <v>3062.2107969151671</v>
      </c>
      <c r="G95" s="14">
        <f>'Prices&amp;Fuel'!W95/(1-'Prices&amp;Fuel'!F95)</f>
        <v>1065.2956298200513</v>
      </c>
      <c r="H95" s="25">
        <f>('Prices&amp;Fuel'!C95+'Prices&amp;Fuel'!D95)/2-0.03+(('Prices&amp;Fuel'!M95+'Prices&amp;Fuel'!P95)*(1-'Prices&amp;Fuel'!F95))</f>
        <v>3.7803517500000012</v>
      </c>
      <c r="I95" s="14">
        <f>IF(FPL!L95=80000,0,B95)</f>
        <v>0</v>
      </c>
      <c r="J95" s="14"/>
      <c r="K95" s="25">
        <f>(((B95+E95)*('Prices&amp;Fuel'!B95+0.025))+(('Prices&amp;Fuel'!D95+0.025)*(D95+G95))+(('Prices&amp;Fuel'!C95+0.025)*(C95+F95))-(I95+J95)*0.025)/(B95+C95+D95+E95+F95+G95)</f>
        <v>3.0679410952380968</v>
      </c>
      <c r="L95" s="14">
        <f>(B95+C95+D95+E95+F95+G95)*H95*'Prices&amp;Fuel'!H95</f>
        <v>2530600.5030848333</v>
      </c>
      <c r="M95" s="14">
        <f>'Prices&amp;Fuel'!X95*('Prices&amp;Fuel'!N95+'Prices&amp;Fuel'!O95)*'Prices&amp;Fuel'!H95</f>
        <v>9438.6404139577935</v>
      </c>
      <c r="N95" s="14">
        <f>('Prices&amp;Fuel'!U95+'Prices&amp;Fuel'!V95+'Prices&amp;Fuel'!W95)*('Prices&amp;Fuel'!L95+'Prices&amp;Fuel'!O95)*'Prices&amp;Fuel'!H95</f>
        <v>72012.818736653091</v>
      </c>
      <c r="O95" s="14">
        <f>((B95+C95+D95)*(1-'Prices&amp;Fuel'!G95))*('Prices&amp;Fuel'!M95+'Prices&amp;Fuel'!P95)*'Prices&amp;Fuel'!H95</f>
        <v>358472.93300000002</v>
      </c>
      <c r="P95" s="14">
        <f>((B95+C95+D95+E95+F95+G95)/(1-'Prices&amp;Fuel'!F95))*(1-'Prices&amp;Fuel'!F95)*'Prices&amp;Fuel'!H95*0.005</f>
        <v>3347.043701799485</v>
      </c>
      <c r="Q95" s="14">
        <f>((D95+C95+B95+E95+F95+G95)*K95*'Prices&amp;Fuel'!H95)+M95+N95+O95+P95</f>
        <v>2496978.0199141083</v>
      </c>
      <c r="R95" s="6">
        <f t="shared" si="13"/>
        <v>33622.48317072494</v>
      </c>
      <c r="T95" s="3">
        <v>21000</v>
      </c>
    </row>
    <row r="96" spans="1:20" x14ac:dyDescent="0.2">
      <c r="A96" s="10">
        <f t="shared" si="11"/>
        <v>38516.916666666446</v>
      </c>
      <c r="B96" s="6">
        <f>IF(T96-((E96+F96+G96)*(1-'Prices&amp;Fuel'!F96))&lt;'Prices&amp;Fuel'!R96,(T96-(E96+F96+G96)*(1-'Prices&amp;Fuel'!F96)),'Prices&amp;Fuel'!R96)/(1-'Prices&amp;Fuel'!F96)</f>
        <v>8976.8637532133671</v>
      </c>
      <c r="C96" s="14">
        <f>(T96/(1-'Prices&amp;Fuel'!F96))-D96-E96-F96-G96-B96</f>
        <v>1.3824319466948509E-10</v>
      </c>
      <c r="D96" s="14">
        <f>ROUND(IF(T96/(1-'Prices&amp;Fuel'!F96)-E96-F96-G96-B96&gt;'Prices&amp;Fuel'!T96,'Prices&amp;Fuel'!T96,T96/(1-'Prices&amp;Fuel'!F96)-E96-F96-G96-B96),9)</f>
        <v>6556.2982005140002</v>
      </c>
      <c r="E96" s="14">
        <f>'Prices&amp;Fuel'!U96/(1-'Prices&amp;Fuel'!F96)</f>
        <v>1933.1619537275064</v>
      </c>
      <c r="F96" s="14">
        <f>('Prices&amp;Fuel'!V96+'Prices&amp;Fuel'!X96)/(1-'Prices&amp;Fuel'!F96)</f>
        <v>3062.2107969151671</v>
      </c>
      <c r="G96" s="14">
        <f>'Prices&amp;Fuel'!W96/(1-'Prices&amp;Fuel'!F96)</f>
        <v>1065.2956298200513</v>
      </c>
      <c r="H96" s="25">
        <f>('Prices&amp;Fuel'!C96+'Prices&amp;Fuel'!D96)/2-0.03+(('Prices&amp;Fuel'!M96+'Prices&amp;Fuel'!P96)*(1-'Prices&amp;Fuel'!F96))</f>
        <v>5.1300460599999989</v>
      </c>
      <c r="I96" s="14">
        <f>IF(FPL!L96=80000,0,B96)</f>
        <v>0</v>
      </c>
      <c r="J96" s="14"/>
      <c r="K96" s="25">
        <f>(((B96+E96)*('Prices&amp;Fuel'!B96+0.025))+(('Prices&amp;Fuel'!D96+0.025)*(D96+G96))+(('Prices&amp;Fuel'!C96+0.025)*(C96+F96))-(I96+J96)*0.025)/(B96+C96+D96+E96+F96+G96)</f>
        <v>4.4176354052380962</v>
      </c>
      <c r="L96" s="14">
        <f>(B96+C96+D96+E96+F96+G96)*H96*'Prices&amp;Fuel'!H96</f>
        <v>3323320.3267866313</v>
      </c>
      <c r="M96" s="14">
        <f>'Prices&amp;Fuel'!X96*('Prices&amp;Fuel'!N96+'Prices&amp;Fuel'!O96)*'Prices&amp;Fuel'!H96</f>
        <v>9134.1681425398001</v>
      </c>
      <c r="N96" s="14">
        <f>('Prices&amp;Fuel'!U96+'Prices&amp;Fuel'!V96+'Prices&amp;Fuel'!W96)*('Prices&amp;Fuel'!L96+'Prices&amp;Fuel'!O96)*'Prices&amp;Fuel'!H96</f>
        <v>69689.82458385783</v>
      </c>
      <c r="O96" s="14">
        <f>((B96+C96+D96)*(1-'Prices&amp;Fuel'!G96))*('Prices&amp;Fuel'!M96+'Prices&amp;Fuel'!P96)*'Prices&amp;Fuel'!H96</f>
        <v>346909.29</v>
      </c>
      <c r="P96" s="14">
        <f>((B96+C96+D96+E96+F96+G96)/(1-'Prices&amp;Fuel'!F96))*(1-'Prices&amp;Fuel'!F96)*'Prices&amp;Fuel'!H96*0.005</f>
        <v>3239.0745501285346</v>
      </c>
      <c r="Q96" s="14">
        <f>((D96+C96+B96+E96+F96+G96)*K96*'Prices&amp;Fuel'!H96)+M96+N96+O96+P96</f>
        <v>3290782.4398472207</v>
      </c>
      <c r="R96" s="6">
        <f t="shared" si="13"/>
        <v>32537.886939410586</v>
      </c>
      <c r="T96" s="3">
        <f t="shared" si="14"/>
        <v>21000</v>
      </c>
    </row>
    <row r="97" spans="1:20" x14ac:dyDescent="0.2">
      <c r="A97" s="10">
        <f t="shared" si="11"/>
        <v>38547.33333333311</v>
      </c>
      <c r="B97" s="6">
        <f>IF(T97-((E97+F97+G97)*(1-'Prices&amp;Fuel'!F97))&lt;'Prices&amp;Fuel'!R97,(T97-(E97+F97+G97)*(1-'Prices&amp;Fuel'!F97)),'Prices&amp;Fuel'!R97)/(1-'Prices&amp;Fuel'!F97)</f>
        <v>8976.8637532133671</v>
      </c>
      <c r="C97" s="14">
        <f>(T97/(1-'Prices&amp;Fuel'!F97))-D97-E97-F97-G97-B97</f>
        <v>1.3824319466948509E-10</v>
      </c>
      <c r="D97" s="14">
        <f>ROUND(IF(T97/(1-'Prices&amp;Fuel'!F97)-E97-F97-G97-B97&gt;'Prices&amp;Fuel'!T97,'Prices&amp;Fuel'!T97,T97/(1-'Prices&amp;Fuel'!F97)-E97-F97-G97-B97),9)</f>
        <v>6556.2982005140002</v>
      </c>
      <c r="E97" s="14">
        <f>'Prices&amp;Fuel'!U97/(1-'Prices&amp;Fuel'!F97)</f>
        <v>1933.1619537275064</v>
      </c>
      <c r="F97" s="14">
        <f>('Prices&amp;Fuel'!V97+'Prices&amp;Fuel'!X97)/(1-'Prices&amp;Fuel'!F97)</f>
        <v>3062.2107969151671</v>
      </c>
      <c r="G97" s="14">
        <f>'Prices&amp;Fuel'!W97/(1-'Prices&amp;Fuel'!F97)</f>
        <v>1065.2956298200513</v>
      </c>
      <c r="H97" s="25">
        <f>('Prices&amp;Fuel'!C97+'Prices&amp;Fuel'!D97)/2-0.03+(('Prices&amp;Fuel'!M97+'Prices&amp;Fuel'!P97)*(1-'Prices&amp;Fuel'!F97))</f>
        <v>5.1197430499999994</v>
      </c>
      <c r="I97" s="14">
        <f>IF(FPL!L97=80000,0,B97)</f>
        <v>0</v>
      </c>
      <c r="J97" s="14"/>
      <c r="K97" s="25">
        <f>(((B97+E97)*('Prices&amp;Fuel'!B97+0.025))+(('Prices&amp;Fuel'!D97+0.025)*(D97+G97))+(('Prices&amp;Fuel'!C97+0.025)*(C97+F97))-(I97+J97)*0.025)/(B97+C97+D97+E97+F97+G97)</f>
        <v>4.4073323952380967</v>
      </c>
      <c r="L97" s="14">
        <f>(B97+C97+D97+E97+F97+G97)*H97*'Prices&amp;Fuel'!H97</f>
        <v>3427200.7460668371</v>
      </c>
      <c r="M97" s="14">
        <f>'Prices&amp;Fuel'!X97*('Prices&amp;Fuel'!N97+'Prices&amp;Fuel'!O97)*'Prices&amp;Fuel'!H97</f>
        <v>9438.6404139577935</v>
      </c>
      <c r="N97" s="14">
        <f>('Prices&amp;Fuel'!U97+'Prices&amp;Fuel'!V97+'Prices&amp;Fuel'!W97)*('Prices&amp;Fuel'!L97+'Prices&amp;Fuel'!O97)*'Prices&amp;Fuel'!H97</f>
        <v>72012.818736653091</v>
      </c>
      <c r="O97" s="14">
        <f>((B97+C97+D97)*(1-'Prices&amp;Fuel'!G97))*('Prices&amp;Fuel'!M97+'Prices&amp;Fuel'!P97)*'Prices&amp;Fuel'!H97</f>
        <v>358472.93300000002</v>
      </c>
      <c r="P97" s="14">
        <f>((B97+C97+D97+E97+F97+G97)/(1-'Prices&amp;Fuel'!F97))*(1-'Prices&amp;Fuel'!F97)*'Prices&amp;Fuel'!H97*0.005</f>
        <v>3347.043701799485</v>
      </c>
      <c r="Q97" s="14">
        <f>((D97+C97+B97+E97+F97+G97)*K97*'Prices&amp;Fuel'!H97)+M97+N97+O97+P97</f>
        <v>3393578.2628961131</v>
      </c>
      <c r="R97" s="6">
        <f t="shared" si="13"/>
        <v>33622.483170724008</v>
      </c>
      <c r="T97" s="3">
        <f t="shared" si="14"/>
        <v>21000</v>
      </c>
    </row>
    <row r="98" spans="1:20" x14ac:dyDescent="0.2">
      <c r="A98" s="10">
        <f t="shared" si="11"/>
        <v>38577.749999999774</v>
      </c>
      <c r="B98" s="6">
        <f>IF(T98-((E98+F98+G98)*(1-'Prices&amp;Fuel'!F98))&lt;'Prices&amp;Fuel'!R98,(T98-(E98+F98+G98)*(1-'Prices&amp;Fuel'!F98)),'Prices&amp;Fuel'!R98)/(1-'Prices&amp;Fuel'!F98)</f>
        <v>8976.8637532133671</v>
      </c>
      <c r="C98" s="14">
        <f>(T98/(1-'Prices&amp;Fuel'!F98))-D98-E98-F98-G98-B98</f>
        <v>1.3824319466948509E-10</v>
      </c>
      <c r="D98" s="14">
        <f>ROUND(IF(T98/(1-'Prices&amp;Fuel'!F98)-E98-F98-G98-B98&gt;'Prices&amp;Fuel'!T98,'Prices&amp;Fuel'!T98,T98/(1-'Prices&amp;Fuel'!F98)-E98-F98-G98-B98),9)</f>
        <v>6556.2982005140002</v>
      </c>
      <c r="E98" s="14">
        <f>'Prices&amp;Fuel'!U98/(1-'Prices&amp;Fuel'!F98)</f>
        <v>1933.1619537275064</v>
      </c>
      <c r="F98" s="14">
        <f>('Prices&amp;Fuel'!V98+'Prices&amp;Fuel'!X98)/(1-'Prices&amp;Fuel'!F98)</f>
        <v>3062.2107969151671</v>
      </c>
      <c r="G98" s="14">
        <f>'Prices&amp;Fuel'!W98/(1-'Prices&amp;Fuel'!F98)</f>
        <v>1065.2956298200513</v>
      </c>
      <c r="H98" s="25">
        <f>('Prices&amp;Fuel'!C98+'Prices&amp;Fuel'!D98)/2-0.03+(('Prices&amp;Fuel'!M98+'Prices&amp;Fuel'!P98)*(1-'Prices&amp;Fuel'!F98))</f>
        <v>4.56338051</v>
      </c>
      <c r="I98" s="14">
        <f>IF(FPL!L98=80000,0,B98)</f>
        <v>0</v>
      </c>
      <c r="J98" s="14"/>
      <c r="K98" s="25">
        <f>(((B98+E98)*('Prices&amp;Fuel'!B98+0.025))+(('Prices&amp;Fuel'!D98+0.025)*(D98+G98))+(('Prices&amp;Fuel'!C98+0.025)*(C98+F98))-(I98+J98)*0.025)/(B98+C98+D98+E98+F98+G98)</f>
        <v>3.850969855238096</v>
      </c>
      <c r="L98" s="14">
        <f>(B98+C98+D98+E98+F98+G98)*H98*'Prices&amp;Fuel'!H98</f>
        <v>3054766.7989820046</v>
      </c>
      <c r="M98" s="14">
        <f>'Prices&amp;Fuel'!X98*('Prices&amp;Fuel'!N98+'Prices&amp;Fuel'!O98)*'Prices&amp;Fuel'!H98</f>
        <v>9438.6404139577935</v>
      </c>
      <c r="N98" s="14">
        <f>('Prices&amp;Fuel'!U98+'Prices&amp;Fuel'!V98+'Prices&amp;Fuel'!W98)*('Prices&amp;Fuel'!L98+'Prices&amp;Fuel'!O98)*'Prices&amp;Fuel'!H98</f>
        <v>72012.818736653091</v>
      </c>
      <c r="O98" s="14">
        <f>((B98+C98+D98)*(1-'Prices&amp;Fuel'!G98))*('Prices&amp;Fuel'!M98+'Prices&amp;Fuel'!P98)*'Prices&amp;Fuel'!H98</f>
        <v>358472.93300000002</v>
      </c>
      <c r="P98" s="14">
        <f>((B98+C98+D98+E98+F98+G98)/(1-'Prices&amp;Fuel'!F98))*(1-'Prices&amp;Fuel'!F98)*'Prices&amp;Fuel'!H98*0.005</f>
        <v>3347.043701799485</v>
      </c>
      <c r="Q98" s="14">
        <f>((D98+C98+B98+E98+F98+G98)*K98*'Prices&amp;Fuel'!H98)+M98+N98+O98+P98</f>
        <v>3021144.3158112797</v>
      </c>
      <c r="R98" s="6">
        <f t="shared" si="13"/>
        <v>33622.48317072494</v>
      </c>
      <c r="T98" s="3">
        <f t="shared" si="14"/>
        <v>21000</v>
      </c>
    </row>
    <row r="99" spans="1:20" x14ac:dyDescent="0.2">
      <c r="A99" s="10">
        <f t="shared" si="11"/>
        <v>38608.166666666439</v>
      </c>
      <c r="B99" s="6">
        <f>IF(T99-((E99+F99+G99)*(1-'Prices&amp;Fuel'!F99))&lt;'Prices&amp;Fuel'!R99,(T99-(E99+F99+G99)*(1-'Prices&amp;Fuel'!F99)),'Prices&amp;Fuel'!R99)/(1-'Prices&amp;Fuel'!F99)</f>
        <v>8976.8637532133671</v>
      </c>
      <c r="C99" s="14">
        <f>(T99/(1-'Prices&amp;Fuel'!F99))-D99-E99-F99-G99-B99</f>
        <v>1.3824319466948509E-10</v>
      </c>
      <c r="D99" s="14">
        <f>ROUND(IF(T99/(1-'Prices&amp;Fuel'!F99)-E99-F99-G99-B99&gt;'Prices&amp;Fuel'!T99,'Prices&amp;Fuel'!T99,T99/(1-'Prices&amp;Fuel'!F99)-E99-F99-G99-B99),9)</f>
        <v>6556.2982005140002</v>
      </c>
      <c r="E99" s="14">
        <f>'Prices&amp;Fuel'!U99/(1-'Prices&amp;Fuel'!F99)</f>
        <v>1933.1619537275064</v>
      </c>
      <c r="F99" s="14">
        <f>('Prices&amp;Fuel'!V99+'Prices&amp;Fuel'!X99)/(1-'Prices&amp;Fuel'!F99)</f>
        <v>3062.2107969151671</v>
      </c>
      <c r="G99" s="14">
        <f>'Prices&amp;Fuel'!W99/(1-'Prices&amp;Fuel'!F99)</f>
        <v>1065.2956298200513</v>
      </c>
      <c r="H99" s="25">
        <f>('Prices&amp;Fuel'!C99+'Prices&amp;Fuel'!D99)/2-0.03+(('Prices&amp;Fuel'!M99+'Prices&amp;Fuel'!P99)*(1-'Prices&amp;Fuel'!F99))</f>
        <v>5.3567122800000009</v>
      </c>
      <c r="I99" s="14"/>
      <c r="J99" s="14"/>
      <c r="K99" s="25">
        <f>(((B99+E99)*('Prices&amp;Fuel'!B99+0.025))+(('Prices&amp;Fuel'!D99+0.025)*(D99+G99))+(('Prices&amp;Fuel'!C99+0.025)*(C99+F99))-(I99+J99)*0.025)/(B99+C99+D99+E99+F99+G99)</f>
        <v>4.6443016252380973</v>
      </c>
      <c r="L99" s="14">
        <f>(B99+C99+D99+E99+F99+G99)*H99*'Prices&amp;Fuel'!H99</f>
        <v>3470158.0837017996</v>
      </c>
      <c r="M99" s="14">
        <f>'Prices&amp;Fuel'!X99*('Prices&amp;Fuel'!N99+'Prices&amp;Fuel'!O99)*'Prices&amp;Fuel'!H99</f>
        <v>9134.1681425398001</v>
      </c>
      <c r="N99" s="14">
        <f>('Prices&amp;Fuel'!U99+'Prices&amp;Fuel'!V99+'Prices&amp;Fuel'!W99)*('Prices&amp;Fuel'!L99+'Prices&amp;Fuel'!O99)*'Prices&amp;Fuel'!H99</f>
        <v>69689.82458385783</v>
      </c>
      <c r="O99" s="14">
        <f>((B99+C99+D99)*(1-'Prices&amp;Fuel'!G99))*('Prices&amp;Fuel'!M99+'Prices&amp;Fuel'!P99)*'Prices&amp;Fuel'!H99</f>
        <v>346909.29</v>
      </c>
      <c r="P99" s="14">
        <f>((B99+C99+D99+E99+F99+G99)/(1-'Prices&amp;Fuel'!F99))*(1-'Prices&amp;Fuel'!F99)*'Prices&amp;Fuel'!H99*0.005</f>
        <v>3239.0745501285346</v>
      </c>
      <c r="Q99" s="14">
        <f>((D99+C99+B99+E99+F99+G99)*K99*'Prices&amp;Fuel'!H99)+M99+N99+O99+P99</f>
        <v>3437620.1967623886</v>
      </c>
      <c r="R99" s="6">
        <f t="shared" si="13"/>
        <v>32537.886939411052</v>
      </c>
      <c r="T99" s="3">
        <f t="shared" si="14"/>
        <v>21000</v>
      </c>
    </row>
    <row r="100" spans="1:20" x14ac:dyDescent="0.2">
      <c r="A100" s="10">
        <f t="shared" si="11"/>
        <v>38638.583333333103</v>
      </c>
      <c r="B100" s="6">
        <f>IF(T100-((E100+F100+G100)*(1-'Prices&amp;Fuel'!F100))&lt;'Prices&amp;Fuel'!R100,(T100-(E100+F100+G100)*(1-'Prices&amp;Fuel'!F100)),'Prices&amp;Fuel'!R100)/(1-'Prices&amp;Fuel'!F100)</f>
        <v>8976.8637532133671</v>
      </c>
      <c r="C100" s="14">
        <f>(T100/(1-'Prices&amp;Fuel'!F100))-D100-E100-F100-G100-B100</f>
        <v>2.0190782379359007E-10</v>
      </c>
      <c r="D100" s="14">
        <f>ROUND(IF(T100/(1-'Prices&amp;Fuel'!F100)-E100-F100-G100-B100&gt;'Prices&amp;Fuel'!T100,'Prices&amp;Fuel'!T100,T100/(1-'Prices&amp;Fuel'!F100)-E100-F100-G100-B100),9)</f>
        <v>3514.6529562979999</v>
      </c>
      <c r="E100" s="14">
        <f>'Prices&amp;Fuel'!U100/(1-'Prices&amp;Fuel'!F100)</f>
        <v>2910.025706940874</v>
      </c>
      <c r="F100" s="14">
        <f>('Prices&amp;Fuel'!V100+'Prices&amp;Fuel'!X100)/(1-'Prices&amp;Fuel'!F100)</f>
        <v>4628.2776349614396</v>
      </c>
      <c r="G100" s="14">
        <f>'Prices&amp;Fuel'!W100/(1-'Prices&amp;Fuel'!F100)</f>
        <v>1564.0102827763496</v>
      </c>
      <c r="H100" s="25">
        <f>('Prices&amp;Fuel'!C100+'Prices&amp;Fuel'!D100)/2-0.03+(('Prices&amp;Fuel'!M100+'Prices&amp;Fuel'!P100)*(1-'Prices&amp;Fuel'!F100))</f>
        <v>6.0573169600000005</v>
      </c>
      <c r="I100" s="14"/>
      <c r="J100" s="14"/>
      <c r="K100" s="25">
        <f>(((B100+E100)*('Prices&amp;Fuel'!B100+0.025))+(('Prices&amp;Fuel'!D100+0.025)*(D100+G100))+(('Prices&amp;Fuel'!C100+0.025)*(C100+F100))-(I100+J100)*0.025)/(B100+C100+D100+E100+F100+G100)</f>
        <v>5.3480801147619061</v>
      </c>
      <c r="L100" s="14">
        <f>(B100+C100+D100+E100+F100+G100)*H100*'Prices&amp;Fuel'!H100</f>
        <v>4054820.9161542421</v>
      </c>
      <c r="M100" s="14">
        <f>'Prices&amp;Fuel'!X100*('Prices&amp;Fuel'!N100+'Prices&amp;Fuel'!O100)*'Prices&amp;Fuel'!H100</f>
        <v>13833.205057645318</v>
      </c>
      <c r="N100" s="14">
        <f>('Prices&amp;Fuel'!U100+'Prices&amp;Fuel'!V100+'Prices&amp;Fuel'!W100)*('Prices&amp;Fuel'!L100+'Prices&amp;Fuel'!O100)*'Prices&amp;Fuel'!H100</f>
        <v>108495.99691066272</v>
      </c>
      <c r="O100" s="14">
        <f>((B100+C100+D100)*(1-'Prices&amp;Fuel'!G100))*('Prices&amp;Fuel'!M100+'Prices&amp;Fuel'!P100)*'Prices&amp;Fuel'!H100</f>
        <v>288278.114</v>
      </c>
      <c r="P100" s="14">
        <f>((B100+C100+D100+E100+F100+G100)/(1-'Prices&amp;Fuel'!F100))*(1-'Prices&amp;Fuel'!F100)*'Prices&amp;Fuel'!H100*0.005</f>
        <v>3347.0437017994859</v>
      </c>
      <c r="Q100" s="14">
        <f>((D100+C100+B100+E100+F100+G100)*K100*'Prices&amp;Fuel'!H100)+M100+N100+O100+P100</f>
        <v>3994005.9326366894</v>
      </c>
      <c r="R100" s="6">
        <f t="shared" si="13"/>
        <v>60814.983517552726</v>
      </c>
      <c r="T100" s="3">
        <f t="shared" si="14"/>
        <v>21000</v>
      </c>
    </row>
    <row r="101" spans="1:20" x14ac:dyDescent="0.2">
      <c r="A101" s="10">
        <f t="shared" si="11"/>
        <v>38668.999999999767</v>
      </c>
      <c r="B101" s="6">
        <f>IF(T101-((E101+F101+G101)*(1-'Prices&amp;Fuel'!F101))&lt;'Prices&amp;Fuel'!R101,(T101-(E101+F101+G101)*(1-'Prices&amp;Fuel'!F101)),'Prices&amp;Fuel'!R101)/(1-'Prices&amp;Fuel'!F101)</f>
        <v>4325.9640102827761</v>
      </c>
      <c r="C101" s="14">
        <f>(T101/(1-'Prices&amp;Fuel'!F101))-D101-E101-F101-G101-B101</f>
        <v>0</v>
      </c>
      <c r="D101" s="14">
        <f>ROUND(IF(T101/(1-'Prices&amp;Fuel'!F101)-E101-F101-G101-B101&gt;'Prices&amp;Fuel'!T101,'Prices&amp;Fuel'!T101,T101/(1-'Prices&amp;Fuel'!F101)-E101-F101-G101-B101),9)</f>
        <v>0</v>
      </c>
      <c r="E101" s="14">
        <f>'Prices&amp;Fuel'!U101/(1-'Prices&amp;Fuel'!F101)</f>
        <v>2635.4755784061695</v>
      </c>
      <c r="F101" s="14">
        <f>('Prices&amp;Fuel'!V101+'Prices&amp;Fuel'!X101)/(1-'Prices&amp;Fuel'!F101)</f>
        <v>3645.2442159383031</v>
      </c>
      <c r="G101" s="14">
        <f>'Prices&amp;Fuel'!W101/(1-'Prices&amp;Fuel'!F101)</f>
        <v>1732.6478149100255</v>
      </c>
      <c r="H101" s="25">
        <f>('Prices&amp;Fuel'!C101+'Prices&amp;Fuel'!D101)/2-0.02+(('Prices&amp;Fuel'!M101+'Prices&amp;Fuel'!P101)*(1-'Prices&amp;Fuel'!F101))</f>
        <v>4.2848962300000002</v>
      </c>
      <c r="I101" s="14"/>
      <c r="J101" s="14"/>
      <c r="K101" s="25">
        <f>(((B101+E101)*('Prices&amp;Fuel'!B101+0.025))+(('Prices&amp;Fuel'!D101+0.025)*(D101+G101))+(('Prices&amp;Fuel'!C101+0.025)*(C101+F101))-(I101+J101)*0.025)/(B101+C101+D101+E101+F101+G101)</f>
        <v>3.5695766466666665</v>
      </c>
      <c r="L101" s="14">
        <f>(B101+C101+D101+E101+F101+G101)*H101*'Prices&amp;Fuel'!H101</f>
        <v>1586182.6661182516</v>
      </c>
      <c r="M101" s="14">
        <f>'Prices&amp;Fuel'!X101*('Prices&amp;Fuel'!N101+'Prices&amp;Fuel'!O101)*'Prices&amp;Fuel'!H101</f>
        <v>9134.1681425398001</v>
      </c>
      <c r="N101" s="14">
        <f>('Prices&amp;Fuel'!U101+'Prices&amp;Fuel'!V101+'Prices&amp;Fuel'!W101)*('Prices&amp;Fuel'!L101+'Prices&amp;Fuel'!O101)*'Prices&amp;Fuel'!H101</f>
        <v>95086.289155868202</v>
      </c>
      <c r="O101" s="14">
        <f>((B101+C101+D101)*(1-'Prices&amp;Fuel'!G101))*('Prices&amp;Fuel'!M101+'Prices&amp;Fuel'!P101)*'Prices&amp;Fuel'!H101</f>
        <v>96613.75499999999</v>
      </c>
      <c r="P101" s="14">
        <f>((B101+C101+D101+E101+F101+G101)/(1-'Prices&amp;Fuel'!F101))*(1-'Prices&amp;Fuel'!F101)*'Prices&amp;Fuel'!H101*0.005</f>
        <v>1850.8997429305912</v>
      </c>
      <c r="Q101" s="14">
        <f>((D101+C101+B101+E101+F101+G101)*K101*'Prices&amp;Fuel'!H101)+M101+N101+O101+P101</f>
        <v>1524070.8115786135</v>
      </c>
      <c r="R101" s="6">
        <f t="shared" si="13"/>
        <v>62111.854539638152</v>
      </c>
      <c r="T101" s="3">
        <v>12000</v>
      </c>
    </row>
    <row r="102" spans="1:20" x14ac:dyDescent="0.2">
      <c r="A102" s="10">
        <f t="shared" si="11"/>
        <v>38699.416666666431</v>
      </c>
      <c r="B102" s="6">
        <f>IF(T102-((E102+F102+G102)*(1-'Prices&amp;Fuel'!F102))&lt;'Prices&amp;Fuel'!R102,(T102-(E102+F102+G102)*(1-'Prices&amp;Fuel'!F102)),'Prices&amp;Fuel'!R102)/(1-'Prices&amp;Fuel'!F102)</f>
        <v>4325.9640102827761</v>
      </c>
      <c r="C102" s="14">
        <f>(T102/(1-'Prices&amp;Fuel'!F102))-D102-E102-F102-G102-B102</f>
        <v>0</v>
      </c>
      <c r="D102" s="14">
        <f>ROUND(IF(T102/(1-'Prices&amp;Fuel'!F102)-E102-F102-G102-B102&gt;'Prices&amp;Fuel'!T102,'Prices&amp;Fuel'!T102,T102/(1-'Prices&amp;Fuel'!F102)-E102-F102-G102-B102),9)</f>
        <v>0</v>
      </c>
      <c r="E102" s="14">
        <f>'Prices&amp;Fuel'!U102/(1-'Prices&amp;Fuel'!F102)</f>
        <v>2635.4755784061695</v>
      </c>
      <c r="F102" s="14">
        <f>('Prices&amp;Fuel'!V102+'Prices&amp;Fuel'!X102)/(1-'Prices&amp;Fuel'!F102)</f>
        <v>3645.2442159383031</v>
      </c>
      <c r="G102" s="14">
        <f>'Prices&amp;Fuel'!W102/(1-'Prices&amp;Fuel'!F102)</f>
        <v>1732.6478149100255</v>
      </c>
      <c r="H102" s="25">
        <f>('Prices&amp;Fuel'!C102+'Prices&amp;Fuel'!D102)/2-0.02+(('Prices&amp;Fuel'!M102+'Prices&amp;Fuel'!P102)*(1-'Prices&amp;Fuel'!F102))</f>
        <v>3.378231350000001</v>
      </c>
      <c r="I102" s="14"/>
      <c r="J102" s="14"/>
      <c r="K102" s="25">
        <f>(((B102+E102)*('Prices&amp;Fuel'!B102+0.025))+(('Prices&amp;Fuel'!D102+0.025)*(D102+G102))+(('Prices&amp;Fuel'!C102+0.025)*(C102+F102))-(I102+J102)*0.025)/(B102+C102+D102+E102+F102+G102)</f>
        <v>2.6629117666666673</v>
      </c>
      <c r="L102" s="14">
        <f>(B102+C102+D102+E102+F102+G102)*H102*'Prices&amp;Fuel'!H102</f>
        <v>1292238.6243701803</v>
      </c>
      <c r="M102" s="14">
        <f>'Prices&amp;Fuel'!X102*('Prices&amp;Fuel'!N102+'Prices&amp;Fuel'!O102)*'Prices&amp;Fuel'!H102</f>
        <v>9438.6404139577935</v>
      </c>
      <c r="N102" s="14">
        <f>('Prices&amp;Fuel'!U102+'Prices&amp;Fuel'!V102+'Prices&amp;Fuel'!W102)*('Prices&amp;Fuel'!L102+'Prices&amp;Fuel'!O102)*'Prices&amp;Fuel'!H102</f>
        <v>98255.832127730479</v>
      </c>
      <c r="O102" s="14">
        <f>((B102+C102+D102)*(1-'Prices&amp;Fuel'!G102))*('Prices&amp;Fuel'!M102+'Prices&amp;Fuel'!P102)*'Prices&amp;Fuel'!H102</f>
        <v>99834.213499999998</v>
      </c>
      <c r="P102" s="14">
        <f>((B102+C102+D102+E102+F102+G102)/(1-'Prices&amp;Fuel'!F102))*(1-'Prices&amp;Fuel'!F102)*'Prices&amp;Fuel'!H102*0.005</f>
        <v>1912.5964010282776</v>
      </c>
      <c r="Q102" s="14">
        <f>((D102+C102+B102+E102+F102+G102)*K102*'Prices&amp;Fuel'!H102)+M102+N102+O102+P102</f>
        <v>1228056.3746792206</v>
      </c>
      <c r="R102" s="6">
        <f t="shared" si="13"/>
        <v>64182.249690959696</v>
      </c>
      <c r="T102" s="3">
        <f>T101</f>
        <v>12000</v>
      </c>
    </row>
    <row r="103" spans="1:20" x14ac:dyDescent="0.2">
      <c r="A103" s="10">
        <f t="shared" si="11"/>
        <v>38729.833333333096</v>
      </c>
      <c r="B103" s="6">
        <f>IF(T103-((E103+F103+G103)*(1-'Prices&amp;Fuel'!F103))&lt;'Prices&amp;Fuel'!R103,(T103-(E103+F103+G103)*(1-'Prices&amp;Fuel'!F103)),'Prices&amp;Fuel'!R103)/(1-'Prices&amp;Fuel'!F103)</f>
        <v>4325.9640102827761</v>
      </c>
      <c r="C103" s="14">
        <f>(T103/(1-'Prices&amp;Fuel'!F103))-D103-E103-F103-G103-B103</f>
        <v>0</v>
      </c>
      <c r="D103" s="14">
        <f>ROUND(IF(T103/(1-'Prices&amp;Fuel'!F103)-E103-F103-G103-B103&gt;'Prices&amp;Fuel'!T103,'Prices&amp;Fuel'!T103,T103/(1-'Prices&amp;Fuel'!F103)-E103-F103-G103-B103),9)</f>
        <v>0</v>
      </c>
      <c r="E103" s="14">
        <f>'Prices&amp;Fuel'!U103/(1-'Prices&amp;Fuel'!F103)</f>
        <v>2635.4755784061695</v>
      </c>
      <c r="F103" s="14">
        <f>('Prices&amp;Fuel'!V103+'Prices&amp;Fuel'!X103)/(1-'Prices&amp;Fuel'!F103)</f>
        <v>3645.2442159383031</v>
      </c>
      <c r="G103" s="14">
        <f>'Prices&amp;Fuel'!W103/(1-'Prices&amp;Fuel'!F103)</f>
        <v>1732.6478149100255</v>
      </c>
      <c r="H103" s="25">
        <f>('Prices&amp;Fuel'!C103+'Prices&amp;Fuel'!D103)/2-0.02+(('Prices&amp;Fuel'!M103+'Prices&amp;Fuel'!P103)*(1-'Prices&amp;Fuel'!F103))</f>
        <v>3.0616198527000007</v>
      </c>
      <c r="I103" s="25"/>
      <c r="J103" s="25"/>
      <c r="K103" s="25">
        <f>(((B103+E103)*('Prices&amp;Fuel'!B103+0.025))+(('Prices&amp;Fuel'!D103+0.025)*(D103+G103))+(('Prices&amp;Fuel'!C103+0.025)*(C103+F103))-(I103+J103)*0.025)/(B103+C103+D103+E103+F103+G103)</f>
        <v>2.3463002693666675</v>
      </c>
      <c r="L103" s="14">
        <f>(B103+C103+D103+E103+F103+G103)*H103*'Prices&amp;Fuel'!H103</f>
        <v>1171128.6223181491</v>
      </c>
      <c r="M103" s="14">
        <f>'Prices&amp;Fuel'!X103*('Prices&amp;Fuel'!N103+'Prices&amp;Fuel'!O103)*'Prices&amp;Fuel'!H103</f>
        <v>9438.6404139577935</v>
      </c>
      <c r="N103" s="14">
        <f>('Prices&amp;Fuel'!U103+'Prices&amp;Fuel'!V103+'Prices&amp;Fuel'!W103)*('Prices&amp;Fuel'!L103+'Prices&amp;Fuel'!O103)*'Prices&amp;Fuel'!H103</f>
        <v>98255.832127730479</v>
      </c>
      <c r="O103" s="14">
        <f>((B103+C103+D103)*(1-'Prices&amp;Fuel'!G103))*('Prices&amp;Fuel'!M103+'Prices&amp;Fuel'!P103)*'Prices&amp;Fuel'!H103</f>
        <v>99834.213499999998</v>
      </c>
      <c r="P103" s="14">
        <f>((B103+C103+D103+E103+F103+G103)/(1-'Prices&amp;Fuel'!F103))*(1-'Prices&amp;Fuel'!F103)*'Prices&amp;Fuel'!H103*0.005</f>
        <v>1912.5964010282776</v>
      </c>
      <c r="Q103" s="14">
        <f>((D103+C103+B103+E103+F103+G103)*K103*'Prices&amp;Fuel'!H103)+M103+N103+O103+P103</f>
        <v>1106946.3726271898</v>
      </c>
      <c r="R103" s="6">
        <f t="shared" si="13"/>
        <v>64182.24969095923</v>
      </c>
      <c r="T103" s="3">
        <f t="shared" ref="T103:T112" si="15">T102</f>
        <v>12000</v>
      </c>
    </row>
    <row r="104" spans="1:20" x14ac:dyDescent="0.2">
      <c r="A104" s="10">
        <f t="shared" si="11"/>
        <v>38760.24999999976</v>
      </c>
      <c r="B104" s="6">
        <f>IF(T104-((E104+F104+G104)*(1-'Prices&amp;Fuel'!F104))&lt;'Prices&amp;Fuel'!R104,(T104-(E104+F104+G104)*(1-'Prices&amp;Fuel'!F104)),'Prices&amp;Fuel'!R104)/(1-'Prices&amp;Fuel'!F104)</f>
        <v>4325.9640102827761</v>
      </c>
      <c r="C104" s="14">
        <f>(T104/(1-'Prices&amp;Fuel'!F104))-D104-E104-F104-G104-B104</f>
        <v>0</v>
      </c>
      <c r="D104" s="14">
        <f>ROUND(IF(T104/(1-'Prices&amp;Fuel'!F104)-E104-F104-G104-B104&gt;'Prices&amp;Fuel'!T104,'Prices&amp;Fuel'!T104,T104/(1-'Prices&amp;Fuel'!F104)-E104-F104-G104-B104),9)</f>
        <v>0</v>
      </c>
      <c r="E104" s="14">
        <f>'Prices&amp;Fuel'!U104/(1-'Prices&amp;Fuel'!F104)</f>
        <v>2635.4755784061695</v>
      </c>
      <c r="F104" s="14">
        <f>('Prices&amp;Fuel'!V104+'Prices&amp;Fuel'!X104)/(1-'Prices&amp;Fuel'!F104)</f>
        <v>3645.2442159383031</v>
      </c>
      <c r="G104" s="14">
        <f>'Prices&amp;Fuel'!W104/(1-'Prices&amp;Fuel'!F104)</f>
        <v>1732.6478149100255</v>
      </c>
      <c r="H104" s="25">
        <f>('Prices&amp;Fuel'!C104+'Prices&amp;Fuel'!D104)/2-0.02+(('Prices&amp;Fuel'!M104+'Prices&amp;Fuel'!P104)*(1-'Prices&amp;Fuel'!F104))</f>
        <v>3.3425829354000003</v>
      </c>
      <c r="I104" s="25"/>
      <c r="J104" s="25"/>
      <c r="K104" s="25">
        <f>(((B104+E104)*('Prices&amp;Fuel'!B104+0.025))+(('Prices&amp;Fuel'!D104+0.025)*(D104+G104))+(('Prices&amp;Fuel'!C104+0.025)*(C104+F104))-(I104+J104)*0.025)/(B104+C104+D104+E104+F104+G104)</f>
        <v>2.6272633520666666</v>
      </c>
      <c r="L104" s="14">
        <f>(B104+C104+D104+E104+F104+G104)*H104*'Prices&amp;Fuel'!H104</f>
        <v>1154866.7005597944</v>
      </c>
      <c r="M104" s="14">
        <f>'Prices&amp;Fuel'!X104*('Prices&amp;Fuel'!N104+'Prices&amp;Fuel'!O104)*'Prices&amp;Fuel'!H104</f>
        <v>8525.2235997038133</v>
      </c>
      <c r="N104" s="14">
        <f>('Prices&amp;Fuel'!U104+'Prices&amp;Fuel'!V104+'Prices&amp;Fuel'!W104)*('Prices&amp;Fuel'!L104+'Prices&amp;Fuel'!O104)*'Prices&amp;Fuel'!H104</f>
        <v>88747.203212143664</v>
      </c>
      <c r="O104" s="14">
        <f>((B104+C104+D104)*(1-'Prices&amp;Fuel'!G104))*('Prices&amp;Fuel'!M104+'Prices&amp;Fuel'!P104)*'Prices&amp;Fuel'!H104</f>
        <v>90172.837999999989</v>
      </c>
      <c r="P104" s="14">
        <f>((B104+C104+D104+E104+F104+G104)/(1-'Prices&amp;Fuel'!F104))*(1-'Prices&amp;Fuel'!F104)*'Prices&amp;Fuel'!H104*0.005</f>
        <v>1727.5064267352184</v>
      </c>
      <c r="Q104" s="14">
        <f>((D104+C104+B104+E104+F104+G104)*K104*'Prices&amp;Fuel'!H104)+M104+N104+O104+P104</f>
        <v>1096895.6363227987</v>
      </c>
      <c r="R104" s="6">
        <f t="shared" si="13"/>
        <v>57971.064236995764</v>
      </c>
      <c r="T104" s="3">
        <f t="shared" si="15"/>
        <v>12000</v>
      </c>
    </row>
    <row r="105" spans="1:20" x14ac:dyDescent="0.2">
      <c r="A105" s="10">
        <f t="shared" si="11"/>
        <v>38790.666666666424</v>
      </c>
      <c r="B105" s="6">
        <f>IF(T105-((E105+F105+G105)*(1-'Prices&amp;Fuel'!F105))&lt;'Prices&amp;Fuel'!R105,(T105-(E105+F105+G105)*(1-'Prices&amp;Fuel'!F105)),'Prices&amp;Fuel'!R105)/(1-'Prices&amp;Fuel'!F105)</f>
        <v>4325.9640102827761</v>
      </c>
      <c r="C105" s="14">
        <f>(T105/(1-'Prices&amp;Fuel'!F105))-D105-E105-F105-G105-B105</f>
        <v>0</v>
      </c>
      <c r="D105" s="14">
        <f>ROUND(IF(T105/(1-'Prices&amp;Fuel'!F105)-E105-F105-G105-B105&gt;'Prices&amp;Fuel'!T105,'Prices&amp;Fuel'!T105,T105/(1-'Prices&amp;Fuel'!F105)-E105-F105-G105-B105),9)</f>
        <v>0</v>
      </c>
      <c r="E105" s="14">
        <f>'Prices&amp;Fuel'!U105/(1-'Prices&amp;Fuel'!F105)</f>
        <v>2635.4755784061695</v>
      </c>
      <c r="F105" s="14">
        <f>('Prices&amp;Fuel'!V105+'Prices&amp;Fuel'!X105)/(1-'Prices&amp;Fuel'!F105)</f>
        <v>3645.2442159383031</v>
      </c>
      <c r="G105" s="14">
        <f>'Prices&amp;Fuel'!W105/(1-'Prices&amp;Fuel'!F105)</f>
        <v>1732.6478149100255</v>
      </c>
      <c r="H105" s="25">
        <f>('Prices&amp;Fuel'!C105+'Prices&amp;Fuel'!D105)/2-0.02+(('Prices&amp;Fuel'!M105+'Prices&amp;Fuel'!P105)*(1-'Prices&amp;Fuel'!F105))</f>
        <v>3.3425829354000003</v>
      </c>
      <c r="I105" s="25"/>
      <c r="J105" s="25"/>
      <c r="K105" s="25">
        <f>(((B105+E105)*('Prices&amp;Fuel'!B105+0.025))+(('Prices&amp;Fuel'!D105+0.025)*(D105+G105))+(('Prices&amp;Fuel'!C105+0.025)*(C105+F105))-(I105+J105)*0.025)/(B105+C105+D105+E105+F105+G105)</f>
        <v>2.6272633520666666</v>
      </c>
      <c r="L105" s="14">
        <f>(B105+C105+D105+E105+F105+G105)*H105*'Prices&amp;Fuel'!H105</f>
        <v>1278602.4184769152</v>
      </c>
      <c r="M105" s="14">
        <f>'Prices&amp;Fuel'!X105*('Prices&amp;Fuel'!N105+'Prices&amp;Fuel'!O105)*'Prices&amp;Fuel'!H105</f>
        <v>9438.6404139577935</v>
      </c>
      <c r="N105" s="14">
        <f>('Prices&amp;Fuel'!U105+'Prices&amp;Fuel'!V105+'Prices&amp;Fuel'!W105)*('Prices&amp;Fuel'!L105+'Prices&amp;Fuel'!O105)*'Prices&amp;Fuel'!H105</f>
        <v>98255.832127730479</v>
      </c>
      <c r="O105" s="14">
        <f>((B105+C105+D105)*(1-'Prices&amp;Fuel'!G105))*('Prices&amp;Fuel'!M105+'Prices&amp;Fuel'!P105)*'Prices&amp;Fuel'!H105</f>
        <v>99834.213499999998</v>
      </c>
      <c r="P105" s="14">
        <f>((B105+C105+D105+E105+F105+G105)/(1-'Prices&amp;Fuel'!F105))*(1-'Prices&amp;Fuel'!F105)*'Prices&amp;Fuel'!H105*0.005</f>
        <v>1912.5964010282776</v>
      </c>
      <c r="Q105" s="14">
        <f>((D105+C105+B105+E105+F105+G105)*K105*'Prices&amp;Fuel'!H105)+M105+N105+O105+P105</f>
        <v>1214420.1687859558</v>
      </c>
      <c r="R105" s="6">
        <f t="shared" si="13"/>
        <v>64182.249690959463</v>
      </c>
      <c r="T105" s="3">
        <f t="shared" si="15"/>
        <v>12000</v>
      </c>
    </row>
    <row r="106" spans="1:20" x14ac:dyDescent="0.2">
      <c r="A106" s="10">
        <f t="shared" si="11"/>
        <v>38821.083333333088</v>
      </c>
      <c r="B106" s="6">
        <f>IF(T106-((E106+F106+G106)*(1-'Prices&amp;Fuel'!F106))&lt;'Prices&amp;Fuel'!R106,(T106-(E106+F106+G106)*(1-'Prices&amp;Fuel'!F106)),'Prices&amp;Fuel'!R106)/(1-'Prices&amp;Fuel'!F106)</f>
        <v>6278.6632390745499</v>
      </c>
      <c r="C106" s="14">
        <f>(T106/(1-'Prices&amp;Fuel'!F106))-D106-E106-F106-G106-B106</f>
        <v>0</v>
      </c>
      <c r="D106" s="14">
        <f>ROUND(IF(T106/(1-'Prices&amp;Fuel'!F106)-E106-F106-G106-B106&gt;'Prices&amp;Fuel'!T106,'Prices&amp;Fuel'!T106,T106/(1-'Prices&amp;Fuel'!F106)-E106-F106-G106-B106),9)</f>
        <v>0</v>
      </c>
      <c r="E106" s="14">
        <f>'Prices&amp;Fuel'!U106/(1-'Prices&amp;Fuel'!F106)</f>
        <v>1933.1619537275064</v>
      </c>
      <c r="F106" s="14">
        <f>('Prices&amp;Fuel'!V106+'Prices&amp;Fuel'!X106)/(1-'Prices&amp;Fuel'!F106)</f>
        <v>2833.9331619537274</v>
      </c>
      <c r="G106" s="14">
        <f>'Prices&amp;Fuel'!W106/(1-'Prices&amp;Fuel'!F106)</f>
        <v>1293.5732647814909</v>
      </c>
      <c r="H106" s="25">
        <f>('Prices&amp;Fuel'!C106+'Prices&amp;Fuel'!D106)/2-0.02+(('Prices&amp;Fuel'!M106+'Prices&amp;Fuel'!P106)*(1-'Prices&amp;Fuel'!F106))</f>
        <v>3.6235460181000008</v>
      </c>
      <c r="I106" s="25"/>
      <c r="J106" s="25"/>
      <c r="K106" s="25">
        <f>(((B106+E106)*('Prices&amp;Fuel'!B106+0.025))+(('Prices&amp;Fuel'!D106+0.025)*(D106+G106))+(('Prices&amp;Fuel'!C106+0.025)*(C106+F106))-(I106+J106)*0.025)/(B106+C106+D106+E106+F106+G106)</f>
        <v>2.9039256014333339</v>
      </c>
      <c r="L106" s="14">
        <f>(B106+C106+D106+E106+F106+G106)*H106*'Prices&amp;Fuel'!H106</f>
        <v>1341364.0786796918</v>
      </c>
      <c r="M106" s="14">
        <f>'Prices&amp;Fuel'!X106*('Prices&amp;Fuel'!N106+'Prices&amp;Fuel'!O106)*'Prices&amp;Fuel'!H106</f>
        <v>9134.1681425398001</v>
      </c>
      <c r="N106" s="14">
        <f>('Prices&amp;Fuel'!U106+'Prices&amp;Fuel'!V106+'Prices&amp;Fuel'!W106)*('Prices&amp;Fuel'!L106+'Prices&amp;Fuel'!O106)*'Prices&amp;Fuel'!H106</f>
        <v>69689.82458385783</v>
      </c>
      <c r="O106" s="14">
        <f>((B106+C106+D106)*(1-'Prices&amp;Fuel'!G106))*('Prices&amp;Fuel'!M106+'Prices&amp;Fuel'!P106)*'Prices&amp;Fuel'!H106</f>
        <v>140224.29</v>
      </c>
      <c r="P106" s="14">
        <f>((B106+C106+D106+E106+F106+G106)/(1-'Prices&amp;Fuel'!F106))*(1-'Prices&amp;Fuel'!F106)*'Prices&amp;Fuel'!H106*0.005</f>
        <v>1850.8997429305914</v>
      </c>
      <c r="Q106" s="14">
        <f>((D106+C106+B106+E106+F106+G106)*K106*'Prices&amp;Fuel'!H106)+M106+N106+O106+P106</f>
        <v>1295874.2123058324</v>
      </c>
      <c r="R106" s="6">
        <f t="shared" si="13"/>
        <v>45489.866373859346</v>
      </c>
      <c r="T106" s="3">
        <f t="shared" si="15"/>
        <v>12000</v>
      </c>
    </row>
    <row r="107" spans="1:20" x14ac:dyDescent="0.2">
      <c r="A107" s="10">
        <f t="shared" si="11"/>
        <v>38851.499999999753</v>
      </c>
      <c r="B107" s="6">
        <f>IF(T107-((E107+F107+G107)*(1-'Prices&amp;Fuel'!F107))&lt;'Prices&amp;Fuel'!R107,(T107-(E107+F107+G107)*(1-'Prices&amp;Fuel'!F107)),'Prices&amp;Fuel'!R107)/(1-'Prices&amp;Fuel'!F107)</f>
        <v>8976.8637532133671</v>
      </c>
      <c r="C107" s="14">
        <f>(T107/(1-'Prices&amp;Fuel'!F107))-D107-E107-F107-G107-B107</f>
        <v>1.3824319466948509E-10</v>
      </c>
      <c r="D107" s="14">
        <f>ROUND(IF(T107/(1-'Prices&amp;Fuel'!F107)-E107-F107-G107-B107&gt;'Prices&amp;Fuel'!T107,'Prices&amp;Fuel'!T107,T107/(1-'Prices&amp;Fuel'!F107)-E107-F107-G107-B107),9)</f>
        <v>6556.2982005140002</v>
      </c>
      <c r="E107" s="14">
        <f>'Prices&amp;Fuel'!U107/(1-'Prices&amp;Fuel'!F107)</f>
        <v>1933.1619537275064</v>
      </c>
      <c r="F107" s="14">
        <f>('Prices&amp;Fuel'!V107+'Prices&amp;Fuel'!X107)/(1-'Prices&amp;Fuel'!F107)</f>
        <v>3062.2107969151671</v>
      </c>
      <c r="G107" s="14">
        <f>'Prices&amp;Fuel'!W107/(1-'Prices&amp;Fuel'!F107)</f>
        <v>1065.2956298200513</v>
      </c>
      <c r="H107" s="25">
        <f>('Prices&amp;Fuel'!C107+'Prices&amp;Fuel'!D107)/2-0.02+(('Prices&amp;Fuel'!M107+'Prices&amp;Fuel'!P107)*(1-'Prices&amp;Fuel'!F107))</f>
        <v>3.8212607800000011</v>
      </c>
      <c r="I107" s="25"/>
      <c r="J107" s="25"/>
      <c r="K107" s="25">
        <f>(((B107+E107)*('Prices&amp;Fuel'!B107+0.025))+(('Prices&amp;Fuel'!D107+0.025)*(D107+G107))+(('Prices&amp;Fuel'!C107+0.025)*(C107+F107))-(I107+J107)*0.025)/(B107+C107+D107+E107+F107+G107)</f>
        <v>3.0988501252380969</v>
      </c>
      <c r="L107" s="14">
        <f>(B107+C107+D107+E107+F107+G107)*H107*'Prices&amp;Fuel'!H107</f>
        <v>2557985.3653264786</v>
      </c>
      <c r="M107" s="14">
        <f>'Prices&amp;Fuel'!X107*('Prices&amp;Fuel'!N107+'Prices&amp;Fuel'!O107)*'Prices&amp;Fuel'!H107</f>
        <v>9438.6404139577935</v>
      </c>
      <c r="N107" s="14">
        <f>('Prices&amp;Fuel'!U107+'Prices&amp;Fuel'!V107+'Prices&amp;Fuel'!W107)*('Prices&amp;Fuel'!L107+'Prices&amp;Fuel'!O107)*'Prices&amp;Fuel'!H107</f>
        <v>72012.818736653091</v>
      </c>
      <c r="O107" s="14">
        <f>((B107+C107+D107)*(1-'Prices&amp;Fuel'!G107))*('Prices&amp;Fuel'!M107+'Prices&amp;Fuel'!P107)*'Prices&amp;Fuel'!H107</f>
        <v>358472.93300000002</v>
      </c>
      <c r="P107" s="14">
        <f>((B107+C107+D107+E107+F107+G107)/(1-'Prices&amp;Fuel'!F107))*(1-'Prices&amp;Fuel'!F107)*'Prices&amp;Fuel'!H107*0.005</f>
        <v>3347.043701799485</v>
      </c>
      <c r="Q107" s="14">
        <f>((D107+C107+B107+E107+F107+G107)*K107*'Prices&amp;Fuel'!H107)+M107+N107+O107+P107</f>
        <v>2517668.7947521545</v>
      </c>
      <c r="R107" s="6">
        <f t="shared" si="13"/>
        <v>40316.570574324112</v>
      </c>
      <c r="T107" s="3">
        <v>21000</v>
      </c>
    </row>
    <row r="108" spans="1:20" x14ac:dyDescent="0.2">
      <c r="A108" s="10">
        <f t="shared" si="11"/>
        <v>38881.916666666417</v>
      </c>
      <c r="B108" s="6">
        <f>IF(T108-((E108+F108+G108)*(1-'Prices&amp;Fuel'!F108))&lt;'Prices&amp;Fuel'!R108,(T108-(E108+F108+G108)*(1-'Prices&amp;Fuel'!F108)),'Prices&amp;Fuel'!R108)/(1-'Prices&amp;Fuel'!F108)</f>
        <v>8976.8637532133671</v>
      </c>
      <c r="C108" s="14">
        <f>(T108/(1-'Prices&amp;Fuel'!F108))-D108-E108-F108-G108-B108</f>
        <v>1.3824319466948509E-10</v>
      </c>
      <c r="D108" s="14">
        <f>ROUND(IF(T108/(1-'Prices&amp;Fuel'!F108)-E108-F108-G108-B108&gt;'Prices&amp;Fuel'!T108,'Prices&amp;Fuel'!T108,T108/(1-'Prices&amp;Fuel'!F108)-E108-F108-G108-B108),9)</f>
        <v>6556.2982005140002</v>
      </c>
      <c r="E108" s="14">
        <f>'Prices&amp;Fuel'!U108/(1-'Prices&amp;Fuel'!F108)</f>
        <v>1933.1619537275064</v>
      </c>
      <c r="F108" s="14">
        <f>('Prices&amp;Fuel'!V108+'Prices&amp;Fuel'!X108)/(1-'Prices&amp;Fuel'!F108)</f>
        <v>3062.2107969151671</v>
      </c>
      <c r="G108" s="14">
        <f>'Prices&amp;Fuel'!W108/(1-'Prices&amp;Fuel'!F108)</f>
        <v>1065.2956298200513</v>
      </c>
      <c r="H108" s="25">
        <f>('Prices&amp;Fuel'!C108+'Prices&amp;Fuel'!D108)/2-0.02+(('Prices&amp;Fuel'!M108+'Prices&amp;Fuel'!P108)*(1-'Prices&amp;Fuel'!F108))</f>
        <v>5.1844520330999995</v>
      </c>
      <c r="I108" s="25"/>
      <c r="J108" s="25"/>
      <c r="K108" s="25">
        <f>(((B108+E108)*('Prices&amp;Fuel'!B108+0.025))+(('Prices&amp;Fuel'!D108+0.025)*(D108+G108))+(('Prices&amp;Fuel'!C108+0.025)*(C108+F108))-(I108+J108)*0.025)/(B108+C108+D108+E108+F108+G108)</f>
        <v>4.4620413783380952</v>
      </c>
      <c r="L108" s="14">
        <f>(B108+C108+D108+E108+F108+G108)*H108*'Prices&amp;Fuel'!H108</f>
        <v>3358565.3273552693</v>
      </c>
      <c r="M108" s="14">
        <f>'Prices&amp;Fuel'!X108*('Prices&amp;Fuel'!N108+'Prices&amp;Fuel'!O108)*'Prices&amp;Fuel'!H108</f>
        <v>9134.1681425398001</v>
      </c>
      <c r="N108" s="14">
        <f>('Prices&amp;Fuel'!U108+'Prices&amp;Fuel'!V108+'Prices&amp;Fuel'!W108)*('Prices&amp;Fuel'!L108+'Prices&amp;Fuel'!O108)*'Prices&amp;Fuel'!H108</f>
        <v>69689.82458385783</v>
      </c>
      <c r="O108" s="14">
        <f>((B108+C108+D108)*(1-'Prices&amp;Fuel'!G108))*('Prices&amp;Fuel'!M108+'Prices&amp;Fuel'!P108)*'Prices&amp;Fuel'!H108</f>
        <v>346909.29</v>
      </c>
      <c r="P108" s="14">
        <f>((B108+C108+D108+E108+F108+G108)/(1-'Prices&amp;Fuel'!F108))*(1-'Prices&amp;Fuel'!F108)*'Prices&amp;Fuel'!H108*0.005</f>
        <v>3239.0745501285346</v>
      </c>
      <c r="Q108" s="14">
        <f>((D108+C108+B108+E108+F108+G108)*K108*'Prices&amp;Fuel'!H108)+M108+N108+O108+P108</f>
        <v>3319549.2913156003</v>
      </c>
      <c r="R108" s="6">
        <f t="shared" si="13"/>
        <v>39016.036039669067</v>
      </c>
      <c r="T108" s="3">
        <f t="shared" si="15"/>
        <v>21000</v>
      </c>
    </row>
    <row r="109" spans="1:20" x14ac:dyDescent="0.2">
      <c r="A109" s="10">
        <f t="shared" si="11"/>
        <v>38912.333333333081</v>
      </c>
      <c r="B109" s="6">
        <f>IF(T109-((E109+F109+G109)*(1-'Prices&amp;Fuel'!F109))&lt;'Prices&amp;Fuel'!R109,(T109-(E109+F109+G109)*(1-'Prices&amp;Fuel'!F109)),'Prices&amp;Fuel'!R109)/(1-'Prices&amp;Fuel'!F109)</f>
        <v>8976.8637532133671</v>
      </c>
      <c r="C109" s="14">
        <f>(T109/(1-'Prices&amp;Fuel'!F109))-D109-E109-F109-G109-B109</f>
        <v>1.3824319466948509E-10</v>
      </c>
      <c r="D109" s="14">
        <f>ROUND(IF(T109/(1-'Prices&amp;Fuel'!F109)-E109-F109-G109-B109&gt;'Prices&amp;Fuel'!T109,'Prices&amp;Fuel'!T109,T109/(1-'Prices&amp;Fuel'!F109)-E109-F109-G109-B109),9)</f>
        <v>6556.2982005140002</v>
      </c>
      <c r="E109" s="14">
        <f>'Prices&amp;Fuel'!U109/(1-'Prices&amp;Fuel'!F109)</f>
        <v>1933.1619537275064</v>
      </c>
      <c r="F109" s="14">
        <f>('Prices&amp;Fuel'!V109+'Prices&amp;Fuel'!X109)/(1-'Prices&amp;Fuel'!F109)</f>
        <v>3062.2107969151671</v>
      </c>
      <c r="G109" s="14">
        <f>'Prices&amp;Fuel'!W109/(1-'Prices&amp;Fuel'!F109)</f>
        <v>1065.2956298200513</v>
      </c>
      <c r="H109" s="25">
        <f>('Prices&amp;Fuel'!C109+'Prices&amp;Fuel'!D109)/2-0.02+(('Prices&amp;Fuel'!M109+'Prices&amp;Fuel'!P109)*(1-'Prices&amp;Fuel'!F109))</f>
        <v>5.174045993</v>
      </c>
      <c r="I109" s="25"/>
      <c r="J109" s="25"/>
      <c r="K109" s="25">
        <f>(((B109+E109)*('Prices&amp;Fuel'!B109+0.025))+(('Prices&amp;Fuel'!D109+0.025)*(D109+G109))+(('Prices&amp;Fuel'!C109+0.025)*(C109+F109))-(I109+J109)*0.025)/(B109+C109+D109+E109+F109+G109)</f>
        <v>4.4516353382380967</v>
      </c>
      <c r="L109" s="14">
        <f>(B109+C109+D109+E109+F109+G109)*H109*'Prices&amp;Fuel'!H109</f>
        <v>3463551.610738303</v>
      </c>
      <c r="M109" s="14">
        <f>'Prices&amp;Fuel'!X109*('Prices&amp;Fuel'!N109+'Prices&amp;Fuel'!O109)*'Prices&amp;Fuel'!H109</f>
        <v>9438.6404139577935</v>
      </c>
      <c r="N109" s="14">
        <f>('Prices&amp;Fuel'!U109+'Prices&amp;Fuel'!V109+'Prices&amp;Fuel'!W109)*('Prices&amp;Fuel'!L109+'Prices&amp;Fuel'!O109)*'Prices&amp;Fuel'!H109</f>
        <v>72012.818736653091</v>
      </c>
      <c r="O109" s="14">
        <f>((B109+C109+D109)*(1-'Prices&amp;Fuel'!G109))*('Prices&amp;Fuel'!M109+'Prices&amp;Fuel'!P109)*'Prices&amp;Fuel'!H109</f>
        <v>358472.93300000002</v>
      </c>
      <c r="P109" s="14">
        <f>((B109+C109+D109+E109+F109+G109)/(1-'Prices&amp;Fuel'!F109))*(1-'Prices&amp;Fuel'!F109)*'Prices&amp;Fuel'!H109*0.005</f>
        <v>3347.043701799485</v>
      </c>
      <c r="Q109" s="14">
        <f>((D109+C109+B109+E109+F109+G109)*K109*'Prices&amp;Fuel'!H109)+M109+N109+O109+P109</f>
        <v>3423235.0401639794</v>
      </c>
      <c r="R109" s="6">
        <f t="shared" si="13"/>
        <v>40316.570574323647</v>
      </c>
      <c r="T109" s="3">
        <f t="shared" si="15"/>
        <v>21000</v>
      </c>
    </row>
    <row r="110" spans="1:20" x14ac:dyDescent="0.2">
      <c r="A110" s="10">
        <f t="shared" si="11"/>
        <v>38942.749999999745</v>
      </c>
      <c r="B110" s="6">
        <f>IF(T110-((E110+F110+G110)*(1-'Prices&amp;Fuel'!F110))&lt;'Prices&amp;Fuel'!R110,(T110-(E110+F110+G110)*(1-'Prices&amp;Fuel'!F110)),'Prices&amp;Fuel'!R110)/(1-'Prices&amp;Fuel'!F110)</f>
        <v>8976.8637532133671</v>
      </c>
      <c r="C110" s="14">
        <f>(T110/(1-'Prices&amp;Fuel'!F110))-D110-E110-F110-G110-B110</f>
        <v>1.3824319466948509E-10</v>
      </c>
      <c r="D110" s="14">
        <f>ROUND(IF(T110/(1-'Prices&amp;Fuel'!F110)-E110-F110-G110-B110&gt;'Prices&amp;Fuel'!T110,'Prices&amp;Fuel'!T110,T110/(1-'Prices&amp;Fuel'!F110)-E110-F110-G110-B110),9)</f>
        <v>6556.2982005140002</v>
      </c>
      <c r="E110" s="14">
        <f>'Prices&amp;Fuel'!U110/(1-'Prices&amp;Fuel'!F110)</f>
        <v>1933.1619537275064</v>
      </c>
      <c r="F110" s="14">
        <f>('Prices&amp;Fuel'!V110+'Prices&amp;Fuel'!X110)/(1-'Prices&amp;Fuel'!F110)</f>
        <v>3062.2107969151671</v>
      </c>
      <c r="G110" s="14">
        <f>'Prices&amp;Fuel'!W110/(1-'Prices&amp;Fuel'!F110)</f>
        <v>1065.2956298200513</v>
      </c>
      <c r="H110" s="25">
        <f>('Prices&amp;Fuel'!C110+'Prices&amp;Fuel'!D110)/2-0.02+(('Prices&amp;Fuel'!M110+'Prices&amp;Fuel'!P110)*(1-'Prices&amp;Fuel'!F110))</f>
        <v>4.6121198275999999</v>
      </c>
      <c r="I110" s="25"/>
      <c r="J110" s="25"/>
      <c r="K110" s="25">
        <f>(((B110+E110)*('Prices&amp;Fuel'!B110+0.025))+(('Prices&amp;Fuel'!D110+0.025)*(D110+G110))+(('Prices&amp;Fuel'!C110+0.025)*(C110+F110))-(I110+J110)*0.025)/(B110+C110+D110+E110+F110+G110)</f>
        <v>3.8897091728380961</v>
      </c>
      <c r="L110" s="14">
        <f>(B110+C110+D110+E110+F110+G110)*H110*'Prices&amp;Fuel'!H110</f>
        <v>3087393.3241826217</v>
      </c>
      <c r="M110" s="14">
        <f>'Prices&amp;Fuel'!X110*('Prices&amp;Fuel'!N110+'Prices&amp;Fuel'!O110)*'Prices&amp;Fuel'!H110</f>
        <v>9438.6404139577935</v>
      </c>
      <c r="N110" s="14">
        <f>('Prices&amp;Fuel'!U110+'Prices&amp;Fuel'!V110+'Prices&amp;Fuel'!W110)*('Prices&amp;Fuel'!L110+'Prices&amp;Fuel'!O110)*'Prices&amp;Fuel'!H110</f>
        <v>72012.818736653091</v>
      </c>
      <c r="O110" s="14">
        <f>((B110+C110+D110)*(1-'Prices&amp;Fuel'!G110))*('Prices&amp;Fuel'!M110+'Prices&amp;Fuel'!P110)*'Prices&amp;Fuel'!H110</f>
        <v>358472.93300000002</v>
      </c>
      <c r="P110" s="14">
        <f>((B110+C110+D110+E110+F110+G110)/(1-'Prices&amp;Fuel'!F110))*(1-'Prices&amp;Fuel'!F110)*'Prices&amp;Fuel'!H110*0.005</f>
        <v>3347.043701799485</v>
      </c>
      <c r="Q110" s="14">
        <f>((D110+C110+B110+E110+F110+G110)*K110*'Prices&amp;Fuel'!H110)+M110+N110+O110+P110</f>
        <v>3047076.7536082976</v>
      </c>
      <c r="R110" s="6">
        <f t="shared" si="13"/>
        <v>40316.570574324112</v>
      </c>
      <c r="T110" s="3">
        <f t="shared" si="15"/>
        <v>21000</v>
      </c>
    </row>
    <row r="111" spans="1:20" x14ac:dyDescent="0.2">
      <c r="A111" s="10">
        <f t="shared" si="11"/>
        <v>38973.16666666641</v>
      </c>
      <c r="B111" s="6">
        <f>IF(T111-((E111+F111+G111)*(1-'Prices&amp;Fuel'!F111))&lt;'Prices&amp;Fuel'!R111,(T111-(E111+F111+G111)*(1-'Prices&amp;Fuel'!F111)),'Prices&amp;Fuel'!R111)/(1-'Prices&amp;Fuel'!F111)</f>
        <v>8976.8637532133671</v>
      </c>
      <c r="C111" s="14">
        <f>(T111/(1-'Prices&amp;Fuel'!F111))-D111-E111-F111-G111-B111</f>
        <v>1.3824319466948509E-10</v>
      </c>
      <c r="D111" s="14">
        <f>ROUND(IF(T111/(1-'Prices&amp;Fuel'!F111)-E111-F111-G111-B111&gt;'Prices&amp;Fuel'!T111,'Prices&amp;Fuel'!T111,T111/(1-'Prices&amp;Fuel'!F111)-E111-F111-G111-B111),9)</f>
        <v>6556.2982005140002</v>
      </c>
      <c r="E111" s="14">
        <f>'Prices&amp;Fuel'!U111/(1-'Prices&amp;Fuel'!F111)</f>
        <v>1933.1619537275064</v>
      </c>
      <c r="F111" s="14">
        <f>('Prices&amp;Fuel'!V111+'Prices&amp;Fuel'!X111)/(1-'Prices&amp;Fuel'!F111)</f>
        <v>3062.2107969151671</v>
      </c>
      <c r="G111" s="14">
        <f>'Prices&amp;Fuel'!W111/(1-'Prices&amp;Fuel'!F111)</f>
        <v>1065.2956298200513</v>
      </c>
      <c r="H111" s="25">
        <f>('Prices&amp;Fuel'!C111+'Prices&amp;Fuel'!D111)/2-0.02+(('Prices&amp;Fuel'!M111+'Prices&amp;Fuel'!P111)*(1-'Prices&amp;Fuel'!F111))</f>
        <v>5.4133849153000018</v>
      </c>
      <c r="I111" s="25"/>
      <c r="J111" s="25"/>
      <c r="K111" s="25">
        <f>(((B111+E111)*('Prices&amp;Fuel'!B111+0.025))+(('Prices&amp;Fuel'!D111+0.025)*(D111+G111))+(('Prices&amp;Fuel'!C111+0.025)*(C111+F111))-(I111+J111)*0.025)/(B111+C111+D111+E111+F111+G111)</f>
        <v>4.6909742605380966</v>
      </c>
      <c r="L111" s="14">
        <f>(B111+C111+D111+E111+F111+G111)*H111*'Prices&amp;Fuel'!H111</f>
        <v>3506871.4618395893</v>
      </c>
      <c r="M111" s="14">
        <f>'Prices&amp;Fuel'!X111*('Prices&amp;Fuel'!N111+'Prices&amp;Fuel'!O111)*'Prices&amp;Fuel'!H111</f>
        <v>9134.1681425398001</v>
      </c>
      <c r="N111" s="14">
        <f>('Prices&amp;Fuel'!U111+'Prices&amp;Fuel'!V111+'Prices&amp;Fuel'!W111)*('Prices&amp;Fuel'!L111+'Prices&amp;Fuel'!O111)*'Prices&amp;Fuel'!H111</f>
        <v>69689.82458385783</v>
      </c>
      <c r="O111" s="14">
        <f>((B111+C111+D111)*(1-'Prices&amp;Fuel'!G111))*('Prices&amp;Fuel'!M111+'Prices&amp;Fuel'!P111)*'Prices&amp;Fuel'!H111</f>
        <v>346909.29</v>
      </c>
      <c r="P111" s="14">
        <f>((B111+C111+D111+E111+F111+G111)/(1-'Prices&amp;Fuel'!F111))*(1-'Prices&amp;Fuel'!F111)*'Prices&amp;Fuel'!H111*0.005</f>
        <v>3239.0745501285346</v>
      </c>
      <c r="Q111" s="14">
        <f>((D111+C111+B111+E111+F111+G111)*K111*'Prices&amp;Fuel'!H111)+M111+N111+O111+P111</f>
        <v>3467855.4257999198</v>
      </c>
      <c r="R111" s="6">
        <f t="shared" si="13"/>
        <v>39016.036039669532</v>
      </c>
      <c r="T111" s="3">
        <f t="shared" si="15"/>
        <v>21000</v>
      </c>
    </row>
    <row r="112" spans="1:20" x14ac:dyDescent="0.2">
      <c r="A112" s="10">
        <f t="shared" si="11"/>
        <v>39003.583333333074</v>
      </c>
      <c r="B112" s="6">
        <f>IF(T112-((E112+F112+G112)*(1-'Prices&amp;Fuel'!F112))&lt;'Prices&amp;Fuel'!R112,(T112-(E112+F112+G112)*(1-'Prices&amp;Fuel'!F112)),'Prices&amp;Fuel'!R112)/(1-'Prices&amp;Fuel'!F112)</f>
        <v>8976.8637532133671</v>
      </c>
      <c r="C112" s="14">
        <f>(T112/(1-'Prices&amp;Fuel'!F112))-D112-E112-F112-G112-B112</f>
        <v>2.0190782379359007E-10</v>
      </c>
      <c r="D112" s="14">
        <f>ROUND(IF(T112/(1-'Prices&amp;Fuel'!F112)-E112-F112-G112-B112&gt;'Prices&amp;Fuel'!T112,'Prices&amp;Fuel'!T112,T112/(1-'Prices&amp;Fuel'!F112)-E112-F112-G112-B112),9)</f>
        <v>3514.6529562979999</v>
      </c>
      <c r="E112" s="14">
        <f>'Prices&amp;Fuel'!U112/(1-'Prices&amp;Fuel'!F112)</f>
        <v>2910.025706940874</v>
      </c>
      <c r="F112" s="14">
        <f>('Prices&amp;Fuel'!V112+'Prices&amp;Fuel'!X112)/(1-'Prices&amp;Fuel'!F112)</f>
        <v>4628.2776349614396</v>
      </c>
      <c r="G112" s="14">
        <f>'Prices&amp;Fuel'!W112/(1-'Prices&amp;Fuel'!F112)</f>
        <v>1564.0102827763496</v>
      </c>
      <c r="H112" s="25">
        <f>('Prices&amp;Fuel'!C112+'Prices&amp;Fuel'!D112)/2-0.02+(('Prices&amp;Fuel'!M112+'Prices&amp;Fuel'!P112)*(1-'Prices&amp;Fuel'!F112))</f>
        <v>6.1209956421000005</v>
      </c>
      <c r="I112" s="25"/>
      <c r="J112" s="25"/>
      <c r="K112" s="25">
        <f>(((B112+E112)*('Prices&amp;Fuel'!B112+0.025))+(('Prices&amp;Fuel'!D112+0.025)*(D112+G112))+(('Prices&amp;Fuel'!C112+0.025)*(C112+F112))-(I112+J112)*0.025)/(B112+C112+D112+E112+F112+G112)</f>
        <v>5.4017587968619063</v>
      </c>
      <c r="L112" s="14">
        <f>(B112+C112+D112+E112+F112+G112)*H112*'Prices&amp;Fuel'!H112</f>
        <v>4097447.9825265817</v>
      </c>
      <c r="M112" s="14">
        <f>'Prices&amp;Fuel'!X112*('Prices&amp;Fuel'!N112+'Prices&amp;Fuel'!O112)*'Prices&amp;Fuel'!H112</f>
        <v>13833.205057645318</v>
      </c>
      <c r="N112" s="14">
        <f>('Prices&amp;Fuel'!U112+'Prices&amp;Fuel'!V112+'Prices&amp;Fuel'!W112)*('Prices&amp;Fuel'!L112+'Prices&amp;Fuel'!O112)*'Prices&amp;Fuel'!H112</f>
        <v>108495.99691066272</v>
      </c>
      <c r="O112" s="14">
        <f>((B112+C112+D112)*(1-'Prices&amp;Fuel'!G112))*('Prices&amp;Fuel'!M112+'Prices&amp;Fuel'!P112)*'Prices&amp;Fuel'!H112</f>
        <v>288278.114</v>
      </c>
      <c r="P112" s="14">
        <f>((B112+C112+D112+E112+F112+G112)/(1-'Prices&amp;Fuel'!F112))*(1-'Prices&amp;Fuel'!F112)*'Prices&amp;Fuel'!H112*0.005</f>
        <v>3347.0437017994859</v>
      </c>
      <c r="Q112" s="14">
        <f>((D112+C112+B112+E112+F112+G112)*K112*'Prices&amp;Fuel'!H112)+M112+N112+O112+P112</f>
        <v>4029938.9116054303</v>
      </c>
      <c r="R112" s="6">
        <f t="shared" si="13"/>
        <v>67509.070921151433</v>
      </c>
      <c r="T112" s="3">
        <f t="shared" si="15"/>
        <v>21000</v>
      </c>
    </row>
    <row r="113" spans="1:20" x14ac:dyDescent="0.2">
      <c r="A113" s="10">
        <f t="shared" si="11"/>
        <v>39033.999999999738</v>
      </c>
      <c r="B113" s="6">
        <f>IF(T113-((E113+F113+G113)*(1-'Prices&amp;Fuel'!F113))&lt;'Prices&amp;Fuel'!R113,(T113-(E113+F113+G113)*(1-'Prices&amp;Fuel'!F113)),'Prices&amp;Fuel'!R113)/(1-'Prices&amp;Fuel'!F113)</f>
        <v>4325.9640102827761</v>
      </c>
      <c r="C113" s="14">
        <f>(T113/(1-'Prices&amp;Fuel'!F113))-D113-E113-F113-G113-B113</f>
        <v>0</v>
      </c>
      <c r="D113" s="14">
        <f>ROUND(IF(T113/(1-'Prices&amp;Fuel'!F113)-E113-F113-G113-B113&gt;'Prices&amp;Fuel'!T113,'Prices&amp;Fuel'!T113,T113/(1-'Prices&amp;Fuel'!F113)-E113-F113-G113-B113),9)</f>
        <v>0</v>
      </c>
      <c r="E113" s="14">
        <f>'Prices&amp;Fuel'!U113/(1-'Prices&amp;Fuel'!F113)</f>
        <v>2635.4755784061695</v>
      </c>
      <c r="F113" s="14">
        <f>('Prices&amp;Fuel'!V113+'Prices&amp;Fuel'!X113)/(1-'Prices&amp;Fuel'!F113)</f>
        <v>3645.2442159383031</v>
      </c>
      <c r="G113" s="14">
        <f>'Prices&amp;Fuel'!W113/(1-'Prices&amp;Fuel'!F113)</f>
        <v>1732.6478149100255</v>
      </c>
      <c r="H113" s="25">
        <f>('Prices&amp;Fuel'!C113+'Prices&amp;Fuel'!D113)/2-0.01+(('Prices&amp;Fuel'!M113+'Prices&amp;Fuel'!P113)*(1-'Prices&amp;Fuel'!F113))</f>
        <v>4.3307507048000007</v>
      </c>
      <c r="I113" s="25"/>
      <c r="J113" s="25"/>
      <c r="K113" s="25">
        <f>(((B113+E113)*('Prices&amp;Fuel'!B113+0.025))+(('Prices&amp;Fuel'!D113+0.025)*(D113+G113))+(('Prices&amp;Fuel'!C113+0.025)*(C113+F113))-(I113+J113)*0.025)/(B113+C113+D113+E113+F113+G113)</f>
        <v>3.6054311214666672</v>
      </c>
      <c r="L113" s="14">
        <f>(B113+C113+D113+E113+F113+G113)*H113*'Prices&amp;Fuel'!H113</f>
        <v>1603157.0732421596</v>
      </c>
      <c r="M113" s="14">
        <f>'Prices&amp;Fuel'!X113*('Prices&amp;Fuel'!N113+'Prices&amp;Fuel'!O113)*'Prices&amp;Fuel'!H113</f>
        <v>9134.1681425398001</v>
      </c>
      <c r="N113" s="14">
        <f>('Prices&amp;Fuel'!U113+'Prices&amp;Fuel'!V113+'Prices&amp;Fuel'!W113)*('Prices&amp;Fuel'!L113+'Prices&amp;Fuel'!O113)*'Prices&amp;Fuel'!H113</f>
        <v>95086.289155868202</v>
      </c>
      <c r="O113" s="14">
        <f>((B113+C113+D113)*(1-'Prices&amp;Fuel'!G113))*('Prices&amp;Fuel'!M113+'Prices&amp;Fuel'!P113)*'Prices&amp;Fuel'!H113</f>
        <v>96613.75499999999</v>
      </c>
      <c r="P113" s="14">
        <f>((B113+C113+D113+E113+F113+G113)/(1-'Prices&amp;Fuel'!F113))*(1-'Prices&amp;Fuel'!F113)*'Prices&amp;Fuel'!H113*0.005</f>
        <v>1850.8997429305912</v>
      </c>
      <c r="Q113" s="14">
        <f>((D113+C113+B113+E113+F113+G113)*K113*'Prices&amp;Fuel'!H113)+M113+N113+O113+P113</f>
        <v>1537343.4192166601</v>
      </c>
      <c r="R113" s="6">
        <f t="shared" ref="R113:R144" si="16">L113-Q113</f>
        <v>65813.654025499476</v>
      </c>
      <c r="T113" s="3">
        <v>12000</v>
      </c>
    </row>
    <row r="114" spans="1:20" x14ac:dyDescent="0.2">
      <c r="A114" s="10">
        <f t="shared" si="11"/>
        <v>39064.416666666402</v>
      </c>
      <c r="B114" s="6">
        <f>IF(T114-((E114+F114+G114)*(1-'Prices&amp;Fuel'!F114))&lt;'Prices&amp;Fuel'!R114,(T114-(E114+F114+G114)*(1-'Prices&amp;Fuel'!F114)),'Prices&amp;Fuel'!R114)/(1-'Prices&amp;Fuel'!F114)</f>
        <v>4325.9640102827761</v>
      </c>
      <c r="C114" s="14">
        <f>(T114/(1-'Prices&amp;Fuel'!F114))-D114-E114-F114-G114-B114</f>
        <v>0</v>
      </c>
      <c r="D114" s="14">
        <f>ROUND(IF(T114/(1-'Prices&amp;Fuel'!F114)-E114-F114-G114-B114&gt;'Prices&amp;Fuel'!T114,'Prices&amp;Fuel'!T114,T114/(1-'Prices&amp;Fuel'!F114)-E114-F114-G114-B114),9)</f>
        <v>0</v>
      </c>
      <c r="E114" s="14">
        <f>'Prices&amp;Fuel'!U114/(1-'Prices&amp;Fuel'!F114)</f>
        <v>2635.4755784061695</v>
      </c>
      <c r="F114" s="14">
        <f>('Prices&amp;Fuel'!V114+'Prices&amp;Fuel'!X114)/(1-'Prices&amp;Fuel'!F114)</f>
        <v>3645.2442159383031</v>
      </c>
      <c r="G114" s="14">
        <f>'Prices&amp;Fuel'!W114/(1-'Prices&amp;Fuel'!F114)</f>
        <v>1732.6478149100255</v>
      </c>
      <c r="H114" s="25">
        <f>('Prices&amp;Fuel'!C114+'Prices&amp;Fuel'!D114)/2-0.01+(('Prices&amp;Fuel'!M114+'Prices&amp;Fuel'!P114)*(1-'Prices&amp;Fuel'!F114))</f>
        <v>3.4150191760000013</v>
      </c>
      <c r="I114" s="25"/>
      <c r="J114" s="25"/>
      <c r="K114" s="25">
        <f>(((B114+E114)*('Prices&amp;Fuel'!B114+0.025))+(('Prices&amp;Fuel'!D114+0.025)*(D114+G114))+(('Prices&amp;Fuel'!C114+0.025)*(C114+F114))-(I114+J114)*0.025)/(B114+C114+D114+E114+F114+G114)</f>
        <v>2.6896995926666678</v>
      </c>
      <c r="L114" s="14">
        <f>(B114+C114+D114+E114+F114+G114)*H114*'Prices&amp;Fuel'!H114</f>
        <v>1306310.6770920311</v>
      </c>
      <c r="M114" s="14">
        <f>'Prices&amp;Fuel'!X114*('Prices&amp;Fuel'!N114+'Prices&amp;Fuel'!O114)*'Prices&amp;Fuel'!H114</f>
        <v>9438.6404139577935</v>
      </c>
      <c r="N114" s="14">
        <f>('Prices&amp;Fuel'!U114+'Prices&amp;Fuel'!V114+'Prices&amp;Fuel'!W114)*('Prices&amp;Fuel'!L114+'Prices&amp;Fuel'!O114)*'Prices&amp;Fuel'!H114</f>
        <v>98255.832127730479</v>
      </c>
      <c r="O114" s="14">
        <f>((B114+C114+D114)*(1-'Prices&amp;Fuel'!G114))*('Prices&amp;Fuel'!M114+'Prices&amp;Fuel'!P114)*'Prices&amp;Fuel'!H114</f>
        <v>99834.213499999998</v>
      </c>
      <c r="P114" s="14">
        <f>((B114+C114+D114+E114+F114+G114)/(1-'Prices&amp;Fuel'!F114))*(1-'Prices&amp;Fuel'!F114)*'Prices&amp;Fuel'!H114*0.005</f>
        <v>1912.5964010282776</v>
      </c>
      <c r="Q114" s="14">
        <f>((D114+C114+B114+E114+F114+G114)*K114*'Prices&amp;Fuel'!H114)+M114+N114+O114+P114</f>
        <v>1238303.2345990152</v>
      </c>
      <c r="R114" s="6">
        <f t="shared" si="16"/>
        <v>68007.4424930159</v>
      </c>
      <c r="T114" s="3">
        <f>T113</f>
        <v>12000</v>
      </c>
    </row>
    <row r="115" spans="1:20" x14ac:dyDescent="0.2">
      <c r="A115" s="10">
        <f t="shared" si="11"/>
        <v>39094.833333333067</v>
      </c>
      <c r="B115" s="6">
        <f>IF(T115-((E115+F115+G115)*(1-'Prices&amp;Fuel'!F115))&lt;'Prices&amp;Fuel'!R115,(T115-(E115+F115+G115)*(1-'Prices&amp;Fuel'!F115)),'Prices&amp;Fuel'!R115)/(1-'Prices&amp;Fuel'!F115)</f>
        <v>4325.9640102827761</v>
      </c>
      <c r="C115" s="14">
        <f>(T115/(1-'Prices&amp;Fuel'!F115))-D115-E115-F115-G115-B115</f>
        <v>0</v>
      </c>
      <c r="D115" s="14">
        <f>ROUND(IF(T115/(1-'Prices&amp;Fuel'!F115)-E115-F115-G115-B115&gt;'Prices&amp;Fuel'!T115,'Prices&amp;Fuel'!T115,T115/(1-'Prices&amp;Fuel'!F115)-E115-F115-G115-B115),9)</f>
        <v>0</v>
      </c>
      <c r="E115" s="14">
        <f>'Prices&amp;Fuel'!U115/(1-'Prices&amp;Fuel'!F115)</f>
        <v>2635.4755784061695</v>
      </c>
      <c r="F115" s="14">
        <f>('Prices&amp;Fuel'!V115+'Prices&amp;Fuel'!X115)/(1-'Prices&amp;Fuel'!F115)</f>
        <v>3645.2442159383031</v>
      </c>
      <c r="G115" s="14">
        <f>'Prices&amp;Fuel'!W115/(1-'Prices&amp;Fuel'!F115)</f>
        <v>1732.6478149100255</v>
      </c>
      <c r="H115" s="25">
        <f>('Prices&amp;Fuel'!C115+'Prices&amp;Fuel'!D115)/2-0.01+(('Prices&amp;Fuel'!M115+'Prices&amp;Fuel'!P115)*(1-'Prices&amp;Fuel'!F115))</f>
        <v>3.0952415637270008</v>
      </c>
      <c r="I115" s="25"/>
      <c r="J115" s="25"/>
      <c r="K115" s="25">
        <f>(((B115+E115)*('Prices&amp;Fuel'!B115+0.025))+(('Prices&amp;Fuel'!D115+0.025)*(D115+G115))+(('Prices&amp;Fuel'!C115+0.025)*(C115+F115))-(I115+J115)*0.025)/(B115+C115+D115+E115+F115+G115)</f>
        <v>2.3699219803936669</v>
      </c>
      <c r="L115" s="14">
        <f>(B115+C115+D115+E115+F115+G115)*H115*'Prices&amp;Fuel'!H115</f>
        <v>1183989.5750194797</v>
      </c>
      <c r="M115" s="14">
        <f>'Prices&amp;Fuel'!X115*('Prices&amp;Fuel'!N115+'Prices&amp;Fuel'!O115)*'Prices&amp;Fuel'!H115</f>
        <v>9438.6404139577935</v>
      </c>
      <c r="N115" s="14">
        <f>('Prices&amp;Fuel'!U115+'Prices&amp;Fuel'!V115+'Prices&amp;Fuel'!W115)*('Prices&amp;Fuel'!L115+'Prices&amp;Fuel'!O115)*'Prices&amp;Fuel'!H115</f>
        <v>98255.832127730479</v>
      </c>
      <c r="O115" s="14">
        <f>((B115+C115+D115)*(1-'Prices&amp;Fuel'!G115))*('Prices&amp;Fuel'!M115+'Prices&amp;Fuel'!P115)*'Prices&amp;Fuel'!H115</f>
        <v>99834.213499999998</v>
      </c>
      <c r="P115" s="14">
        <f>((B115+C115+D115+E115+F115+G115)/(1-'Prices&amp;Fuel'!F115))*(1-'Prices&amp;Fuel'!F115)*'Prices&amp;Fuel'!H115*0.005</f>
        <v>1912.5964010282776</v>
      </c>
      <c r="Q115" s="14">
        <f>((D115+C115+B115+E115+F115+G115)*K115*'Prices&amp;Fuel'!H115)+M115+N115+O115+P115</f>
        <v>1115982.1325264636</v>
      </c>
      <c r="R115" s="6">
        <f t="shared" si="16"/>
        <v>68007.442493016133</v>
      </c>
      <c r="T115" s="3">
        <f t="shared" ref="T115:T124" si="17">T114</f>
        <v>12000</v>
      </c>
    </row>
    <row r="116" spans="1:20" x14ac:dyDescent="0.2">
      <c r="A116" s="10">
        <f t="shared" si="11"/>
        <v>39125.249999999731</v>
      </c>
      <c r="B116" s="6">
        <f>IF(T116-((E116+F116+G116)*(1-'Prices&amp;Fuel'!F116))&lt;'Prices&amp;Fuel'!R116,(T116-(E116+F116+G116)*(1-'Prices&amp;Fuel'!F116)),'Prices&amp;Fuel'!R116)/(1-'Prices&amp;Fuel'!F116)</f>
        <v>4325.9640102827761</v>
      </c>
      <c r="C116" s="14">
        <f>(T116/(1-'Prices&amp;Fuel'!F116))-D116-E116-F116-G116-B116</f>
        <v>0</v>
      </c>
      <c r="D116" s="14">
        <f>ROUND(IF(T116/(1-'Prices&amp;Fuel'!F116)-E116-F116-G116-B116&gt;'Prices&amp;Fuel'!T116,'Prices&amp;Fuel'!T116,T116/(1-'Prices&amp;Fuel'!F116)-E116-F116-G116-B116),9)</f>
        <v>0</v>
      </c>
      <c r="E116" s="14">
        <f>'Prices&amp;Fuel'!U116/(1-'Prices&amp;Fuel'!F116)</f>
        <v>2635.4755784061695</v>
      </c>
      <c r="F116" s="14">
        <f>('Prices&amp;Fuel'!V116+'Prices&amp;Fuel'!X116)/(1-'Prices&amp;Fuel'!F116)</f>
        <v>3645.2442159383031</v>
      </c>
      <c r="G116" s="14">
        <f>'Prices&amp;Fuel'!W116/(1-'Prices&amp;Fuel'!F116)</f>
        <v>1732.6478149100255</v>
      </c>
      <c r="H116" s="25">
        <f>('Prices&amp;Fuel'!C116+'Prices&amp;Fuel'!D116)/2-0.01+(('Prices&amp;Fuel'!M116+'Prices&amp;Fuel'!P116)*(1-'Prices&amp;Fuel'!F116))</f>
        <v>3.3790142772540004</v>
      </c>
      <c r="I116" s="25"/>
      <c r="J116" s="25"/>
      <c r="K116" s="25">
        <f>(((B116+E116)*('Prices&amp;Fuel'!B116+0.025))+(('Prices&amp;Fuel'!D116+0.025)*(D116+G116))+(('Prices&amp;Fuel'!C116+0.025)*(C116+F116))-(I116+J116)*0.025)/(B116+C116+D116+E116+F116+G116)</f>
        <v>2.6536946939206669</v>
      </c>
      <c r="L116" s="14">
        <f>(B116+C116+D116+E116+F116+G116)*H116*'Prices&amp;Fuel'!H116</f>
        <v>1167453.775997269</v>
      </c>
      <c r="M116" s="14">
        <f>'Prices&amp;Fuel'!X116*('Prices&amp;Fuel'!N116+'Prices&amp;Fuel'!O116)*'Prices&amp;Fuel'!H116</f>
        <v>8525.2235997038133</v>
      </c>
      <c r="N116" s="14">
        <f>('Prices&amp;Fuel'!U116+'Prices&amp;Fuel'!V116+'Prices&amp;Fuel'!W116)*('Prices&amp;Fuel'!L116+'Prices&amp;Fuel'!O116)*'Prices&amp;Fuel'!H116</f>
        <v>88747.203212143664</v>
      </c>
      <c r="O116" s="14">
        <f>((B116+C116+D116)*(1-'Prices&amp;Fuel'!G116))*('Prices&amp;Fuel'!M116+'Prices&amp;Fuel'!P116)*'Prices&amp;Fuel'!H116</f>
        <v>90172.837999999989</v>
      </c>
      <c r="P116" s="14">
        <f>((B116+C116+D116+E116+F116+G116)/(1-'Prices&amp;Fuel'!F116))*(1-'Prices&amp;Fuel'!F116)*'Prices&amp;Fuel'!H116*0.005</f>
        <v>1727.5064267352184</v>
      </c>
      <c r="Q116" s="14">
        <f>((D116+C116+B116+E116+F116+G116)*K116*'Prices&amp;Fuel'!H116)+M116+N116+O116+P116</f>
        <v>1106027.6989068028</v>
      </c>
      <c r="R116" s="6">
        <f t="shared" si="16"/>
        <v>61426.077090466162</v>
      </c>
      <c r="T116" s="3">
        <f t="shared" si="17"/>
        <v>12000</v>
      </c>
    </row>
    <row r="117" spans="1:20" x14ac:dyDescent="0.2">
      <c r="A117" s="10">
        <f t="shared" si="11"/>
        <v>39155.666666666395</v>
      </c>
      <c r="B117" s="6">
        <f>IF(T117-((E117+F117+G117)*(1-'Prices&amp;Fuel'!F117))&lt;'Prices&amp;Fuel'!R117,(T117-(E117+F117+G117)*(1-'Prices&amp;Fuel'!F117)),'Prices&amp;Fuel'!R117)/(1-'Prices&amp;Fuel'!F117)</f>
        <v>4325.9640102827761</v>
      </c>
      <c r="C117" s="14">
        <f>(T117/(1-'Prices&amp;Fuel'!F117))-D117-E117-F117-G117-B117</f>
        <v>0</v>
      </c>
      <c r="D117" s="14">
        <f>ROUND(IF(T117/(1-'Prices&amp;Fuel'!F117)-E117-F117-G117-B117&gt;'Prices&amp;Fuel'!T117,'Prices&amp;Fuel'!T117,T117/(1-'Prices&amp;Fuel'!F117)-E117-F117-G117-B117),9)</f>
        <v>0</v>
      </c>
      <c r="E117" s="14">
        <f>'Prices&amp;Fuel'!U117/(1-'Prices&amp;Fuel'!F117)</f>
        <v>2635.4755784061695</v>
      </c>
      <c r="F117" s="14">
        <f>('Prices&amp;Fuel'!V117+'Prices&amp;Fuel'!X117)/(1-'Prices&amp;Fuel'!F117)</f>
        <v>3645.2442159383031</v>
      </c>
      <c r="G117" s="14">
        <f>'Prices&amp;Fuel'!W117/(1-'Prices&amp;Fuel'!F117)</f>
        <v>1732.6478149100255</v>
      </c>
      <c r="H117" s="25">
        <f>('Prices&amp;Fuel'!C117+'Prices&amp;Fuel'!D117)/2-0.01+(('Prices&amp;Fuel'!M117+'Prices&amp;Fuel'!P117)*(1-'Prices&amp;Fuel'!F117))</f>
        <v>3.3790142772540004</v>
      </c>
      <c r="I117" s="25"/>
      <c r="J117" s="25"/>
      <c r="K117" s="25">
        <f>(((B117+E117)*('Prices&amp;Fuel'!B117+0.025))+(('Prices&amp;Fuel'!D117+0.025)*(D117+G117))+(('Prices&amp;Fuel'!C117+0.025)*(C117+F117))-(I117+J117)*0.025)/(B117+C117+D117+E117+F117+G117)</f>
        <v>2.6536946939206669</v>
      </c>
      <c r="L117" s="14">
        <f>(B117+C117+D117+E117+F117+G117)*H117*'Prices&amp;Fuel'!H117</f>
        <v>1292538.1091398334</v>
      </c>
      <c r="M117" s="14">
        <f>'Prices&amp;Fuel'!X117*('Prices&amp;Fuel'!N117+'Prices&amp;Fuel'!O117)*'Prices&amp;Fuel'!H117</f>
        <v>9438.6404139577935</v>
      </c>
      <c r="N117" s="14">
        <f>('Prices&amp;Fuel'!U117+'Prices&amp;Fuel'!V117+'Prices&amp;Fuel'!W117)*('Prices&amp;Fuel'!L117+'Prices&amp;Fuel'!O117)*'Prices&amp;Fuel'!H117</f>
        <v>98255.832127730479</v>
      </c>
      <c r="O117" s="14">
        <f>((B117+C117+D117)*(1-'Prices&amp;Fuel'!G117))*('Prices&amp;Fuel'!M117+'Prices&amp;Fuel'!P117)*'Prices&amp;Fuel'!H117</f>
        <v>99834.213499999998</v>
      </c>
      <c r="P117" s="14">
        <f>((B117+C117+D117+E117+F117+G117)/(1-'Prices&amp;Fuel'!F117))*(1-'Prices&amp;Fuel'!F117)*'Prices&amp;Fuel'!H117*0.005</f>
        <v>1912.5964010282776</v>
      </c>
      <c r="Q117" s="14">
        <f>((D117+C117+B117+E117+F117+G117)*K117*'Prices&amp;Fuel'!H117)+M117+N117+O117+P117</f>
        <v>1224530.6666468172</v>
      </c>
      <c r="R117" s="6">
        <f t="shared" si="16"/>
        <v>68007.442493016133</v>
      </c>
      <c r="T117" s="3">
        <f t="shared" si="17"/>
        <v>12000</v>
      </c>
    </row>
    <row r="118" spans="1:20" x14ac:dyDescent="0.2">
      <c r="A118" s="10">
        <f t="shared" si="11"/>
        <v>39186.083333333059</v>
      </c>
      <c r="B118" s="6">
        <f>IF(T118-((E118+F118+G118)*(1-'Prices&amp;Fuel'!F118))&lt;'Prices&amp;Fuel'!R118,(T118-(E118+F118+G118)*(1-'Prices&amp;Fuel'!F118)),'Prices&amp;Fuel'!R118)/(1-'Prices&amp;Fuel'!F118)</f>
        <v>6278.6632390745499</v>
      </c>
      <c r="C118" s="14">
        <f>(T118/(1-'Prices&amp;Fuel'!F118))-D118-E118-F118-G118-B118</f>
        <v>0</v>
      </c>
      <c r="D118" s="14">
        <f>ROUND(IF(T118/(1-'Prices&amp;Fuel'!F118)-E118-F118-G118-B118&gt;'Prices&amp;Fuel'!T118,'Prices&amp;Fuel'!T118,T118/(1-'Prices&amp;Fuel'!F118)-E118-F118-G118-B118),9)</f>
        <v>0</v>
      </c>
      <c r="E118" s="14">
        <f>'Prices&amp;Fuel'!U118/(1-'Prices&amp;Fuel'!F118)</f>
        <v>1933.1619537275064</v>
      </c>
      <c r="F118" s="14">
        <f>('Prices&amp;Fuel'!V118+'Prices&amp;Fuel'!X118)/(1-'Prices&amp;Fuel'!F118)</f>
        <v>2833.9331619537274</v>
      </c>
      <c r="G118" s="14">
        <f>'Prices&amp;Fuel'!W118/(1-'Prices&amp;Fuel'!F118)</f>
        <v>1293.5732647814909</v>
      </c>
      <c r="H118" s="25">
        <f>('Prices&amp;Fuel'!C118+'Prices&amp;Fuel'!D118)/2-0.01+(('Prices&amp;Fuel'!M118+'Prices&amp;Fuel'!P118)*(1-'Prices&amp;Fuel'!F118))</f>
        <v>3.6627869907810009</v>
      </c>
      <c r="I118" s="25"/>
      <c r="J118" s="25"/>
      <c r="K118" s="25">
        <f>(((B118+E118)*('Prices&amp;Fuel'!B118+0.025))+(('Prices&amp;Fuel'!D118+0.025)*(D118+G118))+(('Prices&amp;Fuel'!C118+0.025)*(C118+F118))-(I118+J118)*0.025)/(B118+C118+D118+E118+F118+G118)</f>
        <v>2.9331665741143333</v>
      </c>
      <c r="L118" s="14">
        <f>(B118+C118+D118+E118+F118+G118)*H118*'Prices&amp;Fuel'!H118</f>
        <v>1355890.2999292137</v>
      </c>
      <c r="M118" s="14">
        <f>'Prices&amp;Fuel'!X118*('Prices&amp;Fuel'!N118+'Prices&amp;Fuel'!O118)*'Prices&amp;Fuel'!H118</f>
        <v>9134.1681425398001</v>
      </c>
      <c r="N118" s="14">
        <f>('Prices&amp;Fuel'!U118+'Prices&amp;Fuel'!V118+'Prices&amp;Fuel'!W118)*('Prices&amp;Fuel'!L118+'Prices&amp;Fuel'!O118)*'Prices&amp;Fuel'!H118</f>
        <v>69689.82458385783</v>
      </c>
      <c r="O118" s="14">
        <f>((B118+C118+D118)*(1-'Prices&amp;Fuel'!G118))*('Prices&amp;Fuel'!M118+'Prices&amp;Fuel'!P118)*'Prices&amp;Fuel'!H118</f>
        <v>140224.29</v>
      </c>
      <c r="P118" s="14">
        <f>((B118+C118+D118+E118+F118+G118)/(1-'Prices&amp;Fuel'!F118))*(1-'Prices&amp;Fuel'!F118)*'Prices&amp;Fuel'!H118*0.005</f>
        <v>1850.8997429305914</v>
      </c>
      <c r="Q118" s="14">
        <f>((D118+C118+B118+E118+F118+G118)*K118*'Prices&amp;Fuel'!H118)+M118+N118+O118+P118</f>
        <v>1306698.634069493</v>
      </c>
      <c r="R118" s="6">
        <f t="shared" si="16"/>
        <v>49191.66585972067</v>
      </c>
      <c r="T118" s="3">
        <f t="shared" si="17"/>
        <v>12000</v>
      </c>
    </row>
    <row r="119" spans="1:20" x14ac:dyDescent="0.2">
      <c r="A119" s="10">
        <f t="shared" si="11"/>
        <v>39216.499999999724</v>
      </c>
      <c r="B119" s="6">
        <f>IF(T119-((E119+F119+G119)*(1-'Prices&amp;Fuel'!F119))&lt;'Prices&amp;Fuel'!R119,(T119-(E119+F119+G119)*(1-'Prices&amp;Fuel'!F119)),'Prices&amp;Fuel'!R119)/(1-'Prices&amp;Fuel'!F119)</f>
        <v>8976.8637532133671</v>
      </c>
      <c r="C119" s="14">
        <f>(T119/(1-'Prices&amp;Fuel'!F119))-D119-E119-F119-G119-B119</f>
        <v>1.3824319466948509E-10</v>
      </c>
      <c r="D119" s="14">
        <f>ROUND(IF(T119/(1-'Prices&amp;Fuel'!F119)-E119-F119-G119-B119&gt;'Prices&amp;Fuel'!T119,'Prices&amp;Fuel'!T119,T119/(1-'Prices&amp;Fuel'!F119)-E119-F119-G119-B119),9)</f>
        <v>6556.2982005140002</v>
      </c>
      <c r="E119" s="14">
        <f>'Prices&amp;Fuel'!U119/(1-'Prices&amp;Fuel'!F119)</f>
        <v>1933.1619537275064</v>
      </c>
      <c r="F119" s="14">
        <f>('Prices&amp;Fuel'!V119+'Prices&amp;Fuel'!X119)/(1-'Prices&amp;Fuel'!F119)</f>
        <v>3062.2107969151671</v>
      </c>
      <c r="G119" s="14">
        <f>'Prices&amp;Fuel'!W119/(1-'Prices&amp;Fuel'!F119)</f>
        <v>1065.2956298200513</v>
      </c>
      <c r="H119" s="25">
        <f>('Prices&amp;Fuel'!C119+'Prices&amp;Fuel'!D119)/2-0.01+(('Prices&amp;Fuel'!M119+'Prices&amp;Fuel'!P119)*(1-'Prices&amp;Fuel'!F119))</f>
        <v>3.8624789003000015</v>
      </c>
      <c r="I119" s="25"/>
      <c r="J119" s="25"/>
      <c r="K119" s="25">
        <f>(((B119+E119)*('Prices&amp;Fuel'!B119+0.025))+(('Prices&amp;Fuel'!D119+0.025)*(D119+G119))+(('Prices&amp;Fuel'!C119+0.025)*(C119+F119))-(I119+J119)*0.025)/(B119+C119+D119+E119+F119+G119)</f>
        <v>3.1300682455380966</v>
      </c>
      <c r="L119" s="14">
        <f>(B119+C119+D119+E119+F119+G119)*H119*'Prices&amp;Fuel'!H119</f>
        <v>2585577.1353165042</v>
      </c>
      <c r="M119" s="14">
        <f>'Prices&amp;Fuel'!X119*('Prices&amp;Fuel'!N119+'Prices&amp;Fuel'!O119)*'Prices&amp;Fuel'!H119</f>
        <v>9438.6404139577935</v>
      </c>
      <c r="N119" s="14">
        <f>('Prices&amp;Fuel'!U119+'Prices&amp;Fuel'!V119+'Prices&amp;Fuel'!W119)*('Prices&amp;Fuel'!L119+'Prices&amp;Fuel'!O119)*'Prices&amp;Fuel'!H119</f>
        <v>72012.818736653091</v>
      </c>
      <c r="O119" s="14">
        <f>((B119+C119+D119)*(1-'Prices&amp;Fuel'!G119))*('Prices&amp;Fuel'!M119+'Prices&amp;Fuel'!P119)*'Prices&amp;Fuel'!H119</f>
        <v>358472.93300000002</v>
      </c>
      <c r="P119" s="14">
        <f>((B119+C119+D119+E119+F119+G119)/(1-'Prices&amp;Fuel'!F119))*(1-'Prices&amp;Fuel'!F119)*'Prices&amp;Fuel'!H119*0.005</f>
        <v>3347.043701799485</v>
      </c>
      <c r="Q119" s="14">
        <f>((D119+C119+B119+E119+F119+G119)*K119*'Prices&amp;Fuel'!H119)+M119+N119+O119+P119</f>
        <v>2538566.4773385813</v>
      </c>
      <c r="R119" s="6">
        <f t="shared" si="16"/>
        <v>47010.65797792282</v>
      </c>
      <c r="T119" s="3">
        <v>21000</v>
      </c>
    </row>
    <row r="120" spans="1:20" x14ac:dyDescent="0.2">
      <c r="A120" s="10">
        <f t="shared" si="11"/>
        <v>39246.916666666388</v>
      </c>
      <c r="B120" s="6">
        <f>IF(T120-((E120+F120+G120)*(1-'Prices&amp;Fuel'!F120))&lt;'Prices&amp;Fuel'!R120,(T120-(E120+F120+G120)*(1-'Prices&amp;Fuel'!F120)),'Prices&amp;Fuel'!R120)/(1-'Prices&amp;Fuel'!F120)</f>
        <v>8976.8637532133671</v>
      </c>
      <c r="C120" s="14">
        <f>(T120/(1-'Prices&amp;Fuel'!F120))-D120-E120-F120-G120-B120</f>
        <v>1.3824319466948509E-10</v>
      </c>
      <c r="D120" s="14">
        <f>ROUND(IF(T120/(1-'Prices&amp;Fuel'!F120)-E120-F120-G120-B120&gt;'Prices&amp;Fuel'!T120,'Prices&amp;Fuel'!T120,T120/(1-'Prices&amp;Fuel'!F120)-E120-F120-G120-B120),9)</f>
        <v>6556.2982005140002</v>
      </c>
      <c r="E120" s="14">
        <f>'Prices&amp;Fuel'!U120/(1-'Prices&amp;Fuel'!F120)</f>
        <v>1933.1619537275064</v>
      </c>
      <c r="F120" s="14">
        <f>('Prices&amp;Fuel'!V120+'Prices&amp;Fuel'!X120)/(1-'Prices&amp;Fuel'!F120)</f>
        <v>3062.2107969151671</v>
      </c>
      <c r="G120" s="14">
        <f>'Prices&amp;Fuel'!W120/(1-'Prices&amp;Fuel'!F120)</f>
        <v>1065.2956298200513</v>
      </c>
      <c r="H120" s="25">
        <f>('Prices&amp;Fuel'!C120+'Prices&amp;Fuel'!D120)/2-0.01+(('Prices&amp;Fuel'!M120+'Prices&amp;Fuel'!P120)*(1-'Prices&amp;Fuel'!F120))</f>
        <v>5.2393020659309997</v>
      </c>
      <c r="I120" s="25"/>
      <c r="J120" s="25"/>
      <c r="K120" s="25">
        <f>(((B120+E120)*('Prices&amp;Fuel'!B120+0.025))+(('Prices&amp;Fuel'!D120+0.025)*(D120+G120))+(('Prices&amp;Fuel'!C120+0.025)*(C120+F120))-(I120+J120)*0.025)/(B120+C120+D120+E120+F120+G120)</f>
        <v>4.5068914111690956</v>
      </c>
      <c r="L120" s="14">
        <f>(B120+C120+D120+E120+F120+G120)*H120*'Prices&amp;Fuel'!H120</f>
        <v>3394097.9964385908</v>
      </c>
      <c r="M120" s="14">
        <f>'Prices&amp;Fuel'!X120*('Prices&amp;Fuel'!N120+'Prices&amp;Fuel'!O120)*'Prices&amp;Fuel'!H120</f>
        <v>9134.1681425398001</v>
      </c>
      <c r="N120" s="14">
        <f>('Prices&amp;Fuel'!U120+'Prices&amp;Fuel'!V120+'Prices&amp;Fuel'!W120)*('Prices&amp;Fuel'!L120+'Prices&amp;Fuel'!O120)*'Prices&amp;Fuel'!H120</f>
        <v>69689.82458385783</v>
      </c>
      <c r="O120" s="14">
        <f>((B120+C120+D120)*(1-'Prices&amp;Fuel'!G120))*('Prices&amp;Fuel'!M120+'Prices&amp;Fuel'!P120)*'Prices&amp;Fuel'!H120</f>
        <v>346909.29</v>
      </c>
      <c r="P120" s="14">
        <f>((B120+C120+D120+E120+F120+G120)/(1-'Prices&amp;Fuel'!F120))*(1-'Prices&amp;Fuel'!F120)*'Prices&amp;Fuel'!H120*0.005</f>
        <v>3239.0745501285346</v>
      </c>
      <c r="Q120" s="14">
        <f>((D120+C120+B120+E120+F120+G120)*K120*'Prices&amp;Fuel'!H120)+M120+N120+O120+P120</f>
        <v>3348603.8112986647</v>
      </c>
      <c r="R120" s="6">
        <f t="shared" si="16"/>
        <v>45494.18513992615</v>
      </c>
      <c r="T120" s="3">
        <f t="shared" si="17"/>
        <v>21000</v>
      </c>
    </row>
    <row r="121" spans="1:20" x14ac:dyDescent="0.2">
      <c r="A121" s="10">
        <f t="shared" si="11"/>
        <v>39277.333333333052</v>
      </c>
      <c r="B121" s="6">
        <f>IF(T121-((E121+F121+G121)*(1-'Prices&amp;Fuel'!F121))&lt;'Prices&amp;Fuel'!R121,(T121-(E121+F121+G121)*(1-'Prices&amp;Fuel'!F121)),'Prices&amp;Fuel'!R121)/(1-'Prices&amp;Fuel'!F121)</f>
        <v>8976.8637532133671</v>
      </c>
      <c r="C121" s="14">
        <f>(T121/(1-'Prices&amp;Fuel'!F121))-D121-E121-F121-G121-B121</f>
        <v>1.3824319466948509E-10</v>
      </c>
      <c r="D121" s="14">
        <f>ROUND(IF(T121/(1-'Prices&amp;Fuel'!F121)-E121-F121-G121-B121&gt;'Prices&amp;Fuel'!T121,'Prices&amp;Fuel'!T121,T121/(1-'Prices&amp;Fuel'!F121)-E121-F121-G121-B121),9)</f>
        <v>6556.2982005140002</v>
      </c>
      <c r="E121" s="14">
        <f>'Prices&amp;Fuel'!U121/(1-'Prices&amp;Fuel'!F121)</f>
        <v>1933.1619537275064</v>
      </c>
      <c r="F121" s="14">
        <f>('Prices&amp;Fuel'!V121+'Prices&amp;Fuel'!X121)/(1-'Prices&amp;Fuel'!F121)</f>
        <v>3062.2107969151671</v>
      </c>
      <c r="G121" s="14">
        <f>'Prices&amp;Fuel'!W121/(1-'Prices&amp;Fuel'!F121)</f>
        <v>1065.2956298200513</v>
      </c>
      <c r="H121" s="25">
        <f>('Prices&amp;Fuel'!C121+'Prices&amp;Fuel'!D121)/2-0.01+(('Prices&amp;Fuel'!M121+'Prices&amp;Fuel'!P121)*(1-'Prices&amp;Fuel'!F121))</f>
        <v>5.2287919654300001</v>
      </c>
      <c r="I121" s="25"/>
      <c r="J121" s="25"/>
      <c r="K121" s="25">
        <f>(((B121+E121)*('Prices&amp;Fuel'!B121+0.025))+(('Prices&amp;Fuel'!D121+0.025)*(D121+G121))+(('Prices&amp;Fuel'!C121+0.025)*(C121+F121))-(I121+J121)*0.025)/(B121+C121+D121+E121+F121+G121)</f>
        <v>4.496381310668097</v>
      </c>
      <c r="L121" s="14">
        <f>(B121+C121+D121+E121+F121+G121)*H121*'Prices&amp;Fuel'!H121</f>
        <v>3500199.0431824466</v>
      </c>
      <c r="M121" s="14">
        <f>'Prices&amp;Fuel'!X121*('Prices&amp;Fuel'!N121+'Prices&amp;Fuel'!O121)*'Prices&amp;Fuel'!H121</f>
        <v>9438.6404139577935</v>
      </c>
      <c r="N121" s="14">
        <f>('Prices&amp;Fuel'!U121+'Prices&amp;Fuel'!V121+'Prices&amp;Fuel'!W121)*('Prices&amp;Fuel'!L121+'Prices&amp;Fuel'!O121)*'Prices&amp;Fuel'!H121</f>
        <v>72012.818736653091</v>
      </c>
      <c r="O121" s="14">
        <f>((B121+C121+D121)*(1-'Prices&amp;Fuel'!G121))*('Prices&amp;Fuel'!M121+'Prices&amp;Fuel'!P121)*'Prices&amp;Fuel'!H121</f>
        <v>358472.93300000002</v>
      </c>
      <c r="P121" s="14">
        <f>((B121+C121+D121+E121+F121+G121)/(1-'Prices&amp;Fuel'!F121))*(1-'Prices&amp;Fuel'!F121)*'Prices&amp;Fuel'!H121*0.005</f>
        <v>3347.043701799485</v>
      </c>
      <c r="Q121" s="14">
        <f>((D121+C121+B121+E121+F121+G121)*K121*'Prices&amp;Fuel'!H121)+M121+N121+O121+P121</f>
        <v>3453188.3852045247</v>
      </c>
      <c r="R121" s="6">
        <f t="shared" si="16"/>
        <v>47010.657977921888</v>
      </c>
      <c r="T121" s="3">
        <f t="shared" si="17"/>
        <v>21000</v>
      </c>
    </row>
    <row r="122" spans="1:20" x14ac:dyDescent="0.2">
      <c r="A122" s="10">
        <f t="shared" si="11"/>
        <v>39307.749999999716</v>
      </c>
      <c r="B122" s="6">
        <f>IF(T122-((E122+F122+G122)*(1-'Prices&amp;Fuel'!F122))&lt;'Prices&amp;Fuel'!R122,(T122-(E122+F122+G122)*(1-'Prices&amp;Fuel'!F122)),'Prices&amp;Fuel'!R122)/(1-'Prices&amp;Fuel'!F122)</f>
        <v>8976.8637532133671</v>
      </c>
      <c r="C122" s="14">
        <f>(T122/(1-'Prices&amp;Fuel'!F122))-D122-E122-F122-G122-B122</f>
        <v>1.3824319466948509E-10</v>
      </c>
      <c r="D122" s="14">
        <f>ROUND(IF(T122/(1-'Prices&amp;Fuel'!F122)-E122-F122-G122-B122&gt;'Prices&amp;Fuel'!T122,'Prices&amp;Fuel'!T122,T122/(1-'Prices&amp;Fuel'!F122)-E122-F122-G122-B122),9)</f>
        <v>6556.2982005140002</v>
      </c>
      <c r="E122" s="14">
        <f>'Prices&amp;Fuel'!U122/(1-'Prices&amp;Fuel'!F122)</f>
        <v>1933.1619537275064</v>
      </c>
      <c r="F122" s="14">
        <f>('Prices&amp;Fuel'!V122+'Prices&amp;Fuel'!X122)/(1-'Prices&amp;Fuel'!F122)</f>
        <v>3062.2107969151671</v>
      </c>
      <c r="G122" s="14">
        <f>'Prices&amp;Fuel'!W122/(1-'Prices&amp;Fuel'!F122)</f>
        <v>1065.2956298200513</v>
      </c>
      <c r="H122" s="25">
        <f>('Prices&amp;Fuel'!C122+'Prices&amp;Fuel'!D122)/2-0.01+(('Prices&amp;Fuel'!M122+'Prices&amp;Fuel'!P122)*(1-'Prices&amp;Fuel'!F122))</f>
        <v>4.661246538376</v>
      </c>
      <c r="I122" s="25"/>
      <c r="J122" s="25"/>
      <c r="K122" s="25">
        <f>(((B122+E122)*('Prices&amp;Fuel'!B122+0.025))+(('Prices&amp;Fuel'!D122+0.025)*(D122+G122))+(('Prices&amp;Fuel'!C122+0.025)*(C122+F122))-(I122+J122)*0.025)/(B122+C122+D122+E122+F122+G122)</f>
        <v>3.9288358836140955</v>
      </c>
      <c r="L122" s="14">
        <f>(B122+C122+D122+E122+F122+G122)*H122*'Prices&amp;Fuel'!H122</f>
        <v>3120279.173761209</v>
      </c>
      <c r="M122" s="14">
        <f>'Prices&amp;Fuel'!X122*('Prices&amp;Fuel'!N122+'Prices&amp;Fuel'!O122)*'Prices&amp;Fuel'!H122</f>
        <v>9438.6404139577935</v>
      </c>
      <c r="N122" s="14">
        <f>('Prices&amp;Fuel'!U122+'Prices&amp;Fuel'!V122+'Prices&amp;Fuel'!W122)*('Prices&amp;Fuel'!L122+'Prices&amp;Fuel'!O122)*'Prices&amp;Fuel'!H122</f>
        <v>72012.818736653091</v>
      </c>
      <c r="O122" s="14">
        <f>((B122+C122+D122)*(1-'Prices&amp;Fuel'!G122))*('Prices&amp;Fuel'!M122+'Prices&amp;Fuel'!P122)*'Prices&amp;Fuel'!H122</f>
        <v>358472.93300000002</v>
      </c>
      <c r="P122" s="14">
        <f>((B122+C122+D122+E122+F122+G122)/(1-'Prices&amp;Fuel'!F122))*(1-'Prices&amp;Fuel'!F122)*'Prices&amp;Fuel'!H122*0.005</f>
        <v>3347.043701799485</v>
      </c>
      <c r="Q122" s="14">
        <f>((D122+C122+B122+E122+F122+G122)*K122*'Prices&amp;Fuel'!H122)+M122+N122+O122+P122</f>
        <v>3073268.5157832857</v>
      </c>
      <c r="R122" s="6">
        <f t="shared" si="16"/>
        <v>47010.657977923285</v>
      </c>
      <c r="T122" s="3">
        <f t="shared" si="17"/>
        <v>21000</v>
      </c>
    </row>
    <row r="123" spans="1:20" x14ac:dyDescent="0.2">
      <c r="A123" s="10">
        <f t="shared" si="11"/>
        <v>39338.16666666638</v>
      </c>
      <c r="B123" s="6">
        <f>IF(T123-((E123+F123+G123)*(1-'Prices&amp;Fuel'!F123))&lt;'Prices&amp;Fuel'!R123,(T123-(E123+F123+G123)*(1-'Prices&amp;Fuel'!F123)),'Prices&amp;Fuel'!R123)/(1-'Prices&amp;Fuel'!F123)</f>
        <v>8976.8637532133671</v>
      </c>
      <c r="C123" s="14">
        <f>(T123/(1-'Prices&amp;Fuel'!F123))-D123-E123-F123-G123-B123</f>
        <v>1.3824319466948509E-10</v>
      </c>
      <c r="D123" s="14">
        <f>ROUND(IF(T123/(1-'Prices&amp;Fuel'!F123)-E123-F123-G123-B123&gt;'Prices&amp;Fuel'!T123,'Prices&amp;Fuel'!T123,T123/(1-'Prices&amp;Fuel'!F123)-E123-F123-G123-B123),9)</f>
        <v>6556.2982005140002</v>
      </c>
      <c r="E123" s="14">
        <f>'Prices&amp;Fuel'!U123/(1-'Prices&amp;Fuel'!F123)</f>
        <v>1933.1619537275064</v>
      </c>
      <c r="F123" s="14">
        <f>('Prices&amp;Fuel'!V123+'Prices&amp;Fuel'!X123)/(1-'Prices&amp;Fuel'!F123)</f>
        <v>3062.2107969151671</v>
      </c>
      <c r="G123" s="14">
        <f>'Prices&amp;Fuel'!W123/(1-'Prices&amp;Fuel'!F123)</f>
        <v>1065.2956298200513</v>
      </c>
      <c r="H123" s="25">
        <f>('Prices&amp;Fuel'!C123+'Prices&amp;Fuel'!D123)/2-0.01+(('Prices&amp;Fuel'!M123+'Prices&amp;Fuel'!P123)*(1-'Prices&amp;Fuel'!F123))</f>
        <v>5.470524276953002</v>
      </c>
      <c r="I123" s="25"/>
      <c r="J123" s="25"/>
      <c r="K123" s="25">
        <f>(((B123+E123)*('Prices&amp;Fuel'!B123+0.025))+(('Prices&amp;Fuel'!D123+0.025)*(D123+G123))+(('Prices&amp;Fuel'!C123+0.025)*(C123+F123))-(I123+J123)*0.025)/(B123+C123+D123+E123+F123+G123)</f>
        <v>4.7381136221910971</v>
      </c>
      <c r="L123" s="14">
        <f>(B123+C123+D123+E123+F123+G123)*H123*'Prices&amp;Fuel'!H123</f>
        <v>3543887.1922677541</v>
      </c>
      <c r="M123" s="14">
        <f>'Prices&amp;Fuel'!X123*('Prices&amp;Fuel'!N123+'Prices&amp;Fuel'!O123)*'Prices&amp;Fuel'!H123</f>
        <v>9134.1681425398001</v>
      </c>
      <c r="N123" s="14">
        <f>('Prices&amp;Fuel'!U123+'Prices&amp;Fuel'!V123+'Prices&amp;Fuel'!W123)*('Prices&amp;Fuel'!L123+'Prices&amp;Fuel'!O123)*'Prices&amp;Fuel'!H123</f>
        <v>69689.82458385783</v>
      </c>
      <c r="O123" s="14">
        <f>((B123+C123+D123)*(1-'Prices&amp;Fuel'!G123))*('Prices&amp;Fuel'!M123+'Prices&amp;Fuel'!P123)*'Prices&amp;Fuel'!H123</f>
        <v>346909.29</v>
      </c>
      <c r="P123" s="14">
        <f>((B123+C123+D123+E123+F123+G123)/(1-'Prices&amp;Fuel'!F123))*(1-'Prices&amp;Fuel'!F123)*'Prices&amp;Fuel'!H123*0.005</f>
        <v>3239.0745501285346</v>
      </c>
      <c r="Q123" s="14">
        <f>((D123+C123+B123+E123+F123+G123)*K123*'Prices&amp;Fuel'!H123)+M123+N123+O123+P123</f>
        <v>3498393.007127828</v>
      </c>
      <c r="R123" s="6">
        <f t="shared" si="16"/>
        <v>45494.18513992615</v>
      </c>
      <c r="T123" s="3">
        <f t="shared" si="17"/>
        <v>21000</v>
      </c>
    </row>
    <row r="124" spans="1:20" x14ac:dyDescent="0.2">
      <c r="A124" s="10">
        <f t="shared" si="11"/>
        <v>39368.583333333045</v>
      </c>
      <c r="B124" s="6">
        <f>IF(T124-((E124+F124+G124)*(1-'Prices&amp;Fuel'!F124))&lt;'Prices&amp;Fuel'!R124,(T124-(E124+F124+G124)*(1-'Prices&amp;Fuel'!F124)),'Prices&amp;Fuel'!R124)/(1-'Prices&amp;Fuel'!F124)</f>
        <v>8976.8637532133671</v>
      </c>
      <c r="C124" s="14">
        <f>(T124/(1-'Prices&amp;Fuel'!F124))-D124-E124-F124-G124-B124</f>
        <v>2.0190782379359007E-10</v>
      </c>
      <c r="D124" s="14">
        <f>ROUND(IF(T124/(1-'Prices&amp;Fuel'!F124)-E124-F124-G124-B124&gt;'Prices&amp;Fuel'!T124,'Prices&amp;Fuel'!T124,T124/(1-'Prices&amp;Fuel'!F124)-E124-F124-G124-B124),9)</f>
        <v>3514.6529562979999</v>
      </c>
      <c r="E124" s="14">
        <f>'Prices&amp;Fuel'!U124/(1-'Prices&amp;Fuel'!F124)</f>
        <v>2910.025706940874</v>
      </c>
      <c r="F124" s="14">
        <f>('Prices&amp;Fuel'!V124+'Prices&amp;Fuel'!X124)/(1-'Prices&amp;Fuel'!F124)</f>
        <v>4628.2776349614396</v>
      </c>
      <c r="G124" s="14">
        <f>'Prices&amp;Fuel'!W124/(1-'Prices&amp;Fuel'!F124)</f>
        <v>1564.0102827763496</v>
      </c>
      <c r="H124" s="25">
        <f>('Prices&amp;Fuel'!C124+'Prices&amp;Fuel'!D124)/2-0.01+(('Prices&amp;Fuel'!M124+'Prices&amp;Fuel'!P124)*(1-'Prices&amp;Fuel'!F124))</f>
        <v>6.1852111110210011</v>
      </c>
      <c r="I124" s="25"/>
      <c r="J124" s="25"/>
      <c r="K124" s="25">
        <f>(((B124+E124)*('Prices&amp;Fuel'!B124+0.025))+(('Prices&amp;Fuel'!D124+0.025)*(D124+G124))+(('Prices&amp;Fuel'!C124+0.025)*(C124+F124))-(I124+J124)*0.025)/(B124+C124+D124+E124+F124+G124)</f>
        <v>5.4559742657829062</v>
      </c>
      <c r="L124" s="14">
        <f>(B124+C124+D124+E124+F124+G124)*H124*'Prices&amp;Fuel'!H124</f>
        <v>4140434.3786886088</v>
      </c>
      <c r="M124" s="14">
        <f>'Prices&amp;Fuel'!X124*('Prices&amp;Fuel'!N124+'Prices&amp;Fuel'!O124)*'Prices&amp;Fuel'!H124</f>
        <v>13833.205057645318</v>
      </c>
      <c r="N124" s="14">
        <f>('Prices&amp;Fuel'!U124+'Prices&amp;Fuel'!V124+'Prices&amp;Fuel'!W124)*('Prices&amp;Fuel'!L124+'Prices&amp;Fuel'!O124)*'Prices&amp;Fuel'!H124</f>
        <v>108495.99691066272</v>
      </c>
      <c r="O124" s="14">
        <f>((B124+C124+D124)*(1-'Prices&amp;Fuel'!G124))*('Prices&amp;Fuel'!M124+'Prices&amp;Fuel'!P124)*'Prices&amp;Fuel'!H124</f>
        <v>288278.114</v>
      </c>
      <c r="P124" s="14">
        <f>((B124+C124+D124+E124+F124+G124)/(1-'Prices&amp;Fuel'!F124))*(1-'Prices&amp;Fuel'!F124)*'Prices&amp;Fuel'!H124*0.005</f>
        <v>3347.0437017994859</v>
      </c>
      <c r="Q124" s="14">
        <f>((D124+C124+B124+E124+F124+G124)*K124*'Prices&amp;Fuel'!H124)+M124+N124+O124+P124</f>
        <v>4066231.2203638582</v>
      </c>
      <c r="R124" s="6">
        <f t="shared" si="16"/>
        <v>74203.158324750606</v>
      </c>
      <c r="T124" s="3">
        <f t="shared" si="17"/>
        <v>21000</v>
      </c>
    </row>
    <row r="125" spans="1:20" x14ac:dyDescent="0.2">
      <c r="A125" s="10">
        <f t="shared" si="11"/>
        <v>39398.999999999709</v>
      </c>
      <c r="B125" s="6">
        <f>IF(T125-((E125+F125+G125)*(1-'Prices&amp;Fuel'!F125))&lt;'Prices&amp;Fuel'!R125,(T125-(E125+F125+G125)*(1-'Prices&amp;Fuel'!F125)),'Prices&amp;Fuel'!R125)/(1-'Prices&amp;Fuel'!F125)</f>
        <v>4325.9640102827761</v>
      </c>
      <c r="C125" s="14">
        <f>(T125/(1-'Prices&amp;Fuel'!F125))-D125-E125-F125-G125-B125</f>
        <v>0</v>
      </c>
      <c r="D125" s="14">
        <f>ROUND(IF(T125/(1-'Prices&amp;Fuel'!F125)-E125-F125-G125-B125&gt;'Prices&amp;Fuel'!T125,'Prices&amp;Fuel'!T125,T125/(1-'Prices&amp;Fuel'!F125)-E125-F125-G125-B125),9)</f>
        <v>0</v>
      </c>
      <c r="E125" s="14">
        <f>'Prices&amp;Fuel'!U125/(1-'Prices&amp;Fuel'!F125)</f>
        <v>2635.4755784061695</v>
      </c>
      <c r="F125" s="14">
        <f>('Prices&amp;Fuel'!V125+'Prices&amp;Fuel'!X125)/(1-'Prices&amp;Fuel'!F125)</f>
        <v>3645.2442159383031</v>
      </c>
      <c r="G125" s="14">
        <f>'Prices&amp;Fuel'!W125/(1-'Prices&amp;Fuel'!F125)</f>
        <v>1732.6478149100255</v>
      </c>
      <c r="H125" s="25">
        <f>('Prices&amp;Fuel'!C125+'Prices&amp;Fuel'!D125)/2-0+(('Prices&amp;Fuel'!M125+'Prices&amp;Fuel'!P125)*(1-'Prices&amp;Fuel'!F125))</f>
        <v>4.3769637243480011</v>
      </c>
      <c r="I125" s="25"/>
      <c r="J125" s="25"/>
      <c r="K125" s="25">
        <f>(((B125+E125)*('Prices&amp;Fuel'!B125+0.025))+(('Prices&amp;Fuel'!D125+0.025)*(D125+G125))+(('Prices&amp;Fuel'!C125+0.025)*(C125+F125))-(I125+J125)*0.025)/(B125+C125+D125+E125+F125+G125)</f>
        <v>3.6416441410146678</v>
      </c>
      <c r="L125" s="14">
        <f>(B125+C125+D125+E125+F125+G125)*H125*'Prices&amp;Fuel'!H125</f>
        <v>1620264.2064424474</v>
      </c>
      <c r="M125" s="14">
        <f>'Prices&amp;Fuel'!X125*('Prices&amp;Fuel'!N125+'Prices&amp;Fuel'!O125)*'Prices&amp;Fuel'!H125</f>
        <v>9134.1681425398001</v>
      </c>
      <c r="N125" s="14">
        <f>('Prices&amp;Fuel'!U125+'Prices&amp;Fuel'!V125+'Prices&amp;Fuel'!W125)*('Prices&amp;Fuel'!L125+'Prices&amp;Fuel'!O125)*'Prices&amp;Fuel'!H125</f>
        <v>95086.289155868202</v>
      </c>
      <c r="O125" s="14">
        <f>((B125+C125+D125)*(1-'Prices&amp;Fuel'!G125))*('Prices&amp;Fuel'!M125+'Prices&amp;Fuel'!P125)*'Prices&amp;Fuel'!H125</f>
        <v>96613.75499999999</v>
      </c>
      <c r="P125" s="14">
        <f>((B125+C125+D125+E125+F125+G125)/(1-'Prices&amp;Fuel'!F125))*(1-'Prices&amp;Fuel'!F125)*'Prices&amp;Fuel'!H125*0.005</f>
        <v>1850.8997429305912</v>
      </c>
      <c r="Q125" s="14">
        <f>((D125+C125+B125+E125+F125+G125)*K125*'Prices&amp;Fuel'!H125)+M125+N125+O125+P125</f>
        <v>1550748.752931087</v>
      </c>
      <c r="R125" s="6">
        <f t="shared" si="16"/>
        <v>69515.453511360334</v>
      </c>
      <c r="T125" s="3">
        <v>12000</v>
      </c>
    </row>
    <row r="126" spans="1:20" x14ac:dyDescent="0.2">
      <c r="A126" s="10">
        <f t="shared" si="11"/>
        <v>39429.416666666373</v>
      </c>
      <c r="B126" s="6">
        <f>IF(T126-((E126+F126+G126)*(1-'Prices&amp;Fuel'!F126))&lt;'Prices&amp;Fuel'!R126,(T126-(E126+F126+G126)*(1-'Prices&amp;Fuel'!F126)),'Prices&amp;Fuel'!R126)/(1-'Prices&amp;Fuel'!F126)</f>
        <v>4325.9640102827761</v>
      </c>
      <c r="C126" s="14">
        <f>(T126/(1-'Prices&amp;Fuel'!F126))-D126-E126-F126-G126-B126</f>
        <v>0</v>
      </c>
      <c r="D126" s="14">
        <f>ROUND(IF(T126/(1-'Prices&amp;Fuel'!F126)-E126-F126-G126-B126&gt;'Prices&amp;Fuel'!T126,'Prices&amp;Fuel'!T126,T126/(1-'Prices&amp;Fuel'!F126)-E126-F126-G126-B126),9)</f>
        <v>0</v>
      </c>
      <c r="E126" s="14">
        <f>'Prices&amp;Fuel'!U126/(1-'Prices&amp;Fuel'!F126)</f>
        <v>2635.4755784061695</v>
      </c>
      <c r="F126" s="14">
        <f>('Prices&amp;Fuel'!V126+'Prices&amp;Fuel'!X126)/(1-'Prices&amp;Fuel'!F126)</f>
        <v>3645.2442159383031</v>
      </c>
      <c r="G126" s="14">
        <f>'Prices&amp;Fuel'!W126/(1-'Prices&amp;Fuel'!F126)</f>
        <v>1732.6478149100255</v>
      </c>
      <c r="H126" s="25">
        <f>('Prices&amp;Fuel'!C126+'Prices&amp;Fuel'!D126)/2-0+(('Prices&amp;Fuel'!M126+'Prices&amp;Fuel'!P126)*(1-'Prices&amp;Fuel'!F126))</f>
        <v>3.452074880260001</v>
      </c>
      <c r="I126" s="25"/>
      <c r="J126" s="25"/>
      <c r="K126" s="25">
        <f>(((B126+E126)*('Prices&amp;Fuel'!B126+0.025))+(('Prices&amp;Fuel'!D126+0.025)*(D126+G126))+(('Prices&amp;Fuel'!C126+0.025)*(C126+F126))-(I126+J126)*0.025)/(B126+C126+D126+E126+F126+G126)</f>
        <v>2.7167552969266677</v>
      </c>
      <c r="L126" s="14">
        <f>(B126+C126+D126+E126+F126+G126)*H126*'Prices&amp;Fuel'!H126</f>
        <v>1320485.1984130798</v>
      </c>
      <c r="M126" s="14">
        <f>'Prices&amp;Fuel'!X126*('Prices&amp;Fuel'!N126+'Prices&amp;Fuel'!O126)*'Prices&amp;Fuel'!H126</f>
        <v>9438.6404139577935</v>
      </c>
      <c r="N126" s="14">
        <f>('Prices&amp;Fuel'!U126+'Prices&amp;Fuel'!V126+'Prices&amp;Fuel'!W126)*('Prices&amp;Fuel'!L126+'Prices&amp;Fuel'!O126)*'Prices&amp;Fuel'!H126</f>
        <v>98255.832127730479</v>
      </c>
      <c r="O126" s="14">
        <f>((B126+C126+D126)*(1-'Prices&amp;Fuel'!G126))*('Prices&amp;Fuel'!M126+'Prices&amp;Fuel'!P126)*'Prices&amp;Fuel'!H126</f>
        <v>99834.213499999998</v>
      </c>
      <c r="P126" s="14">
        <f>((B126+C126+D126+E126+F126+G126)/(1-'Prices&amp;Fuel'!F126))*(1-'Prices&amp;Fuel'!F126)*'Prices&amp;Fuel'!H126*0.005</f>
        <v>1912.5964010282776</v>
      </c>
      <c r="Q126" s="14">
        <f>((D126+C126+B126+E126+F126+G126)*K126*'Prices&amp;Fuel'!H126)+M126+N126+O126+P126</f>
        <v>1248652.5631180075</v>
      </c>
      <c r="R126" s="6">
        <f t="shared" si="16"/>
        <v>71832.635295072338</v>
      </c>
      <c r="T126" s="3">
        <f>T125</f>
        <v>12000</v>
      </c>
    </row>
    <row r="127" spans="1:20" x14ac:dyDescent="0.2">
      <c r="A127" s="10">
        <f t="shared" si="11"/>
        <v>39459.833333333037</v>
      </c>
      <c r="B127" s="6">
        <f>IF(T127-((E127+F127+G127)*(1-'Prices&amp;Fuel'!F127))&lt;'Prices&amp;Fuel'!R127,(T127-(E127+F127+G127)*(1-'Prices&amp;Fuel'!F127)),'Prices&amp;Fuel'!R127)/(1-'Prices&amp;Fuel'!F127)</f>
        <v>4325.9640102827761</v>
      </c>
      <c r="C127" s="14">
        <f>(T127/(1-'Prices&amp;Fuel'!F127))-D127-E127-F127-G127-B127</f>
        <v>0</v>
      </c>
      <c r="D127" s="14">
        <f>ROUND(IF(T127/(1-'Prices&amp;Fuel'!F127)-E127-F127-G127-B127&gt;'Prices&amp;Fuel'!T127,'Prices&amp;Fuel'!T127,T127/(1-'Prices&amp;Fuel'!F127)-E127-F127-G127-B127),9)</f>
        <v>0</v>
      </c>
      <c r="E127" s="14">
        <f>'Prices&amp;Fuel'!U127/(1-'Prices&amp;Fuel'!F127)</f>
        <v>2635.4755784061695</v>
      </c>
      <c r="F127" s="14">
        <f>('Prices&amp;Fuel'!V127+'Prices&amp;Fuel'!X127)/(1-'Prices&amp;Fuel'!F127)</f>
        <v>3645.2442159383031</v>
      </c>
      <c r="G127" s="14">
        <f>'Prices&amp;Fuel'!W127/(1-'Prices&amp;Fuel'!F127)</f>
        <v>1732.6478149100255</v>
      </c>
      <c r="H127" s="25">
        <f>('Prices&amp;Fuel'!C127+'Prices&amp;Fuel'!D127)/2-0+(('Prices&amp;Fuel'!M127+'Prices&amp;Fuel'!P127)*(1-'Prices&amp;Fuel'!F127))</f>
        <v>3.1290994918642707</v>
      </c>
      <c r="I127" s="25"/>
      <c r="J127" s="25"/>
      <c r="K127" s="25">
        <f>(((B127+E127)*('Prices&amp;Fuel'!B127+0.025))+(('Prices&amp;Fuel'!D127+0.025)*(D127+G127))+(('Prices&amp;Fuel'!C127+0.025)*(C127+F127))-(I127+J127)*0.025)/(B127+C127+D127+E127+F127+G127)</f>
        <v>2.393779908530937</v>
      </c>
      <c r="L127" s="14">
        <f>(B127+C127+D127+E127+F127+G127)*H127*'Prices&amp;Fuel'!H127</f>
        <v>1196940.8853198031</v>
      </c>
      <c r="M127" s="14">
        <f>'Prices&amp;Fuel'!X127*('Prices&amp;Fuel'!N127+'Prices&amp;Fuel'!O127)*'Prices&amp;Fuel'!H127</f>
        <v>9415.6112109141941</v>
      </c>
      <c r="N127" s="14">
        <f>('Prices&amp;Fuel'!U127+'Prices&amp;Fuel'!V127+'Prices&amp;Fuel'!W127)*('Prices&amp;Fuel'!L127+'Prices&amp;Fuel'!O127)*'Prices&amp;Fuel'!H127</f>
        <v>98016.099135578203</v>
      </c>
      <c r="O127" s="14">
        <f>((B127+C127+D127)*(1-'Prices&amp;Fuel'!G127))*('Prices&amp;Fuel'!M127+'Prices&amp;Fuel'!P127)*'Prices&amp;Fuel'!H127</f>
        <v>99834.213499999998</v>
      </c>
      <c r="P127" s="14">
        <f>((B127+C127+D127+E127+F127+G127)/(1-'Prices&amp;Fuel'!F127))*(1-'Prices&amp;Fuel'!F127)*'Prices&amp;Fuel'!H127*0.005</f>
        <v>1912.5964010282776</v>
      </c>
      <c r="Q127" s="14">
        <f>((D127+C127+B127+E127+F127+G127)*K127*'Prices&amp;Fuel'!H127)+M127+N127+O127+P127</f>
        <v>1124845.4878295348</v>
      </c>
      <c r="R127" s="6">
        <f t="shared" si="16"/>
        <v>72095.39749026834</v>
      </c>
      <c r="T127" s="3">
        <f t="shared" ref="T127:T136" si="18">T126</f>
        <v>12000</v>
      </c>
    </row>
    <row r="128" spans="1:20" x14ac:dyDescent="0.2">
      <c r="A128" s="10">
        <f t="shared" si="11"/>
        <v>39490.249999999702</v>
      </c>
      <c r="B128" s="6">
        <f>IF(T128-((E128+F128+G128)*(1-'Prices&amp;Fuel'!F128))&lt;'Prices&amp;Fuel'!R128,(T128-(E128+F128+G128)*(1-'Prices&amp;Fuel'!F128)),'Prices&amp;Fuel'!R128)/(1-'Prices&amp;Fuel'!F128)</f>
        <v>4325.9640102827761</v>
      </c>
      <c r="C128" s="14">
        <f>(T128/(1-'Prices&amp;Fuel'!F128))-D128-E128-F128-G128-B128</f>
        <v>0</v>
      </c>
      <c r="D128" s="14">
        <f>ROUND(IF(T128/(1-'Prices&amp;Fuel'!F128)-E128-F128-G128-B128&gt;'Prices&amp;Fuel'!T128,'Prices&amp;Fuel'!T128,T128/(1-'Prices&amp;Fuel'!F128)-E128-F128-G128-B128),9)</f>
        <v>0</v>
      </c>
      <c r="E128" s="14">
        <f>'Prices&amp;Fuel'!U128/(1-'Prices&amp;Fuel'!F128)</f>
        <v>2635.4755784061695</v>
      </c>
      <c r="F128" s="14">
        <f>('Prices&amp;Fuel'!V128+'Prices&amp;Fuel'!X128)/(1-'Prices&amp;Fuel'!F128)</f>
        <v>3645.2442159383031</v>
      </c>
      <c r="G128" s="14">
        <f>'Prices&amp;Fuel'!W128/(1-'Prices&amp;Fuel'!F128)</f>
        <v>1732.6478149100255</v>
      </c>
      <c r="H128" s="25">
        <f>('Prices&amp;Fuel'!C128+'Prices&amp;Fuel'!D128)/2-0+(('Prices&amp;Fuel'!M128+'Prices&amp;Fuel'!P128)*(1-'Prices&amp;Fuel'!F128))</f>
        <v>3.4157099325265401</v>
      </c>
      <c r="I128" s="25"/>
      <c r="J128" s="25"/>
      <c r="K128" s="25">
        <f>(((B128+E128)*('Prices&amp;Fuel'!B128+0.025))+(('Prices&amp;Fuel'!D128+0.025)*(D128+G128))+(('Prices&amp;Fuel'!C128+0.025)*(C128+F128))-(I128+J128)*0.025)/(B128+C128+D128+E128+F128+G128)</f>
        <v>2.6803903491932064</v>
      </c>
      <c r="L128" s="14">
        <f>(B128+C128+D128+E128+F128+G128)*H128*'Prices&amp;Fuel'!H128</f>
        <v>1222279.7496341758</v>
      </c>
      <c r="M128" s="14">
        <f>'Prices&amp;Fuel'!X128*('Prices&amp;Fuel'!N128+'Prices&amp;Fuel'!O128)*'Prices&amp;Fuel'!H128</f>
        <v>8808.1524231132789</v>
      </c>
      <c r="N128" s="14">
        <f>('Prices&amp;Fuel'!U128+'Prices&amp;Fuel'!V128+'Prices&amp;Fuel'!W128)*('Prices&amp;Fuel'!L128+'Prices&amp;Fuel'!O128)*'Prices&amp;Fuel'!H128</f>
        <v>91692.479836508646</v>
      </c>
      <c r="O128" s="14">
        <f>((B128+C128+D128)*(1-'Prices&amp;Fuel'!G128))*('Prices&amp;Fuel'!M128+'Prices&amp;Fuel'!P128)*'Prices&amp;Fuel'!H128</f>
        <v>93393.296499999997</v>
      </c>
      <c r="P128" s="14">
        <f>((B128+C128+D128+E128+F128+G128)/(1-'Prices&amp;Fuel'!F128))*(1-'Prices&amp;Fuel'!F128)*'Prices&amp;Fuel'!H128*0.005</f>
        <v>1789.2030848329046</v>
      </c>
      <c r="Q128" s="14">
        <f>((D128+C128+B128+E128+F128+G128)*K128*'Prices&amp;Fuel'!H128)+M128+N128+O128+P128</f>
        <v>1154835.6681110212</v>
      </c>
      <c r="R128" s="6">
        <f t="shared" si="16"/>
        <v>67444.081523154629</v>
      </c>
      <c r="T128" s="3">
        <f t="shared" si="18"/>
        <v>12000</v>
      </c>
    </row>
    <row r="129" spans="1:20" x14ac:dyDescent="0.2">
      <c r="A129" s="10">
        <f t="shared" si="11"/>
        <v>39520.666666666366</v>
      </c>
      <c r="B129" s="6">
        <f>IF(T129-((E129+F129+G129)*(1-'Prices&amp;Fuel'!F129))&lt;'Prices&amp;Fuel'!R129,(T129-(E129+F129+G129)*(1-'Prices&amp;Fuel'!F129)),'Prices&amp;Fuel'!R129)/(1-'Prices&amp;Fuel'!F129)</f>
        <v>4325.9640102827761</v>
      </c>
      <c r="C129" s="14">
        <f>(T129/(1-'Prices&amp;Fuel'!F129))-D129-E129-F129-G129-B129</f>
        <v>0</v>
      </c>
      <c r="D129" s="14">
        <f>ROUND(IF(T129/(1-'Prices&amp;Fuel'!F129)-E129-F129-G129-B129&gt;'Prices&amp;Fuel'!T129,'Prices&amp;Fuel'!T129,T129/(1-'Prices&amp;Fuel'!F129)-E129-F129-G129-B129),9)</f>
        <v>0</v>
      </c>
      <c r="E129" s="14">
        <f>'Prices&amp;Fuel'!U129/(1-'Prices&amp;Fuel'!F129)</f>
        <v>2635.4755784061695</v>
      </c>
      <c r="F129" s="14">
        <f>('Prices&amp;Fuel'!V129+'Prices&amp;Fuel'!X129)/(1-'Prices&amp;Fuel'!F129)</f>
        <v>3645.2442159383031</v>
      </c>
      <c r="G129" s="14">
        <f>'Prices&amp;Fuel'!W129/(1-'Prices&amp;Fuel'!F129)</f>
        <v>1732.6478149100255</v>
      </c>
      <c r="H129" s="25">
        <f>('Prices&amp;Fuel'!C129+'Prices&amp;Fuel'!D129)/2-0+(('Prices&amp;Fuel'!M129+'Prices&amp;Fuel'!P129)*(1-'Prices&amp;Fuel'!F129))</f>
        <v>3.4157099325265401</v>
      </c>
      <c r="I129" s="25"/>
      <c r="J129" s="25"/>
      <c r="K129" s="25">
        <f>(((B129+E129)*('Prices&amp;Fuel'!B129+0.025))+(('Prices&amp;Fuel'!D129+0.025)*(D129+G129))+(('Prices&amp;Fuel'!C129+0.025)*(C129+F129))-(I129+J129)*0.025)/(B129+C129+D129+E129+F129+G129)</f>
        <v>2.6803903491932064</v>
      </c>
      <c r="L129" s="14">
        <f>(B129+C129+D129+E129+F129+G129)*H129*'Prices&amp;Fuel'!H129</f>
        <v>1306574.9047813602</v>
      </c>
      <c r="M129" s="14">
        <f>'Prices&amp;Fuel'!X129*('Prices&amp;Fuel'!N129+'Prices&amp;Fuel'!O129)*'Prices&amp;Fuel'!H129</f>
        <v>9415.6112109141941</v>
      </c>
      <c r="N129" s="14">
        <f>('Prices&amp;Fuel'!U129+'Prices&amp;Fuel'!V129+'Prices&amp;Fuel'!W129)*('Prices&amp;Fuel'!L129+'Prices&amp;Fuel'!O129)*'Prices&amp;Fuel'!H129</f>
        <v>98016.099135578203</v>
      </c>
      <c r="O129" s="14">
        <f>((B129+C129+D129)*(1-'Prices&amp;Fuel'!G129))*('Prices&amp;Fuel'!M129+'Prices&amp;Fuel'!P129)*'Prices&amp;Fuel'!H129</f>
        <v>99834.213499999998</v>
      </c>
      <c r="P129" s="14">
        <f>((B129+C129+D129+E129+F129+G129)/(1-'Prices&amp;Fuel'!F129))*(1-'Prices&amp;Fuel'!F129)*'Prices&amp;Fuel'!H129*0.005</f>
        <v>1912.5964010282776</v>
      </c>
      <c r="Q129" s="14">
        <f>((D129+C129+B129+E129+F129+G129)*K129*'Prices&amp;Fuel'!H129)+M129+N129+O129+P129</f>
        <v>1234479.5072910918</v>
      </c>
      <c r="R129" s="6">
        <f t="shared" si="16"/>
        <v>72095.39749026834</v>
      </c>
      <c r="T129" s="3">
        <f t="shared" si="18"/>
        <v>12000</v>
      </c>
    </row>
    <row r="130" spans="1:20" x14ac:dyDescent="0.2">
      <c r="A130" s="10">
        <f t="shared" si="11"/>
        <v>39551.08333333303</v>
      </c>
      <c r="B130" s="6">
        <f>IF(T130-((E130+F130+G130)*(1-'Prices&amp;Fuel'!F130))&lt;'Prices&amp;Fuel'!R130,(T130-(E130+F130+G130)*(1-'Prices&amp;Fuel'!F130)),'Prices&amp;Fuel'!R130)/(1-'Prices&amp;Fuel'!F130)</f>
        <v>6278.6632390745499</v>
      </c>
      <c r="C130" s="14">
        <f>(T130/(1-'Prices&amp;Fuel'!F130))-D130-E130-F130-G130-B130</f>
        <v>0</v>
      </c>
      <c r="D130" s="14">
        <f>ROUND(IF(T130/(1-'Prices&amp;Fuel'!F130)-E130-F130-G130-B130&gt;'Prices&amp;Fuel'!T130,'Prices&amp;Fuel'!T130,T130/(1-'Prices&amp;Fuel'!F130)-E130-F130-G130-B130),9)</f>
        <v>0</v>
      </c>
      <c r="E130" s="14">
        <f>'Prices&amp;Fuel'!U130/(1-'Prices&amp;Fuel'!F130)</f>
        <v>1933.1619537275064</v>
      </c>
      <c r="F130" s="14">
        <f>('Prices&amp;Fuel'!V130+'Prices&amp;Fuel'!X130)/(1-'Prices&amp;Fuel'!F130)</f>
        <v>2833.9331619537274</v>
      </c>
      <c r="G130" s="14">
        <f>'Prices&amp;Fuel'!W130/(1-'Prices&amp;Fuel'!F130)</f>
        <v>1293.5732647814909</v>
      </c>
      <c r="H130" s="25">
        <f>('Prices&amp;Fuel'!C130+'Prices&amp;Fuel'!D130)/2-0+(('Prices&amp;Fuel'!M130+'Prices&amp;Fuel'!P130)*(1-'Prices&amp;Fuel'!F130))</f>
        <v>3.7023203731888108</v>
      </c>
      <c r="I130" s="25"/>
      <c r="J130" s="25"/>
      <c r="K130" s="25">
        <f>(((B130+E130)*('Prices&amp;Fuel'!B130+0.025))+(('Prices&amp;Fuel'!D130+0.025)*(D130+G130))+(('Prices&amp;Fuel'!C130+0.025)*(C130+F130))-(I130+J130)*0.025)/(B130+C130+D130+E130+F130+G130)</f>
        <v>2.9626999565221439</v>
      </c>
      <c r="L130" s="14">
        <f>(B130+C130+D130+E130+F130+G130)*H130*'Prices&amp;Fuel'!H130</f>
        <v>1370524.7653963722</v>
      </c>
      <c r="M130" s="14">
        <f>'Prices&amp;Fuel'!X130*('Prices&amp;Fuel'!N130+'Prices&amp;Fuel'!O130)*'Prices&amp;Fuel'!H130</f>
        <v>9111.8818170137365</v>
      </c>
      <c r="N130" s="14">
        <f>('Prices&amp;Fuel'!U130+'Prices&amp;Fuel'!V130+'Prices&amp;Fuel'!W130)*('Prices&amp;Fuel'!L130+'Prices&amp;Fuel'!O130)*'Prices&amp;Fuel'!H130</f>
        <v>69519.789382809045</v>
      </c>
      <c r="O130" s="14">
        <f>((B130+C130+D130)*(1-'Prices&amp;Fuel'!G130))*('Prices&amp;Fuel'!M130+'Prices&amp;Fuel'!P130)*'Prices&amp;Fuel'!H130</f>
        <v>140224.29</v>
      </c>
      <c r="P130" s="14">
        <f>((B130+C130+D130+E130+F130+G130)/(1-'Prices&amp;Fuel'!F130))*(1-'Prices&amp;Fuel'!F130)*'Prices&amp;Fuel'!H130*0.005</f>
        <v>1850.8997429305914</v>
      </c>
      <c r="Q130" s="14">
        <f>((D130+C130+B130+E130+F130+G130)*K130*'Prices&amp;Fuel'!H130)+M130+N130+O130+P130</f>
        <v>1317438.9785242155</v>
      </c>
      <c r="R130" s="6">
        <f t="shared" si="16"/>
        <v>53085.786872156663</v>
      </c>
      <c r="T130" s="3">
        <f t="shared" si="18"/>
        <v>12000</v>
      </c>
    </row>
    <row r="131" spans="1:20" x14ac:dyDescent="0.2">
      <c r="A131" s="10">
        <f t="shared" si="11"/>
        <v>39581.499999999694</v>
      </c>
      <c r="B131" s="6">
        <f>IF(T131-((E131+F131+G131)*(1-'Prices&amp;Fuel'!F131))&lt;'Prices&amp;Fuel'!R131,(T131-(E131+F131+G131)*(1-'Prices&amp;Fuel'!F131)),'Prices&amp;Fuel'!R131)/(1-'Prices&amp;Fuel'!F131)</f>
        <v>8976.8637532133671</v>
      </c>
      <c r="C131" s="14">
        <f>(T131/(1-'Prices&amp;Fuel'!F131))-D131-E131-F131-G131-B131</f>
        <v>1.3824319466948509E-10</v>
      </c>
      <c r="D131" s="14">
        <f>ROUND(IF(T131/(1-'Prices&amp;Fuel'!F131)-E131-F131-G131-B131&gt;'Prices&amp;Fuel'!T131,'Prices&amp;Fuel'!T131,T131/(1-'Prices&amp;Fuel'!F131)-E131-F131-G131-B131),9)</f>
        <v>6556.2982005140002</v>
      </c>
      <c r="E131" s="14">
        <f>'Prices&amp;Fuel'!U131/(1-'Prices&amp;Fuel'!F131)</f>
        <v>1933.1619537275064</v>
      </c>
      <c r="F131" s="14">
        <f>('Prices&amp;Fuel'!V131+'Prices&amp;Fuel'!X131)/(1-'Prices&amp;Fuel'!F131)</f>
        <v>3062.2107969151671</v>
      </c>
      <c r="G131" s="14">
        <f>'Prices&amp;Fuel'!W131/(1-'Prices&amp;Fuel'!F131)</f>
        <v>1065.2956298200513</v>
      </c>
      <c r="H131" s="25">
        <f>('Prices&amp;Fuel'!C131+'Prices&amp;Fuel'!D131)/2-0+(('Prices&amp;Fuel'!M131+'Prices&amp;Fuel'!P131)*(1-'Prices&amp;Fuel'!F131))</f>
        <v>3.9040092018030013</v>
      </c>
      <c r="I131" s="25"/>
      <c r="J131" s="25"/>
      <c r="K131" s="25">
        <f>(((B131+E131)*('Prices&amp;Fuel'!B131+0.025))+(('Prices&amp;Fuel'!D131+0.025)*(D131+G131))+(('Prices&amp;Fuel'!C131+0.025)*(C131+F131))-(I131+J131)*0.025)/(B131+C131+D131+E131+F131+G131)</f>
        <v>3.161598547041097</v>
      </c>
      <c r="L131" s="14">
        <f>(B131+C131+D131+E131+F131+G131)*H131*'Prices&amp;Fuel'!H131</f>
        <v>2613377.8821323942</v>
      </c>
      <c r="M131" s="14">
        <f>'Prices&amp;Fuel'!X131*('Prices&amp;Fuel'!N131+'Prices&amp;Fuel'!O131)*'Prices&amp;Fuel'!H131</f>
        <v>9415.6112109141941</v>
      </c>
      <c r="N131" s="14">
        <f>('Prices&amp;Fuel'!U131+'Prices&amp;Fuel'!V131+'Prices&amp;Fuel'!W131)*('Prices&amp;Fuel'!L131+'Prices&amp;Fuel'!O131)*'Prices&amp;Fuel'!H131</f>
        <v>71837.115695569344</v>
      </c>
      <c r="O131" s="14">
        <f>((B131+C131+D131)*(1-'Prices&amp;Fuel'!G131))*('Prices&amp;Fuel'!M131+'Prices&amp;Fuel'!P131)*'Prices&amp;Fuel'!H131</f>
        <v>358472.93300000002</v>
      </c>
      <c r="P131" s="14">
        <f>((B131+C131+D131+E131+F131+G131)/(1-'Prices&amp;Fuel'!F131))*(1-'Prices&amp;Fuel'!F131)*'Prices&amp;Fuel'!H131*0.005</f>
        <v>3347.043701799485</v>
      </c>
      <c r="Q131" s="14">
        <f>((D131+C131+B131+E131+F131+G131)*K131*'Prices&amp;Fuel'!H131)+M131+N131+O131+P131</f>
        <v>2559474.4045067448</v>
      </c>
      <c r="R131" s="6">
        <f t="shared" si="16"/>
        <v>53903.477625649422</v>
      </c>
      <c r="T131" s="3">
        <v>21000</v>
      </c>
    </row>
    <row r="132" spans="1:20" x14ac:dyDescent="0.2">
      <c r="A132" s="10">
        <f t="shared" si="11"/>
        <v>39611.916666666359</v>
      </c>
      <c r="B132" s="6">
        <f>IF(T132-((E132+F132+G132)*(1-'Prices&amp;Fuel'!F132))&lt;'Prices&amp;Fuel'!R132,(T132-(E132+F132+G132)*(1-'Prices&amp;Fuel'!F132)),'Prices&amp;Fuel'!R132)/(1-'Prices&amp;Fuel'!F132)</f>
        <v>8976.8637532133671</v>
      </c>
      <c r="C132" s="14">
        <f>(T132/(1-'Prices&amp;Fuel'!F132))-D132-E132-F132-G132-B132</f>
        <v>1.3824319466948509E-10</v>
      </c>
      <c r="D132" s="14">
        <f>ROUND(IF(T132/(1-'Prices&amp;Fuel'!F132)-E132-F132-G132-B132&gt;'Prices&amp;Fuel'!T132,'Prices&amp;Fuel'!T132,T132/(1-'Prices&amp;Fuel'!F132)-E132-F132-G132-B132),9)</f>
        <v>6556.2982005140002</v>
      </c>
      <c r="E132" s="14">
        <f>'Prices&amp;Fuel'!U132/(1-'Prices&amp;Fuel'!F132)</f>
        <v>1933.1619537275064</v>
      </c>
      <c r="F132" s="14">
        <f>('Prices&amp;Fuel'!V132+'Prices&amp;Fuel'!X132)/(1-'Prices&amp;Fuel'!F132)</f>
        <v>3062.2107969151671</v>
      </c>
      <c r="G132" s="14">
        <f>'Prices&amp;Fuel'!W132/(1-'Prices&amp;Fuel'!F132)</f>
        <v>1065.2956298200513</v>
      </c>
      <c r="H132" s="25">
        <f>('Prices&amp;Fuel'!C132+'Prices&amp;Fuel'!D132)/2-0+(('Prices&amp;Fuel'!M132+'Prices&amp;Fuel'!P132)*(1-'Prices&amp;Fuel'!F132))</f>
        <v>5.2946005990903107</v>
      </c>
      <c r="I132" s="25"/>
      <c r="J132" s="25"/>
      <c r="K132" s="25">
        <f>(((B132+E132)*('Prices&amp;Fuel'!B132+0.025))+(('Prices&amp;Fuel'!D132+0.025)*(D132+G132))+(('Prices&amp;Fuel'!C132+0.025)*(C132+F132))-(I132+J132)*0.025)/(B132+C132+D132+E132+F132+G132)</f>
        <v>4.552189944328406</v>
      </c>
      <c r="L132" s="14">
        <f>(B132+C132+D132+E132+F132+G132)*H132*'Prices&amp;Fuel'!H132</f>
        <v>3429921.2107217433</v>
      </c>
      <c r="M132" s="14">
        <f>'Prices&amp;Fuel'!X132*('Prices&amp;Fuel'!N132+'Prices&amp;Fuel'!O132)*'Prices&amp;Fuel'!H132</f>
        <v>9111.8818170137365</v>
      </c>
      <c r="N132" s="14">
        <f>('Prices&amp;Fuel'!U132+'Prices&amp;Fuel'!V132+'Prices&amp;Fuel'!W132)*('Prices&amp;Fuel'!L132+'Prices&amp;Fuel'!O132)*'Prices&amp;Fuel'!H132</f>
        <v>69519.789382809045</v>
      </c>
      <c r="O132" s="14">
        <f>((B132+C132+D132)*(1-'Prices&amp;Fuel'!G132))*('Prices&amp;Fuel'!M132+'Prices&amp;Fuel'!P132)*'Prices&amp;Fuel'!H132</f>
        <v>346909.29</v>
      </c>
      <c r="P132" s="14">
        <f>((B132+C132+D132+E132+F132+G132)/(1-'Prices&amp;Fuel'!F132))*(1-'Prices&amp;Fuel'!F132)*'Prices&amp;Fuel'!H132*0.005</f>
        <v>3239.0745501285346</v>
      </c>
      <c r="Q132" s="14">
        <f>((D132+C132+B132+E132+F132+G132)*K132*'Prices&amp;Fuel'!H132)+M132+N132+O132+P132</f>
        <v>3377756.5549549852</v>
      </c>
      <c r="R132" s="6">
        <f t="shared" si="16"/>
        <v>52164.655766758136</v>
      </c>
      <c r="T132" s="3">
        <f t="shared" si="18"/>
        <v>21000</v>
      </c>
    </row>
    <row r="133" spans="1:20" x14ac:dyDescent="0.2">
      <c r="A133" s="10">
        <f t="shared" si="11"/>
        <v>39642.333333333023</v>
      </c>
      <c r="B133" s="6">
        <f>IF(T133-((E133+F133+G133)*(1-'Prices&amp;Fuel'!F133))&lt;'Prices&amp;Fuel'!R133,(T133-(E133+F133+G133)*(1-'Prices&amp;Fuel'!F133)),'Prices&amp;Fuel'!R133)/(1-'Prices&amp;Fuel'!F133)</f>
        <v>8976.8637532133671</v>
      </c>
      <c r="C133" s="14">
        <f>(T133/(1-'Prices&amp;Fuel'!F133))-D133-E133-F133-G133-B133</f>
        <v>1.3824319466948509E-10</v>
      </c>
      <c r="D133" s="14">
        <f>ROUND(IF(T133/(1-'Prices&amp;Fuel'!F133)-E133-F133-G133-B133&gt;'Prices&amp;Fuel'!T133,'Prices&amp;Fuel'!T133,T133/(1-'Prices&amp;Fuel'!F133)-E133-F133-G133-B133),9)</f>
        <v>6556.2982005140002</v>
      </c>
      <c r="E133" s="14">
        <f>'Prices&amp;Fuel'!U133/(1-'Prices&amp;Fuel'!F133)</f>
        <v>1933.1619537275064</v>
      </c>
      <c r="F133" s="14">
        <f>('Prices&amp;Fuel'!V133+'Prices&amp;Fuel'!X133)/(1-'Prices&amp;Fuel'!F133)</f>
        <v>3062.2107969151671</v>
      </c>
      <c r="G133" s="14">
        <f>'Prices&amp;Fuel'!W133/(1-'Prices&amp;Fuel'!F133)</f>
        <v>1065.2956298200513</v>
      </c>
      <c r="H133" s="25">
        <f>('Prices&amp;Fuel'!C133+'Prices&amp;Fuel'!D133)/2-0+(('Prices&amp;Fuel'!M133+'Prices&amp;Fuel'!P133)*(1-'Prices&amp;Fuel'!F133))</f>
        <v>5.283985397584301</v>
      </c>
      <c r="I133" s="25"/>
      <c r="J133" s="25"/>
      <c r="K133" s="25">
        <f>(((B133+E133)*('Prices&amp;Fuel'!B133+0.025))+(('Prices&amp;Fuel'!D133+0.025)*(D133+G133))+(('Prices&amp;Fuel'!C133+0.025)*(C133+F133))-(I133+J133)*0.025)/(B133+C133+D133+E133+F133+G133)</f>
        <v>4.5415747428223963</v>
      </c>
      <c r="L133" s="14">
        <f>(B133+C133+D133+E133+F133+G133)*H133*'Prices&amp;Fuel'!H133</f>
        <v>3537146.0090769967</v>
      </c>
      <c r="M133" s="14">
        <f>'Prices&amp;Fuel'!X133*('Prices&amp;Fuel'!N133+'Prices&amp;Fuel'!O133)*'Prices&amp;Fuel'!H133</f>
        <v>9415.6112109141941</v>
      </c>
      <c r="N133" s="14">
        <f>('Prices&amp;Fuel'!U133+'Prices&amp;Fuel'!V133+'Prices&amp;Fuel'!W133)*('Prices&amp;Fuel'!L133+'Prices&amp;Fuel'!O133)*'Prices&amp;Fuel'!H133</f>
        <v>71837.115695569344</v>
      </c>
      <c r="O133" s="14">
        <f>((B133+C133+D133)*(1-'Prices&amp;Fuel'!G133))*('Prices&amp;Fuel'!M133+'Prices&amp;Fuel'!P133)*'Prices&amp;Fuel'!H133</f>
        <v>358472.93300000002</v>
      </c>
      <c r="P133" s="14">
        <f>((B133+C133+D133+E133+F133+G133)/(1-'Prices&amp;Fuel'!F133))*(1-'Prices&amp;Fuel'!F133)*'Prices&amp;Fuel'!H133*0.005</f>
        <v>3347.043701799485</v>
      </c>
      <c r="Q133" s="14">
        <f>((D133+C133+B133+E133+F133+G133)*K133*'Prices&amp;Fuel'!H133)+M133+N133+O133+P133</f>
        <v>3483242.5314513473</v>
      </c>
      <c r="R133" s="6">
        <f t="shared" si="16"/>
        <v>53903.477625649422</v>
      </c>
      <c r="T133" s="3">
        <f t="shared" si="18"/>
        <v>21000</v>
      </c>
    </row>
    <row r="134" spans="1:20" x14ac:dyDescent="0.2">
      <c r="A134" s="10">
        <f t="shared" ref="A134:A197" si="19">+A133+365/12</f>
        <v>39672.749999999687</v>
      </c>
      <c r="B134" s="6">
        <f>IF(T134-((E134+F134+G134)*(1-'Prices&amp;Fuel'!F134))&lt;'Prices&amp;Fuel'!R134,(T134-(E134+F134+G134)*(1-'Prices&amp;Fuel'!F134)),'Prices&amp;Fuel'!R134)/(1-'Prices&amp;Fuel'!F134)</f>
        <v>8976.8637532133671</v>
      </c>
      <c r="C134" s="14">
        <f>(T134/(1-'Prices&amp;Fuel'!F134))-D134-E134-F134-G134-B134</f>
        <v>1.3824319466948509E-10</v>
      </c>
      <c r="D134" s="14">
        <f>ROUND(IF(T134/(1-'Prices&amp;Fuel'!F134)-E134-F134-G134-B134&gt;'Prices&amp;Fuel'!T134,'Prices&amp;Fuel'!T134,T134/(1-'Prices&amp;Fuel'!F134)-E134-F134-G134-B134),9)</f>
        <v>6556.2982005140002</v>
      </c>
      <c r="E134" s="14">
        <f>'Prices&amp;Fuel'!U134/(1-'Prices&amp;Fuel'!F134)</f>
        <v>1933.1619537275064</v>
      </c>
      <c r="F134" s="14">
        <f>('Prices&amp;Fuel'!V134+'Prices&amp;Fuel'!X134)/(1-'Prices&amp;Fuel'!F134)</f>
        <v>3062.2107969151671</v>
      </c>
      <c r="G134" s="14">
        <f>'Prices&amp;Fuel'!W134/(1-'Prices&amp;Fuel'!F134)</f>
        <v>1065.2956298200513</v>
      </c>
      <c r="H134" s="25">
        <f>('Prices&amp;Fuel'!C134+'Prices&amp;Fuel'!D134)/2-0+(('Prices&amp;Fuel'!M134+'Prices&amp;Fuel'!P134)*(1-'Prices&amp;Fuel'!F134))</f>
        <v>4.7107645162597604</v>
      </c>
      <c r="I134" s="25"/>
      <c r="J134" s="25"/>
      <c r="K134" s="25">
        <f>(((B134+E134)*('Prices&amp;Fuel'!B134+0.025))+(('Prices&amp;Fuel'!D134+0.025)*(D134+G134))+(('Prices&amp;Fuel'!C134+0.025)*(C134+F134))-(I134+J134)*0.025)/(B134+C134+D134+E134+F134+G134)</f>
        <v>3.9683538614978557</v>
      </c>
      <c r="L134" s="14">
        <f>(B134+C134+D134+E134+F134+G134)*H134*'Prices&amp;Fuel'!H134</f>
        <v>3153426.9409615458</v>
      </c>
      <c r="M134" s="14">
        <f>'Prices&amp;Fuel'!X134*('Prices&amp;Fuel'!N134+'Prices&amp;Fuel'!O134)*'Prices&amp;Fuel'!H134</f>
        <v>9415.6112109141941</v>
      </c>
      <c r="N134" s="14">
        <f>('Prices&amp;Fuel'!U134+'Prices&amp;Fuel'!V134+'Prices&amp;Fuel'!W134)*('Prices&amp;Fuel'!L134+'Prices&amp;Fuel'!O134)*'Prices&amp;Fuel'!H134</f>
        <v>71837.115695569344</v>
      </c>
      <c r="O134" s="14">
        <f>((B134+C134+D134)*(1-'Prices&amp;Fuel'!G134))*('Prices&amp;Fuel'!M134+'Prices&amp;Fuel'!P134)*'Prices&amp;Fuel'!H134</f>
        <v>358472.93300000002</v>
      </c>
      <c r="P134" s="14">
        <f>((B134+C134+D134+E134+F134+G134)/(1-'Prices&amp;Fuel'!F134))*(1-'Prices&amp;Fuel'!F134)*'Prices&amp;Fuel'!H134*0.005</f>
        <v>3347.043701799485</v>
      </c>
      <c r="Q134" s="14">
        <f>((D134+C134+B134+E134+F134+G134)*K134*'Prices&amp;Fuel'!H134)+M134+N134+O134+P134</f>
        <v>3099523.4633358964</v>
      </c>
      <c r="R134" s="6">
        <f t="shared" si="16"/>
        <v>53903.477625649422</v>
      </c>
      <c r="T134" s="3">
        <f t="shared" si="18"/>
        <v>21000</v>
      </c>
    </row>
    <row r="135" spans="1:20" x14ac:dyDescent="0.2">
      <c r="A135" s="10">
        <f t="shared" si="19"/>
        <v>39703.166666666351</v>
      </c>
      <c r="B135" s="6">
        <f>IF(T135-((E135+F135+G135)*(1-'Prices&amp;Fuel'!F135))&lt;'Prices&amp;Fuel'!R135,(T135-(E135+F135+G135)*(1-'Prices&amp;Fuel'!F135)),'Prices&amp;Fuel'!R135)/(1-'Prices&amp;Fuel'!F135)</f>
        <v>8976.8637532133671</v>
      </c>
      <c r="C135" s="14">
        <f>(T135/(1-'Prices&amp;Fuel'!F135))-D135-E135-F135-G135-B135</f>
        <v>1.3824319466948509E-10</v>
      </c>
      <c r="D135" s="14">
        <f>ROUND(IF(T135/(1-'Prices&amp;Fuel'!F135)-E135-F135-G135-B135&gt;'Prices&amp;Fuel'!T135,'Prices&amp;Fuel'!T135,T135/(1-'Prices&amp;Fuel'!F135)-E135-F135-G135-B135),9)</f>
        <v>6556.2982005140002</v>
      </c>
      <c r="E135" s="14">
        <f>'Prices&amp;Fuel'!U135/(1-'Prices&amp;Fuel'!F135)</f>
        <v>1933.1619537275064</v>
      </c>
      <c r="F135" s="14">
        <f>('Prices&amp;Fuel'!V135+'Prices&amp;Fuel'!X135)/(1-'Prices&amp;Fuel'!F135)</f>
        <v>3062.2107969151671</v>
      </c>
      <c r="G135" s="14">
        <f>'Prices&amp;Fuel'!W135/(1-'Prices&amp;Fuel'!F135)</f>
        <v>1065.2956298200513</v>
      </c>
      <c r="H135" s="25">
        <f>('Prices&amp;Fuel'!C135+'Prices&amp;Fuel'!D135)/2-0+(('Prices&amp;Fuel'!M135+'Prices&amp;Fuel'!P135)*(1-'Prices&amp;Fuel'!F135))</f>
        <v>5.5281350322225311</v>
      </c>
      <c r="I135" s="25"/>
      <c r="J135" s="25"/>
      <c r="K135" s="25">
        <f>(((B135+E135)*('Prices&amp;Fuel'!B135+0.025))+(('Prices&amp;Fuel'!D135+0.025)*(D135+G135))+(('Prices&amp;Fuel'!C135+0.025)*(C135+F135))-(I135+J135)*0.025)/(B135+C135+D135+E135+F135+G135)</f>
        <v>4.7857243774606282</v>
      </c>
      <c r="L135" s="14">
        <f>(B135+C135+D135+E135+F135+G135)*H135*'Prices&amp;Fuel'!H135</f>
        <v>3581208.2985091968</v>
      </c>
      <c r="M135" s="14">
        <f>'Prices&amp;Fuel'!X135*('Prices&amp;Fuel'!N135+'Prices&amp;Fuel'!O135)*'Prices&amp;Fuel'!H135</f>
        <v>9111.8818170137365</v>
      </c>
      <c r="N135" s="14">
        <f>('Prices&amp;Fuel'!U135+'Prices&amp;Fuel'!V135+'Prices&amp;Fuel'!W135)*('Prices&amp;Fuel'!L135+'Prices&amp;Fuel'!O135)*'Prices&amp;Fuel'!H135</f>
        <v>69519.789382809045</v>
      </c>
      <c r="O135" s="14">
        <f>((B135+C135+D135)*(1-'Prices&amp;Fuel'!G135))*('Prices&amp;Fuel'!M135+'Prices&amp;Fuel'!P135)*'Prices&amp;Fuel'!H135</f>
        <v>346909.29</v>
      </c>
      <c r="P135" s="14">
        <f>((B135+C135+D135+E135+F135+G135)/(1-'Prices&amp;Fuel'!F135))*(1-'Prices&amp;Fuel'!F135)*'Prices&amp;Fuel'!H135*0.005</f>
        <v>3239.0745501285346</v>
      </c>
      <c r="Q135" s="14">
        <f>((D135+C135+B135+E135+F135+G135)*K135*'Prices&amp;Fuel'!H135)+M135+N135+O135+P135</f>
        <v>3529043.6427424401</v>
      </c>
      <c r="R135" s="6">
        <f t="shared" si="16"/>
        <v>52164.655766756739</v>
      </c>
      <c r="T135" s="3">
        <f t="shared" si="18"/>
        <v>21000</v>
      </c>
    </row>
    <row r="136" spans="1:20" x14ac:dyDescent="0.2">
      <c r="A136" s="10">
        <f t="shared" si="19"/>
        <v>39733.583333333016</v>
      </c>
      <c r="B136" s="6">
        <f>IF(T136-((E136+F136+G136)*(1-'Prices&amp;Fuel'!F136))&lt;'Prices&amp;Fuel'!R136,(T136-(E136+F136+G136)*(1-'Prices&amp;Fuel'!F136)),'Prices&amp;Fuel'!R136)/(1-'Prices&amp;Fuel'!F136)</f>
        <v>8976.8637532133671</v>
      </c>
      <c r="C136" s="14">
        <f>(T136/(1-'Prices&amp;Fuel'!F136))-D136-E136-F136-G136-B136</f>
        <v>2.0190782379359007E-10</v>
      </c>
      <c r="D136" s="14">
        <f>ROUND(IF(T136/(1-'Prices&amp;Fuel'!F136)-E136-F136-G136-B136&gt;'Prices&amp;Fuel'!T136,'Prices&amp;Fuel'!T136,T136/(1-'Prices&amp;Fuel'!F136)-E136-F136-G136-B136),9)</f>
        <v>3514.6529562979999</v>
      </c>
      <c r="E136" s="14">
        <f>'Prices&amp;Fuel'!U136/(1-'Prices&amp;Fuel'!F136)</f>
        <v>2910.025706940874</v>
      </c>
      <c r="F136" s="14">
        <f>('Prices&amp;Fuel'!V136+'Prices&amp;Fuel'!X136)/(1-'Prices&amp;Fuel'!F136)</f>
        <v>4628.2776349614396</v>
      </c>
      <c r="G136" s="14">
        <f>'Prices&amp;Fuel'!W136/(1-'Prices&amp;Fuel'!F136)</f>
        <v>1564.0102827763496</v>
      </c>
      <c r="H136" s="25">
        <f>('Prices&amp;Fuel'!C136+'Prices&amp;Fuel'!D136)/2-0+(('Prices&amp;Fuel'!M136+'Prices&amp;Fuel'!P136)*(1-'Prices&amp;Fuel'!F136))</f>
        <v>6.2499687346312101</v>
      </c>
      <c r="I136" s="25"/>
      <c r="J136" s="25"/>
      <c r="K136" s="25">
        <f>(((B136+E136)*('Prices&amp;Fuel'!B136+0.025))+(('Prices&amp;Fuel'!D136+0.025)*(D136+G136))+(('Prices&amp;Fuel'!C136+0.025)*(C136+F136))-(I136+J136)*0.025)/(B136+C136+D136+E136+F136+G136)</f>
        <v>5.5107318893931163</v>
      </c>
      <c r="L136" s="14">
        <f>(B136+C136+D136+E136+F136+G136)*H136*'Prices&amp;Fuel'!H136</f>
        <v>4183783.6979382182</v>
      </c>
      <c r="M136" s="14">
        <f>'Prices&amp;Fuel'!X136*('Prices&amp;Fuel'!N136+'Prices&amp;Fuel'!O136)*'Prices&amp;Fuel'!H136</f>
        <v>13799.453619509673</v>
      </c>
      <c r="N136" s="14">
        <f>('Prices&amp;Fuel'!U136+'Prices&amp;Fuel'!V136+'Prices&amp;Fuel'!W136)*('Prices&amp;Fuel'!L136+'Prices&amp;Fuel'!O136)*'Prices&amp;Fuel'!H136</f>
        <v>108231.27908768276</v>
      </c>
      <c r="O136" s="14">
        <f>((B136+C136+D136)*(1-'Prices&amp;Fuel'!G136))*('Prices&amp;Fuel'!M136+'Prices&amp;Fuel'!P136)*'Prices&amp;Fuel'!H136</f>
        <v>288278.114</v>
      </c>
      <c r="P136" s="14">
        <f>((B136+C136+D136+E136+F136+G136)/(1-'Prices&amp;Fuel'!F136))*(1-'Prices&amp;Fuel'!F136)*'Prices&amp;Fuel'!H136*0.005</f>
        <v>3347.0437017994859</v>
      </c>
      <c r="Q136" s="14">
        <f>((D136+C136+B136+E136+F136+G136)*K136*'Prices&amp;Fuel'!H136)+M136+N136+O136+P136</f>
        <v>4102587.982948754</v>
      </c>
      <c r="R136" s="6">
        <f t="shared" si="16"/>
        <v>81195.714989464264</v>
      </c>
      <c r="T136" s="3">
        <f t="shared" si="18"/>
        <v>21000</v>
      </c>
    </row>
    <row r="137" spans="1:20" x14ac:dyDescent="0.2">
      <c r="A137" s="10">
        <f t="shared" si="19"/>
        <v>39763.99999999968</v>
      </c>
      <c r="B137" s="6">
        <f>IF(T137-((E137+F137+G137)*(1-'Prices&amp;Fuel'!F137))&lt;'Prices&amp;Fuel'!R137,(T137-(E137+F137+G137)*(1-'Prices&amp;Fuel'!F137)),'Prices&amp;Fuel'!R137)/(1-'Prices&amp;Fuel'!F137)</f>
        <v>4325.9640102827761</v>
      </c>
      <c r="C137" s="14">
        <f>(T137/(1-'Prices&amp;Fuel'!F137))-D137-E137-F137-G137-B137</f>
        <v>0</v>
      </c>
      <c r="D137" s="14">
        <f>ROUND(IF(T137/(1-'Prices&amp;Fuel'!F137)-E137-F137-G137-B137&gt;'Prices&amp;Fuel'!T137,'Prices&amp;Fuel'!T137,T137/(1-'Prices&amp;Fuel'!F137)-E137-F137-G137-B137),9)</f>
        <v>0</v>
      </c>
      <c r="E137" s="14">
        <f>'Prices&amp;Fuel'!U137/(1-'Prices&amp;Fuel'!F137)</f>
        <v>2635.4755784061695</v>
      </c>
      <c r="F137" s="14">
        <f>('Prices&amp;Fuel'!V137+'Prices&amp;Fuel'!X137)/(1-'Prices&amp;Fuel'!F137)</f>
        <v>3645.2442159383031</v>
      </c>
      <c r="G137" s="14">
        <f>'Prices&amp;Fuel'!W137/(1-'Prices&amp;Fuel'!F137)</f>
        <v>1732.6478149100255</v>
      </c>
      <c r="H137" s="25">
        <f>('Prices&amp;Fuel'!C137+'Prices&amp;Fuel'!D137)/2-0+(('Prices&amp;Fuel'!M137+'Prices&amp;Fuel'!P137)*(1-'Prices&amp;Fuel'!F137))</f>
        <v>4.4135388740914809</v>
      </c>
      <c r="I137" s="25"/>
      <c r="J137" s="25"/>
      <c r="K137" s="25">
        <f>(((B137+E137)*('Prices&amp;Fuel'!B137+0.025))+(('Prices&amp;Fuel'!D137+0.025)*(D137+G137))+(('Prices&amp;Fuel'!C137+0.025)*(C137+F137))-(I137+J137)*0.025)/(B137+C137+D137+E137+F137+G137)</f>
        <v>3.6782192907581477</v>
      </c>
      <c r="L137" s="14">
        <f>(B137+C137+D137+E137+F137+G137)*H137*'Prices&amp;Fuel'!H137</f>
        <v>1633803.5934940183</v>
      </c>
      <c r="M137" s="14">
        <f>'Prices&amp;Fuel'!X137*('Prices&amp;Fuel'!N137+'Prices&amp;Fuel'!O137)*'Prices&amp;Fuel'!H137</f>
        <v>9111.8818170137365</v>
      </c>
      <c r="N137" s="14">
        <f>('Prices&amp;Fuel'!U137+'Prices&amp;Fuel'!V137+'Prices&amp;Fuel'!W137)*('Prices&amp;Fuel'!L137+'Prices&amp;Fuel'!O137)*'Prices&amp;Fuel'!H137</f>
        <v>94854.289486043432</v>
      </c>
      <c r="O137" s="14">
        <f>((B137+C137+D137)*(1-'Prices&amp;Fuel'!G137))*('Prices&amp;Fuel'!M137+'Prices&amp;Fuel'!P137)*'Prices&amp;Fuel'!H137</f>
        <v>96613.75499999999</v>
      </c>
      <c r="P137" s="14">
        <f>((B137+C137+D137+E137+F137+G137)/(1-'Prices&amp;Fuel'!F137))*(1-'Prices&amp;Fuel'!F137)*'Prices&amp;Fuel'!H137*0.005</f>
        <v>1850.8997429305912</v>
      </c>
      <c r="Q137" s="14">
        <f>((D137+C137+B137+E137+F137+G137)*K137*'Prices&amp;Fuel'!H137)+M137+N137+O137+P137</f>
        <v>1564033.8539873068</v>
      </c>
      <c r="R137" s="6">
        <f t="shared" si="16"/>
        <v>69769.739506711485</v>
      </c>
      <c r="T137" s="3">
        <v>12000</v>
      </c>
    </row>
    <row r="138" spans="1:20" x14ac:dyDescent="0.2">
      <c r="A138" s="10">
        <f t="shared" si="19"/>
        <v>39794.416666666344</v>
      </c>
      <c r="B138" s="6">
        <f>IF(T138-((E138+F138+G138)*(1-'Prices&amp;Fuel'!F138))&lt;'Prices&amp;Fuel'!R138,(T138-(E138+F138+G138)*(1-'Prices&amp;Fuel'!F138)),'Prices&amp;Fuel'!R138)/(1-'Prices&amp;Fuel'!F138)</f>
        <v>4325.9640102827761</v>
      </c>
      <c r="C138" s="14">
        <f>(T138/(1-'Prices&amp;Fuel'!F138))-D138-E138-F138-G138-B138</f>
        <v>0</v>
      </c>
      <c r="D138" s="14">
        <f>ROUND(IF(T138/(1-'Prices&amp;Fuel'!F138)-E138-F138-G138-B138&gt;'Prices&amp;Fuel'!T138,'Prices&amp;Fuel'!T138,T138/(1-'Prices&amp;Fuel'!F138)-E138-F138-G138-B138),9)</f>
        <v>0</v>
      </c>
      <c r="E138" s="14">
        <f>'Prices&amp;Fuel'!U138/(1-'Prices&amp;Fuel'!F138)</f>
        <v>2635.4755784061695</v>
      </c>
      <c r="F138" s="14">
        <f>('Prices&amp;Fuel'!V138+'Prices&amp;Fuel'!X138)/(1-'Prices&amp;Fuel'!F138)</f>
        <v>3645.2442159383031</v>
      </c>
      <c r="G138" s="14">
        <f>'Prices&amp;Fuel'!W138/(1-'Prices&amp;Fuel'!F138)</f>
        <v>1732.6478149100255</v>
      </c>
      <c r="H138" s="25">
        <f>('Prices&amp;Fuel'!C138+'Prices&amp;Fuel'!D138)/2-0+(('Prices&amp;Fuel'!M138+'Prices&amp;Fuel'!P138)*(1-'Prices&amp;Fuel'!F138))</f>
        <v>3.4794011415626009</v>
      </c>
      <c r="I138" s="25"/>
      <c r="J138" s="25"/>
      <c r="K138" s="25">
        <f>(((B138+E138)*('Prices&amp;Fuel'!B138+0.025))+(('Prices&amp;Fuel'!D138+0.025)*(D138+G138))+(('Prices&amp;Fuel'!C138+0.025)*(C138+F138))-(I138+J138)*0.025)/(B138+C138+D138+E138+F138+G138)</f>
        <v>2.7440815582292672</v>
      </c>
      <c r="L138" s="14">
        <f>(B138+C138+D138+E138+F138+G138)*H138*'Prices&amp;Fuel'!H138</f>
        <v>1330938.020217262</v>
      </c>
      <c r="M138" s="14">
        <f>'Prices&amp;Fuel'!X138*('Prices&amp;Fuel'!N138+'Prices&amp;Fuel'!O138)*'Prices&amp;Fuel'!H138</f>
        <v>9415.6112109141941</v>
      </c>
      <c r="N138" s="14">
        <f>('Prices&amp;Fuel'!U138+'Prices&amp;Fuel'!V138+'Prices&amp;Fuel'!W138)*('Prices&amp;Fuel'!L138+'Prices&amp;Fuel'!O138)*'Prices&amp;Fuel'!H138</f>
        <v>98016.099135578203</v>
      </c>
      <c r="O138" s="14">
        <f>((B138+C138+D138)*(1-'Prices&amp;Fuel'!G138))*('Prices&amp;Fuel'!M138+'Prices&amp;Fuel'!P138)*'Prices&amp;Fuel'!H138</f>
        <v>99834.213499999998</v>
      </c>
      <c r="P138" s="14">
        <f>((B138+C138+D138+E138+F138+G138)/(1-'Prices&amp;Fuel'!F138))*(1-'Prices&amp;Fuel'!F138)*'Prices&amp;Fuel'!H138*0.005</f>
        <v>1912.5964010282776</v>
      </c>
      <c r="Q138" s="14">
        <f>((D138+C138+B138+E138+F138+G138)*K138*'Prices&amp;Fuel'!H138)+M138+N138+O138+P138</f>
        <v>1258842.6227269934</v>
      </c>
      <c r="R138" s="6">
        <f t="shared" si="16"/>
        <v>72095.397490268573</v>
      </c>
      <c r="T138" s="3">
        <f>T137</f>
        <v>12000</v>
      </c>
    </row>
    <row r="139" spans="1:20" x14ac:dyDescent="0.2">
      <c r="A139" s="10">
        <f t="shared" si="19"/>
        <v>39824.833333333008</v>
      </c>
      <c r="B139" s="6">
        <f>IF(T139-((E139+F139+G139)*(1-'Prices&amp;Fuel'!F139))&lt;'Prices&amp;Fuel'!R139,(T139-(E139+F139+G139)*(1-'Prices&amp;Fuel'!F139)),'Prices&amp;Fuel'!R139)/(1-'Prices&amp;Fuel'!F139)</f>
        <v>4325.9640102827761</v>
      </c>
      <c r="C139" s="14">
        <f>(T139/(1-'Prices&amp;Fuel'!F139))-D139-E139-F139-G139-B139</f>
        <v>0</v>
      </c>
      <c r="D139" s="14">
        <f>ROUND(IF(T139/(1-'Prices&amp;Fuel'!F139)-E139-F139-G139-B139&gt;'Prices&amp;Fuel'!T139,'Prices&amp;Fuel'!T139,T139/(1-'Prices&amp;Fuel'!F139)-E139-F139-G139-B139),9)</f>
        <v>0</v>
      </c>
      <c r="E139" s="14">
        <f>'Prices&amp;Fuel'!U139/(1-'Prices&amp;Fuel'!F139)</f>
        <v>2635.4755784061695</v>
      </c>
      <c r="F139" s="14">
        <f>('Prices&amp;Fuel'!V139+'Prices&amp;Fuel'!X139)/(1-'Prices&amp;Fuel'!F139)</f>
        <v>3645.2442159383031</v>
      </c>
      <c r="G139" s="14">
        <f>'Prices&amp;Fuel'!W139/(1-'Prices&amp;Fuel'!F139)</f>
        <v>1732.6478149100255</v>
      </c>
      <c r="H139" s="25">
        <f>('Prices&amp;Fuel'!C139+'Prices&amp;Fuel'!D139)/2-0+(('Prices&amp;Fuel'!M139+'Prices&amp;Fuel'!P139)*(1-'Prices&amp;Fuel'!F139))</f>
        <v>3.1531959992829135</v>
      </c>
      <c r="I139" s="25"/>
      <c r="J139" s="25"/>
      <c r="K139" s="25">
        <f>(((B139+E139)*('Prices&amp;Fuel'!B139+0.025))+(('Prices&amp;Fuel'!D139+0.025)*(D139+G139))+(('Prices&amp;Fuel'!C139+0.025)*(C139+F139))-(I139+J139)*0.025)/(B139+C139+D139+E139+F139+G139)</f>
        <v>2.4178764159495798</v>
      </c>
      <c r="L139" s="14">
        <f>(B139+C139+D139+E139+F139+G139)*H139*'Prices&amp;Fuel'!H139</f>
        <v>1206158.2639930528</v>
      </c>
      <c r="M139" s="14">
        <f>'Prices&amp;Fuel'!X139*('Prices&amp;Fuel'!N139+'Prices&amp;Fuel'!O139)*'Prices&amp;Fuel'!H139</f>
        <v>9438.6404139577935</v>
      </c>
      <c r="N139" s="14">
        <f>('Prices&amp;Fuel'!U139+'Prices&amp;Fuel'!V139+'Prices&amp;Fuel'!W139)*('Prices&amp;Fuel'!L139+'Prices&amp;Fuel'!O139)*'Prices&amp;Fuel'!H139</f>
        <v>98255.832127730479</v>
      </c>
      <c r="O139" s="14">
        <f>((B139+C139+D139)*(1-'Prices&amp;Fuel'!G139))*('Prices&amp;Fuel'!M139+'Prices&amp;Fuel'!P139)*'Prices&amp;Fuel'!H139</f>
        <v>99834.213499999998</v>
      </c>
      <c r="P139" s="14">
        <f>((B139+C139+D139+E139+F139+G139)/(1-'Prices&amp;Fuel'!F139))*(1-'Prices&amp;Fuel'!F139)*'Prices&amp;Fuel'!H139*0.005</f>
        <v>1912.5964010282776</v>
      </c>
      <c r="Q139" s="14">
        <f>((D139+C139+B139+E139+F139+G139)*K139*'Prices&amp;Fuel'!H139)+M139+N139+O139+P139</f>
        <v>1134325.62869798</v>
      </c>
      <c r="R139" s="6">
        <f t="shared" si="16"/>
        <v>71832.635295072803</v>
      </c>
      <c r="T139" s="3">
        <f t="shared" ref="T139:T148" si="20">T138</f>
        <v>12000</v>
      </c>
    </row>
    <row r="140" spans="1:20" x14ac:dyDescent="0.2">
      <c r="A140" s="10">
        <f t="shared" si="19"/>
        <v>39855.249999999673</v>
      </c>
      <c r="B140" s="6">
        <f>IF(T140-((E140+F140+G140)*(1-'Prices&amp;Fuel'!F140))&lt;'Prices&amp;Fuel'!R140,(T140-(E140+F140+G140)*(1-'Prices&amp;Fuel'!F140)),'Prices&amp;Fuel'!R140)/(1-'Prices&amp;Fuel'!F140)</f>
        <v>4325.9640102827761</v>
      </c>
      <c r="C140" s="14">
        <f>(T140/(1-'Prices&amp;Fuel'!F140))-D140-E140-F140-G140-B140</f>
        <v>0</v>
      </c>
      <c r="D140" s="14">
        <f>ROUND(IF(T140/(1-'Prices&amp;Fuel'!F140)-E140-F140-G140-B140&gt;'Prices&amp;Fuel'!T140,'Prices&amp;Fuel'!T140,T140/(1-'Prices&amp;Fuel'!F140)-E140-F140-G140-B140),9)</f>
        <v>0</v>
      </c>
      <c r="E140" s="14">
        <f>'Prices&amp;Fuel'!U140/(1-'Prices&amp;Fuel'!F140)</f>
        <v>2635.4755784061695</v>
      </c>
      <c r="F140" s="14">
        <f>('Prices&amp;Fuel'!V140+'Prices&amp;Fuel'!X140)/(1-'Prices&amp;Fuel'!F140)</f>
        <v>3645.2442159383031</v>
      </c>
      <c r="G140" s="14">
        <f>'Prices&amp;Fuel'!W140/(1-'Prices&amp;Fuel'!F140)</f>
        <v>1732.6478149100255</v>
      </c>
      <c r="H140" s="25">
        <f>('Prices&amp;Fuel'!C140+'Prices&amp;Fuel'!D140)/2-0+(('Prices&amp;Fuel'!M140+'Prices&amp;Fuel'!P140)*(1-'Prices&amp;Fuel'!F140))</f>
        <v>3.4426725443518054</v>
      </c>
      <c r="I140" s="25"/>
      <c r="J140" s="25"/>
      <c r="K140" s="25">
        <f>(((B140+E140)*('Prices&amp;Fuel'!B140+0.025))+(('Prices&amp;Fuel'!D140+0.025)*(D140+G140))+(('Prices&amp;Fuel'!C140+0.025)*(C140+F140))-(I140+J140)*0.025)/(B140+C140+D140+E140+F140+G140)</f>
        <v>2.7073529610184721</v>
      </c>
      <c r="L140" s="14">
        <f>(B140+C140+D140+E140+F140+G140)*H140*'Prices&amp;Fuel'!H140</f>
        <v>1189447.7891025259</v>
      </c>
      <c r="M140" s="14">
        <f>'Prices&amp;Fuel'!X140*('Prices&amp;Fuel'!N140+'Prices&amp;Fuel'!O140)*'Prices&amp;Fuel'!H140</f>
        <v>8525.2235997038133</v>
      </c>
      <c r="N140" s="14">
        <f>('Prices&amp;Fuel'!U140+'Prices&amp;Fuel'!V140+'Prices&amp;Fuel'!W140)*('Prices&amp;Fuel'!L140+'Prices&amp;Fuel'!O140)*'Prices&amp;Fuel'!H140</f>
        <v>88747.203212143664</v>
      </c>
      <c r="O140" s="14">
        <f>((B140+C140+D140)*(1-'Prices&amp;Fuel'!G140))*('Prices&amp;Fuel'!M140+'Prices&amp;Fuel'!P140)*'Prices&amp;Fuel'!H140</f>
        <v>90172.837999999989</v>
      </c>
      <c r="P140" s="14">
        <f>((B140+C140+D140+E140+F140+G140)/(1-'Prices&amp;Fuel'!F140))*(1-'Prices&amp;Fuel'!F140)*'Prices&amp;Fuel'!H140*0.005</f>
        <v>1727.5064267352184</v>
      </c>
      <c r="Q140" s="14">
        <f>((D140+C140+B140+E140+F140+G140)*K140*'Prices&amp;Fuel'!H140)+M140+N140+O140+P140</f>
        <v>1124566.6991585894</v>
      </c>
      <c r="R140" s="6">
        <f t="shared" si="16"/>
        <v>64881.08994393656</v>
      </c>
      <c r="T140" s="3">
        <f t="shared" si="20"/>
        <v>12000</v>
      </c>
    </row>
    <row r="141" spans="1:20" x14ac:dyDescent="0.2">
      <c r="A141" s="10">
        <f t="shared" si="19"/>
        <v>39885.666666666337</v>
      </c>
      <c r="B141" s="6">
        <f>IF(T141-((E141+F141+G141)*(1-'Prices&amp;Fuel'!F141))&lt;'Prices&amp;Fuel'!R141,(T141-(E141+F141+G141)*(1-'Prices&amp;Fuel'!F141)),'Prices&amp;Fuel'!R141)/(1-'Prices&amp;Fuel'!F141)</f>
        <v>4325.9640102827761</v>
      </c>
      <c r="C141" s="14">
        <f>(T141/(1-'Prices&amp;Fuel'!F141))-D141-E141-F141-G141-B141</f>
        <v>0</v>
      </c>
      <c r="D141" s="14">
        <f>ROUND(IF(T141/(1-'Prices&amp;Fuel'!F141)-E141-F141-G141-B141&gt;'Prices&amp;Fuel'!T141,'Prices&amp;Fuel'!T141,T141/(1-'Prices&amp;Fuel'!F141)-E141-F141-G141-B141),9)</f>
        <v>0</v>
      </c>
      <c r="E141" s="14">
        <f>'Prices&amp;Fuel'!U141/(1-'Prices&amp;Fuel'!F141)</f>
        <v>2635.4755784061695</v>
      </c>
      <c r="F141" s="14">
        <f>('Prices&amp;Fuel'!V141+'Prices&amp;Fuel'!X141)/(1-'Prices&amp;Fuel'!F141)</f>
        <v>3645.2442159383031</v>
      </c>
      <c r="G141" s="14">
        <f>'Prices&amp;Fuel'!W141/(1-'Prices&amp;Fuel'!F141)</f>
        <v>1732.6478149100255</v>
      </c>
      <c r="H141" s="25">
        <f>('Prices&amp;Fuel'!C141+'Prices&amp;Fuel'!D141)/2-0+(('Prices&amp;Fuel'!M141+'Prices&amp;Fuel'!P141)*(1-'Prices&amp;Fuel'!F141))</f>
        <v>3.4426725443518054</v>
      </c>
      <c r="I141" s="25"/>
      <c r="J141" s="25"/>
      <c r="K141" s="25">
        <f>(((B141+E141)*('Prices&amp;Fuel'!B141+0.025))+(('Prices&amp;Fuel'!D141+0.025)*(D141+G141))+(('Prices&amp;Fuel'!C141+0.025)*(C141+F141))-(I141+J141)*0.025)/(B141+C141+D141+E141+F141+G141)</f>
        <v>2.7073529610184721</v>
      </c>
      <c r="L141" s="14">
        <f>(B141+C141+D141+E141+F141+G141)*H141*'Prices&amp;Fuel'!H141</f>
        <v>1316888.6236492251</v>
      </c>
      <c r="M141" s="14">
        <f>'Prices&amp;Fuel'!X141*('Prices&amp;Fuel'!N141+'Prices&amp;Fuel'!O141)*'Prices&amp;Fuel'!H141</f>
        <v>9438.6404139577935</v>
      </c>
      <c r="N141" s="14">
        <f>('Prices&amp;Fuel'!U141+'Prices&amp;Fuel'!V141+'Prices&amp;Fuel'!W141)*('Prices&amp;Fuel'!L141+'Prices&amp;Fuel'!O141)*'Prices&amp;Fuel'!H141</f>
        <v>98255.832127730479</v>
      </c>
      <c r="O141" s="14">
        <f>((B141+C141+D141)*(1-'Prices&amp;Fuel'!G141))*('Prices&amp;Fuel'!M141+'Prices&amp;Fuel'!P141)*'Prices&amp;Fuel'!H141</f>
        <v>99834.213499999998</v>
      </c>
      <c r="P141" s="14">
        <f>((B141+C141+D141+E141+F141+G141)/(1-'Prices&amp;Fuel'!F141))*(1-'Prices&amp;Fuel'!F141)*'Prices&amp;Fuel'!H141*0.005</f>
        <v>1912.5964010282776</v>
      </c>
      <c r="Q141" s="14">
        <f>((D141+C141+B141+E141+F141+G141)*K141*'Prices&amp;Fuel'!H141)+M141+N141+O141+P141</f>
        <v>1245055.9883541525</v>
      </c>
      <c r="R141" s="6">
        <f t="shared" si="16"/>
        <v>71832.63529507257</v>
      </c>
      <c r="T141" s="3">
        <f t="shared" si="20"/>
        <v>12000</v>
      </c>
    </row>
    <row r="142" spans="1:20" x14ac:dyDescent="0.2">
      <c r="A142" s="10">
        <f t="shared" si="19"/>
        <v>39916.083333333001</v>
      </c>
      <c r="B142" s="6">
        <f>IF(T142-((E142+F142+G142)*(1-'Prices&amp;Fuel'!F142))&lt;'Prices&amp;Fuel'!R142,(T142-(E142+F142+G142)*(1-'Prices&amp;Fuel'!F142)),'Prices&amp;Fuel'!R142)/(1-'Prices&amp;Fuel'!F142)</f>
        <v>6278.6632390745499</v>
      </c>
      <c r="C142" s="14">
        <f>(T142/(1-'Prices&amp;Fuel'!F142))-D142-E142-F142-G142-B142</f>
        <v>0</v>
      </c>
      <c r="D142" s="14">
        <f>ROUND(IF(T142/(1-'Prices&amp;Fuel'!F142)-E142-F142-G142-B142&gt;'Prices&amp;Fuel'!T142,'Prices&amp;Fuel'!T142,T142/(1-'Prices&amp;Fuel'!F142)-E142-F142-G142-B142),9)</f>
        <v>0</v>
      </c>
      <c r="E142" s="14">
        <f>'Prices&amp;Fuel'!U142/(1-'Prices&amp;Fuel'!F142)</f>
        <v>1933.1619537275064</v>
      </c>
      <c r="F142" s="14">
        <f>('Prices&amp;Fuel'!V142+'Prices&amp;Fuel'!X142)/(1-'Prices&amp;Fuel'!F142)</f>
        <v>2833.9331619537274</v>
      </c>
      <c r="G142" s="14">
        <f>'Prices&amp;Fuel'!W142/(1-'Prices&amp;Fuel'!F142)</f>
        <v>1293.5732647814909</v>
      </c>
      <c r="H142" s="25">
        <f>('Prices&amp;Fuel'!C142+'Prices&amp;Fuel'!D142)/2-0+(('Prices&amp;Fuel'!M142+'Prices&amp;Fuel'!P142)*(1-'Prices&amp;Fuel'!F142))</f>
        <v>3.732149089420699</v>
      </c>
      <c r="I142" s="25"/>
      <c r="J142" s="25"/>
      <c r="K142" s="25">
        <f>(((B142+E142)*('Prices&amp;Fuel'!B142+0.025))+(('Prices&amp;Fuel'!D142+0.025)*(D142+G142))+(('Prices&amp;Fuel'!C142+0.025)*(C142+F142))-(I142+J142)*0.025)/(B142+C142+D142+E142+F142+G142)</f>
        <v>2.9925286727540321</v>
      </c>
      <c r="L142" s="14">
        <f>(B142+C142+D142+E142+F142+G142)*H142*'Prices&amp;Fuel'!H142</f>
        <v>1381566.7580374824</v>
      </c>
      <c r="M142" s="14">
        <f>'Prices&amp;Fuel'!X142*('Prices&amp;Fuel'!N142+'Prices&amp;Fuel'!O142)*'Prices&amp;Fuel'!H142</f>
        <v>9134.1681425398001</v>
      </c>
      <c r="N142" s="14">
        <f>('Prices&amp;Fuel'!U142+'Prices&amp;Fuel'!V142+'Prices&amp;Fuel'!W142)*('Prices&amp;Fuel'!L142+'Prices&amp;Fuel'!O142)*'Prices&amp;Fuel'!H142</f>
        <v>69689.82458385783</v>
      </c>
      <c r="O142" s="14">
        <f>((B142+C142+D142)*(1-'Prices&amp;Fuel'!G142))*('Prices&amp;Fuel'!M142+'Prices&amp;Fuel'!P142)*'Prices&amp;Fuel'!H142</f>
        <v>140224.29</v>
      </c>
      <c r="P142" s="14">
        <f>((B142+C142+D142+E142+F142+G142)/(1-'Prices&amp;Fuel'!F142))*(1-'Prices&amp;Fuel'!F142)*'Prices&amp;Fuel'!H142*0.005</f>
        <v>1850.8997429305914</v>
      </c>
      <c r="Q142" s="14">
        <f>((D142+C142+B142+E142+F142+G142)*K142*'Prices&amp;Fuel'!H142)+M142+N142+O142+P142</f>
        <v>1328673.2926919006</v>
      </c>
      <c r="R142" s="6">
        <f t="shared" si="16"/>
        <v>52893.465345581761</v>
      </c>
      <c r="T142" s="3">
        <f t="shared" si="20"/>
        <v>12000</v>
      </c>
    </row>
    <row r="143" spans="1:20" x14ac:dyDescent="0.2">
      <c r="A143" s="10">
        <f t="shared" si="19"/>
        <v>39946.499999999665</v>
      </c>
      <c r="B143" s="6">
        <f>IF(T143-((E143+F143+G143)*(1-'Prices&amp;Fuel'!F143))&lt;'Prices&amp;Fuel'!R143,(T143-(E143+F143+G143)*(1-'Prices&amp;Fuel'!F143)),'Prices&amp;Fuel'!R143)/(1-'Prices&amp;Fuel'!F143)</f>
        <v>8976.8637532133671</v>
      </c>
      <c r="C143" s="14">
        <f>(T143/(1-'Prices&amp;Fuel'!F143))-D143-E143-F143-G143-B143</f>
        <v>1.3824319466948509E-10</v>
      </c>
      <c r="D143" s="14">
        <f>ROUND(IF(T143/(1-'Prices&amp;Fuel'!F143)-E143-F143-G143-B143&gt;'Prices&amp;Fuel'!T143,'Prices&amp;Fuel'!T143,T143/(1-'Prices&amp;Fuel'!F143)-E143-F143-G143-B143),9)</f>
        <v>6556.2982005140002</v>
      </c>
      <c r="E143" s="14">
        <f>'Prices&amp;Fuel'!U143/(1-'Prices&amp;Fuel'!F143)</f>
        <v>1933.1619537275064</v>
      </c>
      <c r="F143" s="14">
        <f>('Prices&amp;Fuel'!V143+'Prices&amp;Fuel'!X143)/(1-'Prices&amp;Fuel'!F143)</f>
        <v>3062.2107969151671</v>
      </c>
      <c r="G143" s="14">
        <f>'Prices&amp;Fuel'!W143/(1-'Prices&amp;Fuel'!F143)</f>
        <v>1065.2956298200513</v>
      </c>
      <c r="H143" s="25">
        <f>('Prices&amp;Fuel'!C143+'Prices&amp;Fuel'!D143)/2-0+(('Prices&amp;Fuel'!M143+'Prices&amp;Fuel'!P143)*(1-'Prices&amp;Fuel'!F143))</f>
        <v>3.9358548063210312</v>
      </c>
      <c r="I143" s="25"/>
      <c r="J143" s="25"/>
      <c r="K143" s="25">
        <f>(((B143+E143)*('Prices&amp;Fuel'!B143+0.025))+(('Prices&amp;Fuel'!D143+0.025)*(D143+G143))+(('Prices&amp;Fuel'!C143+0.025)*(C143+F143))-(I143+J143)*0.025)/(B143+C143+D143+E143+F143+G143)</f>
        <v>3.1934441515591265</v>
      </c>
      <c r="L143" s="14">
        <f>(B143+C143+D143+E143+F143+G143)*H143*'Prices&amp;Fuel'!H143</f>
        <v>2634695.608138808</v>
      </c>
      <c r="M143" s="14">
        <f>'Prices&amp;Fuel'!X143*('Prices&amp;Fuel'!N143+'Prices&amp;Fuel'!O143)*'Prices&amp;Fuel'!H143</f>
        <v>9438.6404139577935</v>
      </c>
      <c r="N143" s="14">
        <f>('Prices&amp;Fuel'!U143+'Prices&amp;Fuel'!V143+'Prices&amp;Fuel'!W143)*('Prices&amp;Fuel'!L143+'Prices&amp;Fuel'!O143)*'Prices&amp;Fuel'!H143</f>
        <v>72012.818736653091</v>
      </c>
      <c r="O143" s="14">
        <f>((B143+C143+D143)*(1-'Prices&amp;Fuel'!G143))*('Prices&amp;Fuel'!M143+'Prices&amp;Fuel'!P143)*'Prices&amp;Fuel'!H143</f>
        <v>358472.93300000002</v>
      </c>
      <c r="P143" s="14">
        <f>((B143+C143+D143+E143+F143+G143)/(1-'Prices&amp;Fuel'!F143))*(1-'Prices&amp;Fuel'!F143)*'Prices&amp;Fuel'!H143*0.005</f>
        <v>3347.043701799485</v>
      </c>
      <c r="Q143" s="14">
        <f>((D143+C143+B143+E143+F143+G143)*K143*'Prices&amp;Fuel'!H143)+M143+N143+O143+P143</f>
        <v>2580990.8627572861</v>
      </c>
      <c r="R143" s="6">
        <f t="shared" si="16"/>
        <v>53704.745381521992</v>
      </c>
      <c r="T143" s="3">
        <v>21000</v>
      </c>
    </row>
    <row r="144" spans="1:20" x14ac:dyDescent="0.2">
      <c r="A144" s="10">
        <f t="shared" si="19"/>
        <v>39976.91666666633</v>
      </c>
      <c r="B144" s="6">
        <f>IF(T144-((E144+F144+G144)*(1-'Prices&amp;Fuel'!F144))&lt;'Prices&amp;Fuel'!R144,(T144-(E144+F144+G144)*(1-'Prices&amp;Fuel'!F144)),'Prices&amp;Fuel'!R144)/(1-'Prices&amp;Fuel'!F144)</f>
        <v>8976.8637532133671</v>
      </c>
      <c r="C144" s="14">
        <f>(T144/(1-'Prices&amp;Fuel'!F144))-D144-E144-F144-G144-B144</f>
        <v>1.3824319466948509E-10</v>
      </c>
      <c r="D144" s="14">
        <f>ROUND(IF(T144/(1-'Prices&amp;Fuel'!F144)-E144-F144-G144-B144&gt;'Prices&amp;Fuel'!T144,'Prices&amp;Fuel'!T144,T144/(1-'Prices&amp;Fuel'!F144)-E144-F144-G144-B144),9)</f>
        <v>6556.2982005140002</v>
      </c>
      <c r="E144" s="14">
        <f>'Prices&amp;Fuel'!U144/(1-'Prices&amp;Fuel'!F144)</f>
        <v>1933.1619537275064</v>
      </c>
      <c r="F144" s="14">
        <f>('Prices&amp;Fuel'!V144+'Prices&amp;Fuel'!X144)/(1-'Prices&amp;Fuel'!F144)</f>
        <v>3062.2107969151671</v>
      </c>
      <c r="G144" s="14">
        <f>'Prices&amp;Fuel'!W144/(1-'Prices&amp;Fuel'!F144)</f>
        <v>1065.2956298200513</v>
      </c>
      <c r="H144" s="25">
        <f>('Prices&amp;Fuel'!C144+'Prices&amp;Fuel'!D144)/2-0+(('Prices&amp;Fuel'!M144+'Prices&amp;Fuel'!P144)*(1-'Prices&amp;Fuel'!F144))</f>
        <v>5.3403521175812134</v>
      </c>
      <c r="I144" s="25"/>
      <c r="J144" s="25"/>
      <c r="K144" s="25">
        <f>(((B144+E144)*('Prices&amp;Fuel'!B144+0.025))+(('Prices&amp;Fuel'!D144+0.025)*(D144+G144))+(('Prices&amp;Fuel'!C144+0.025)*(C144+F144))-(I144+J144)*0.025)/(B144+C144+D144+E144+F144+G144)</f>
        <v>4.5979414628193087</v>
      </c>
      <c r="L144" s="14">
        <f>(B144+C144+D144+E144+F144+G144)*H144*'Prices&amp;Fuel'!H144</f>
        <v>3459559.7265564664</v>
      </c>
      <c r="M144" s="14">
        <f>'Prices&amp;Fuel'!X144*('Prices&amp;Fuel'!N144+'Prices&amp;Fuel'!O144)*'Prices&amp;Fuel'!H144</f>
        <v>9134.1681425398001</v>
      </c>
      <c r="N144" s="14">
        <f>('Prices&amp;Fuel'!U144+'Prices&amp;Fuel'!V144+'Prices&amp;Fuel'!W144)*('Prices&amp;Fuel'!L144+'Prices&amp;Fuel'!O144)*'Prices&amp;Fuel'!H144</f>
        <v>69689.82458385783</v>
      </c>
      <c r="O144" s="14">
        <f>((B144+C144+D144)*(1-'Prices&amp;Fuel'!G144))*('Prices&amp;Fuel'!M144+'Prices&amp;Fuel'!P144)*'Prices&amp;Fuel'!H144</f>
        <v>346909.29</v>
      </c>
      <c r="P144" s="14">
        <f>((B144+C144+D144+E144+F144+G144)/(1-'Prices&amp;Fuel'!F144))*(1-'Prices&amp;Fuel'!F144)*'Prices&amp;Fuel'!H144*0.005</f>
        <v>3239.0745501285346</v>
      </c>
      <c r="Q144" s="14">
        <f>((D144+C144+B144+E144+F144+G144)*K144*'Prices&amp;Fuel'!H144)+M144+N144+O144+P144</f>
        <v>3407587.3923162837</v>
      </c>
      <c r="R144" s="6">
        <f t="shared" si="16"/>
        <v>51972.334240182769</v>
      </c>
      <c r="T144" s="3">
        <f t="shared" si="20"/>
        <v>21000</v>
      </c>
    </row>
    <row r="145" spans="1:20" x14ac:dyDescent="0.2">
      <c r="A145" s="10">
        <f t="shared" si="19"/>
        <v>40007.333333332994</v>
      </c>
      <c r="B145" s="6">
        <f>IF(T145-((E145+F145+G145)*(1-'Prices&amp;Fuel'!F145))&lt;'Prices&amp;Fuel'!R145,(T145-(E145+F145+G145)*(1-'Prices&amp;Fuel'!F145)),'Prices&amp;Fuel'!R145)/(1-'Prices&amp;Fuel'!F145)</f>
        <v>8976.8637532133671</v>
      </c>
      <c r="C145" s="14">
        <f>(T145/(1-'Prices&amp;Fuel'!F145))-D145-E145-F145-G145-B145</f>
        <v>1.3824319466948509E-10</v>
      </c>
      <c r="D145" s="14">
        <f>ROUND(IF(T145/(1-'Prices&amp;Fuel'!F145)-E145-F145-G145-B145&gt;'Prices&amp;Fuel'!T145,'Prices&amp;Fuel'!T145,T145/(1-'Prices&amp;Fuel'!F145)-E145-F145-G145-B145),9)</f>
        <v>6556.2982005140002</v>
      </c>
      <c r="E145" s="14">
        <f>'Prices&amp;Fuel'!U145/(1-'Prices&amp;Fuel'!F145)</f>
        <v>1933.1619537275064</v>
      </c>
      <c r="F145" s="14">
        <f>('Prices&amp;Fuel'!V145+'Prices&amp;Fuel'!X145)/(1-'Prices&amp;Fuel'!F145)</f>
        <v>3062.2107969151671</v>
      </c>
      <c r="G145" s="14">
        <f>'Prices&amp;Fuel'!W145/(1-'Prices&amp;Fuel'!F145)</f>
        <v>1065.2956298200513</v>
      </c>
      <c r="H145" s="25">
        <f>('Prices&amp;Fuel'!C145+'Prices&amp;Fuel'!D145)/2-0+(('Prices&amp;Fuel'!M145+'Prices&amp;Fuel'!P145)*(1-'Prices&amp;Fuel'!F145))</f>
        <v>5.329630764060143</v>
      </c>
      <c r="I145" s="25"/>
      <c r="J145" s="25"/>
      <c r="K145" s="25">
        <f>(((B145+E145)*('Prices&amp;Fuel'!B145+0.025))+(('Prices&amp;Fuel'!D145+0.025)*(D145+G145))+(('Prices&amp;Fuel'!C145+0.025)*(C145+F145))-(I145+J145)*0.025)/(B145+C145+D145+E145+F145+G145)</f>
        <v>4.5872201092982401</v>
      </c>
      <c r="L145" s="14">
        <f>(B145+C145+D145+E145+F145+G145)*H145*'Prices&amp;Fuel'!H145</f>
        <v>3567701.416352856</v>
      </c>
      <c r="M145" s="14">
        <f>'Prices&amp;Fuel'!X145*('Prices&amp;Fuel'!N145+'Prices&amp;Fuel'!O145)*'Prices&amp;Fuel'!H145</f>
        <v>9438.6404139577935</v>
      </c>
      <c r="N145" s="14">
        <f>('Prices&amp;Fuel'!U145+'Prices&amp;Fuel'!V145+'Prices&amp;Fuel'!W145)*('Prices&amp;Fuel'!L145+'Prices&amp;Fuel'!O145)*'Prices&amp;Fuel'!H145</f>
        <v>72012.818736653091</v>
      </c>
      <c r="O145" s="14">
        <f>((B145+C145+D145)*(1-'Prices&amp;Fuel'!G145))*('Prices&amp;Fuel'!M145+'Prices&amp;Fuel'!P145)*'Prices&amp;Fuel'!H145</f>
        <v>358472.93300000002</v>
      </c>
      <c r="P145" s="14">
        <f>((B145+C145+D145+E145+F145+G145)/(1-'Prices&amp;Fuel'!F145))*(1-'Prices&amp;Fuel'!F145)*'Prices&amp;Fuel'!H145*0.005</f>
        <v>3347.043701799485</v>
      </c>
      <c r="Q145" s="14">
        <f>((D145+C145+B145+E145+F145+G145)*K145*'Prices&amp;Fuel'!H145)+M145+N145+O145+P145</f>
        <v>3513996.6709713349</v>
      </c>
      <c r="R145" s="6">
        <f t="shared" ref="R145:R176" si="21">L145-Q145</f>
        <v>53704.745381521061</v>
      </c>
      <c r="T145" s="3">
        <f t="shared" si="20"/>
        <v>21000</v>
      </c>
    </row>
    <row r="146" spans="1:20" x14ac:dyDescent="0.2">
      <c r="A146" s="10">
        <f t="shared" si="19"/>
        <v>40037.749999999658</v>
      </c>
      <c r="B146" s="6">
        <f>IF(T146-((E146+F146+G146)*(1-'Prices&amp;Fuel'!F146))&lt;'Prices&amp;Fuel'!R146,(T146-(E146+F146+G146)*(1-'Prices&amp;Fuel'!F146)),'Prices&amp;Fuel'!R146)/(1-'Prices&amp;Fuel'!F146)</f>
        <v>8976.8637532133671</v>
      </c>
      <c r="C146" s="14">
        <f>(T146/(1-'Prices&amp;Fuel'!F146))-D146-E146-F146-G146-B146</f>
        <v>1.3824319466948509E-10</v>
      </c>
      <c r="D146" s="14">
        <f>ROUND(IF(T146/(1-'Prices&amp;Fuel'!F146)-E146-F146-G146-B146&gt;'Prices&amp;Fuel'!T146,'Prices&amp;Fuel'!T146,T146/(1-'Prices&amp;Fuel'!F146)-E146-F146-G146-B146),9)</f>
        <v>6556.2982005140002</v>
      </c>
      <c r="E146" s="14">
        <f>'Prices&amp;Fuel'!U146/(1-'Prices&amp;Fuel'!F146)</f>
        <v>1933.1619537275064</v>
      </c>
      <c r="F146" s="14">
        <f>('Prices&amp;Fuel'!V146+'Prices&amp;Fuel'!X146)/(1-'Prices&amp;Fuel'!F146)</f>
        <v>3062.2107969151671</v>
      </c>
      <c r="G146" s="14">
        <f>'Prices&amp;Fuel'!W146/(1-'Prices&amp;Fuel'!F146)</f>
        <v>1065.2956298200513</v>
      </c>
      <c r="H146" s="25">
        <f>('Prices&amp;Fuel'!C146+'Prices&amp;Fuel'!D146)/2-0+(('Prices&amp;Fuel'!M146+'Prices&amp;Fuel'!P146)*(1-'Prices&amp;Fuel'!F146))</f>
        <v>4.7506776739223575</v>
      </c>
      <c r="I146" s="25"/>
      <c r="J146" s="25"/>
      <c r="K146" s="25">
        <f>(((B146+E146)*('Prices&amp;Fuel'!B146+0.025))+(('Prices&amp;Fuel'!D146+0.025)*(D146+G146))+(('Prices&amp;Fuel'!C146+0.025)*(C146+F146))-(I146+J146)*0.025)/(B146+C146+D146+E146+F146+G146)</f>
        <v>4.0082670191604537</v>
      </c>
      <c r="L146" s="14">
        <f>(B146+C146+D146+E146+F146+G146)*H146*'Prices&amp;Fuel'!H146</f>
        <v>3180145.1575562512</v>
      </c>
      <c r="M146" s="14">
        <f>'Prices&amp;Fuel'!X146*('Prices&amp;Fuel'!N146+'Prices&amp;Fuel'!O146)*'Prices&amp;Fuel'!H146</f>
        <v>9438.6404139577935</v>
      </c>
      <c r="N146" s="14">
        <f>('Prices&amp;Fuel'!U146+'Prices&amp;Fuel'!V146+'Prices&amp;Fuel'!W146)*('Prices&amp;Fuel'!L146+'Prices&amp;Fuel'!O146)*'Prices&amp;Fuel'!H146</f>
        <v>72012.818736653091</v>
      </c>
      <c r="O146" s="14">
        <f>((B146+C146+D146)*(1-'Prices&amp;Fuel'!G146))*('Prices&amp;Fuel'!M146+'Prices&amp;Fuel'!P146)*'Prices&amp;Fuel'!H146</f>
        <v>358472.93300000002</v>
      </c>
      <c r="P146" s="14">
        <f>((B146+C146+D146+E146+F146+G146)/(1-'Prices&amp;Fuel'!F146))*(1-'Prices&amp;Fuel'!F146)*'Prices&amp;Fuel'!H146*0.005</f>
        <v>3347.043701799485</v>
      </c>
      <c r="Q146" s="14">
        <f>((D146+C146+B146+E146+F146+G146)*K146*'Prices&amp;Fuel'!H146)+M146+N146+O146+P146</f>
        <v>3126440.4121747296</v>
      </c>
      <c r="R146" s="6">
        <f t="shared" si="21"/>
        <v>53704.745381521527</v>
      </c>
      <c r="T146" s="3">
        <f t="shared" si="20"/>
        <v>21000</v>
      </c>
    </row>
    <row r="147" spans="1:20" x14ac:dyDescent="0.2">
      <c r="A147" s="10">
        <f t="shared" si="19"/>
        <v>40068.166666666322</v>
      </c>
      <c r="B147" s="6">
        <f>IF(T147-((E147+F147+G147)*(1-'Prices&amp;Fuel'!F147))&lt;'Prices&amp;Fuel'!R147,(T147-(E147+F147+G147)*(1-'Prices&amp;Fuel'!F147)),'Prices&amp;Fuel'!R147)/(1-'Prices&amp;Fuel'!F147)</f>
        <v>8976.8637532133671</v>
      </c>
      <c r="C147" s="14">
        <f>(T147/(1-'Prices&amp;Fuel'!F147))-D147-E147-F147-G147-B147</f>
        <v>1.3824319466948509E-10</v>
      </c>
      <c r="D147" s="14">
        <f>ROUND(IF(T147/(1-'Prices&amp;Fuel'!F147)-E147-F147-G147-B147&gt;'Prices&amp;Fuel'!T147,'Prices&amp;Fuel'!T147,T147/(1-'Prices&amp;Fuel'!F147)-E147-F147-G147-B147),9)</f>
        <v>6556.2982005140002</v>
      </c>
      <c r="E147" s="14">
        <f>'Prices&amp;Fuel'!U147/(1-'Prices&amp;Fuel'!F147)</f>
        <v>1933.1619537275064</v>
      </c>
      <c r="F147" s="14">
        <f>('Prices&amp;Fuel'!V147+'Prices&amp;Fuel'!X147)/(1-'Prices&amp;Fuel'!F147)</f>
        <v>3062.2107969151671</v>
      </c>
      <c r="G147" s="14">
        <f>'Prices&amp;Fuel'!W147/(1-'Prices&amp;Fuel'!F147)</f>
        <v>1065.2956298200513</v>
      </c>
      <c r="H147" s="25">
        <f>('Prices&amp;Fuel'!C147+'Prices&amp;Fuel'!D147)/2-0+(('Prices&amp;Fuel'!M147+'Prices&amp;Fuel'!P147)*(1-'Prices&amp;Fuel'!F147))</f>
        <v>5.5762218950447568</v>
      </c>
      <c r="I147" s="25"/>
      <c r="J147" s="25"/>
      <c r="K147" s="25">
        <f>(((B147+E147)*('Prices&amp;Fuel'!B147+0.025))+(('Prices&amp;Fuel'!D147+0.025)*(D147+G147))+(('Prices&amp;Fuel'!C147+0.025)*(C147+F147))-(I147+J147)*0.025)/(B147+C147+D147+E147+F147+G147)</f>
        <v>4.8338112402828539</v>
      </c>
      <c r="L147" s="14">
        <f>(B147+C147+D147+E147+F147+G147)*H147*'Prices&amp;Fuel'!H147</f>
        <v>3612359.6852217955</v>
      </c>
      <c r="M147" s="14">
        <f>'Prices&amp;Fuel'!X147*('Prices&amp;Fuel'!N147+'Prices&amp;Fuel'!O147)*'Prices&amp;Fuel'!H147</f>
        <v>9134.1681425398001</v>
      </c>
      <c r="N147" s="14">
        <f>('Prices&amp;Fuel'!U147+'Prices&amp;Fuel'!V147+'Prices&amp;Fuel'!W147)*('Prices&amp;Fuel'!L147+'Prices&amp;Fuel'!O147)*'Prices&amp;Fuel'!H147</f>
        <v>69689.82458385783</v>
      </c>
      <c r="O147" s="14">
        <f>((B147+C147+D147)*(1-'Prices&amp;Fuel'!G147))*('Prices&amp;Fuel'!M147+'Prices&amp;Fuel'!P147)*'Prices&amp;Fuel'!H147</f>
        <v>346909.29</v>
      </c>
      <c r="P147" s="14">
        <f>((B147+C147+D147+E147+F147+G147)/(1-'Prices&amp;Fuel'!F147))*(1-'Prices&amp;Fuel'!F147)*'Prices&amp;Fuel'!H147*0.005</f>
        <v>3239.0745501285346</v>
      </c>
      <c r="Q147" s="14">
        <f>((D147+C147+B147+E147+F147+G147)*K147*'Prices&amp;Fuel'!H147)+M147+N147+O147+P147</f>
        <v>3560387.3509816136</v>
      </c>
      <c r="R147" s="6">
        <f t="shared" si="21"/>
        <v>51972.334240181837</v>
      </c>
      <c r="T147" s="3">
        <f t="shared" si="20"/>
        <v>21000</v>
      </c>
    </row>
    <row r="148" spans="1:20" x14ac:dyDescent="0.2">
      <c r="A148" s="10">
        <f t="shared" si="19"/>
        <v>40098.583333332987</v>
      </c>
      <c r="B148" s="6">
        <f>IF(T148-((E148+F148+G148)*(1-'Prices&amp;Fuel'!F148))&lt;'Prices&amp;Fuel'!R148,(T148-(E148+F148+G148)*(1-'Prices&amp;Fuel'!F148)),'Prices&amp;Fuel'!R148)/(1-'Prices&amp;Fuel'!F148)</f>
        <v>8976.8637532133671</v>
      </c>
      <c r="C148" s="14">
        <f>(T148/(1-'Prices&amp;Fuel'!F148))-D148-E148-F148-G148-B148</f>
        <v>2.0190782379359007E-10</v>
      </c>
      <c r="D148" s="14">
        <f>ROUND(IF(T148/(1-'Prices&amp;Fuel'!F148)-E148-F148-G148-B148&gt;'Prices&amp;Fuel'!T148,'Prices&amp;Fuel'!T148,T148/(1-'Prices&amp;Fuel'!F148)-E148-F148-G148-B148),9)</f>
        <v>3514.6529562979999</v>
      </c>
      <c r="E148" s="14">
        <f>'Prices&amp;Fuel'!U148/(1-'Prices&amp;Fuel'!F148)</f>
        <v>2910.025706940874</v>
      </c>
      <c r="F148" s="14">
        <f>('Prices&amp;Fuel'!V148+'Prices&amp;Fuel'!X148)/(1-'Prices&amp;Fuel'!F148)</f>
        <v>4628.2776349614396</v>
      </c>
      <c r="G148" s="14">
        <f>'Prices&amp;Fuel'!W148/(1-'Prices&amp;Fuel'!F148)</f>
        <v>1564.0102827763496</v>
      </c>
      <c r="H148" s="25">
        <f>('Prices&amp;Fuel'!C148+'Prices&amp;Fuel'!D148)/2-0+(('Prices&amp;Fuel'!M148+'Prices&amp;Fuel'!P148)*(1-'Prices&amp;Fuel'!F148))</f>
        <v>6.3052739344775226</v>
      </c>
      <c r="I148" s="25"/>
      <c r="J148" s="25"/>
      <c r="K148" s="25">
        <f>(((B148+E148)*('Prices&amp;Fuel'!B148+0.025))+(('Prices&amp;Fuel'!D148+0.025)*(D148+G148))+(('Prices&amp;Fuel'!C148+0.025)*(C148+F148))-(I148+J148)*0.025)/(B148+C148+D148+E148+F148+G148)</f>
        <v>5.5660370892394289</v>
      </c>
      <c r="L148" s="14">
        <f>(B148+C148+D148+E148+F148+G148)*H148*'Prices&amp;Fuel'!H148</f>
        <v>4220805.4821026921</v>
      </c>
      <c r="M148" s="14">
        <f>'Prices&amp;Fuel'!X148*('Prices&amp;Fuel'!N148+'Prices&amp;Fuel'!O148)*'Prices&amp;Fuel'!H148</f>
        <v>13833.205057645318</v>
      </c>
      <c r="N148" s="14">
        <f>('Prices&amp;Fuel'!U148+'Prices&amp;Fuel'!V148+'Prices&amp;Fuel'!W148)*('Prices&amp;Fuel'!L148+'Prices&amp;Fuel'!O148)*'Prices&amp;Fuel'!H148</f>
        <v>108495.99691066272</v>
      </c>
      <c r="O148" s="14">
        <f>((B148+C148+D148)*(1-'Prices&amp;Fuel'!G148))*('Prices&amp;Fuel'!M148+'Prices&amp;Fuel'!P148)*'Prices&amp;Fuel'!H148</f>
        <v>288278.114</v>
      </c>
      <c r="P148" s="14">
        <f>((B148+C148+D148+E148+F148+G148)/(1-'Prices&amp;Fuel'!F148))*(1-'Prices&amp;Fuel'!F148)*'Prices&amp;Fuel'!H148*0.005</f>
        <v>3347.0437017994859</v>
      </c>
      <c r="Q148" s="14">
        <f>((D148+C148+B148+E148+F148+G148)*K148*'Prices&amp;Fuel'!H148)+M148+N148+O148+P148</f>
        <v>4139908.2363743428</v>
      </c>
      <c r="R148" s="6">
        <f t="shared" si="21"/>
        <v>80897.245728349313</v>
      </c>
      <c r="T148" s="3">
        <f t="shared" si="20"/>
        <v>21000</v>
      </c>
    </row>
    <row r="149" spans="1:20" x14ac:dyDescent="0.2">
      <c r="A149" s="10">
        <f t="shared" si="19"/>
        <v>40128.999999999651</v>
      </c>
      <c r="B149" s="6">
        <f>IF(T149-((E149+F149+G149)*(1-'Prices&amp;Fuel'!F149))&lt;'Prices&amp;Fuel'!R149,(T149-(E149+F149+G149)*(1-'Prices&amp;Fuel'!F149)),'Prices&amp;Fuel'!R149)/(1-'Prices&amp;Fuel'!F149)</f>
        <v>4325.9640102827761</v>
      </c>
      <c r="C149" s="14">
        <f>(T149/(1-'Prices&amp;Fuel'!F149))-D149-E149-F149-G149-B149</f>
        <v>0</v>
      </c>
      <c r="D149" s="14">
        <f>ROUND(IF(T149/(1-'Prices&amp;Fuel'!F149)-E149-F149-G149-B149&gt;'Prices&amp;Fuel'!T149,'Prices&amp;Fuel'!T149,T149/(1-'Prices&amp;Fuel'!F149)-E149-F149-G149-B149),9)</f>
        <v>0</v>
      </c>
      <c r="E149" s="14">
        <f>'Prices&amp;Fuel'!U149/(1-'Prices&amp;Fuel'!F149)</f>
        <v>2635.4755784061695</v>
      </c>
      <c r="F149" s="14">
        <f>('Prices&amp;Fuel'!V149+'Prices&amp;Fuel'!X149)/(1-'Prices&amp;Fuel'!F149)</f>
        <v>3645.2442159383031</v>
      </c>
      <c r="G149" s="14">
        <f>'Prices&amp;Fuel'!W149/(1-'Prices&amp;Fuel'!F149)</f>
        <v>1732.6478149100255</v>
      </c>
      <c r="H149" s="25">
        <f>('Prices&amp;Fuel'!C149+'Prices&amp;Fuel'!D149)/2-0+(('Prices&amp;Fuel'!M149+'Prices&amp;Fuel'!P149)*(1-'Prices&amp;Fuel'!F149))</f>
        <v>4.4504797753323952</v>
      </c>
      <c r="I149" s="25"/>
      <c r="J149" s="25"/>
      <c r="K149" s="25">
        <f>(((B149+E149)*('Prices&amp;Fuel'!B149+0.025))+(('Prices&amp;Fuel'!D149+0.025)*(D149+G149))+(('Prices&amp;Fuel'!C149+0.025)*(C149+F149))-(I149+J149)*0.025)/(B149+C149+D149+E149+F149+G149)</f>
        <v>3.715160191999062</v>
      </c>
      <c r="L149" s="14">
        <f>(B149+C149+D149+E149+F149+G149)*H149*'Prices&amp;Fuel'!H149</f>
        <v>1647478.374416105</v>
      </c>
      <c r="M149" s="14">
        <f>'Prices&amp;Fuel'!X149*('Prices&amp;Fuel'!N149+'Prices&amp;Fuel'!O149)*'Prices&amp;Fuel'!H149</f>
        <v>9134.1681425398001</v>
      </c>
      <c r="N149" s="14">
        <f>('Prices&amp;Fuel'!U149+'Prices&amp;Fuel'!V149+'Prices&amp;Fuel'!W149)*('Prices&amp;Fuel'!L149+'Prices&amp;Fuel'!O149)*'Prices&amp;Fuel'!H149</f>
        <v>95086.289155868202</v>
      </c>
      <c r="O149" s="14">
        <f>((B149+C149+D149)*(1-'Prices&amp;Fuel'!G149))*('Prices&amp;Fuel'!M149+'Prices&amp;Fuel'!P149)*'Prices&amp;Fuel'!H149</f>
        <v>96613.75499999999</v>
      </c>
      <c r="P149" s="14">
        <f>((B149+C149+D149+E149+F149+G149)/(1-'Prices&amp;Fuel'!F149))*(1-'Prices&amp;Fuel'!F149)*'Prices&amp;Fuel'!H149*0.005</f>
        <v>1850.8997429305912</v>
      </c>
      <c r="Q149" s="14">
        <f>((D149+C149+B149+E149+F149+G149)*K149*'Prices&amp;Fuel'!H149)+M149+N149+O149+P149</f>
        <v>1577962.9209047444</v>
      </c>
      <c r="R149" s="6">
        <f t="shared" si="21"/>
        <v>69515.453511360567</v>
      </c>
      <c r="T149" s="3">
        <v>12000</v>
      </c>
    </row>
    <row r="150" spans="1:20" x14ac:dyDescent="0.2">
      <c r="A150" s="10">
        <f t="shared" si="19"/>
        <v>40159.416666666315</v>
      </c>
      <c r="B150" s="6">
        <f>IF(T150-((E150+F150+G150)*(1-'Prices&amp;Fuel'!F150))&lt;'Prices&amp;Fuel'!R150,(T150-(E150+F150+G150)*(1-'Prices&amp;Fuel'!F150)),'Prices&amp;Fuel'!R150)/(1-'Prices&amp;Fuel'!F150)</f>
        <v>4325.9640102827761</v>
      </c>
      <c r="C150" s="14">
        <f>(T150/(1-'Prices&amp;Fuel'!F150))-D150-E150-F150-G150-B150</f>
        <v>0</v>
      </c>
      <c r="D150" s="14">
        <f>ROUND(IF(T150/(1-'Prices&amp;Fuel'!F150)-E150-F150-G150-B150&gt;'Prices&amp;Fuel'!T150,'Prices&amp;Fuel'!T150,T150/(1-'Prices&amp;Fuel'!F150)-E150-F150-G150-B150),9)</f>
        <v>0</v>
      </c>
      <c r="E150" s="14">
        <f>'Prices&amp;Fuel'!U150/(1-'Prices&amp;Fuel'!F150)</f>
        <v>2635.4755784061695</v>
      </c>
      <c r="F150" s="14">
        <f>('Prices&amp;Fuel'!V150+'Prices&amp;Fuel'!X150)/(1-'Prices&amp;Fuel'!F150)</f>
        <v>3645.2442159383031</v>
      </c>
      <c r="G150" s="14">
        <f>'Prices&amp;Fuel'!W150/(1-'Prices&amp;Fuel'!F150)</f>
        <v>1732.6478149100255</v>
      </c>
      <c r="H150" s="25">
        <f>('Prices&amp;Fuel'!C150+'Prices&amp;Fuel'!D150)/2-0+(('Prices&amp;Fuel'!M150+'Prices&amp;Fuel'!P150)*(1-'Prices&amp;Fuel'!F150))</f>
        <v>3.5070006654782269</v>
      </c>
      <c r="I150" s="25"/>
      <c r="J150" s="25"/>
      <c r="K150" s="25">
        <f>(((B150+E150)*('Prices&amp;Fuel'!B150+0.025))+(('Prices&amp;Fuel'!D150+0.025)*(D150+G150))+(('Prices&amp;Fuel'!C150+0.025)*(C150+F150))-(I150+J150)*0.025)/(B150+C150+D150+E150+F150+G150)</f>
        <v>2.7716810821448932</v>
      </c>
      <c r="L150" s="14">
        <f>(B150+C150+D150+E150+F150+G150)*H150*'Prices&amp;Fuel'!H150</f>
        <v>1341495.3702394862</v>
      </c>
      <c r="M150" s="14">
        <f>'Prices&amp;Fuel'!X150*('Prices&amp;Fuel'!N150+'Prices&amp;Fuel'!O150)*'Prices&amp;Fuel'!H150</f>
        <v>9438.6404139577935</v>
      </c>
      <c r="N150" s="14">
        <f>('Prices&amp;Fuel'!U150+'Prices&amp;Fuel'!V150+'Prices&amp;Fuel'!W150)*('Prices&amp;Fuel'!L150+'Prices&amp;Fuel'!O150)*'Prices&amp;Fuel'!H150</f>
        <v>98255.832127730479</v>
      </c>
      <c r="O150" s="14">
        <f>((B150+C150+D150)*(1-'Prices&amp;Fuel'!G150))*('Prices&amp;Fuel'!M150+'Prices&amp;Fuel'!P150)*'Prices&amp;Fuel'!H150</f>
        <v>99834.213499999998</v>
      </c>
      <c r="P150" s="14">
        <f>((B150+C150+D150+E150+F150+G150)/(1-'Prices&amp;Fuel'!F150))*(1-'Prices&amp;Fuel'!F150)*'Prices&amp;Fuel'!H150*0.005</f>
        <v>1912.5964010282776</v>
      </c>
      <c r="Q150" s="14">
        <f>((D150+C150+B150+E150+F150+G150)*K150*'Prices&amp;Fuel'!H150)+M150+N150+O150+P150</f>
        <v>1269662.7349444134</v>
      </c>
      <c r="R150" s="6">
        <f t="shared" si="21"/>
        <v>71832.635295072803</v>
      </c>
      <c r="T150" s="3">
        <f>T149</f>
        <v>12000</v>
      </c>
    </row>
    <row r="151" spans="1:20" x14ac:dyDescent="0.2">
      <c r="A151" s="10">
        <f t="shared" si="19"/>
        <v>40189.833333332979</v>
      </c>
      <c r="B151" s="6">
        <f>IF(T151-((E151+F151+G151)*(1-'Prices&amp;Fuel'!F151))&lt;'Prices&amp;Fuel'!R151,(T151-(E151+F151+G151)*(1-'Prices&amp;Fuel'!F151)),'Prices&amp;Fuel'!R151)/(1-'Prices&amp;Fuel'!F151)</f>
        <v>4325.9640102827761</v>
      </c>
      <c r="C151" s="14">
        <f>(T151/(1-'Prices&amp;Fuel'!F151))-D151-E151-F151-G151-B151</f>
        <v>0</v>
      </c>
      <c r="D151" s="14">
        <f>ROUND(IF(T151/(1-'Prices&amp;Fuel'!F151)-E151-F151-G151-B151&gt;'Prices&amp;Fuel'!T151,'Prices&amp;Fuel'!T151,T151/(1-'Prices&amp;Fuel'!F151)-E151-F151-G151-B151),9)</f>
        <v>0</v>
      </c>
      <c r="E151" s="14">
        <f>'Prices&amp;Fuel'!U151/(1-'Prices&amp;Fuel'!F151)</f>
        <v>2635.4755784061695</v>
      </c>
      <c r="F151" s="14">
        <f>('Prices&amp;Fuel'!V151+'Prices&amp;Fuel'!X151)/(1-'Prices&amp;Fuel'!F151)</f>
        <v>3645.2442159383031</v>
      </c>
      <c r="G151" s="14">
        <f>'Prices&amp;Fuel'!W151/(1-'Prices&amp;Fuel'!F151)</f>
        <v>1732.6478149100255</v>
      </c>
      <c r="H151" s="25">
        <f>('Prices&amp;Fuel'!C151+'Prices&amp;Fuel'!D151)/2-0+(('Prices&amp;Fuel'!M151+'Prices&amp;Fuel'!P151)*(1-'Prices&amp;Fuel'!F151))</f>
        <v>3.1775334717757429</v>
      </c>
      <c r="I151" s="25"/>
      <c r="J151" s="25"/>
      <c r="K151" s="25">
        <f>(((B151+E151)*('Prices&amp;Fuel'!B151+0.025))+(('Prices&amp;Fuel'!D151+0.025)*(D151+G151))+(('Prices&amp;Fuel'!C151+0.025)*(C151+F151))-(I151+J151)*0.025)/(B151+C151+D151+E151+F151+G151)</f>
        <v>2.4422138884424092</v>
      </c>
      <c r="L151" s="14">
        <f>(B151+C151+D151+E151+F151+G151)*H151*'Prices&amp;Fuel'!H151</f>
        <v>1215467.8164530348</v>
      </c>
      <c r="M151" s="14">
        <f>'Prices&amp;Fuel'!X151*('Prices&amp;Fuel'!N151+'Prices&amp;Fuel'!O151)*'Prices&amp;Fuel'!H151</f>
        <v>9438.6404139577935</v>
      </c>
      <c r="N151" s="14">
        <f>('Prices&amp;Fuel'!U151+'Prices&amp;Fuel'!V151+'Prices&amp;Fuel'!W151)*('Prices&amp;Fuel'!L151+'Prices&amp;Fuel'!O151)*'Prices&amp;Fuel'!H151</f>
        <v>98255.832127730479</v>
      </c>
      <c r="O151" s="14">
        <f>((B151+C151+D151)*(1-'Prices&amp;Fuel'!G151))*('Prices&amp;Fuel'!M151+'Prices&amp;Fuel'!P151)*'Prices&amp;Fuel'!H151</f>
        <v>99834.213499999998</v>
      </c>
      <c r="P151" s="14">
        <f>((B151+C151+D151+E151+F151+G151)/(1-'Prices&amp;Fuel'!F151))*(1-'Prices&amp;Fuel'!F151)*'Prices&amp;Fuel'!H151*0.005</f>
        <v>1912.5964010282776</v>
      </c>
      <c r="Q151" s="14">
        <f>((D151+C151+B151+E151+F151+G151)*K151*'Prices&amp;Fuel'!H151)+M151+N151+O151+P151</f>
        <v>1143635.181157962</v>
      </c>
      <c r="R151" s="6">
        <f t="shared" si="21"/>
        <v>71832.635295072803</v>
      </c>
      <c r="T151" s="3">
        <f t="shared" ref="T151:T160" si="22">T150</f>
        <v>12000</v>
      </c>
    </row>
    <row r="152" spans="1:20" x14ac:dyDescent="0.2">
      <c r="A152" s="10">
        <f t="shared" si="19"/>
        <v>40220.249999999643</v>
      </c>
      <c r="B152" s="6">
        <f>IF(T152-((E152+F152+G152)*(1-'Prices&amp;Fuel'!F152))&lt;'Prices&amp;Fuel'!R152,(T152-(E152+F152+G152)*(1-'Prices&amp;Fuel'!F152)),'Prices&amp;Fuel'!R152)/(1-'Prices&amp;Fuel'!F152)</f>
        <v>4325.9640102827761</v>
      </c>
      <c r="C152" s="14">
        <f>(T152/(1-'Prices&amp;Fuel'!F152))-D152-E152-F152-G152-B152</f>
        <v>0</v>
      </c>
      <c r="D152" s="14">
        <f>ROUND(IF(T152/(1-'Prices&amp;Fuel'!F152)-E152-F152-G152-B152&gt;'Prices&amp;Fuel'!T152,'Prices&amp;Fuel'!T152,T152/(1-'Prices&amp;Fuel'!F152)-E152-F152-G152-B152),9)</f>
        <v>0</v>
      </c>
      <c r="E152" s="14">
        <f>'Prices&amp;Fuel'!U152/(1-'Prices&amp;Fuel'!F152)</f>
        <v>2635.4755784061695</v>
      </c>
      <c r="F152" s="14">
        <f>('Prices&amp;Fuel'!V152+'Prices&amp;Fuel'!X152)/(1-'Prices&amp;Fuel'!F152)</f>
        <v>3645.2442159383031</v>
      </c>
      <c r="G152" s="14">
        <f>'Prices&amp;Fuel'!W152/(1-'Prices&amp;Fuel'!F152)</f>
        <v>1732.6478149100255</v>
      </c>
      <c r="H152" s="25">
        <f>('Prices&amp;Fuel'!C152+'Prices&amp;Fuel'!D152)/2-0+(('Prices&amp;Fuel'!M152+'Prices&amp;Fuel'!P152)*(1-'Prices&amp;Fuel'!F152))</f>
        <v>3.4699047822953233</v>
      </c>
      <c r="I152" s="25"/>
      <c r="J152" s="25"/>
      <c r="K152" s="25">
        <f>(((B152+E152)*('Prices&amp;Fuel'!B152+0.025))+(('Prices&amp;Fuel'!D152+0.025)*(D152+G152))+(('Prices&amp;Fuel'!C152+0.025)*(C152+F152))-(I152+J152)*0.025)/(B152+C152+D152+E152+F152+G152)</f>
        <v>2.7345851989619896</v>
      </c>
      <c r="L152" s="14">
        <f>(B152+C152+D152+E152+F152+G152)*H152*'Prices&amp;Fuel'!H152</f>
        <v>1198856.562314888</v>
      </c>
      <c r="M152" s="14">
        <f>'Prices&amp;Fuel'!X152*('Prices&amp;Fuel'!N152+'Prices&amp;Fuel'!O152)*'Prices&amp;Fuel'!H152</f>
        <v>8525.2235997038133</v>
      </c>
      <c r="N152" s="14">
        <f>('Prices&amp;Fuel'!U152+'Prices&amp;Fuel'!V152+'Prices&amp;Fuel'!W152)*('Prices&amp;Fuel'!L152+'Prices&amp;Fuel'!O152)*'Prices&amp;Fuel'!H152</f>
        <v>88747.203212143664</v>
      </c>
      <c r="O152" s="14">
        <f>((B152+C152+D152)*(1-'Prices&amp;Fuel'!G152))*('Prices&amp;Fuel'!M152+'Prices&amp;Fuel'!P152)*'Prices&amp;Fuel'!H152</f>
        <v>90172.837999999989</v>
      </c>
      <c r="P152" s="14">
        <f>((B152+C152+D152+E152+F152+G152)/(1-'Prices&amp;Fuel'!F152))*(1-'Prices&amp;Fuel'!F152)*'Prices&amp;Fuel'!H152*0.005</f>
        <v>1727.5064267352184</v>
      </c>
      <c r="Q152" s="14">
        <f>((D152+C152+B152+E152+F152+G152)*K152*'Prices&amp;Fuel'!H152)+M152+N152+O152+P152</f>
        <v>1133975.4723709514</v>
      </c>
      <c r="R152" s="6">
        <f t="shared" si="21"/>
        <v>64881.08994393656</v>
      </c>
      <c r="T152" s="3">
        <f t="shared" si="22"/>
        <v>12000</v>
      </c>
    </row>
    <row r="153" spans="1:20" x14ac:dyDescent="0.2">
      <c r="A153" s="10">
        <f t="shared" si="19"/>
        <v>40250.666666666308</v>
      </c>
      <c r="B153" s="6">
        <f>IF(T153-((E153+F153+G153)*(1-'Prices&amp;Fuel'!F153))&lt;'Prices&amp;Fuel'!R153,(T153-(E153+F153+G153)*(1-'Prices&amp;Fuel'!F153)),'Prices&amp;Fuel'!R153)/(1-'Prices&amp;Fuel'!F153)</f>
        <v>4325.9640102827761</v>
      </c>
      <c r="C153" s="14">
        <f>(T153/(1-'Prices&amp;Fuel'!F153))-D153-E153-F153-G153-B153</f>
        <v>0</v>
      </c>
      <c r="D153" s="14">
        <f>ROUND(IF(T153/(1-'Prices&amp;Fuel'!F153)-E153-F153-G153-B153&gt;'Prices&amp;Fuel'!T153,'Prices&amp;Fuel'!T153,T153/(1-'Prices&amp;Fuel'!F153)-E153-F153-G153-B153),9)</f>
        <v>0</v>
      </c>
      <c r="E153" s="14">
        <f>'Prices&amp;Fuel'!U153/(1-'Prices&amp;Fuel'!F153)</f>
        <v>2635.4755784061695</v>
      </c>
      <c r="F153" s="14">
        <f>('Prices&amp;Fuel'!V153+'Prices&amp;Fuel'!X153)/(1-'Prices&amp;Fuel'!F153)</f>
        <v>3645.2442159383031</v>
      </c>
      <c r="G153" s="14">
        <f>'Prices&amp;Fuel'!W153/(1-'Prices&amp;Fuel'!F153)</f>
        <v>1732.6478149100255</v>
      </c>
      <c r="H153" s="25">
        <f>('Prices&amp;Fuel'!C153+'Prices&amp;Fuel'!D153)/2-0+(('Prices&amp;Fuel'!M153+'Prices&amp;Fuel'!P153)*(1-'Prices&amp;Fuel'!F153))</f>
        <v>3.4699047822953233</v>
      </c>
      <c r="I153" s="25"/>
      <c r="J153" s="25"/>
      <c r="K153" s="25">
        <f>(((B153+E153)*('Prices&amp;Fuel'!B153+0.025))+(('Prices&amp;Fuel'!D153+0.025)*(D153+G153))+(('Prices&amp;Fuel'!C153+0.025)*(C153+F153))-(I153+J153)*0.025)/(B153+C153+D153+E153+F153+G153)</f>
        <v>2.7345851989619896</v>
      </c>
      <c r="L153" s="14">
        <f>(B153+C153+D153+E153+F153+G153)*H153*'Prices&amp;Fuel'!H153</f>
        <v>1327305.4797057686</v>
      </c>
      <c r="M153" s="14">
        <f>'Prices&amp;Fuel'!X153*('Prices&amp;Fuel'!N153+'Prices&amp;Fuel'!O153)*'Prices&amp;Fuel'!H153</f>
        <v>9438.6404139577935</v>
      </c>
      <c r="N153" s="14">
        <f>('Prices&amp;Fuel'!U153+'Prices&amp;Fuel'!V153+'Prices&amp;Fuel'!W153)*('Prices&amp;Fuel'!L153+'Prices&amp;Fuel'!O153)*'Prices&amp;Fuel'!H153</f>
        <v>98255.832127730479</v>
      </c>
      <c r="O153" s="14">
        <f>((B153+C153+D153)*(1-'Prices&amp;Fuel'!G153))*('Prices&amp;Fuel'!M153+'Prices&amp;Fuel'!P153)*'Prices&amp;Fuel'!H153</f>
        <v>99834.213499999998</v>
      </c>
      <c r="P153" s="14">
        <f>((B153+C153+D153+E153+F153+G153)/(1-'Prices&amp;Fuel'!F153))*(1-'Prices&amp;Fuel'!F153)*'Prices&amp;Fuel'!H153*0.005</f>
        <v>1912.5964010282776</v>
      </c>
      <c r="Q153" s="14">
        <f>((D153+C153+B153+E153+F153+G153)*K153*'Prices&amp;Fuel'!H153)+M153+N153+O153+P153</f>
        <v>1255472.8444106961</v>
      </c>
      <c r="R153" s="6">
        <f t="shared" si="21"/>
        <v>71832.63529507257</v>
      </c>
      <c r="T153" s="3">
        <f t="shared" si="22"/>
        <v>12000</v>
      </c>
    </row>
    <row r="154" spans="1:20" x14ac:dyDescent="0.2">
      <c r="A154" s="10">
        <f t="shared" si="19"/>
        <v>40281.083333332972</v>
      </c>
      <c r="B154" s="6">
        <f>IF(T154-((E154+F154+G154)*(1-'Prices&amp;Fuel'!F154))&lt;'Prices&amp;Fuel'!R154,(T154-(E154+F154+G154)*(1-'Prices&amp;Fuel'!F154)),'Prices&amp;Fuel'!R154)/(1-'Prices&amp;Fuel'!F154)</f>
        <v>6278.6632390745499</v>
      </c>
      <c r="C154" s="14">
        <f>(T154/(1-'Prices&amp;Fuel'!F154))-D154-E154-F154-G154-B154</f>
        <v>0</v>
      </c>
      <c r="D154" s="14">
        <f>ROUND(IF(T154/(1-'Prices&amp;Fuel'!F154)-E154-F154-G154-B154&gt;'Prices&amp;Fuel'!T154,'Prices&amp;Fuel'!T154,T154/(1-'Prices&amp;Fuel'!F154)-E154-F154-G154-B154),9)</f>
        <v>0</v>
      </c>
      <c r="E154" s="14">
        <f>'Prices&amp;Fuel'!U154/(1-'Prices&amp;Fuel'!F154)</f>
        <v>1933.1619537275064</v>
      </c>
      <c r="F154" s="14">
        <f>('Prices&amp;Fuel'!V154+'Prices&amp;Fuel'!X154)/(1-'Prices&amp;Fuel'!F154)</f>
        <v>2833.9331619537274</v>
      </c>
      <c r="G154" s="14">
        <f>'Prices&amp;Fuel'!W154/(1-'Prices&amp;Fuel'!F154)</f>
        <v>1293.5732647814909</v>
      </c>
      <c r="H154" s="25">
        <f>('Prices&amp;Fuel'!C154+'Prices&amp;Fuel'!D154)/2-0+(('Prices&amp;Fuel'!M154+'Prices&amp;Fuel'!P154)*(1-'Prices&amp;Fuel'!F154))</f>
        <v>3.7622760928149059</v>
      </c>
      <c r="I154" s="25"/>
      <c r="J154" s="25"/>
      <c r="K154" s="25">
        <f>(((B154+E154)*('Prices&amp;Fuel'!B154+0.025))+(('Prices&amp;Fuel'!D154+0.025)*(D154+G154))+(('Prices&amp;Fuel'!C154+0.025)*(C154+F154))-(I154+J154)*0.025)/(B154+C154+D154+E154+F154+G154)</f>
        <v>3.022655676148239</v>
      </c>
      <c r="L154" s="14">
        <f>(B154+C154+D154+E154+F154+G154)*H154*'Prices&amp;Fuel'!H154</f>
        <v>1392719.1706050038</v>
      </c>
      <c r="M154" s="14">
        <f>'Prices&amp;Fuel'!X154*('Prices&amp;Fuel'!N154+'Prices&amp;Fuel'!O154)*'Prices&amp;Fuel'!H154</f>
        <v>9134.1681425398001</v>
      </c>
      <c r="N154" s="14">
        <f>('Prices&amp;Fuel'!U154+'Prices&amp;Fuel'!V154+'Prices&amp;Fuel'!W154)*('Prices&amp;Fuel'!L154+'Prices&amp;Fuel'!O154)*'Prices&amp;Fuel'!H154</f>
        <v>69689.82458385783</v>
      </c>
      <c r="O154" s="14">
        <f>((B154+C154+D154)*(1-'Prices&amp;Fuel'!G154))*('Prices&amp;Fuel'!M154+'Prices&amp;Fuel'!P154)*'Prices&amp;Fuel'!H154</f>
        <v>140224.29</v>
      </c>
      <c r="P154" s="14">
        <f>((B154+C154+D154+E154+F154+G154)/(1-'Prices&amp;Fuel'!F154))*(1-'Prices&amp;Fuel'!F154)*'Prices&amp;Fuel'!H154*0.005</f>
        <v>1850.8997429305914</v>
      </c>
      <c r="Q154" s="14">
        <f>((D154+C154+B154+E154+F154+G154)*K154*'Prices&amp;Fuel'!H154)+M154+N154+O154+P154</f>
        <v>1339825.7052594221</v>
      </c>
      <c r="R154" s="6">
        <f t="shared" si="21"/>
        <v>52893.465345581761</v>
      </c>
      <c r="T154" s="3">
        <f t="shared" si="22"/>
        <v>12000</v>
      </c>
    </row>
    <row r="155" spans="1:20" x14ac:dyDescent="0.2">
      <c r="A155" s="10">
        <f t="shared" si="19"/>
        <v>40311.499999999636</v>
      </c>
      <c r="B155" s="6">
        <f>IF(T155-((E155+F155+G155)*(1-'Prices&amp;Fuel'!F155))&lt;'Prices&amp;Fuel'!R155,(T155-(E155+F155+G155)*(1-'Prices&amp;Fuel'!F155)),'Prices&amp;Fuel'!R155)/(1-'Prices&amp;Fuel'!F155)</f>
        <v>8976.8637532133671</v>
      </c>
      <c r="C155" s="14">
        <f>(T155/(1-'Prices&amp;Fuel'!F155))-D155-E155-F155-G155-B155</f>
        <v>1.3824319466948509E-10</v>
      </c>
      <c r="D155" s="14">
        <f>ROUND(IF(T155/(1-'Prices&amp;Fuel'!F155)-E155-F155-G155-B155&gt;'Prices&amp;Fuel'!T155,'Prices&amp;Fuel'!T155,T155/(1-'Prices&amp;Fuel'!F155)-E155-F155-G155-B155),9)</f>
        <v>6556.2982005140002</v>
      </c>
      <c r="E155" s="14">
        <f>'Prices&amp;Fuel'!U155/(1-'Prices&amp;Fuel'!F155)</f>
        <v>1933.1619537275064</v>
      </c>
      <c r="F155" s="14">
        <f>('Prices&amp;Fuel'!V155+'Prices&amp;Fuel'!X155)/(1-'Prices&amp;Fuel'!F155)</f>
        <v>3062.2107969151671</v>
      </c>
      <c r="G155" s="14">
        <f>'Prices&amp;Fuel'!W155/(1-'Prices&amp;Fuel'!F155)</f>
        <v>1065.2956298200513</v>
      </c>
      <c r="H155" s="25">
        <f>('Prices&amp;Fuel'!C155+'Prices&amp;Fuel'!D155)/2-0+(('Prices&amp;Fuel'!M155+'Prices&amp;Fuel'!P155)*(1-'Prices&amp;Fuel'!F155))</f>
        <v>3.9680188668842415</v>
      </c>
      <c r="I155" s="25"/>
      <c r="J155" s="25"/>
      <c r="K155" s="25">
        <f>(((B155+E155)*('Prices&amp;Fuel'!B155+0.025))+(('Prices&amp;Fuel'!D155+0.025)*(D155+G155))+(('Prices&amp;Fuel'!C155+0.025)*(C155+F155))-(I155+J155)*0.025)/(B155+C155+D155+E155+F155+G155)</f>
        <v>3.2256082121223373</v>
      </c>
      <c r="L155" s="14">
        <f>(B155+C155+D155+E155+F155+G155)*H155*'Prices&amp;Fuel'!H155</f>
        <v>2656226.5114052864</v>
      </c>
      <c r="M155" s="14">
        <f>'Prices&amp;Fuel'!X155*('Prices&amp;Fuel'!N155+'Prices&amp;Fuel'!O155)*'Prices&amp;Fuel'!H155</f>
        <v>9438.6404139577935</v>
      </c>
      <c r="N155" s="14">
        <f>('Prices&amp;Fuel'!U155+'Prices&amp;Fuel'!V155+'Prices&amp;Fuel'!W155)*('Prices&amp;Fuel'!L155+'Prices&amp;Fuel'!O155)*'Prices&amp;Fuel'!H155</f>
        <v>72012.818736653091</v>
      </c>
      <c r="O155" s="14">
        <f>((B155+C155+D155)*(1-'Prices&amp;Fuel'!G155))*('Prices&amp;Fuel'!M155+'Prices&amp;Fuel'!P155)*'Prices&amp;Fuel'!H155</f>
        <v>358472.93300000002</v>
      </c>
      <c r="P155" s="14">
        <f>((B155+C155+D155+E155+F155+G155)/(1-'Prices&amp;Fuel'!F155))*(1-'Prices&amp;Fuel'!F155)*'Prices&amp;Fuel'!H155*0.005</f>
        <v>3347.043701799485</v>
      </c>
      <c r="Q155" s="14">
        <f>((D155+C155+B155+E155+F155+G155)*K155*'Prices&amp;Fuel'!H155)+M155+N155+O155+P155</f>
        <v>2602521.7660237639</v>
      </c>
      <c r="R155" s="6">
        <f t="shared" si="21"/>
        <v>53704.745381522458</v>
      </c>
      <c r="T155" s="3">
        <v>21000</v>
      </c>
    </row>
    <row r="156" spans="1:20" x14ac:dyDescent="0.2">
      <c r="A156" s="10">
        <f t="shared" si="19"/>
        <v>40341.9166666663</v>
      </c>
      <c r="B156" s="6">
        <f>IF(T156-((E156+F156+G156)*(1-'Prices&amp;Fuel'!F156))&lt;'Prices&amp;Fuel'!R156,(T156-(E156+F156+G156)*(1-'Prices&amp;Fuel'!F156)),'Prices&amp;Fuel'!R156)/(1-'Prices&amp;Fuel'!F156)</f>
        <v>8976.8637532133671</v>
      </c>
      <c r="C156" s="14">
        <f>(T156/(1-'Prices&amp;Fuel'!F156))-D156-E156-F156-G156-B156</f>
        <v>1.3824319466948509E-10</v>
      </c>
      <c r="D156" s="14">
        <f>ROUND(IF(T156/(1-'Prices&amp;Fuel'!F156)-E156-F156-G156-B156&gt;'Prices&amp;Fuel'!T156,'Prices&amp;Fuel'!T156,T156/(1-'Prices&amp;Fuel'!F156)-E156-F156-G156-B156),9)</f>
        <v>6556.2982005140002</v>
      </c>
      <c r="E156" s="14">
        <f>'Prices&amp;Fuel'!U156/(1-'Prices&amp;Fuel'!F156)</f>
        <v>1933.1619537275064</v>
      </c>
      <c r="F156" s="14">
        <f>('Prices&amp;Fuel'!V156+'Prices&amp;Fuel'!X156)/(1-'Prices&amp;Fuel'!F156)</f>
        <v>3062.2107969151671</v>
      </c>
      <c r="G156" s="14">
        <f>'Prices&amp;Fuel'!W156/(1-'Prices&amp;Fuel'!F156)</f>
        <v>1065.2956298200513</v>
      </c>
      <c r="H156" s="25">
        <f>('Prices&amp;Fuel'!C156+'Prices&amp;Fuel'!D156)/2-0+(('Prices&amp;Fuel'!M156+'Prices&amp;Fuel'!P156)*(1-'Prices&amp;Fuel'!F156))</f>
        <v>5.3865611512570251</v>
      </c>
      <c r="I156" s="25"/>
      <c r="J156" s="25"/>
      <c r="K156" s="25">
        <f>(((B156+E156)*('Prices&amp;Fuel'!B156+0.025))+(('Prices&amp;Fuel'!D156+0.025)*(D156+G156))+(('Prices&amp;Fuel'!C156+0.025)*(C156+F156))-(I156+J156)*0.025)/(B156+C156+D156+E156+F156+G156)</f>
        <v>4.6441504964951221</v>
      </c>
      <c r="L156" s="14">
        <f>(B156+C156+D156+E156+F156+G156)*H156*'Prices&amp;Fuel'!H156</f>
        <v>3489494.6275495375</v>
      </c>
      <c r="M156" s="14">
        <f>'Prices&amp;Fuel'!X156*('Prices&amp;Fuel'!N156+'Prices&amp;Fuel'!O156)*'Prices&amp;Fuel'!H156</f>
        <v>9134.1681425398001</v>
      </c>
      <c r="N156" s="14">
        <f>('Prices&amp;Fuel'!U156+'Prices&amp;Fuel'!V156+'Prices&amp;Fuel'!W156)*('Prices&amp;Fuel'!L156+'Prices&amp;Fuel'!O156)*'Prices&amp;Fuel'!H156</f>
        <v>69689.82458385783</v>
      </c>
      <c r="O156" s="14">
        <f>((B156+C156+D156)*(1-'Prices&amp;Fuel'!G156))*('Prices&amp;Fuel'!M156+'Prices&amp;Fuel'!P156)*'Prices&amp;Fuel'!H156</f>
        <v>346909.29</v>
      </c>
      <c r="P156" s="14">
        <f>((B156+C156+D156+E156+F156+G156)/(1-'Prices&amp;Fuel'!F156))*(1-'Prices&amp;Fuel'!F156)*'Prices&amp;Fuel'!H156*0.005</f>
        <v>3239.0745501285346</v>
      </c>
      <c r="Q156" s="14">
        <f>((D156+C156+B156+E156+F156+G156)*K156*'Prices&amp;Fuel'!H156)+M156+N156+O156+P156</f>
        <v>3437522.2933093556</v>
      </c>
      <c r="R156" s="6">
        <f t="shared" si="21"/>
        <v>51972.334240181837</v>
      </c>
      <c r="T156" s="3">
        <f t="shared" si="22"/>
        <v>21000</v>
      </c>
    </row>
    <row r="157" spans="1:20" x14ac:dyDescent="0.2">
      <c r="A157" s="10">
        <f t="shared" si="19"/>
        <v>40372.333333332965</v>
      </c>
      <c r="B157" s="6">
        <f>IF(T157-((E157+F157+G157)*(1-'Prices&amp;Fuel'!F157))&lt;'Prices&amp;Fuel'!R157,(T157-(E157+F157+G157)*(1-'Prices&amp;Fuel'!F157)),'Prices&amp;Fuel'!R157)/(1-'Prices&amp;Fuel'!F157)</f>
        <v>8976.8637532133671</v>
      </c>
      <c r="C157" s="14">
        <f>(T157/(1-'Prices&amp;Fuel'!F157))-D157-E157-F157-G157-B157</f>
        <v>1.3824319466948509E-10</v>
      </c>
      <c r="D157" s="14">
        <f>ROUND(IF(T157/(1-'Prices&amp;Fuel'!F157)-E157-F157-G157-B157&gt;'Prices&amp;Fuel'!T157,'Prices&amp;Fuel'!T157,T157/(1-'Prices&amp;Fuel'!F157)-E157-F157-G157-B157),9)</f>
        <v>6556.2982005140002</v>
      </c>
      <c r="E157" s="14">
        <f>'Prices&amp;Fuel'!U157/(1-'Prices&amp;Fuel'!F157)</f>
        <v>1933.1619537275064</v>
      </c>
      <c r="F157" s="14">
        <f>('Prices&amp;Fuel'!V157+'Prices&amp;Fuel'!X157)/(1-'Prices&amp;Fuel'!F157)</f>
        <v>3062.2107969151671</v>
      </c>
      <c r="G157" s="14">
        <f>'Prices&amp;Fuel'!W157/(1-'Prices&amp;Fuel'!F157)</f>
        <v>1065.2956298200513</v>
      </c>
      <c r="H157" s="25">
        <f>('Prices&amp;Fuel'!C157+'Prices&amp;Fuel'!D157)/2-0+(('Prices&amp;Fuel'!M157+'Prices&amp;Fuel'!P157)*(1-'Prices&amp;Fuel'!F157))</f>
        <v>5.3757325842007457</v>
      </c>
      <c r="I157" s="25"/>
      <c r="J157" s="25"/>
      <c r="K157" s="25">
        <f>(((B157+E157)*('Prices&amp;Fuel'!B157+0.025))+(('Prices&amp;Fuel'!D157+0.025)*(D157+G157))+(('Prices&amp;Fuel'!C157+0.025)*(C157+F157))-(I157+J157)*0.025)/(B157+C157+D157+E157+F157+G157)</f>
        <v>4.6333219294388419</v>
      </c>
      <c r="L157" s="14">
        <f>(B157+C157+D157+E157+F157+G157)*H157*'Prices&amp;Fuel'!H157</f>
        <v>3598562.3777014758</v>
      </c>
      <c r="M157" s="14">
        <f>'Prices&amp;Fuel'!X157*('Prices&amp;Fuel'!N157+'Prices&amp;Fuel'!O157)*'Prices&amp;Fuel'!H157</f>
        <v>9438.6404139577935</v>
      </c>
      <c r="N157" s="14">
        <f>('Prices&amp;Fuel'!U157+'Prices&amp;Fuel'!V157+'Prices&amp;Fuel'!W157)*('Prices&amp;Fuel'!L157+'Prices&amp;Fuel'!O157)*'Prices&amp;Fuel'!H157</f>
        <v>72012.818736653091</v>
      </c>
      <c r="O157" s="14">
        <f>((B157+C157+D157)*(1-'Prices&amp;Fuel'!G157))*('Prices&amp;Fuel'!M157+'Prices&amp;Fuel'!P157)*'Prices&amp;Fuel'!H157</f>
        <v>358472.93300000002</v>
      </c>
      <c r="P157" s="14">
        <f>((B157+C157+D157+E157+F157+G157)/(1-'Prices&amp;Fuel'!F157))*(1-'Prices&amp;Fuel'!F157)*'Prices&amp;Fuel'!H157*0.005</f>
        <v>3347.043701799485</v>
      </c>
      <c r="Q157" s="14">
        <f>((D157+C157+B157+E157+F157+G157)*K157*'Prices&amp;Fuel'!H157)+M157+N157+O157+P157</f>
        <v>3544857.6323199538</v>
      </c>
      <c r="R157" s="6">
        <f t="shared" si="21"/>
        <v>53704.745381521992</v>
      </c>
      <c r="T157" s="3">
        <f t="shared" si="22"/>
        <v>21000</v>
      </c>
    </row>
    <row r="158" spans="1:20" x14ac:dyDescent="0.2">
      <c r="A158" s="10">
        <f t="shared" si="19"/>
        <v>40402.749999999629</v>
      </c>
      <c r="B158" s="6">
        <f>IF(T158-((E158+F158+G158)*(1-'Prices&amp;Fuel'!F158))&lt;'Prices&amp;Fuel'!R158,(T158-(E158+F158+G158)*(1-'Prices&amp;Fuel'!F158)),'Prices&amp;Fuel'!R158)/(1-'Prices&amp;Fuel'!F158)</f>
        <v>8976.8637532133671</v>
      </c>
      <c r="C158" s="14">
        <f>(T158/(1-'Prices&amp;Fuel'!F158))-D158-E158-F158-G158-B158</f>
        <v>1.3824319466948509E-10</v>
      </c>
      <c r="D158" s="14">
        <f>ROUND(IF(T158/(1-'Prices&amp;Fuel'!F158)-E158-F158-G158-B158&gt;'Prices&amp;Fuel'!T158,'Prices&amp;Fuel'!T158,T158/(1-'Prices&amp;Fuel'!F158)-E158-F158-G158-B158),9)</f>
        <v>6556.2982005140002</v>
      </c>
      <c r="E158" s="14">
        <f>'Prices&amp;Fuel'!U158/(1-'Prices&amp;Fuel'!F158)</f>
        <v>1933.1619537275064</v>
      </c>
      <c r="F158" s="14">
        <f>('Prices&amp;Fuel'!V158+'Prices&amp;Fuel'!X158)/(1-'Prices&amp;Fuel'!F158)</f>
        <v>3062.2107969151671</v>
      </c>
      <c r="G158" s="14">
        <f>'Prices&amp;Fuel'!W158/(1-'Prices&amp;Fuel'!F158)</f>
        <v>1065.2956298200513</v>
      </c>
      <c r="H158" s="25">
        <f>('Prices&amp;Fuel'!C158+'Prices&amp;Fuel'!D158)/2-0+(('Prices&amp;Fuel'!M158+'Prices&amp;Fuel'!P158)*(1-'Prices&amp;Fuel'!F158))</f>
        <v>4.7909899631615822</v>
      </c>
      <c r="I158" s="25"/>
      <c r="J158" s="25"/>
      <c r="K158" s="25">
        <f>(((B158+E158)*('Prices&amp;Fuel'!B158+0.025))+(('Prices&amp;Fuel'!D158+0.025)*(D158+G158))+(('Prices&amp;Fuel'!C158+0.025)*(C158+F158))-(I158+J158)*0.025)/(B158+C158+D158+E158+F158+G158)</f>
        <v>4.0485793083996784</v>
      </c>
      <c r="L158" s="14">
        <f>(B158+C158+D158+E158+F158+G158)*H158*'Prices&amp;Fuel'!H158</f>
        <v>3207130.5563169043</v>
      </c>
      <c r="M158" s="14">
        <f>'Prices&amp;Fuel'!X158*('Prices&amp;Fuel'!N158+'Prices&amp;Fuel'!O158)*'Prices&amp;Fuel'!H158</f>
        <v>9438.6404139577935</v>
      </c>
      <c r="N158" s="14">
        <f>('Prices&amp;Fuel'!U158+'Prices&amp;Fuel'!V158+'Prices&amp;Fuel'!W158)*('Prices&amp;Fuel'!L158+'Prices&amp;Fuel'!O158)*'Prices&amp;Fuel'!H158</f>
        <v>72012.818736653091</v>
      </c>
      <c r="O158" s="14">
        <f>((B158+C158+D158)*(1-'Prices&amp;Fuel'!G158))*('Prices&amp;Fuel'!M158+'Prices&amp;Fuel'!P158)*'Prices&amp;Fuel'!H158</f>
        <v>358472.93300000002</v>
      </c>
      <c r="P158" s="14">
        <f>((B158+C158+D158+E158+F158+G158)/(1-'Prices&amp;Fuel'!F158))*(1-'Prices&amp;Fuel'!F158)*'Prices&amp;Fuel'!H158*0.005</f>
        <v>3347.043701799485</v>
      </c>
      <c r="Q158" s="14">
        <f>((D158+C158+B158+E158+F158+G158)*K158*'Prices&amp;Fuel'!H158)+M158+N158+O158+P158</f>
        <v>3153425.8109353827</v>
      </c>
      <c r="R158" s="6">
        <f t="shared" si="21"/>
        <v>53704.745381521527</v>
      </c>
      <c r="T158" s="3">
        <f t="shared" si="22"/>
        <v>21000</v>
      </c>
    </row>
    <row r="159" spans="1:20" x14ac:dyDescent="0.2">
      <c r="A159" s="10">
        <f t="shared" si="19"/>
        <v>40433.166666666293</v>
      </c>
      <c r="B159" s="6">
        <f>IF(T159-((E159+F159+G159)*(1-'Prices&amp;Fuel'!F159))&lt;'Prices&amp;Fuel'!R159,(T159-(E159+F159+G159)*(1-'Prices&amp;Fuel'!F159)),'Prices&amp;Fuel'!R159)/(1-'Prices&amp;Fuel'!F159)</f>
        <v>8976.8637532133671</v>
      </c>
      <c r="C159" s="14">
        <f>(T159/(1-'Prices&amp;Fuel'!F159))-D159-E159-F159-G159-B159</f>
        <v>1.3824319466948509E-10</v>
      </c>
      <c r="D159" s="14">
        <f>ROUND(IF(T159/(1-'Prices&amp;Fuel'!F159)-E159-F159-G159-B159&gt;'Prices&amp;Fuel'!T159,'Prices&amp;Fuel'!T159,T159/(1-'Prices&amp;Fuel'!F159)-E159-F159-G159-B159),9)</f>
        <v>6556.2982005140002</v>
      </c>
      <c r="E159" s="14">
        <f>'Prices&amp;Fuel'!U159/(1-'Prices&amp;Fuel'!F159)</f>
        <v>1933.1619537275064</v>
      </c>
      <c r="F159" s="14">
        <f>('Prices&amp;Fuel'!V159+'Prices&amp;Fuel'!X159)/(1-'Prices&amp;Fuel'!F159)</f>
        <v>3062.2107969151671</v>
      </c>
      <c r="G159" s="14">
        <f>'Prices&amp;Fuel'!W159/(1-'Prices&amp;Fuel'!F159)</f>
        <v>1065.2956298200513</v>
      </c>
      <c r="H159" s="25">
        <f>('Prices&amp;Fuel'!C159+'Prices&amp;Fuel'!D159)/2-0+(('Prices&amp;Fuel'!M159+'Prices&amp;Fuel'!P159)*(1-'Prices&amp;Fuel'!F159))</f>
        <v>5.6247896264952058</v>
      </c>
      <c r="I159" s="25"/>
      <c r="J159" s="25"/>
      <c r="K159" s="25">
        <f>(((B159+E159)*('Prices&amp;Fuel'!B159+0.025))+(('Prices&amp;Fuel'!D159+0.025)*(D159+G159))+(('Prices&amp;Fuel'!C159+0.025)*(C159+F159))-(I159+J159)*0.025)/(B159+C159+D159+E159+F159+G159)</f>
        <v>4.8823789717333019</v>
      </c>
      <c r="L159" s="14">
        <f>(B159+C159+D159+E159+F159+G159)*H159*'Prices&amp;Fuel'!H159</f>
        <v>3643822.5858015209</v>
      </c>
      <c r="M159" s="14">
        <f>'Prices&amp;Fuel'!X159*('Prices&amp;Fuel'!N159+'Prices&amp;Fuel'!O159)*'Prices&amp;Fuel'!H159</f>
        <v>9134.1681425398001</v>
      </c>
      <c r="N159" s="14">
        <f>('Prices&amp;Fuel'!U159+'Prices&amp;Fuel'!V159+'Prices&amp;Fuel'!W159)*('Prices&amp;Fuel'!L159+'Prices&amp;Fuel'!O159)*'Prices&amp;Fuel'!H159</f>
        <v>69689.82458385783</v>
      </c>
      <c r="O159" s="14">
        <f>((B159+C159+D159)*(1-'Prices&amp;Fuel'!G159))*('Prices&amp;Fuel'!M159+'Prices&amp;Fuel'!P159)*'Prices&amp;Fuel'!H159</f>
        <v>346909.29</v>
      </c>
      <c r="P159" s="14">
        <f>((B159+C159+D159+E159+F159+G159)/(1-'Prices&amp;Fuel'!F159))*(1-'Prices&amp;Fuel'!F159)*'Prices&amp;Fuel'!H159*0.005</f>
        <v>3239.0745501285346</v>
      </c>
      <c r="Q159" s="14">
        <f>((D159+C159+B159+E159+F159+G159)*K159*'Prices&amp;Fuel'!H159)+M159+N159+O159+P159</f>
        <v>3591850.2515613385</v>
      </c>
      <c r="R159" s="6">
        <f t="shared" si="21"/>
        <v>51972.334240182303</v>
      </c>
      <c r="T159" s="3">
        <f t="shared" si="22"/>
        <v>21000</v>
      </c>
    </row>
    <row r="160" spans="1:20" x14ac:dyDescent="0.2">
      <c r="A160" s="10">
        <f t="shared" si="19"/>
        <v>40463.583333332957</v>
      </c>
      <c r="B160" s="6">
        <f>IF(T160-((E160+F160+G160)*(1-'Prices&amp;Fuel'!F160))&lt;'Prices&amp;Fuel'!R160,(T160-(E160+F160+G160)*(1-'Prices&amp;Fuel'!F160)),'Prices&amp;Fuel'!R160)/(1-'Prices&amp;Fuel'!F160)</f>
        <v>8976.8637532133671</v>
      </c>
      <c r="C160" s="14">
        <f>(T160/(1-'Prices&amp;Fuel'!F160))-D160-E160-F160-G160-B160</f>
        <v>2.0190782379359007E-10</v>
      </c>
      <c r="D160" s="14">
        <f>ROUND(IF(T160/(1-'Prices&amp;Fuel'!F160)-E160-F160-G160-B160&gt;'Prices&amp;Fuel'!T160,'Prices&amp;Fuel'!T160,T160/(1-'Prices&amp;Fuel'!F160)-E160-F160-G160-B160),9)</f>
        <v>3514.6529562979999</v>
      </c>
      <c r="E160" s="14">
        <f>'Prices&amp;Fuel'!U160/(1-'Prices&amp;Fuel'!F160)</f>
        <v>2910.025706940874</v>
      </c>
      <c r="F160" s="14">
        <f>('Prices&amp;Fuel'!V160+'Prices&amp;Fuel'!X160)/(1-'Prices&amp;Fuel'!F160)</f>
        <v>4628.2776349614396</v>
      </c>
      <c r="G160" s="14">
        <f>'Prices&amp;Fuel'!W160/(1-'Prices&amp;Fuel'!F160)</f>
        <v>1564.0102827763496</v>
      </c>
      <c r="H160" s="25">
        <f>('Prices&amp;Fuel'!C160+'Prices&amp;Fuel'!D160)/2-0+(('Prices&amp;Fuel'!M160+'Prices&amp;Fuel'!P160)*(1-'Prices&amp;Fuel'!F160))</f>
        <v>6.3611321863222976</v>
      </c>
      <c r="I160" s="25"/>
      <c r="J160" s="25"/>
      <c r="K160" s="25">
        <f>(((B160+E160)*('Prices&amp;Fuel'!B160+0.025))+(('Prices&amp;Fuel'!D160+0.025)*(D160+G160))+(('Prices&amp;Fuel'!C160+0.025)*(C160+F160))-(I160+J160)*0.025)/(B160+C160+D160+E160+F160+G160)</f>
        <v>5.6218953410842039</v>
      </c>
      <c r="L160" s="14">
        <f>(B160+C160+D160+E160+F160+G160)*H160*'Prices&amp;Fuel'!H160</f>
        <v>4258197.4841088085</v>
      </c>
      <c r="M160" s="14">
        <f>'Prices&amp;Fuel'!X160*('Prices&amp;Fuel'!N160+'Prices&amp;Fuel'!O160)*'Prices&amp;Fuel'!H160</f>
        <v>13833.205057645318</v>
      </c>
      <c r="N160" s="14">
        <f>('Prices&amp;Fuel'!U160+'Prices&amp;Fuel'!V160+'Prices&amp;Fuel'!W160)*('Prices&amp;Fuel'!L160+'Prices&amp;Fuel'!O160)*'Prices&amp;Fuel'!H160</f>
        <v>108495.99691066272</v>
      </c>
      <c r="O160" s="14">
        <f>((B160+C160+D160)*(1-'Prices&amp;Fuel'!G160))*('Prices&amp;Fuel'!M160+'Prices&amp;Fuel'!P160)*'Prices&amp;Fuel'!H160</f>
        <v>288278.114</v>
      </c>
      <c r="P160" s="14">
        <f>((B160+C160+D160+E160+F160+G160)/(1-'Prices&amp;Fuel'!F160))*(1-'Prices&amp;Fuel'!F160)*'Prices&amp;Fuel'!H160*0.005</f>
        <v>3347.0437017994859</v>
      </c>
      <c r="Q160" s="14">
        <f>((D160+C160+B160+E160+F160+G160)*K160*'Prices&amp;Fuel'!H160)+M160+N160+O160+P160</f>
        <v>4177300.2383804591</v>
      </c>
      <c r="R160" s="6">
        <f t="shared" si="21"/>
        <v>80897.245728349313</v>
      </c>
      <c r="T160" s="3">
        <f t="shared" si="22"/>
        <v>21000</v>
      </c>
    </row>
    <row r="161" spans="1:20" x14ac:dyDescent="0.2">
      <c r="A161" s="10">
        <f t="shared" si="19"/>
        <v>40493.999999999622</v>
      </c>
      <c r="B161" s="6">
        <f>IF(T161-((E161+F161+G161)*(1-'Prices&amp;Fuel'!F161))&lt;'Prices&amp;Fuel'!R161,(T161-(E161+F161+G161)*(1-'Prices&amp;Fuel'!F161)),'Prices&amp;Fuel'!R161)/(1-'Prices&amp;Fuel'!F161)</f>
        <v>4325.9640102827761</v>
      </c>
      <c r="C161" s="14">
        <f>(T161/(1-'Prices&amp;Fuel'!F161))-D161-E161-F161-G161-B161</f>
        <v>0</v>
      </c>
      <c r="D161" s="14">
        <f>ROUND(IF(T161/(1-'Prices&amp;Fuel'!F161)-E161-F161-G161-B161&gt;'Prices&amp;Fuel'!T161,'Prices&amp;Fuel'!T161,T161/(1-'Prices&amp;Fuel'!F161)-E161-F161-G161-B161),9)</f>
        <v>0</v>
      </c>
      <c r="E161" s="14">
        <f>'Prices&amp;Fuel'!U161/(1-'Prices&amp;Fuel'!F161)</f>
        <v>2635.4755784061695</v>
      </c>
      <c r="F161" s="14">
        <f>('Prices&amp;Fuel'!V161+'Prices&amp;Fuel'!X161)/(1-'Prices&amp;Fuel'!F161)</f>
        <v>3645.2442159383031</v>
      </c>
      <c r="G161" s="14">
        <f>'Prices&amp;Fuel'!W161/(1-'Prices&amp;Fuel'!F161)</f>
        <v>1732.6478149100255</v>
      </c>
      <c r="H161" s="25">
        <f>('Prices&amp;Fuel'!C161+'Prices&amp;Fuel'!D161)/2-0+(('Prices&amp;Fuel'!M161+'Prices&amp;Fuel'!P161)*(1-'Prices&amp;Fuel'!F161))</f>
        <v>4.4877900855857193</v>
      </c>
      <c r="I161" s="25"/>
      <c r="J161" s="25"/>
      <c r="K161" s="25">
        <f>(((B161+E161)*('Prices&amp;Fuel'!B161+0.025))+(('Prices&amp;Fuel'!D161+0.025)*(D161+G161))+(('Prices&amp;Fuel'!C161+0.025)*(C161+F161))-(I161+J161)*0.025)/(B161+C161+D161+E161+F161+G161)</f>
        <v>3.7524705022523865</v>
      </c>
      <c r="L161" s="14">
        <f>(B161+C161+D161+E161+F161+G161)*H161*'Prices&amp;Fuel'!H161</f>
        <v>1661289.9031474125</v>
      </c>
      <c r="M161" s="14">
        <f>'Prices&amp;Fuel'!X161*('Prices&amp;Fuel'!N161+'Prices&amp;Fuel'!O161)*'Prices&amp;Fuel'!H161</f>
        <v>9134.1681425398001</v>
      </c>
      <c r="N161" s="14">
        <f>('Prices&amp;Fuel'!U161+'Prices&amp;Fuel'!V161+'Prices&amp;Fuel'!W161)*('Prices&amp;Fuel'!L161+'Prices&amp;Fuel'!O161)*'Prices&amp;Fuel'!H161</f>
        <v>95086.289155868202</v>
      </c>
      <c r="O161" s="14">
        <f>((B161+C161+D161)*(1-'Prices&amp;Fuel'!G161))*('Prices&amp;Fuel'!M161+'Prices&amp;Fuel'!P161)*'Prices&amp;Fuel'!H161</f>
        <v>96613.75499999999</v>
      </c>
      <c r="P161" s="14">
        <f>((B161+C161+D161+E161+F161+G161)/(1-'Prices&amp;Fuel'!F161))*(1-'Prices&amp;Fuel'!F161)*'Prices&amp;Fuel'!H161*0.005</f>
        <v>1850.8997429305912</v>
      </c>
      <c r="Q161" s="14">
        <f>((D161+C161+B161+E161+F161+G161)*K161*'Prices&amp;Fuel'!H161)+M161+N161+O161+P161</f>
        <v>1591774.4496360521</v>
      </c>
      <c r="R161" s="6">
        <f t="shared" si="21"/>
        <v>69515.453511360334</v>
      </c>
      <c r="T161" s="3">
        <v>12000</v>
      </c>
    </row>
    <row r="162" spans="1:20" x14ac:dyDescent="0.2">
      <c r="A162" s="10">
        <f t="shared" si="19"/>
        <v>40524.416666666286</v>
      </c>
      <c r="B162" s="6">
        <f>IF(T162-((E162+F162+G162)*(1-'Prices&amp;Fuel'!F162))&lt;'Prices&amp;Fuel'!R162,(T162-(E162+F162+G162)*(1-'Prices&amp;Fuel'!F162)),'Prices&amp;Fuel'!R162)/(1-'Prices&amp;Fuel'!F162)</f>
        <v>4325.9640102827761</v>
      </c>
      <c r="C162" s="14">
        <f>(T162/(1-'Prices&amp;Fuel'!F162))-D162-E162-F162-G162-B162</f>
        <v>0</v>
      </c>
      <c r="D162" s="14">
        <f>ROUND(IF(T162/(1-'Prices&amp;Fuel'!F162)-E162-F162-G162-B162&gt;'Prices&amp;Fuel'!T162,'Prices&amp;Fuel'!T162,T162/(1-'Prices&amp;Fuel'!F162)-E162-F162-G162-B162),9)</f>
        <v>0</v>
      </c>
      <c r="E162" s="14">
        <f>'Prices&amp;Fuel'!U162/(1-'Prices&amp;Fuel'!F162)</f>
        <v>2635.4755784061695</v>
      </c>
      <c r="F162" s="14">
        <f>('Prices&amp;Fuel'!V162+'Prices&amp;Fuel'!X162)/(1-'Prices&amp;Fuel'!F162)</f>
        <v>3645.2442159383031</v>
      </c>
      <c r="G162" s="14">
        <f>'Prices&amp;Fuel'!W162/(1-'Prices&amp;Fuel'!F162)</f>
        <v>1732.6478149100255</v>
      </c>
      <c r="H162" s="25">
        <f>('Prices&amp;Fuel'!C162+'Prices&amp;Fuel'!D162)/2-0+(('Prices&amp;Fuel'!M162+'Prices&amp;Fuel'!P162)*(1-'Prices&amp;Fuel'!F162))</f>
        <v>3.534876184633009</v>
      </c>
      <c r="I162" s="25"/>
      <c r="J162" s="25"/>
      <c r="K162" s="25">
        <f>(((B162+E162)*('Prices&amp;Fuel'!B162+0.025))+(('Prices&amp;Fuel'!D162+0.025)*(D162+G162))+(('Prices&amp;Fuel'!C162+0.025)*(C162+F162))-(I162+J162)*0.025)/(B162+C162+D162+E162+F162+G162)</f>
        <v>2.7995566012996758</v>
      </c>
      <c r="L162" s="14">
        <f>(B162+C162+D162+E162+F162+G162)*H162*'Prices&amp;Fuel'!H162</f>
        <v>1352158.2937619323</v>
      </c>
      <c r="M162" s="14">
        <f>'Prices&amp;Fuel'!X162*('Prices&amp;Fuel'!N162+'Prices&amp;Fuel'!O162)*'Prices&amp;Fuel'!H162</f>
        <v>9438.6404139577935</v>
      </c>
      <c r="N162" s="14">
        <f>('Prices&amp;Fuel'!U162+'Prices&amp;Fuel'!V162+'Prices&amp;Fuel'!W162)*('Prices&amp;Fuel'!L162+'Prices&amp;Fuel'!O162)*'Prices&amp;Fuel'!H162</f>
        <v>98255.832127730479</v>
      </c>
      <c r="O162" s="14">
        <f>((B162+C162+D162)*(1-'Prices&amp;Fuel'!G162))*('Prices&amp;Fuel'!M162+'Prices&amp;Fuel'!P162)*'Prices&amp;Fuel'!H162</f>
        <v>99834.213499999998</v>
      </c>
      <c r="P162" s="14">
        <f>((B162+C162+D162+E162+F162+G162)/(1-'Prices&amp;Fuel'!F162))*(1-'Prices&amp;Fuel'!F162)*'Prices&amp;Fuel'!H162*0.005</f>
        <v>1912.5964010282776</v>
      </c>
      <c r="Q162" s="14">
        <f>((D162+C162+B162+E162+F162+G162)*K162*'Prices&amp;Fuel'!H162)+M162+N162+O162+P162</f>
        <v>1280325.6584668602</v>
      </c>
      <c r="R162" s="6">
        <f t="shared" si="21"/>
        <v>71832.635295072105</v>
      </c>
      <c r="T162" s="3">
        <f>T161</f>
        <v>12000</v>
      </c>
    </row>
    <row r="163" spans="1:20" x14ac:dyDescent="0.2">
      <c r="A163" s="10">
        <f t="shared" si="19"/>
        <v>40554.83333333295</v>
      </c>
      <c r="B163" s="6">
        <f>IF(T163-((E163+F163+G163)*(1-'Prices&amp;Fuel'!F163))&lt;'Prices&amp;Fuel'!R163,(T163-(E163+F163+G163)*(1-'Prices&amp;Fuel'!F163)),'Prices&amp;Fuel'!R163)/(1-'Prices&amp;Fuel'!F163)</f>
        <v>4325.9640102827761</v>
      </c>
      <c r="C163" s="14">
        <f>(T163/(1-'Prices&amp;Fuel'!F163))-D163-E163-F163-G163-B163</f>
        <v>0</v>
      </c>
      <c r="D163" s="14">
        <f>ROUND(IF(T163/(1-'Prices&amp;Fuel'!F163)-E163-F163-G163-B163&gt;'Prices&amp;Fuel'!T163,'Prices&amp;Fuel'!T163,T163/(1-'Prices&amp;Fuel'!F163)-E163-F163-G163-B163),9)</f>
        <v>0</v>
      </c>
      <c r="E163" s="14">
        <f>'Prices&amp;Fuel'!U163/(1-'Prices&amp;Fuel'!F163)</f>
        <v>2635.4755784061695</v>
      </c>
      <c r="F163" s="14">
        <f>('Prices&amp;Fuel'!V163+'Prices&amp;Fuel'!X163)/(1-'Prices&amp;Fuel'!F163)</f>
        <v>3645.2442159383031</v>
      </c>
      <c r="G163" s="14">
        <f>'Prices&amp;Fuel'!W163/(1-'Prices&amp;Fuel'!F163)</f>
        <v>1732.6478149100255</v>
      </c>
      <c r="H163" s="25">
        <f>('Prices&amp;Fuel'!C163+'Prices&amp;Fuel'!D163)/2-0+(('Prices&amp;Fuel'!M163+'Prices&amp;Fuel'!P163)*(1-'Prices&amp;Fuel'!F163))</f>
        <v>3.2021143189935004</v>
      </c>
      <c r="I163" s="25"/>
      <c r="J163" s="25"/>
      <c r="K163" s="25">
        <f>(((B163+E163)*('Prices&amp;Fuel'!B163+0.025))+(('Prices&amp;Fuel'!D163+0.025)*(D163+G163))+(('Prices&amp;Fuel'!C163+0.025)*(C163+F163))-(I163+J163)*0.025)/(B163+C163+D163+E163+F163+G163)</f>
        <v>2.4667947356601667</v>
      </c>
      <c r="L163" s="14">
        <f>(B163+C163+D163+E163+F163+G163)*H163*'Prices&amp;Fuel'!H163</f>
        <v>1224870.4644376165</v>
      </c>
      <c r="M163" s="14">
        <f>'Prices&amp;Fuel'!X163*('Prices&amp;Fuel'!N163+'Prices&amp;Fuel'!O163)*'Prices&amp;Fuel'!H163</f>
        <v>9438.6404139577935</v>
      </c>
      <c r="N163" s="14">
        <f>('Prices&amp;Fuel'!U163+'Prices&amp;Fuel'!V163+'Prices&amp;Fuel'!W163)*('Prices&amp;Fuel'!L163+'Prices&amp;Fuel'!O163)*'Prices&amp;Fuel'!H163</f>
        <v>98255.832127730479</v>
      </c>
      <c r="O163" s="14">
        <f>((B163+C163+D163)*(1-'Prices&amp;Fuel'!G163))*('Prices&amp;Fuel'!M163+'Prices&amp;Fuel'!P163)*'Prices&amp;Fuel'!H163</f>
        <v>99834.213499999998</v>
      </c>
      <c r="P163" s="14">
        <f>((B163+C163+D163+E163+F163+G163)/(1-'Prices&amp;Fuel'!F163))*(1-'Prices&amp;Fuel'!F163)*'Prices&amp;Fuel'!H163*0.005</f>
        <v>1912.5964010282776</v>
      </c>
      <c r="Q163" s="14">
        <f>((D163+C163+B163+E163+F163+G163)*K163*'Prices&amp;Fuel'!H163)+M163+N163+O163+P163</f>
        <v>1153037.8291425437</v>
      </c>
      <c r="R163" s="6">
        <f t="shared" si="21"/>
        <v>71832.635295072803</v>
      </c>
      <c r="T163" s="3">
        <f t="shared" ref="T163:T172" si="23">T162</f>
        <v>12000</v>
      </c>
    </row>
    <row r="164" spans="1:20" x14ac:dyDescent="0.2">
      <c r="A164" s="10">
        <f t="shared" si="19"/>
        <v>40585.249999999614</v>
      </c>
      <c r="B164" s="6">
        <f>IF(T164-((E164+F164+G164)*(1-'Prices&amp;Fuel'!F164))&lt;'Prices&amp;Fuel'!R164,(T164-(E164+F164+G164)*(1-'Prices&amp;Fuel'!F164)),'Prices&amp;Fuel'!R164)/(1-'Prices&amp;Fuel'!F164)</f>
        <v>4325.9640102827761</v>
      </c>
      <c r="C164" s="14">
        <f>(T164/(1-'Prices&amp;Fuel'!F164))-D164-E164-F164-G164-B164</f>
        <v>0</v>
      </c>
      <c r="D164" s="14">
        <f>ROUND(IF(T164/(1-'Prices&amp;Fuel'!F164)-E164-F164-G164-B164&gt;'Prices&amp;Fuel'!T164,'Prices&amp;Fuel'!T164,T164/(1-'Prices&amp;Fuel'!F164)-E164-F164-G164-B164),9)</f>
        <v>0</v>
      </c>
      <c r="E164" s="14">
        <f>'Prices&amp;Fuel'!U164/(1-'Prices&amp;Fuel'!F164)</f>
        <v>2635.4755784061695</v>
      </c>
      <c r="F164" s="14">
        <f>('Prices&amp;Fuel'!V164+'Prices&amp;Fuel'!X164)/(1-'Prices&amp;Fuel'!F164)</f>
        <v>3645.2442159383031</v>
      </c>
      <c r="G164" s="14">
        <f>'Prices&amp;Fuel'!W164/(1-'Prices&amp;Fuel'!F164)</f>
        <v>1732.6478149100255</v>
      </c>
      <c r="H164" s="25">
        <f>('Prices&amp;Fuel'!C164+'Prices&amp;Fuel'!D164)/2-0+(('Prices&amp;Fuel'!M164+'Prices&amp;Fuel'!P164)*(1-'Prices&amp;Fuel'!F164))</f>
        <v>3.4974093426182766</v>
      </c>
      <c r="I164" s="25"/>
      <c r="J164" s="25"/>
      <c r="K164" s="25">
        <f>(((B164+E164)*('Prices&amp;Fuel'!B164+0.025))+(('Prices&amp;Fuel'!D164+0.025)*(D164+G164))+(('Prices&amp;Fuel'!C164+0.025)*(C164+F164))-(I164+J164)*0.025)/(B164+C164+D164+E164+F164+G164)</f>
        <v>2.7620897592849429</v>
      </c>
      <c r="L164" s="14">
        <f>(B164+C164+D164+E164+F164+G164)*H164*'Prices&amp;Fuel'!H164</f>
        <v>1208359.4232593735</v>
      </c>
      <c r="M164" s="14">
        <f>'Prices&amp;Fuel'!X164*('Prices&amp;Fuel'!N164+'Prices&amp;Fuel'!O164)*'Prices&amp;Fuel'!H164</f>
        <v>8525.2235997038133</v>
      </c>
      <c r="N164" s="14">
        <f>('Prices&amp;Fuel'!U164+'Prices&amp;Fuel'!V164+'Prices&amp;Fuel'!W164)*('Prices&amp;Fuel'!L164+'Prices&amp;Fuel'!O164)*'Prices&amp;Fuel'!H164</f>
        <v>88747.203212143664</v>
      </c>
      <c r="O164" s="14">
        <f>((B164+C164+D164)*(1-'Prices&amp;Fuel'!G164))*('Prices&amp;Fuel'!M164+'Prices&amp;Fuel'!P164)*'Prices&amp;Fuel'!H164</f>
        <v>90172.837999999989</v>
      </c>
      <c r="P164" s="14">
        <f>((B164+C164+D164+E164+F164+G164)/(1-'Prices&amp;Fuel'!F164))*(1-'Prices&amp;Fuel'!F164)*'Prices&amp;Fuel'!H164*0.005</f>
        <v>1727.5064267352184</v>
      </c>
      <c r="Q164" s="14">
        <f>((D164+C164+B164+E164+F164+G164)*K164*'Prices&amp;Fuel'!H164)+M164+N164+O164+P164</f>
        <v>1143478.333315437</v>
      </c>
      <c r="R164" s="6">
        <f t="shared" si="21"/>
        <v>64881.08994393656</v>
      </c>
      <c r="T164" s="3">
        <f t="shared" si="23"/>
        <v>12000</v>
      </c>
    </row>
    <row r="165" spans="1:20" x14ac:dyDescent="0.2">
      <c r="A165" s="10">
        <f t="shared" si="19"/>
        <v>40615.666666666279</v>
      </c>
      <c r="B165" s="6">
        <f>IF(T165-((E165+F165+G165)*(1-'Prices&amp;Fuel'!F165))&lt;'Prices&amp;Fuel'!R165,(T165-(E165+F165+G165)*(1-'Prices&amp;Fuel'!F165)),'Prices&amp;Fuel'!R165)/(1-'Prices&amp;Fuel'!F165)</f>
        <v>4325.9640102827761</v>
      </c>
      <c r="C165" s="14">
        <f>(T165/(1-'Prices&amp;Fuel'!F165))-D165-E165-F165-G165-B165</f>
        <v>0</v>
      </c>
      <c r="D165" s="14">
        <f>ROUND(IF(T165/(1-'Prices&amp;Fuel'!F165)-E165-F165-G165-B165&gt;'Prices&amp;Fuel'!T165,'Prices&amp;Fuel'!T165,T165/(1-'Prices&amp;Fuel'!F165)-E165-F165-G165-B165),9)</f>
        <v>0</v>
      </c>
      <c r="E165" s="14">
        <f>'Prices&amp;Fuel'!U165/(1-'Prices&amp;Fuel'!F165)</f>
        <v>2635.4755784061695</v>
      </c>
      <c r="F165" s="14">
        <f>('Prices&amp;Fuel'!V165+'Prices&amp;Fuel'!X165)/(1-'Prices&amp;Fuel'!F165)</f>
        <v>3645.2442159383031</v>
      </c>
      <c r="G165" s="14">
        <f>'Prices&amp;Fuel'!W165/(1-'Prices&amp;Fuel'!F165)</f>
        <v>1732.6478149100255</v>
      </c>
      <c r="H165" s="25">
        <f>('Prices&amp;Fuel'!C165+'Prices&amp;Fuel'!D165)/2-0+(('Prices&amp;Fuel'!M165+'Prices&amp;Fuel'!P165)*(1-'Prices&amp;Fuel'!F165))</f>
        <v>3.4974093426182766</v>
      </c>
      <c r="I165" s="25"/>
      <c r="J165" s="25"/>
      <c r="K165" s="25">
        <f>(((B165+E165)*('Prices&amp;Fuel'!B165+0.025))+(('Prices&amp;Fuel'!D165+0.025)*(D165+G165))+(('Prices&amp;Fuel'!C165+0.025)*(C165+F165))-(I165+J165)*0.025)/(B165+C165+D165+E165+F165+G165)</f>
        <v>2.7620897592849429</v>
      </c>
      <c r="L165" s="14">
        <f>(B165+C165+D165+E165+F165+G165)*H165*'Prices&amp;Fuel'!H165</f>
        <v>1337826.5043228779</v>
      </c>
      <c r="M165" s="14">
        <f>'Prices&amp;Fuel'!X165*('Prices&amp;Fuel'!N165+'Prices&amp;Fuel'!O165)*'Prices&amp;Fuel'!H165</f>
        <v>9438.6404139577935</v>
      </c>
      <c r="N165" s="14">
        <f>('Prices&amp;Fuel'!U165+'Prices&amp;Fuel'!V165+'Prices&amp;Fuel'!W165)*('Prices&amp;Fuel'!L165+'Prices&amp;Fuel'!O165)*'Prices&amp;Fuel'!H165</f>
        <v>98255.832127730479</v>
      </c>
      <c r="O165" s="14">
        <f>((B165+C165+D165)*(1-'Prices&amp;Fuel'!G165))*('Prices&amp;Fuel'!M165+'Prices&amp;Fuel'!P165)*'Prices&amp;Fuel'!H165</f>
        <v>99834.213499999998</v>
      </c>
      <c r="P165" s="14">
        <f>((B165+C165+D165+E165+F165+G165)/(1-'Prices&amp;Fuel'!F165))*(1-'Prices&amp;Fuel'!F165)*'Prices&amp;Fuel'!H165*0.005</f>
        <v>1912.5964010282776</v>
      </c>
      <c r="Q165" s="14">
        <f>((D165+C165+B165+E165+F165+G165)*K165*'Prices&amp;Fuel'!H165)+M165+N165+O165+P165</f>
        <v>1265993.8690278055</v>
      </c>
      <c r="R165" s="6">
        <f t="shared" si="21"/>
        <v>71832.635295072338</v>
      </c>
      <c r="T165" s="3">
        <f t="shared" si="23"/>
        <v>12000</v>
      </c>
    </row>
    <row r="166" spans="1:20" x14ac:dyDescent="0.2">
      <c r="A166" s="10">
        <f t="shared" si="19"/>
        <v>40646.083333332943</v>
      </c>
      <c r="B166" s="6">
        <f>IF(T166-((E166+F166+G166)*(1-'Prices&amp;Fuel'!F166))&lt;'Prices&amp;Fuel'!R166,(T166-(E166+F166+G166)*(1-'Prices&amp;Fuel'!F166)),'Prices&amp;Fuel'!R166)/(1-'Prices&amp;Fuel'!F166)</f>
        <v>6278.6632390745499</v>
      </c>
      <c r="C166" s="14">
        <f>(T166/(1-'Prices&amp;Fuel'!F166))-D166-E166-F166-G166-B166</f>
        <v>0</v>
      </c>
      <c r="D166" s="14">
        <f>ROUND(IF(T166/(1-'Prices&amp;Fuel'!F166)-E166-F166-G166-B166&gt;'Prices&amp;Fuel'!T166,'Prices&amp;Fuel'!T166,T166/(1-'Prices&amp;Fuel'!F166)-E166-F166-G166-B166),9)</f>
        <v>0</v>
      </c>
      <c r="E166" s="14">
        <f>'Prices&amp;Fuel'!U166/(1-'Prices&amp;Fuel'!F166)</f>
        <v>1933.1619537275064</v>
      </c>
      <c r="F166" s="14">
        <f>('Prices&amp;Fuel'!V166+'Prices&amp;Fuel'!X166)/(1-'Prices&amp;Fuel'!F166)</f>
        <v>2833.9331619537274</v>
      </c>
      <c r="G166" s="14">
        <f>'Prices&amp;Fuel'!W166/(1-'Prices&amp;Fuel'!F166)</f>
        <v>1293.5732647814909</v>
      </c>
      <c r="H166" s="25">
        <f>('Prices&amp;Fuel'!C166+'Prices&amp;Fuel'!D166)/2-0+(('Prices&amp;Fuel'!M166+'Prices&amp;Fuel'!P166)*(1-'Prices&amp;Fuel'!F166))</f>
        <v>3.7927043662430551</v>
      </c>
      <c r="I166" s="25"/>
      <c r="J166" s="25"/>
      <c r="K166" s="25">
        <f>(((B166+E166)*('Prices&amp;Fuel'!B166+0.025))+(('Prices&amp;Fuel'!D166+0.025)*(D166+G166))+(('Prices&amp;Fuel'!C166+0.025)*(C166+F166))-(I166+J166)*0.025)/(B166+C166+D166+E166+F166+G166)</f>
        <v>3.0530839495763877</v>
      </c>
      <c r="L166" s="14">
        <f>(B166+C166+D166+E166+F166+G166)*H166*'Prices&amp;Fuel'!H166</f>
        <v>1403983.1072982005</v>
      </c>
      <c r="M166" s="14">
        <f>'Prices&amp;Fuel'!X166*('Prices&amp;Fuel'!N166+'Prices&amp;Fuel'!O166)*'Prices&amp;Fuel'!H166</f>
        <v>9134.1681425398001</v>
      </c>
      <c r="N166" s="14">
        <f>('Prices&amp;Fuel'!U166+'Prices&amp;Fuel'!V166+'Prices&amp;Fuel'!W166)*('Prices&amp;Fuel'!L166+'Prices&amp;Fuel'!O166)*'Prices&amp;Fuel'!H166</f>
        <v>69689.82458385783</v>
      </c>
      <c r="O166" s="14">
        <f>((B166+C166+D166)*(1-'Prices&amp;Fuel'!G166))*('Prices&amp;Fuel'!M166+'Prices&amp;Fuel'!P166)*'Prices&amp;Fuel'!H166</f>
        <v>140224.29</v>
      </c>
      <c r="P166" s="14">
        <f>((B166+C166+D166+E166+F166+G166)/(1-'Prices&amp;Fuel'!F166))*(1-'Prices&amp;Fuel'!F166)*'Prices&amp;Fuel'!H166*0.005</f>
        <v>1850.8997429305914</v>
      </c>
      <c r="Q166" s="14">
        <f>((D166+C166+B166+E166+F166+G166)*K166*'Prices&amp;Fuel'!H166)+M166+N166+O166+P166</f>
        <v>1351089.6419526185</v>
      </c>
      <c r="R166" s="6">
        <f t="shared" si="21"/>
        <v>52893.465345581993</v>
      </c>
      <c r="T166" s="3">
        <f t="shared" si="23"/>
        <v>12000</v>
      </c>
    </row>
    <row r="167" spans="1:20" x14ac:dyDescent="0.2">
      <c r="A167" s="10">
        <f t="shared" si="19"/>
        <v>40676.499999999607</v>
      </c>
      <c r="B167" s="6">
        <f>IF(T167-((E167+F167+G167)*(1-'Prices&amp;Fuel'!F167))&lt;'Prices&amp;Fuel'!R167,(T167-(E167+F167+G167)*(1-'Prices&amp;Fuel'!F167)),'Prices&amp;Fuel'!R167)/(1-'Prices&amp;Fuel'!F167)</f>
        <v>8976.8637532133671</v>
      </c>
      <c r="C167" s="14">
        <f>(T167/(1-'Prices&amp;Fuel'!F167))-D167-E167-F167-G167-B167</f>
        <v>1.3824319466948509E-10</v>
      </c>
      <c r="D167" s="14">
        <f>ROUND(IF(T167/(1-'Prices&amp;Fuel'!F167)-E167-F167-G167-B167&gt;'Prices&amp;Fuel'!T167,'Prices&amp;Fuel'!T167,T167/(1-'Prices&amp;Fuel'!F167)-E167-F167-G167-B167),9)</f>
        <v>6556.2982005140002</v>
      </c>
      <c r="E167" s="14">
        <f>'Prices&amp;Fuel'!U167/(1-'Prices&amp;Fuel'!F167)</f>
        <v>1933.1619537275064</v>
      </c>
      <c r="F167" s="14">
        <f>('Prices&amp;Fuel'!V167+'Prices&amp;Fuel'!X167)/(1-'Prices&amp;Fuel'!F167)</f>
        <v>3062.2107969151671</v>
      </c>
      <c r="G167" s="14">
        <f>'Prices&amp;Fuel'!W167/(1-'Prices&amp;Fuel'!F167)</f>
        <v>1065.2956298200513</v>
      </c>
      <c r="H167" s="25">
        <f>('Prices&amp;Fuel'!C167+'Prices&amp;Fuel'!D167)/2-0+(('Prices&amp;Fuel'!M167+'Prices&amp;Fuel'!P167)*(1-'Prices&amp;Fuel'!F167))</f>
        <v>4.000504568053084</v>
      </c>
      <c r="I167" s="25"/>
      <c r="J167" s="25"/>
      <c r="K167" s="25">
        <f>(((B167+E167)*('Prices&amp;Fuel'!B167+0.025))+(('Prices&amp;Fuel'!D167+0.025)*(D167+G167))+(('Prices&amp;Fuel'!C167+0.025)*(C167+F167))-(I167+J167)*0.025)/(B167+C167+D167+E167+F167+G167)</f>
        <v>3.2580939132911797</v>
      </c>
      <c r="L167" s="14">
        <f>(B167+C167+D167+E167+F167+G167)*H167*'Prices&amp;Fuel'!H167</f>
        <v>2677972.7237044293</v>
      </c>
      <c r="M167" s="14">
        <f>'Prices&amp;Fuel'!X167*('Prices&amp;Fuel'!N167+'Prices&amp;Fuel'!O167)*'Prices&amp;Fuel'!H167</f>
        <v>9438.6404139577935</v>
      </c>
      <c r="N167" s="14">
        <f>('Prices&amp;Fuel'!U167+'Prices&amp;Fuel'!V167+'Prices&amp;Fuel'!W167)*('Prices&amp;Fuel'!L167+'Prices&amp;Fuel'!O167)*'Prices&amp;Fuel'!H167</f>
        <v>72012.818736653091</v>
      </c>
      <c r="O167" s="14">
        <f>((B167+C167+D167)*(1-'Prices&amp;Fuel'!G167))*('Prices&amp;Fuel'!M167+'Prices&amp;Fuel'!P167)*'Prices&amp;Fuel'!H167</f>
        <v>358472.93300000002</v>
      </c>
      <c r="P167" s="14">
        <f>((B167+C167+D167+E167+F167+G167)/(1-'Prices&amp;Fuel'!F167))*(1-'Prices&amp;Fuel'!F167)*'Prices&amp;Fuel'!H167*0.005</f>
        <v>3347.043701799485</v>
      </c>
      <c r="Q167" s="14">
        <f>((D167+C167+B167+E167+F167+G167)*K167*'Prices&amp;Fuel'!H167)+M167+N167+O167+P167</f>
        <v>2624267.9783229074</v>
      </c>
      <c r="R167" s="6">
        <f t="shared" si="21"/>
        <v>53704.745381521992</v>
      </c>
      <c r="T167" s="3">
        <v>21000</v>
      </c>
    </row>
    <row r="168" spans="1:20" x14ac:dyDescent="0.2">
      <c r="A168" s="10">
        <f t="shared" si="19"/>
        <v>40706.916666666271</v>
      </c>
      <c r="B168" s="6">
        <f>IF(T168-((E168+F168+G168)*(1-'Prices&amp;Fuel'!F168))&lt;'Prices&amp;Fuel'!R168,(T168-(E168+F168+G168)*(1-'Prices&amp;Fuel'!F168)),'Prices&amp;Fuel'!R168)/(1-'Prices&amp;Fuel'!F168)</f>
        <v>8976.8637532133671</v>
      </c>
      <c r="C168" s="14">
        <f>(T168/(1-'Prices&amp;Fuel'!F168))-D168-E168-F168-G168-B168</f>
        <v>1.3824319466948509E-10</v>
      </c>
      <c r="D168" s="14">
        <f>ROUND(IF(T168/(1-'Prices&amp;Fuel'!F168)-E168-F168-G168-B168&gt;'Prices&amp;Fuel'!T168,'Prices&amp;Fuel'!T168,T168/(1-'Prices&amp;Fuel'!F168)-E168-F168-G168-B168),9)</f>
        <v>6556.2982005140002</v>
      </c>
      <c r="E168" s="14">
        <f>'Prices&amp;Fuel'!U168/(1-'Prices&amp;Fuel'!F168)</f>
        <v>1933.1619537275064</v>
      </c>
      <c r="F168" s="14">
        <f>('Prices&amp;Fuel'!V168+'Prices&amp;Fuel'!X168)/(1-'Prices&amp;Fuel'!F168)</f>
        <v>3062.2107969151671</v>
      </c>
      <c r="G168" s="14">
        <f>'Prices&amp;Fuel'!W168/(1-'Prices&amp;Fuel'!F168)</f>
        <v>1065.2956298200513</v>
      </c>
      <c r="H168" s="25">
        <f>('Prices&amp;Fuel'!C168+'Prices&amp;Fuel'!D168)/2-0+(('Prices&amp;Fuel'!M168+'Prices&amp;Fuel'!P168)*(1-'Prices&amp;Fuel'!F168))</f>
        <v>5.4332322752695958</v>
      </c>
      <c r="I168" s="25"/>
      <c r="J168" s="25"/>
      <c r="K168" s="25">
        <f>(((B168+E168)*('Prices&amp;Fuel'!B168+0.025))+(('Prices&amp;Fuel'!D168+0.025)*(D168+G168))+(('Prices&amp;Fuel'!C168+0.025)*(C168+F168))-(I168+J168)*0.025)/(B168+C168+D168+E168+F168+G168)</f>
        <v>4.690821620507692</v>
      </c>
      <c r="L168" s="14">
        <f>(B168+C168+D168+E168+F168+G168)*H168*'Prices&amp;Fuel'!H168</f>
        <v>3519728.8775525396</v>
      </c>
      <c r="M168" s="14">
        <f>'Prices&amp;Fuel'!X168*('Prices&amp;Fuel'!N168+'Prices&amp;Fuel'!O168)*'Prices&amp;Fuel'!H168</f>
        <v>9134.1681425398001</v>
      </c>
      <c r="N168" s="14">
        <f>('Prices&amp;Fuel'!U168+'Prices&amp;Fuel'!V168+'Prices&amp;Fuel'!W168)*('Prices&amp;Fuel'!L168+'Prices&amp;Fuel'!O168)*'Prices&amp;Fuel'!H168</f>
        <v>69689.82458385783</v>
      </c>
      <c r="O168" s="14">
        <f>((B168+C168+D168)*(1-'Prices&amp;Fuel'!G168))*('Prices&amp;Fuel'!M168+'Prices&amp;Fuel'!P168)*'Prices&amp;Fuel'!H168</f>
        <v>346909.29</v>
      </c>
      <c r="P168" s="14">
        <f>((B168+C168+D168+E168+F168+G168)/(1-'Prices&amp;Fuel'!F168))*(1-'Prices&amp;Fuel'!F168)*'Prices&amp;Fuel'!H168*0.005</f>
        <v>3239.0745501285346</v>
      </c>
      <c r="Q168" s="14">
        <f>((D168+C168+B168+E168+F168+G168)*K168*'Prices&amp;Fuel'!H168)+M168+N168+O168+P168</f>
        <v>3467756.5433123573</v>
      </c>
      <c r="R168" s="6">
        <f t="shared" si="21"/>
        <v>51972.334240182303</v>
      </c>
      <c r="T168" s="3">
        <f t="shared" si="23"/>
        <v>21000</v>
      </c>
    </row>
    <row r="169" spans="1:20" x14ac:dyDescent="0.2">
      <c r="A169" s="10">
        <f t="shared" si="19"/>
        <v>40737.333333332936</v>
      </c>
      <c r="B169" s="6">
        <f>IF(T169-((E169+F169+G169)*(1-'Prices&amp;Fuel'!F169))&lt;'Prices&amp;Fuel'!R169,(T169-(E169+F169+G169)*(1-'Prices&amp;Fuel'!F169)),'Prices&amp;Fuel'!R169)/(1-'Prices&amp;Fuel'!F169)</f>
        <v>8976.8637532133671</v>
      </c>
      <c r="C169" s="14">
        <f>(T169/(1-'Prices&amp;Fuel'!F169))-D169-E169-F169-G169-B169</f>
        <v>1.3824319466948509E-10</v>
      </c>
      <c r="D169" s="14">
        <f>ROUND(IF(T169/(1-'Prices&amp;Fuel'!F169)-E169-F169-G169-B169&gt;'Prices&amp;Fuel'!T169,'Prices&amp;Fuel'!T169,T169/(1-'Prices&amp;Fuel'!F169)-E169-F169-G169-B169),9)</f>
        <v>6556.2982005140002</v>
      </c>
      <c r="E169" s="14">
        <f>'Prices&amp;Fuel'!U169/(1-'Prices&amp;Fuel'!F169)</f>
        <v>1933.1619537275064</v>
      </c>
      <c r="F169" s="14">
        <f>('Prices&amp;Fuel'!V169+'Prices&amp;Fuel'!X169)/(1-'Prices&amp;Fuel'!F169)</f>
        <v>3062.2107969151671</v>
      </c>
      <c r="G169" s="14">
        <f>'Prices&amp;Fuel'!W169/(1-'Prices&amp;Fuel'!F169)</f>
        <v>1065.2956298200513</v>
      </c>
      <c r="H169" s="25">
        <f>('Prices&amp;Fuel'!C169+'Prices&amp;Fuel'!D169)/2-0+(('Prices&amp;Fuel'!M169+'Prices&amp;Fuel'!P169)*(1-'Prices&amp;Fuel'!F169))</f>
        <v>5.4222954225427529</v>
      </c>
      <c r="I169" s="25"/>
      <c r="J169" s="25"/>
      <c r="K169" s="25">
        <f>(((B169+E169)*('Prices&amp;Fuel'!B169+0.025))+(('Prices&amp;Fuel'!D169+0.025)*(D169+G169))+(('Prices&amp;Fuel'!C169+0.025)*(C169+F169))-(I169+J169)*0.025)/(B169+C169+D169+E169+F169+G169)</f>
        <v>4.6798847677808491</v>
      </c>
      <c r="L169" s="14">
        <f>(B169+C169+D169+E169+F169+G169)*H169*'Prices&amp;Fuel'!H169</f>
        <v>3629731.9486635802</v>
      </c>
      <c r="M169" s="14">
        <f>'Prices&amp;Fuel'!X169*('Prices&amp;Fuel'!N169+'Prices&amp;Fuel'!O169)*'Prices&amp;Fuel'!H169</f>
        <v>9438.6404139577935</v>
      </c>
      <c r="N169" s="14">
        <f>('Prices&amp;Fuel'!U169+'Prices&amp;Fuel'!V169+'Prices&amp;Fuel'!W169)*('Prices&amp;Fuel'!L169+'Prices&amp;Fuel'!O169)*'Prices&amp;Fuel'!H169</f>
        <v>72012.818736653091</v>
      </c>
      <c r="O169" s="14">
        <f>((B169+C169+D169)*(1-'Prices&amp;Fuel'!G169))*('Prices&amp;Fuel'!M169+'Prices&amp;Fuel'!P169)*'Prices&amp;Fuel'!H169</f>
        <v>358472.93300000002</v>
      </c>
      <c r="P169" s="14">
        <f>((B169+C169+D169+E169+F169+G169)/(1-'Prices&amp;Fuel'!F169))*(1-'Prices&amp;Fuel'!F169)*'Prices&amp;Fuel'!H169*0.005</f>
        <v>3347.043701799485</v>
      </c>
      <c r="Q169" s="14">
        <f>((D169+C169+B169+E169+F169+G169)*K169*'Prices&amp;Fuel'!H169)+M169+N169+O169+P169</f>
        <v>3576027.2032820587</v>
      </c>
      <c r="R169" s="6">
        <f t="shared" si="21"/>
        <v>53704.745381521527</v>
      </c>
      <c r="T169" s="3">
        <f t="shared" si="23"/>
        <v>21000</v>
      </c>
    </row>
    <row r="170" spans="1:20" x14ac:dyDescent="0.2">
      <c r="A170" s="10">
        <f t="shared" si="19"/>
        <v>40767.7499999996</v>
      </c>
      <c r="B170" s="6">
        <f>IF(T170-((E170+F170+G170)*(1-'Prices&amp;Fuel'!F170))&lt;'Prices&amp;Fuel'!R170,(T170-(E170+F170+G170)*(1-'Prices&amp;Fuel'!F170)),'Prices&amp;Fuel'!R170)/(1-'Prices&amp;Fuel'!F170)</f>
        <v>8976.8637532133671</v>
      </c>
      <c r="C170" s="14">
        <f>(T170/(1-'Prices&amp;Fuel'!F170))-D170-E170-F170-G170-B170</f>
        <v>1.3824319466948509E-10</v>
      </c>
      <c r="D170" s="14">
        <f>ROUND(IF(T170/(1-'Prices&amp;Fuel'!F170)-E170-F170-G170-B170&gt;'Prices&amp;Fuel'!T170,'Prices&amp;Fuel'!T170,T170/(1-'Prices&amp;Fuel'!F170)-E170-F170-G170-B170),9)</f>
        <v>6556.2982005140002</v>
      </c>
      <c r="E170" s="14">
        <f>'Prices&amp;Fuel'!U170/(1-'Prices&amp;Fuel'!F170)</f>
        <v>1933.1619537275064</v>
      </c>
      <c r="F170" s="14">
        <f>('Prices&amp;Fuel'!V170+'Prices&amp;Fuel'!X170)/(1-'Prices&amp;Fuel'!F170)</f>
        <v>3062.2107969151671</v>
      </c>
      <c r="G170" s="14">
        <f>'Prices&amp;Fuel'!W170/(1-'Prices&amp;Fuel'!F170)</f>
        <v>1065.2956298200513</v>
      </c>
      <c r="H170" s="25">
        <f>('Prices&amp;Fuel'!C170+'Prices&amp;Fuel'!D170)/2-0+(('Prices&amp;Fuel'!M170+'Prices&amp;Fuel'!P170)*(1-'Prices&amp;Fuel'!F170))</f>
        <v>4.8317053752931969</v>
      </c>
      <c r="I170" s="25"/>
      <c r="J170" s="25"/>
      <c r="K170" s="25">
        <f>(((B170+E170)*('Prices&amp;Fuel'!B170+0.025))+(('Prices&amp;Fuel'!D170+0.025)*(D170+G170))+(('Prices&amp;Fuel'!C170+0.025)*(C170+F170))-(I170+J170)*0.025)/(B170+C170+D170+E170+F170+G170)</f>
        <v>4.0892947205312939</v>
      </c>
      <c r="L170" s="14">
        <f>(B170+C170+D170+E170+F170+G170)*H170*'Prices&amp;Fuel'!H170</f>
        <v>3234385.8090651627</v>
      </c>
      <c r="M170" s="14">
        <f>'Prices&amp;Fuel'!X170*('Prices&amp;Fuel'!N170+'Prices&amp;Fuel'!O170)*'Prices&amp;Fuel'!H170</f>
        <v>9438.6404139577935</v>
      </c>
      <c r="N170" s="14">
        <f>('Prices&amp;Fuel'!U170+'Prices&amp;Fuel'!V170+'Prices&amp;Fuel'!W170)*('Prices&amp;Fuel'!L170+'Prices&amp;Fuel'!O170)*'Prices&amp;Fuel'!H170</f>
        <v>72012.818736653091</v>
      </c>
      <c r="O170" s="14">
        <f>((B170+C170+D170)*(1-'Prices&amp;Fuel'!G170))*('Prices&amp;Fuel'!M170+'Prices&amp;Fuel'!P170)*'Prices&amp;Fuel'!H170</f>
        <v>358472.93300000002</v>
      </c>
      <c r="P170" s="14">
        <f>((B170+C170+D170+E170+F170+G170)/(1-'Prices&amp;Fuel'!F170))*(1-'Prices&amp;Fuel'!F170)*'Prices&amp;Fuel'!H170*0.005</f>
        <v>3347.043701799485</v>
      </c>
      <c r="Q170" s="14">
        <f>((D170+C170+B170+E170+F170+G170)*K170*'Prices&amp;Fuel'!H170)+M170+N170+O170+P170</f>
        <v>3180681.0636836416</v>
      </c>
      <c r="R170" s="6">
        <f t="shared" si="21"/>
        <v>53704.745381521061</v>
      </c>
      <c r="T170" s="3">
        <f t="shared" si="23"/>
        <v>21000</v>
      </c>
    </row>
    <row r="171" spans="1:20" x14ac:dyDescent="0.2">
      <c r="A171" s="10">
        <f t="shared" si="19"/>
        <v>40798.166666666264</v>
      </c>
      <c r="B171" s="6">
        <f>IF(T171-((E171+F171+G171)*(1-'Prices&amp;Fuel'!F171))&lt;'Prices&amp;Fuel'!R171,(T171-(E171+F171+G171)*(1-'Prices&amp;Fuel'!F171)),'Prices&amp;Fuel'!R171)/(1-'Prices&amp;Fuel'!F171)</f>
        <v>8976.8637532133671</v>
      </c>
      <c r="C171" s="14">
        <f>(T171/(1-'Prices&amp;Fuel'!F171))-D171-E171-F171-G171-B171</f>
        <v>1.3824319466948509E-10</v>
      </c>
      <c r="D171" s="14">
        <f>ROUND(IF(T171/(1-'Prices&amp;Fuel'!F171)-E171-F171-G171-B171&gt;'Prices&amp;Fuel'!T171,'Prices&amp;Fuel'!T171,T171/(1-'Prices&amp;Fuel'!F171)-E171-F171-G171-B171),9)</f>
        <v>6556.2982005140002</v>
      </c>
      <c r="E171" s="14">
        <f>'Prices&amp;Fuel'!U171/(1-'Prices&amp;Fuel'!F171)</f>
        <v>1933.1619537275064</v>
      </c>
      <c r="F171" s="14">
        <f>('Prices&amp;Fuel'!V171+'Prices&amp;Fuel'!X171)/(1-'Prices&amp;Fuel'!F171)</f>
        <v>3062.2107969151671</v>
      </c>
      <c r="G171" s="14">
        <f>'Prices&amp;Fuel'!W171/(1-'Prices&amp;Fuel'!F171)</f>
        <v>1065.2956298200513</v>
      </c>
      <c r="H171" s="25">
        <f>('Prices&amp;Fuel'!C171+'Prices&amp;Fuel'!D171)/2-0+(('Prices&amp;Fuel'!M171+'Prices&amp;Fuel'!P171)*(1-'Prices&amp;Fuel'!F171))</f>
        <v>5.6738430352601572</v>
      </c>
      <c r="I171" s="25"/>
      <c r="J171" s="25"/>
      <c r="K171" s="25">
        <f>(((B171+E171)*('Prices&amp;Fuel'!B171+0.025))+(('Prices&amp;Fuel'!D171+0.025)*(D171+G171))+(('Prices&amp;Fuel'!C171+0.025)*(C171+F171))-(I171+J171)*0.025)/(B171+C171+D171+E171+F171+G171)</f>
        <v>4.9314323804982534</v>
      </c>
      <c r="L171" s="14">
        <f>(B171+C171+D171+E171+F171+G171)*H171*'Prices&amp;Fuel'!H171</f>
        <v>3675600.1153870425</v>
      </c>
      <c r="M171" s="14">
        <f>'Prices&amp;Fuel'!X171*('Prices&amp;Fuel'!N171+'Prices&amp;Fuel'!O171)*'Prices&amp;Fuel'!H171</f>
        <v>9134.1681425398001</v>
      </c>
      <c r="N171" s="14">
        <f>('Prices&amp;Fuel'!U171+'Prices&amp;Fuel'!V171+'Prices&amp;Fuel'!W171)*('Prices&amp;Fuel'!L171+'Prices&amp;Fuel'!O171)*'Prices&amp;Fuel'!H171</f>
        <v>69689.82458385783</v>
      </c>
      <c r="O171" s="14">
        <f>((B171+C171+D171)*(1-'Prices&amp;Fuel'!G171))*('Prices&amp;Fuel'!M171+'Prices&amp;Fuel'!P171)*'Prices&amp;Fuel'!H171</f>
        <v>346909.29</v>
      </c>
      <c r="P171" s="14">
        <f>((B171+C171+D171+E171+F171+G171)/(1-'Prices&amp;Fuel'!F171))*(1-'Prices&amp;Fuel'!F171)*'Prices&amp;Fuel'!H171*0.005</f>
        <v>3239.0745501285346</v>
      </c>
      <c r="Q171" s="14">
        <f>((D171+C171+B171+E171+F171+G171)*K171*'Prices&amp;Fuel'!H171)+M171+N171+O171+P171</f>
        <v>3623627.7811468593</v>
      </c>
      <c r="R171" s="6">
        <f t="shared" si="21"/>
        <v>51972.334240183234</v>
      </c>
      <c r="T171" s="3">
        <f t="shared" si="23"/>
        <v>21000</v>
      </c>
    </row>
    <row r="172" spans="1:20" x14ac:dyDescent="0.2">
      <c r="A172" s="10">
        <f t="shared" si="19"/>
        <v>40828.583333332928</v>
      </c>
      <c r="B172" s="6">
        <f>IF(T172-((E172+F172+G172)*(1-'Prices&amp;Fuel'!F172))&lt;'Prices&amp;Fuel'!R172,(T172-(E172+F172+G172)*(1-'Prices&amp;Fuel'!F172)),'Prices&amp;Fuel'!R172)/(1-'Prices&amp;Fuel'!F172)</f>
        <v>8976.8637532133671</v>
      </c>
      <c r="C172" s="14">
        <f>(T172/(1-'Prices&amp;Fuel'!F172))-D172-E172-F172-G172-B172</f>
        <v>2.0190782379359007E-10</v>
      </c>
      <c r="D172" s="14">
        <f>ROUND(IF(T172/(1-'Prices&amp;Fuel'!F172)-E172-F172-G172-B172&gt;'Prices&amp;Fuel'!T172,'Prices&amp;Fuel'!T172,T172/(1-'Prices&amp;Fuel'!F172)-E172-F172-G172-B172),9)</f>
        <v>3514.6529562979999</v>
      </c>
      <c r="E172" s="14">
        <f>'Prices&amp;Fuel'!U172/(1-'Prices&amp;Fuel'!F172)</f>
        <v>2910.025706940874</v>
      </c>
      <c r="F172" s="14">
        <f>('Prices&amp;Fuel'!V172+'Prices&amp;Fuel'!X172)/(1-'Prices&amp;Fuel'!F172)</f>
        <v>4628.2776349614396</v>
      </c>
      <c r="G172" s="14">
        <f>'Prices&amp;Fuel'!W172/(1-'Prices&amp;Fuel'!F172)</f>
        <v>1564.0102827763496</v>
      </c>
      <c r="H172" s="25">
        <f>('Prices&amp;Fuel'!C172+'Prices&amp;Fuel'!D172)/2-0+(('Prices&amp;Fuel'!M172+'Prices&amp;Fuel'!P172)*(1-'Prices&amp;Fuel'!F172))</f>
        <v>6.4175490206855219</v>
      </c>
      <c r="I172" s="25"/>
      <c r="J172" s="25"/>
      <c r="K172" s="25">
        <f>(((B172+E172)*('Prices&amp;Fuel'!B172+0.025))+(('Prices&amp;Fuel'!D172+0.025)*(D172+G172))+(('Prices&amp;Fuel'!C172+0.025)*(C172+F172))-(I172+J172)*0.025)/(B172+C172+D172+E172+F172+G172)</f>
        <v>5.6783121754474273</v>
      </c>
      <c r="L172" s="14">
        <f>(B172+C172+D172+E172+F172+G172)*H172*'Prices&amp;Fuel'!H172</f>
        <v>4295963.4061349872</v>
      </c>
      <c r="M172" s="14">
        <f>'Prices&amp;Fuel'!X172*('Prices&amp;Fuel'!N172+'Prices&amp;Fuel'!O172)*'Prices&amp;Fuel'!H172</f>
        <v>13833.205057645318</v>
      </c>
      <c r="N172" s="14">
        <f>('Prices&amp;Fuel'!U172+'Prices&amp;Fuel'!V172+'Prices&amp;Fuel'!W172)*('Prices&amp;Fuel'!L172+'Prices&amp;Fuel'!O172)*'Prices&amp;Fuel'!H172</f>
        <v>108495.99691066272</v>
      </c>
      <c r="O172" s="14">
        <f>((B172+C172+D172)*(1-'Prices&amp;Fuel'!G172))*('Prices&amp;Fuel'!M172+'Prices&amp;Fuel'!P172)*'Prices&amp;Fuel'!H172</f>
        <v>288278.114</v>
      </c>
      <c r="P172" s="14">
        <f>((B172+C172+D172+E172+F172+G172)/(1-'Prices&amp;Fuel'!F172))*(1-'Prices&amp;Fuel'!F172)*'Prices&amp;Fuel'!H172*0.005</f>
        <v>3347.0437017994859</v>
      </c>
      <c r="Q172" s="14">
        <f>((D172+C172+B172+E172+F172+G172)*K172*'Prices&amp;Fuel'!H172)+M172+N172+O172+P172</f>
        <v>4215066.160406637</v>
      </c>
      <c r="R172" s="6">
        <f t="shared" si="21"/>
        <v>80897.245728350244</v>
      </c>
      <c r="T172" s="3">
        <f t="shared" si="23"/>
        <v>21000</v>
      </c>
    </row>
    <row r="173" spans="1:20" x14ac:dyDescent="0.2">
      <c r="A173" s="10">
        <f t="shared" si="19"/>
        <v>40858.999999999593</v>
      </c>
      <c r="B173" s="6">
        <f>IF(T173-((E173+F173+G173)*(1-'Prices&amp;Fuel'!F173))&lt;'Prices&amp;Fuel'!R173,(T173-(E173+F173+G173)*(1-'Prices&amp;Fuel'!F173)),'Prices&amp;Fuel'!R173)/(1-'Prices&amp;Fuel'!F173)</f>
        <v>4325.9640102827761</v>
      </c>
      <c r="C173" s="14">
        <f>(T173/(1-'Prices&amp;Fuel'!F173))-D173-E173-F173-G173-B173</f>
        <v>0</v>
      </c>
      <c r="D173" s="14">
        <f>ROUND(IF(T173/(1-'Prices&amp;Fuel'!F173)-E173-F173-G173-B173&gt;'Prices&amp;Fuel'!T173,'Prices&amp;Fuel'!T173,T173/(1-'Prices&amp;Fuel'!F173)-E173-F173-G173-B173),9)</f>
        <v>0</v>
      </c>
      <c r="E173" s="14">
        <f>'Prices&amp;Fuel'!U173/(1-'Prices&amp;Fuel'!F173)</f>
        <v>2635.4755784061695</v>
      </c>
      <c r="F173" s="14">
        <f>('Prices&amp;Fuel'!V173+'Prices&amp;Fuel'!X173)/(1-'Prices&amp;Fuel'!F173)</f>
        <v>3645.2442159383031</v>
      </c>
      <c r="G173" s="14">
        <f>'Prices&amp;Fuel'!W173/(1-'Prices&amp;Fuel'!F173)</f>
        <v>1732.6478149100255</v>
      </c>
      <c r="H173" s="25">
        <f>('Prices&amp;Fuel'!C173+'Prices&amp;Fuel'!D173)/2-0+(('Prices&amp;Fuel'!M173+'Prices&amp;Fuel'!P173)*(1-'Prices&amp;Fuel'!F173))</f>
        <v>4.5254734989415768</v>
      </c>
      <c r="I173" s="25"/>
      <c r="J173" s="25"/>
      <c r="K173" s="25">
        <f>(((B173+E173)*('Prices&amp;Fuel'!B173+0.025))+(('Prices&amp;Fuel'!D173+0.025)*(D173+G173))+(('Prices&amp;Fuel'!C173+0.025)*(C173+F173))-(I173+J173)*0.025)/(B173+C173+D173+E173+F173+G173)</f>
        <v>3.7901539156082427</v>
      </c>
      <c r="L173" s="14">
        <f>(B173+C173+D173+E173+F173+G173)*H173*'Prices&amp;Fuel'!H173</f>
        <v>1675239.5471660334</v>
      </c>
      <c r="M173" s="14">
        <f>'Prices&amp;Fuel'!X173*('Prices&amp;Fuel'!N173+'Prices&amp;Fuel'!O173)*'Prices&amp;Fuel'!H173</f>
        <v>9134.1681425398001</v>
      </c>
      <c r="N173" s="14">
        <f>('Prices&amp;Fuel'!U173+'Prices&amp;Fuel'!V173+'Prices&amp;Fuel'!W173)*('Prices&amp;Fuel'!L173+'Prices&amp;Fuel'!O173)*'Prices&amp;Fuel'!H173</f>
        <v>95086.289155868202</v>
      </c>
      <c r="O173" s="14">
        <f>((B173+C173+D173)*(1-'Prices&amp;Fuel'!G173))*('Prices&amp;Fuel'!M173+'Prices&amp;Fuel'!P173)*'Prices&amp;Fuel'!H173</f>
        <v>96613.75499999999</v>
      </c>
      <c r="P173" s="14">
        <f>((B173+C173+D173+E173+F173+G173)/(1-'Prices&amp;Fuel'!F173))*(1-'Prices&amp;Fuel'!F173)*'Prices&amp;Fuel'!H173*0.005</f>
        <v>1850.8997429305912</v>
      </c>
      <c r="Q173" s="14">
        <f>((D173+C173+B173+E173+F173+G173)*K173*'Prices&amp;Fuel'!H173)+M173+N173+O173+P173</f>
        <v>1605724.0936546724</v>
      </c>
      <c r="R173" s="6">
        <f t="shared" si="21"/>
        <v>69515.453511361033</v>
      </c>
      <c r="T173" s="3">
        <v>12000</v>
      </c>
    </row>
    <row r="174" spans="1:20" x14ac:dyDescent="0.2">
      <c r="A174" s="10">
        <f t="shared" si="19"/>
        <v>40889.416666666257</v>
      </c>
      <c r="B174" s="6">
        <f>IF(T174-((E174+F174+G174)*(1-'Prices&amp;Fuel'!F174))&lt;'Prices&amp;Fuel'!R174,(T174-(E174+F174+G174)*(1-'Prices&amp;Fuel'!F174)),'Prices&amp;Fuel'!R174)/(1-'Prices&amp;Fuel'!F174)</f>
        <v>4325.9640102827761</v>
      </c>
      <c r="C174" s="14">
        <f>(T174/(1-'Prices&amp;Fuel'!F174))-D174-E174-F174-G174-B174</f>
        <v>0</v>
      </c>
      <c r="D174" s="14">
        <f>ROUND(IF(T174/(1-'Prices&amp;Fuel'!F174)-E174-F174-G174-B174&gt;'Prices&amp;Fuel'!T174,'Prices&amp;Fuel'!T174,T174/(1-'Prices&amp;Fuel'!F174)-E174-F174-G174-B174),9)</f>
        <v>0</v>
      </c>
      <c r="E174" s="14">
        <f>'Prices&amp;Fuel'!U174/(1-'Prices&amp;Fuel'!F174)</f>
        <v>2635.4755784061695</v>
      </c>
      <c r="F174" s="14">
        <f>('Prices&amp;Fuel'!V174+'Prices&amp;Fuel'!X174)/(1-'Prices&amp;Fuel'!F174)</f>
        <v>3645.2442159383031</v>
      </c>
      <c r="G174" s="14">
        <f>'Prices&amp;Fuel'!W174/(1-'Prices&amp;Fuel'!F174)</f>
        <v>1732.6478149100255</v>
      </c>
      <c r="H174" s="25">
        <f>('Prices&amp;Fuel'!C174+'Prices&amp;Fuel'!D174)/2-0+(('Prices&amp;Fuel'!M174+'Prices&amp;Fuel'!P174)*(1-'Prices&amp;Fuel'!F174))</f>
        <v>3.5630304589793393</v>
      </c>
      <c r="I174" s="25"/>
      <c r="J174" s="25"/>
      <c r="K174" s="25">
        <f>(((B174+E174)*('Prices&amp;Fuel'!B174+0.025))+(('Prices&amp;Fuel'!D174+0.025)*(D174+G174))+(('Prices&amp;Fuel'!C174+0.025)*(C174+F174))-(I174+J174)*0.025)/(B174+C174+D174+E174+F174+G174)</f>
        <v>2.8277108756460057</v>
      </c>
      <c r="L174" s="14">
        <f>(B174+C174+D174+E174+F174+G174)*H174*'Prices&amp;Fuel'!H174</f>
        <v>1362927.8465196032</v>
      </c>
      <c r="M174" s="14">
        <f>'Prices&amp;Fuel'!X174*('Prices&amp;Fuel'!N174+'Prices&amp;Fuel'!O174)*'Prices&amp;Fuel'!H174</f>
        <v>9438.6404139577935</v>
      </c>
      <c r="N174" s="14">
        <f>('Prices&amp;Fuel'!U174+'Prices&amp;Fuel'!V174+'Prices&amp;Fuel'!W174)*('Prices&amp;Fuel'!L174+'Prices&amp;Fuel'!O174)*'Prices&amp;Fuel'!H174</f>
        <v>98255.832127730479</v>
      </c>
      <c r="O174" s="14">
        <f>((B174+C174+D174)*(1-'Prices&amp;Fuel'!G174))*('Prices&amp;Fuel'!M174+'Prices&amp;Fuel'!P174)*'Prices&amp;Fuel'!H174</f>
        <v>99834.213499999998</v>
      </c>
      <c r="P174" s="14">
        <f>((B174+C174+D174+E174+F174+G174)/(1-'Prices&amp;Fuel'!F174))*(1-'Prices&amp;Fuel'!F174)*'Prices&amp;Fuel'!H174*0.005</f>
        <v>1912.5964010282776</v>
      </c>
      <c r="Q174" s="14">
        <f>((D174+C174+B174+E174+F174+G174)*K174*'Prices&amp;Fuel'!H174)+M174+N174+O174+P174</f>
        <v>1291095.2112245304</v>
      </c>
      <c r="R174" s="6">
        <f t="shared" si="21"/>
        <v>71832.635295072803</v>
      </c>
      <c r="T174" s="3">
        <f>T173</f>
        <v>12000</v>
      </c>
    </row>
    <row r="175" spans="1:20" x14ac:dyDescent="0.2">
      <c r="A175" s="10">
        <f t="shared" si="19"/>
        <v>40919.833333332921</v>
      </c>
      <c r="B175" s="6">
        <f>IF(T175-((E175+F175+G175)*(1-'Prices&amp;Fuel'!F175))&lt;'Prices&amp;Fuel'!R175,(T175-(E175+F175+G175)*(1-'Prices&amp;Fuel'!F175)),'Prices&amp;Fuel'!R175)/(1-'Prices&amp;Fuel'!F175)</f>
        <v>4325.9640102827761</v>
      </c>
      <c r="C175" s="14">
        <f>(T175/(1-'Prices&amp;Fuel'!F175))-D175-E175-F175-G175-B175</f>
        <v>0</v>
      </c>
      <c r="D175" s="14">
        <f>ROUND(IF(T175/(1-'Prices&amp;Fuel'!F175)-E175-F175-G175-B175&gt;'Prices&amp;Fuel'!T175,'Prices&amp;Fuel'!T175,T175/(1-'Prices&amp;Fuel'!F175)-E175-F175-G175-B175),9)</f>
        <v>0</v>
      </c>
      <c r="E175" s="14">
        <f>'Prices&amp;Fuel'!U175/(1-'Prices&amp;Fuel'!F175)</f>
        <v>2635.4755784061695</v>
      </c>
      <c r="F175" s="14">
        <f>('Prices&amp;Fuel'!V175+'Prices&amp;Fuel'!X175)/(1-'Prices&amp;Fuel'!F175)</f>
        <v>3645.2442159383031</v>
      </c>
      <c r="G175" s="14">
        <f>'Prices&amp;Fuel'!W175/(1-'Prices&amp;Fuel'!F175)</f>
        <v>1732.6478149100255</v>
      </c>
      <c r="H175" s="25">
        <f>('Prices&amp;Fuel'!C175+'Prices&amp;Fuel'!D175)/2-0+(('Prices&amp;Fuel'!M175+'Prices&amp;Fuel'!P175)*(1-'Prices&amp;Fuel'!F175))</f>
        <v>3.2269409746834352</v>
      </c>
      <c r="I175" s="25"/>
      <c r="J175" s="25"/>
      <c r="K175" s="25">
        <f>(((B175+E175)*('Prices&amp;Fuel'!B175+0.025))+(('Prices&amp;Fuel'!D175+0.025)*(D175+G175))+(('Prices&amp;Fuel'!C175+0.025)*(C175+F175))-(I175+J175)*0.025)/(B175+C175+D175+E175+F175+G175)</f>
        <v>2.4916213913501015</v>
      </c>
      <c r="L175" s="14">
        <f>(B175+C175+D175+E175+F175+G175)*H175*'Prices&amp;Fuel'!H175</f>
        <v>1234367.1389020439</v>
      </c>
      <c r="M175" s="14">
        <f>'Prices&amp;Fuel'!X175*('Prices&amp;Fuel'!N175+'Prices&amp;Fuel'!O175)*'Prices&amp;Fuel'!H175</f>
        <v>9415.6112109141941</v>
      </c>
      <c r="N175" s="14">
        <f>('Prices&amp;Fuel'!U175+'Prices&amp;Fuel'!V175+'Prices&amp;Fuel'!W175)*('Prices&amp;Fuel'!L175+'Prices&amp;Fuel'!O175)*'Prices&amp;Fuel'!H175</f>
        <v>98016.099135578203</v>
      </c>
      <c r="O175" s="14">
        <f>((B175+C175+D175)*(1-'Prices&amp;Fuel'!G175))*('Prices&amp;Fuel'!M175+'Prices&amp;Fuel'!P175)*'Prices&amp;Fuel'!H175</f>
        <v>99834.213499999998</v>
      </c>
      <c r="P175" s="14">
        <f>((B175+C175+D175+E175+F175+G175)/(1-'Prices&amp;Fuel'!F175))*(1-'Prices&amp;Fuel'!F175)*'Prices&amp;Fuel'!H175*0.005</f>
        <v>1912.5964010282776</v>
      </c>
      <c r="Q175" s="14">
        <f>((D175+C175+B175+E175+F175+G175)*K175*'Prices&amp;Fuel'!H175)+M175+N175+O175+P175</f>
        <v>1162271.7414117756</v>
      </c>
      <c r="R175" s="6">
        <f t="shared" si="21"/>
        <v>72095.39749026834</v>
      </c>
      <c r="T175" s="3">
        <f t="shared" ref="T175:T184" si="24">T174</f>
        <v>12000</v>
      </c>
    </row>
    <row r="176" spans="1:20" x14ac:dyDescent="0.2">
      <c r="A176" s="10">
        <f t="shared" si="19"/>
        <v>40950.249999999585</v>
      </c>
      <c r="B176" s="6">
        <f>IF(T176-((E176+F176+G176)*(1-'Prices&amp;Fuel'!F176))&lt;'Prices&amp;Fuel'!R176,(T176-(E176+F176+G176)*(1-'Prices&amp;Fuel'!F176)),'Prices&amp;Fuel'!R176)/(1-'Prices&amp;Fuel'!F176)</f>
        <v>4325.9640102827761</v>
      </c>
      <c r="C176" s="14">
        <f>(T176/(1-'Prices&amp;Fuel'!F176))-D176-E176-F176-G176-B176</f>
        <v>0</v>
      </c>
      <c r="D176" s="14">
        <f>ROUND(IF(T176/(1-'Prices&amp;Fuel'!F176)-E176-F176-G176-B176&gt;'Prices&amp;Fuel'!T176,'Prices&amp;Fuel'!T176,T176/(1-'Prices&amp;Fuel'!F176)-E176-F176-G176-B176),9)</f>
        <v>0</v>
      </c>
      <c r="E176" s="14">
        <f>'Prices&amp;Fuel'!U176/(1-'Prices&amp;Fuel'!F176)</f>
        <v>2635.4755784061695</v>
      </c>
      <c r="F176" s="14">
        <f>('Prices&amp;Fuel'!V176+'Prices&amp;Fuel'!X176)/(1-'Prices&amp;Fuel'!F176)</f>
        <v>3645.2442159383031</v>
      </c>
      <c r="G176" s="14">
        <f>'Prices&amp;Fuel'!W176/(1-'Prices&amp;Fuel'!F176)</f>
        <v>1732.6478149100255</v>
      </c>
      <c r="H176" s="25">
        <f>('Prices&amp;Fuel'!C176+'Prices&amp;Fuel'!D176)/2-0+(('Prices&amp;Fuel'!M176+'Prices&amp;Fuel'!P176)*(1-'Prices&amp;Fuel'!F176))</f>
        <v>3.5251889485444594</v>
      </c>
      <c r="I176" s="25"/>
      <c r="J176" s="25"/>
      <c r="K176" s="25">
        <f>(((B176+E176)*('Prices&amp;Fuel'!B176+0.025))+(('Prices&amp;Fuel'!D176+0.025)*(D176+G176))+(('Prices&amp;Fuel'!C176+0.025)*(C176+F176))-(I176+J176)*0.025)/(B176+C176+D176+E176+F176+G176)</f>
        <v>2.7898693652111257</v>
      </c>
      <c r="L176" s="14">
        <f>(B176+C176+D176+E176+F176+G176)*H176*'Prices&amp;Fuel'!H176</f>
        <v>1261455.7882709221</v>
      </c>
      <c r="M176" s="14">
        <f>'Prices&amp;Fuel'!X176*('Prices&amp;Fuel'!N176+'Prices&amp;Fuel'!O176)*'Prices&amp;Fuel'!H176</f>
        <v>8808.1524231132789</v>
      </c>
      <c r="N176" s="14">
        <f>('Prices&amp;Fuel'!U176+'Prices&amp;Fuel'!V176+'Prices&amp;Fuel'!W176)*('Prices&amp;Fuel'!L176+'Prices&amp;Fuel'!O176)*'Prices&amp;Fuel'!H176</f>
        <v>91692.479836508646</v>
      </c>
      <c r="O176" s="14">
        <f>((B176+C176+D176)*(1-'Prices&amp;Fuel'!G176))*('Prices&amp;Fuel'!M176+'Prices&amp;Fuel'!P176)*'Prices&amp;Fuel'!H176</f>
        <v>93393.296499999997</v>
      </c>
      <c r="P176" s="14">
        <f>((B176+C176+D176+E176+F176+G176)/(1-'Prices&amp;Fuel'!F176))*(1-'Prices&amp;Fuel'!F176)*'Prices&amp;Fuel'!H176*0.005</f>
        <v>1789.2030848329046</v>
      </c>
      <c r="Q176" s="14">
        <f>((D176+C176+B176+E176+F176+G176)*K176*'Prices&amp;Fuel'!H176)+M176+N176+O176+P176</f>
        <v>1194011.7067477677</v>
      </c>
      <c r="R176" s="6">
        <f t="shared" si="21"/>
        <v>67444.081523154397</v>
      </c>
      <c r="T176" s="3">
        <f t="shared" si="24"/>
        <v>12000</v>
      </c>
    </row>
    <row r="177" spans="1:20" x14ac:dyDescent="0.2">
      <c r="A177" s="10">
        <f t="shared" si="19"/>
        <v>40980.66666666625</v>
      </c>
      <c r="B177" s="6">
        <f>IF(T177-((E177+F177+G177)*(1-'Prices&amp;Fuel'!F177))&lt;'Prices&amp;Fuel'!R177,(T177-(E177+F177+G177)*(1-'Prices&amp;Fuel'!F177)),'Prices&amp;Fuel'!R177)/(1-'Prices&amp;Fuel'!F177)</f>
        <v>4325.9640102827761</v>
      </c>
      <c r="C177" s="14">
        <f>(T177/(1-'Prices&amp;Fuel'!F177))-D177-E177-F177-G177-B177</f>
        <v>0</v>
      </c>
      <c r="D177" s="14">
        <f>ROUND(IF(T177/(1-'Prices&amp;Fuel'!F177)-E177-F177-G177-B177&gt;'Prices&amp;Fuel'!T177,'Prices&amp;Fuel'!T177,T177/(1-'Prices&amp;Fuel'!F177)-E177-F177-G177-B177),9)</f>
        <v>0</v>
      </c>
      <c r="E177" s="14">
        <f>'Prices&amp;Fuel'!U177/(1-'Prices&amp;Fuel'!F177)</f>
        <v>2635.4755784061695</v>
      </c>
      <c r="F177" s="14">
        <f>('Prices&amp;Fuel'!V177+'Prices&amp;Fuel'!X177)/(1-'Prices&amp;Fuel'!F177)</f>
        <v>3645.2442159383031</v>
      </c>
      <c r="G177" s="14">
        <f>'Prices&amp;Fuel'!W177/(1-'Prices&amp;Fuel'!F177)</f>
        <v>1732.6478149100255</v>
      </c>
      <c r="H177" s="25">
        <f>('Prices&amp;Fuel'!C177+'Prices&amp;Fuel'!D177)/2-0+(('Prices&amp;Fuel'!M177+'Prices&amp;Fuel'!P177)*(1-'Prices&amp;Fuel'!F177))</f>
        <v>3.5251889485444594</v>
      </c>
      <c r="I177" s="25"/>
      <c r="J177" s="25"/>
      <c r="K177" s="25">
        <f>(((B177+E177)*('Prices&amp;Fuel'!B177+0.025))+(('Prices&amp;Fuel'!D177+0.025)*(D177+G177))+(('Prices&amp;Fuel'!C177+0.025)*(C177+F177))-(I177+J177)*0.025)/(B177+C177+D177+E177+F177+G177)</f>
        <v>2.7898693652111257</v>
      </c>
      <c r="L177" s="14">
        <f>(B177+C177+D177+E177+F177+G177)*H177*'Prices&amp;Fuel'!H177</f>
        <v>1348452.7391861582</v>
      </c>
      <c r="M177" s="14">
        <f>'Prices&amp;Fuel'!X177*('Prices&amp;Fuel'!N177+'Prices&amp;Fuel'!O177)*'Prices&amp;Fuel'!H177</f>
        <v>9415.6112109141941</v>
      </c>
      <c r="N177" s="14">
        <f>('Prices&amp;Fuel'!U177+'Prices&amp;Fuel'!V177+'Prices&amp;Fuel'!W177)*('Prices&amp;Fuel'!L177+'Prices&amp;Fuel'!O177)*'Prices&amp;Fuel'!H177</f>
        <v>98016.099135578203</v>
      </c>
      <c r="O177" s="14">
        <f>((B177+C177+D177)*(1-'Prices&amp;Fuel'!G177))*('Prices&amp;Fuel'!M177+'Prices&amp;Fuel'!P177)*'Prices&amp;Fuel'!H177</f>
        <v>99834.213499999998</v>
      </c>
      <c r="P177" s="14">
        <f>((B177+C177+D177+E177+F177+G177)/(1-'Prices&amp;Fuel'!F177))*(1-'Prices&amp;Fuel'!F177)*'Prices&amp;Fuel'!H177*0.005</f>
        <v>1912.5964010282776</v>
      </c>
      <c r="Q177" s="14">
        <f>((D177+C177+B177+E177+F177+G177)*K177*'Prices&amp;Fuel'!H177)+M177+N177+O177+P177</f>
        <v>1276357.3416958896</v>
      </c>
      <c r="R177" s="6">
        <f t="shared" ref="R177:R196" si="25">L177-Q177</f>
        <v>72095.397490268573</v>
      </c>
      <c r="T177" s="3">
        <f t="shared" si="24"/>
        <v>12000</v>
      </c>
    </row>
    <row r="178" spans="1:20" x14ac:dyDescent="0.2">
      <c r="A178" s="10">
        <f t="shared" si="19"/>
        <v>41011.083333332914</v>
      </c>
      <c r="B178" s="6">
        <f>IF(T178-((E178+F178+G178)*(1-'Prices&amp;Fuel'!F178))&lt;'Prices&amp;Fuel'!R178,(T178-(E178+F178+G178)*(1-'Prices&amp;Fuel'!F178)),'Prices&amp;Fuel'!R178)/(1-'Prices&amp;Fuel'!F178)</f>
        <v>6278.6632390745499</v>
      </c>
      <c r="C178" s="14">
        <f>(T178/(1-'Prices&amp;Fuel'!F178))-D178-E178-F178-G178-B178</f>
        <v>0</v>
      </c>
      <c r="D178" s="14">
        <f>ROUND(IF(T178/(1-'Prices&amp;Fuel'!F178)-E178-F178-G178-B178&gt;'Prices&amp;Fuel'!T178,'Prices&amp;Fuel'!T178,T178/(1-'Prices&amp;Fuel'!F178)-E178-F178-G178-B178),9)</f>
        <v>0</v>
      </c>
      <c r="E178" s="14">
        <f>'Prices&amp;Fuel'!U178/(1-'Prices&amp;Fuel'!F178)</f>
        <v>1933.1619537275064</v>
      </c>
      <c r="F178" s="14">
        <f>('Prices&amp;Fuel'!V178+'Prices&amp;Fuel'!X178)/(1-'Prices&amp;Fuel'!F178)</f>
        <v>2833.9331619537274</v>
      </c>
      <c r="G178" s="14">
        <f>'Prices&amp;Fuel'!W178/(1-'Prices&amp;Fuel'!F178)</f>
        <v>1293.5732647814909</v>
      </c>
      <c r="H178" s="25">
        <f>('Prices&amp;Fuel'!C178+'Prices&amp;Fuel'!D178)/2-0+(('Prices&amp;Fuel'!M178+'Prices&amp;Fuel'!P178)*(1-'Prices&amp;Fuel'!F178))</f>
        <v>3.8234369224054858</v>
      </c>
      <c r="I178" s="25"/>
      <c r="J178" s="25"/>
      <c r="K178" s="25">
        <f>(((B178+E178)*('Prices&amp;Fuel'!B178+0.025))+(('Prices&amp;Fuel'!D178+0.025)*(D178+G178))+(('Prices&amp;Fuel'!C178+0.025)*(C178+F178))-(I178+J178)*0.025)/(B178+C178+D178+E178+F178+G178)</f>
        <v>3.0838165057388189</v>
      </c>
      <c r="L178" s="14">
        <f>(B178+C178+D178+E178+F178+G178)*H178*'Prices&amp;Fuel'!H178</f>
        <v>1415359.6833583289</v>
      </c>
      <c r="M178" s="14">
        <f>'Prices&amp;Fuel'!X178*('Prices&amp;Fuel'!N178+'Prices&amp;Fuel'!O178)*'Prices&amp;Fuel'!H178</f>
        <v>9111.8818170137365</v>
      </c>
      <c r="N178" s="14">
        <f>('Prices&amp;Fuel'!U178+'Prices&amp;Fuel'!V178+'Prices&amp;Fuel'!W178)*('Prices&amp;Fuel'!L178+'Prices&amp;Fuel'!O178)*'Prices&amp;Fuel'!H178</f>
        <v>69519.789382809045</v>
      </c>
      <c r="O178" s="14">
        <f>((B178+C178+D178)*(1-'Prices&amp;Fuel'!G178))*('Prices&amp;Fuel'!M178+'Prices&amp;Fuel'!P178)*'Prices&amp;Fuel'!H178</f>
        <v>140224.29</v>
      </c>
      <c r="P178" s="14">
        <f>((B178+C178+D178+E178+F178+G178)/(1-'Prices&amp;Fuel'!F178))*(1-'Prices&amp;Fuel'!F178)*'Prices&amp;Fuel'!H178*0.005</f>
        <v>1850.8997429305914</v>
      </c>
      <c r="Q178" s="14">
        <f>((D178+C178+B178+E178+F178+G178)*K178*'Prices&amp;Fuel'!H178)+M178+N178+O178+P178</f>
        <v>1362273.8964861722</v>
      </c>
      <c r="R178" s="6">
        <f t="shared" si="25"/>
        <v>53085.786872156663</v>
      </c>
      <c r="T178" s="3">
        <f t="shared" si="24"/>
        <v>12000</v>
      </c>
    </row>
    <row r="179" spans="1:20" x14ac:dyDescent="0.2">
      <c r="A179" s="10">
        <f t="shared" si="19"/>
        <v>41041.499999999578</v>
      </c>
      <c r="B179" s="6">
        <f>IF(T179-((E179+F179+G179)*(1-'Prices&amp;Fuel'!F179))&lt;'Prices&amp;Fuel'!R179,(T179-(E179+F179+G179)*(1-'Prices&amp;Fuel'!F179)),'Prices&amp;Fuel'!R179)/(1-'Prices&amp;Fuel'!F179)</f>
        <v>8976.8637532133671</v>
      </c>
      <c r="C179" s="14">
        <f>(T179/(1-'Prices&amp;Fuel'!F179))-D179-E179-F179-G179-B179</f>
        <v>1.3824319466948509E-10</v>
      </c>
      <c r="D179" s="14">
        <f>ROUND(IF(T179/(1-'Prices&amp;Fuel'!F179)-E179-F179-G179-B179&gt;'Prices&amp;Fuel'!T179,'Prices&amp;Fuel'!T179,T179/(1-'Prices&amp;Fuel'!F179)-E179-F179-G179-B179),9)</f>
        <v>6556.2982005140002</v>
      </c>
      <c r="E179" s="14">
        <f>'Prices&amp;Fuel'!U179/(1-'Prices&amp;Fuel'!F179)</f>
        <v>1933.1619537275064</v>
      </c>
      <c r="F179" s="14">
        <f>('Prices&amp;Fuel'!V179+'Prices&amp;Fuel'!X179)/(1-'Prices&amp;Fuel'!F179)</f>
        <v>3062.2107969151671</v>
      </c>
      <c r="G179" s="14">
        <f>'Prices&amp;Fuel'!W179/(1-'Prices&amp;Fuel'!F179)</f>
        <v>1065.2956298200513</v>
      </c>
      <c r="H179" s="25">
        <f>('Prices&amp;Fuel'!C179+'Prices&amp;Fuel'!D179)/2-0+(('Prices&amp;Fuel'!M179+'Prices&amp;Fuel'!P179)*(1-'Prices&amp;Fuel'!F179))</f>
        <v>4.0333151262336147</v>
      </c>
      <c r="I179" s="25"/>
      <c r="J179" s="25"/>
      <c r="K179" s="25">
        <f>(((B179+E179)*('Prices&amp;Fuel'!B179+0.025))+(('Prices&amp;Fuel'!D179+0.025)*(D179+G179))+(('Prices&amp;Fuel'!C179+0.025)*(C179+F179))-(I179+J179)*0.025)/(B179+C179+D179+E179+F179+G179)</f>
        <v>3.2909044714717099</v>
      </c>
      <c r="L179" s="14">
        <f>(B179+C179+D179+E179+F179+G179)*H179*'Prices&amp;Fuel'!H179</f>
        <v>2699936.3981265631</v>
      </c>
      <c r="M179" s="14">
        <f>'Prices&amp;Fuel'!X179*('Prices&amp;Fuel'!N179+'Prices&amp;Fuel'!O179)*'Prices&amp;Fuel'!H179</f>
        <v>9415.6112109141941</v>
      </c>
      <c r="N179" s="14">
        <f>('Prices&amp;Fuel'!U179+'Prices&amp;Fuel'!V179+'Prices&amp;Fuel'!W179)*('Prices&amp;Fuel'!L179+'Prices&amp;Fuel'!O179)*'Prices&amp;Fuel'!H179</f>
        <v>71837.115695569344</v>
      </c>
      <c r="O179" s="14">
        <f>((B179+C179+D179)*(1-'Prices&amp;Fuel'!G179))*('Prices&amp;Fuel'!M179+'Prices&amp;Fuel'!P179)*'Prices&amp;Fuel'!H179</f>
        <v>358472.93300000002</v>
      </c>
      <c r="P179" s="14">
        <f>((B179+C179+D179+E179+F179+G179)/(1-'Prices&amp;Fuel'!F179))*(1-'Prices&amp;Fuel'!F179)*'Prices&amp;Fuel'!H179*0.005</f>
        <v>3347.043701799485</v>
      </c>
      <c r="Q179" s="14">
        <f>((D179+C179+B179+E179+F179+G179)*K179*'Prices&amp;Fuel'!H179)+M179+N179+O179+P179</f>
        <v>2646032.9205009136</v>
      </c>
      <c r="R179" s="6">
        <f t="shared" si="25"/>
        <v>53903.477625649422</v>
      </c>
      <c r="T179" s="3">
        <v>21000</v>
      </c>
    </row>
    <row r="180" spans="1:20" x14ac:dyDescent="0.2">
      <c r="A180" s="10">
        <f t="shared" si="19"/>
        <v>41071.916666666242</v>
      </c>
      <c r="B180" s="6">
        <f>IF(T180-((E180+F180+G180)*(1-'Prices&amp;Fuel'!F180))&lt;'Prices&amp;Fuel'!R180,(T180-(E180+F180+G180)*(1-'Prices&amp;Fuel'!F180)),'Prices&amp;Fuel'!R180)/(1-'Prices&amp;Fuel'!F180)</f>
        <v>8976.8637532133671</v>
      </c>
      <c r="C180" s="14">
        <f>(T180/(1-'Prices&amp;Fuel'!F180))-D180-E180-F180-G180-B180</f>
        <v>1.3824319466948509E-10</v>
      </c>
      <c r="D180" s="14">
        <f>ROUND(IF(T180/(1-'Prices&amp;Fuel'!F180)-E180-F180-G180-B180&gt;'Prices&amp;Fuel'!T180,'Prices&amp;Fuel'!T180,T180/(1-'Prices&amp;Fuel'!F180)-E180-F180-G180-B180),9)</f>
        <v>6556.2982005140002</v>
      </c>
      <c r="E180" s="14">
        <f>'Prices&amp;Fuel'!U180/(1-'Prices&amp;Fuel'!F180)</f>
        <v>1933.1619537275064</v>
      </c>
      <c r="F180" s="14">
        <f>('Prices&amp;Fuel'!V180+'Prices&amp;Fuel'!X180)/(1-'Prices&amp;Fuel'!F180)</f>
        <v>3062.2107969151671</v>
      </c>
      <c r="G180" s="14">
        <f>'Prices&amp;Fuel'!W180/(1-'Prices&amp;Fuel'!F180)</f>
        <v>1065.2956298200513</v>
      </c>
      <c r="H180" s="25">
        <f>('Prices&amp;Fuel'!C180+'Prices&amp;Fuel'!D180)/2-0+(('Prices&amp;Fuel'!M180+'Prices&amp;Fuel'!P180)*(1-'Prices&amp;Fuel'!F180))</f>
        <v>5.4803701105222906</v>
      </c>
      <c r="I180" s="25"/>
      <c r="J180" s="25"/>
      <c r="K180" s="25">
        <f>(((B180+E180)*('Prices&amp;Fuel'!B180+0.025))+(('Prices&amp;Fuel'!D180+0.025)*(D180+G180))+(('Prices&amp;Fuel'!C180+0.025)*(C180+F180))-(I180+J180)*0.025)/(B180+C180+D180+E180+F180+G180)</f>
        <v>4.7379594557603877</v>
      </c>
      <c r="L180" s="14">
        <f>(B180+C180+D180+E180+F180+G180)*H180*'Prices&amp;Fuel'!H180</f>
        <v>3550265.4700555708</v>
      </c>
      <c r="M180" s="14">
        <f>'Prices&amp;Fuel'!X180*('Prices&amp;Fuel'!N180+'Prices&amp;Fuel'!O180)*'Prices&amp;Fuel'!H180</f>
        <v>9111.8818170137365</v>
      </c>
      <c r="N180" s="14">
        <f>('Prices&amp;Fuel'!U180+'Prices&amp;Fuel'!V180+'Prices&amp;Fuel'!W180)*('Prices&amp;Fuel'!L180+'Prices&amp;Fuel'!O180)*'Prices&amp;Fuel'!H180</f>
        <v>69519.789382809045</v>
      </c>
      <c r="O180" s="14">
        <f>((B180+C180+D180)*(1-'Prices&amp;Fuel'!G180))*('Prices&amp;Fuel'!M180+'Prices&amp;Fuel'!P180)*'Prices&amp;Fuel'!H180</f>
        <v>346909.29</v>
      </c>
      <c r="P180" s="14">
        <f>((B180+C180+D180+E180+F180+G180)/(1-'Prices&amp;Fuel'!F180))*(1-'Prices&amp;Fuel'!F180)*'Prices&amp;Fuel'!H180*0.005</f>
        <v>3239.0745501285346</v>
      </c>
      <c r="Q180" s="14">
        <f>((D180+C180+B180+E180+F180+G180)*K180*'Prices&amp;Fuel'!H180)+M180+N180+O180+P180</f>
        <v>3498100.8142888136</v>
      </c>
      <c r="R180" s="6">
        <f t="shared" si="25"/>
        <v>52164.655766757205</v>
      </c>
      <c r="T180" s="3">
        <f t="shared" si="24"/>
        <v>21000</v>
      </c>
    </row>
    <row r="181" spans="1:20" x14ac:dyDescent="0.2">
      <c r="A181" s="10">
        <f t="shared" si="19"/>
        <v>41102.333333332906</v>
      </c>
      <c r="B181" s="6">
        <f>IF(T181-((E181+F181+G181)*(1-'Prices&amp;Fuel'!F181))&lt;'Prices&amp;Fuel'!R181,(T181-(E181+F181+G181)*(1-'Prices&amp;Fuel'!F181)),'Prices&amp;Fuel'!R181)/(1-'Prices&amp;Fuel'!F181)</f>
        <v>8976.8637532133671</v>
      </c>
      <c r="C181" s="14">
        <f>(T181/(1-'Prices&amp;Fuel'!F181))-D181-E181-F181-G181-B181</f>
        <v>1.3824319466948509E-10</v>
      </c>
      <c r="D181" s="14">
        <f>ROUND(IF(T181/(1-'Prices&amp;Fuel'!F181)-E181-F181-G181-B181&gt;'Prices&amp;Fuel'!T181,'Prices&amp;Fuel'!T181,T181/(1-'Prices&amp;Fuel'!F181)-E181-F181-G181-B181),9)</f>
        <v>6556.2982005140002</v>
      </c>
      <c r="E181" s="14">
        <f>'Prices&amp;Fuel'!U181/(1-'Prices&amp;Fuel'!F181)</f>
        <v>1933.1619537275064</v>
      </c>
      <c r="F181" s="14">
        <f>('Prices&amp;Fuel'!V181+'Prices&amp;Fuel'!X181)/(1-'Prices&amp;Fuel'!F181)</f>
        <v>3062.2107969151671</v>
      </c>
      <c r="G181" s="14">
        <f>'Prices&amp;Fuel'!W181/(1-'Prices&amp;Fuel'!F181)</f>
        <v>1065.2956298200513</v>
      </c>
      <c r="H181" s="25">
        <f>('Prices&amp;Fuel'!C181+'Prices&amp;Fuel'!D181)/2-0+(('Prices&amp;Fuel'!M181+'Prices&amp;Fuel'!P181)*(1-'Prices&amp;Fuel'!F181))</f>
        <v>5.4693238892681801</v>
      </c>
      <c r="I181" s="25"/>
      <c r="J181" s="25"/>
      <c r="K181" s="25">
        <f>(((B181+E181)*('Prices&amp;Fuel'!B181+0.025))+(('Prices&amp;Fuel'!D181+0.025)*(D181+G181))+(('Prices&amp;Fuel'!C181+0.025)*(C181+F181))-(I181+J181)*0.025)/(B181+C181+D181+E181+F181+G181)</f>
        <v>4.7269132345062754</v>
      </c>
      <c r="L181" s="14">
        <f>(B181+C181+D181+E181+F181+G181)*H181*'Prices&amp;Fuel'!H181</f>
        <v>3661213.2153353058</v>
      </c>
      <c r="M181" s="14">
        <f>'Prices&amp;Fuel'!X181*('Prices&amp;Fuel'!N181+'Prices&amp;Fuel'!O181)*'Prices&amp;Fuel'!H181</f>
        <v>9415.6112109141941</v>
      </c>
      <c r="N181" s="14">
        <f>('Prices&amp;Fuel'!U181+'Prices&amp;Fuel'!V181+'Prices&amp;Fuel'!W181)*('Prices&amp;Fuel'!L181+'Prices&amp;Fuel'!O181)*'Prices&amp;Fuel'!H181</f>
        <v>71837.115695569344</v>
      </c>
      <c r="O181" s="14">
        <f>((B181+C181+D181)*(1-'Prices&amp;Fuel'!G181))*('Prices&amp;Fuel'!M181+'Prices&amp;Fuel'!P181)*'Prices&amp;Fuel'!H181</f>
        <v>358472.93300000002</v>
      </c>
      <c r="P181" s="14">
        <f>((B181+C181+D181+E181+F181+G181)/(1-'Prices&amp;Fuel'!F181))*(1-'Prices&amp;Fuel'!F181)*'Prices&amp;Fuel'!H181*0.005</f>
        <v>3347.043701799485</v>
      </c>
      <c r="Q181" s="14">
        <f>((D181+C181+B181+E181+F181+G181)*K181*'Prices&amp;Fuel'!H181)+M181+N181+O181+P181</f>
        <v>3607309.7377096559</v>
      </c>
      <c r="R181" s="6">
        <f t="shared" si="25"/>
        <v>53903.477625649888</v>
      </c>
      <c r="T181" s="3">
        <f t="shared" si="24"/>
        <v>21000</v>
      </c>
    </row>
    <row r="182" spans="1:20" x14ac:dyDescent="0.2">
      <c r="A182" s="10">
        <f t="shared" si="19"/>
        <v>41132.749999999571</v>
      </c>
      <c r="B182" s="6">
        <f>IF(T182-((E182+F182+G182)*(1-'Prices&amp;Fuel'!F182))&lt;'Prices&amp;Fuel'!R182,(T182-(E182+F182+G182)*(1-'Prices&amp;Fuel'!F182)),'Prices&amp;Fuel'!R182)/(1-'Prices&amp;Fuel'!F182)</f>
        <v>8976.8637532133671</v>
      </c>
      <c r="C182" s="14">
        <f>(T182/(1-'Prices&amp;Fuel'!F182))-D182-E182-F182-G182-B182</f>
        <v>1.3824319466948509E-10</v>
      </c>
      <c r="D182" s="14">
        <f>ROUND(IF(T182/(1-'Prices&amp;Fuel'!F182)-E182-F182-G182-B182&gt;'Prices&amp;Fuel'!T182,'Prices&amp;Fuel'!T182,T182/(1-'Prices&amp;Fuel'!F182)-E182-F182-G182-B182),9)</f>
        <v>6556.2982005140002</v>
      </c>
      <c r="E182" s="14">
        <f>'Prices&amp;Fuel'!U182/(1-'Prices&amp;Fuel'!F182)</f>
        <v>1933.1619537275064</v>
      </c>
      <c r="F182" s="14">
        <f>('Prices&amp;Fuel'!V182+'Prices&amp;Fuel'!X182)/(1-'Prices&amp;Fuel'!F182)</f>
        <v>3062.2107969151671</v>
      </c>
      <c r="G182" s="14">
        <f>'Prices&amp;Fuel'!W182/(1-'Prices&amp;Fuel'!F182)</f>
        <v>1065.2956298200513</v>
      </c>
      <c r="H182" s="25">
        <f>('Prices&amp;Fuel'!C182+'Prices&amp;Fuel'!D182)/2-0+(('Prices&amp;Fuel'!M182+'Prices&amp;Fuel'!P182)*(1-'Prices&amp;Fuel'!F182))</f>
        <v>4.8728279415461291</v>
      </c>
      <c r="I182" s="25"/>
      <c r="J182" s="25"/>
      <c r="K182" s="25">
        <f>(((B182+E182)*('Prices&amp;Fuel'!B182+0.025))+(('Prices&amp;Fuel'!D182+0.025)*(D182+G182))+(('Prices&amp;Fuel'!C182+0.025)*(C182+F182))-(I182+J182)*0.025)/(B182+C182+D182+E182+F182+G182)</f>
        <v>4.1304172867842253</v>
      </c>
      <c r="L182" s="14">
        <f>(B182+C182+D182+E182+F182+G182)*H182*'Prices&amp;Fuel'!H182</f>
        <v>3261913.6143409042</v>
      </c>
      <c r="M182" s="14">
        <f>'Prices&amp;Fuel'!X182*('Prices&amp;Fuel'!N182+'Prices&amp;Fuel'!O182)*'Prices&amp;Fuel'!H182</f>
        <v>9415.6112109141941</v>
      </c>
      <c r="N182" s="14">
        <f>('Prices&amp;Fuel'!U182+'Prices&amp;Fuel'!V182+'Prices&amp;Fuel'!W182)*('Prices&amp;Fuel'!L182+'Prices&amp;Fuel'!O182)*'Prices&amp;Fuel'!H182</f>
        <v>71837.115695569344</v>
      </c>
      <c r="O182" s="14">
        <f>((B182+C182+D182)*(1-'Prices&amp;Fuel'!G182))*('Prices&amp;Fuel'!M182+'Prices&amp;Fuel'!P182)*'Prices&amp;Fuel'!H182</f>
        <v>358472.93300000002</v>
      </c>
      <c r="P182" s="14">
        <f>((B182+C182+D182+E182+F182+G182)/(1-'Prices&amp;Fuel'!F182))*(1-'Prices&amp;Fuel'!F182)*'Prices&amp;Fuel'!H182*0.005</f>
        <v>3347.043701799485</v>
      </c>
      <c r="Q182" s="14">
        <f>((D182+C182+B182+E182+F182+G182)*K182*'Prices&amp;Fuel'!H182)+M182+N182+O182+P182</f>
        <v>3208010.1367152552</v>
      </c>
      <c r="R182" s="6">
        <f t="shared" si="25"/>
        <v>53903.477625648957</v>
      </c>
      <c r="T182" s="3">
        <f t="shared" si="24"/>
        <v>21000</v>
      </c>
    </row>
    <row r="183" spans="1:20" x14ac:dyDescent="0.2">
      <c r="A183" s="10">
        <f t="shared" si="19"/>
        <v>41163.166666666235</v>
      </c>
      <c r="B183" s="6">
        <f>IF(T183-((E183+F183+G183)*(1-'Prices&amp;Fuel'!F183))&lt;'Prices&amp;Fuel'!R183,(T183-(E183+F183+G183)*(1-'Prices&amp;Fuel'!F183)),'Prices&amp;Fuel'!R183)/(1-'Prices&amp;Fuel'!F183)</f>
        <v>8976.8637532133671</v>
      </c>
      <c r="C183" s="14">
        <f>(T183/(1-'Prices&amp;Fuel'!F183))-D183-E183-F183-G183-B183</f>
        <v>1.3824319466948509E-10</v>
      </c>
      <c r="D183" s="14">
        <f>ROUND(IF(T183/(1-'Prices&amp;Fuel'!F183)-E183-F183-G183-B183&gt;'Prices&amp;Fuel'!T183,'Prices&amp;Fuel'!T183,T183/(1-'Prices&amp;Fuel'!F183)-E183-F183-G183-B183),9)</f>
        <v>6556.2982005140002</v>
      </c>
      <c r="E183" s="14">
        <f>'Prices&amp;Fuel'!U183/(1-'Prices&amp;Fuel'!F183)</f>
        <v>1933.1619537275064</v>
      </c>
      <c r="F183" s="14">
        <f>('Prices&amp;Fuel'!V183+'Prices&amp;Fuel'!X183)/(1-'Prices&amp;Fuel'!F183)</f>
        <v>3062.2107969151671</v>
      </c>
      <c r="G183" s="14">
        <f>'Prices&amp;Fuel'!W183/(1-'Prices&amp;Fuel'!F183)</f>
        <v>1065.2956298200513</v>
      </c>
      <c r="H183" s="25">
        <f>('Prices&amp;Fuel'!C183+'Prices&amp;Fuel'!D183)/2-0+(('Prices&amp;Fuel'!M183+'Prices&amp;Fuel'!P183)*(1-'Prices&amp;Fuel'!F183))</f>
        <v>5.7233869781127584</v>
      </c>
      <c r="I183" s="25"/>
      <c r="J183" s="25"/>
      <c r="K183" s="25">
        <f>(((B183+E183)*('Prices&amp;Fuel'!B183+0.025))+(('Prices&amp;Fuel'!D183+0.025)*(D183+G183))+(('Prices&amp;Fuel'!C183+0.025)*(C183+F183))-(I183+J183)*0.025)/(B183+C183+D183+E183+F183+G183)</f>
        <v>4.9809763233508546</v>
      </c>
      <c r="L183" s="14">
        <f>(B183+C183+D183+E183+F183+G183)*H183*'Prices&amp;Fuel'!H183</f>
        <v>3707695.4202684187</v>
      </c>
      <c r="M183" s="14">
        <f>'Prices&amp;Fuel'!X183*('Prices&amp;Fuel'!N183+'Prices&amp;Fuel'!O183)*'Prices&amp;Fuel'!H183</f>
        <v>9111.8818170137365</v>
      </c>
      <c r="N183" s="14">
        <f>('Prices&amp;Fuel'!U183+'Prices&amp;Fuel'!V183+'Prices&amp;Fuel'!W183)*('Prices&amp;Fuel'!L183+'Prices&amp;Fuel'!O183)*'Prices&amp;Fuel'!H183</f>
        <v>69519.789382809045</v>
      </c>
      <c r="O183" s="14">
        <f>((B183+C183+D183)*(1-'Prices&amp;Fuel'!G183))*('Prices&amp;Fuel'!M183+'Prices&amp;Fuel'!P183)*'Prices&amp;Fuel'!H183</f>
        <v>346909.29</v>
      </c>
      <c r="P183" s="14">
        <f>((B183+C183+D183+E183+F183+G183)/(1-'Prices&amp;Fuel'!F183))*(1-'Prices&amp;Fuel'!F183)*'Prices&amp;Fuel'!H183*0.005</f>
        <v>3239.0745501285346</v>
      </c>
      <c r="Q183" s="14">
        <f>((D183+C183+B183+E183+F183+G183)*K183*'Prices&amp;Fuel'!H183)+M183+N183+O183+P183</f>
        <v>3655530.7645016615</v>
      </c>
      <c r="R183" s="6">
        <f t="shared" si="25"/>
        <v>52164.655766757205</v>
      </c>
      <c r="T183" s="3">
        <f t="shared" si="24"/>
        <v>21000</v>
      </c>
    </row>
    <row r="184" spans="1:20" x14ac:dyDescent="0.2">
      <c r="A184" s="10">
        <f t="shared" si="19"/>
        <v>41193.583333332899</v>
      </c>
      <c r="B184" s="6">
        <f>IF(T184-((E184+F184+G184)*(1-'Prices&amp;Fuel'!F184))&lt;'Prices&amp;Fuel'!R184,(T184-(E184+F184+G184)*(1-'Prices&amp;Fuel'!F184)),'Prices&amp;Fuel'!R184)/(1-'Prices&amp;Fuel'!F184)</f>
        <v>8976.8637532133671</v>
      </c>
      <c r="C184" s="14">
        <f>(T184/(1-'Prices&amp;Fuel'!F184))-D184-E184-F184-G184-B184</f>
        <v>2.0190782379359007E-10</v>
      </c>
      <c r="D184" s="14">
        <f>ROUND(IF(T184/(1-'Prices&amp;Fuel'!F184)-E184-F184-G184-B184&gt;'Prices&amp;Fuel'!T184,'Prices&amp;Fuel'!T184,T184/(1-'Prices&amp;Fuel'!F184)-E184-F184-G184-B184),9)</f>
        <v>3514.6529562979999</v>
      </c>
      <c r="E184" s="14">
        <f>'Prices&amp;Fuel'!U184/(1-'Prices&amp;Fuel'!F184)</f>
        <v>2910.025706940874</v>
      </c>
      <c r="F184" s="14">
        <f>('Prices&amp;Fuel'!V184+'Prices&amp;Fuel'!X184)/(1-'Prices&amp;Fuel'!F184)</f>
        <v>4628.2776349614396</v>
      </c>
      <c r="G184" s="14">
        <f>'Prices&amp;Fuel'!W184/(1-'Prices&amp;Fuel'!F184)</f>
        <v>1564.0102827763496</v>
      </c>
      <c r="H184" s="25">
        <f>('Prices&amp;Fuel'!C184+'Prices&amp;Fuel'!D184)/2-0+(('Prices&amp;Fuel'!M184+'Prices&amp;Fuel'!P184)*(1-'Prices&amp;Fuel'!F184))</f>
        <v>6.4745300233923775</v>
      </c>
      <c r="I184" s="25"/>
      <c r="J184" s="25"/>
      <c r="K184" s="25">
        <f>(((B184+E184)*('Prices&amp;Fuel'!B184+0.025))+(('Prices&amp;Fuel'!D184+0.025)*(D184+G184))+(('Prices&amp;Fuel'!C184+0.025)*(C184+F184))-(I184+J184)*0.025)/(B184+C184+D184+E184+F184+G184)</f>
        <v>5.7352931781542837</v>
      </c>
      <c r="L184" s="14">
        <f>(B184+C184+D184+E184+F184+G184)*H184*'Prices&amp;Fuel'!H184</f>
        <v>4334106.9873814266</v>
      </c>
      <c r="M184" s="14">
        <f>'Prices&amp;Fuel'!X184*('Prices&amp;Fuel'!N184+'Prices&amp;Fuel'!O184)*'Prices&amp;Fuel'!H184</f>
        <v>13799.453619509673</v>
      </c>
      <c r="N184" s="14">
        <f>('Prices&amp;Fuel'!U184+'Prices&amp;Fuel'!V184+'Prices&amp;Fuel'!W184)*('Prices&amp;Fuel'!L184+'Prices&amp;Fuel'!O184)*'Prices&amp;Fuel'!H184</f>
        <v>108231.27908768276</v>
      </c>
      <c r="O184" s="14">
        <f>((B184+C184+D184)*(1-'Prices&amp;Fuel'!G184))*('Prices&amp;Fuel'!M184+'Prices&amp;Fuel'!P184)*'Prices&amp;Fuel'!H184</f>
        <v>288278.114</v>
      </c>
      <c r="P184" s="14">
        <f>((B184+C184+D184+E184+F184+G184)/(1-'Prices&amp;Fuel'!F184))*(1-'Prices&amp;Fuel'!F184)*'Prices&amp;Fuel'!H184*0.005</f>
        <v>3347.0437017994859</v>
      </c>
      <c r="Q184" s="14">
        <f>((D184+C184+B184+E184+F184+G184)*K184*'Prices&amp;Fuel'!H184)+M184+N184+O184+P184</f>
        <v>4252911.2723919619</v>
      </c>
      <c r="R184" s="6">
        <f t="shared" si="25"/>
        <v>81195.71498946473</v>
      </c>
      <c r="T184" s="3">
        <f t="shared" si="24"/>
        <v>21000</v>
      </c>
    </row>
    <row r="185" spans="1:20" x14ac:dyDescent="0.2">
      <c r="A185" s="10">
        <f t="shared" si="19"/>
        <v>41223.999999999563</v>
      </c>
      <c r="B185" s="6">
        <f>IF(T185-((E185+F185+G185)*(1-'Prices&amp;Fuel'!F185))&lt;'Prices&amp;Fuel'!R185,(T185-(E185+F185+G185)*(1-'Prices&amp;Fuel'!F185)),'Prices&amp;Fuel'!R185)/(1-'Prices&amp;Fuel'!F185)</f>
        <v>4325.9640102827761</v>
      </c>
      <c r="C185" s="14">
        <f>(T185/(1-'Prices&amp;Fuel'!F185))-D185-E185-F185-G185-B185</f>
        <v>0</v>
      </c>
      <c r="D185" s="14">
        <f>ROUND(IF(T185/(1-'Prices&amp;Fuel'!F185)-E185-F185-G185-B185&gt;'Prices&amp;Fuel'!T185,'Prices&amp;Fuel'!T185,T185/(1-'Prices&amp;Fuel'!F185)-E185-F185-G185-B185),9)</f>
        <v>0</v>
      </c>
      <c r="E185" s="14">
        <f>'Prices&amp;Fuel'!U185/(1-'Prices&amp;Fuel'!F185)</f>
        <v>2635.4755784061695</v>
      </c>
      <c r="F185" s="14">
        <f>('Prices&amp;Fuel'!V185+'Prices&amp;Fuel'!X185)/(1-'Prices&amp;Fuel'!F185)</f>
        <v>3645.2442159383031</v>
      </c>
      <c r="G185" s="14">
        <f>'Prices&amp;Fuel'!W185/(1-'Prices&amp;Fuel'!F185)</f>
        <v>1732.6478149100255</v>
      </c>
      <c r="H185" s="25">
        <f>('Prices&amp;Fuel'!C185+'Prices&amp;Fuel'!D185)/2-0+(('Prices&amp;Fuel'!M185+'Prices&amp;Fuel'!P185)*(1-'Prices&amp;Fuel'!F185))</f>
        <v>4.5635337464309922</v>
      </c>
      <c r="I185" s="25"/>
      <c r="J185" s="25"/>
      <c r="K185" s="25">
        <f>(((B185+E185)*('Prices&amp;Fuel'!B185+0.025))+(('Prices&amp;Fuel'!D185+0.025)*(D185+G185))+(('Prices&amp;Fuel'!C185+0.025)*(C185+F185))-(I185+J185)*0.025)/(B185+C185+D185+E185+F185+G185)</f>
        <v>3.8282141630976594</v>
      </c>
      <c r="L185" s="14">
        <f>(B185+C185+D185+E185+F185+G185)*H185*'Prices&amp;Fuel'!H185</f>
        <v>1689328.6876248401</v>
      </c>
      <c r="M185" s="14">
        <f>'Prices&amp;Fuel'!X185*('Prices&amp;Fuel'!N185+'Prices&amp;Fuel'!O185)*'Prices&amp;Fuel'!H185</f>
        <v>9111.8818170137365</v>
      </c>
      <c r="N185" s="14">
        <f>('Prices&amp;Fuel'!U185+'Prices&amp;Fuel'!V185+'Prices&amp;Fuel'!W185)*('Prices&amp;Fuel'!L185+'Prices&amp;Fuel'!O185)*'Prices&amp;Fuel'!H185</f>
        <v>94854.289486043432</v>
      </c>
      <c r="O185" s="14">
        <f>((B185+C185+D185)*(1-'Prices&amp;Fuel'!G185))*('Prices&amp;Fuel'!M185+'Prices&amp;Fuel'!P185)*'Prices&amp;Fuel'!H185</f>
        <v>96613.75499999999</v>
      </c>
      <c r="P185" s="14">
        <f>((B185+C185+D185+E185+F185+G185)/(1-'Prices&amp;Fuel'!F185))*(1-'Prices&amp;Fuel'!F185)*'Prices&amp;Fuel'!H185*0.005</f>
        <v>1850.8997429305912</v>
      </c>
      <c r="Q185" s="14">
        <f>((D185+C185+B185+E185+F185+G185)*K185*'Prices&amp;Fuel'!H185)+M185+N185+O185+P185</f>
        <v>1619558.9481181288</v>
      </c>
      <c r="R185" s="6">
        <f t="shared" si="25"/>
        <v>69769.739506711252</v>
      </c>
      <c r="T185" s="3">
        <v>12000</v>
      </c>
    </row>
    <row r="186" spans="1:20" x14ac:dyDescent="0.2">
      <c r="A186" s="10">
        <f t="shared" si="19"/>
        <v>41254.416666666228</v>
      </c>
      <c r="B186" s="6">
        <f>IF(T186-((E186+F186+G186)*(1-'Prices&amp;Fuel'!F186))&lt;'Prices&amp;Fuel'!R186,(T186-(E186+F186+G186)*(1-'Prices&amp;Fuel'!F186)),'Prices&amp;Fuel'!R186)/(1-'Prices&amp;Fuel'!F186)</f>
        <v>4325.9640102827761</v>
      </c>
      <c r="C186" s="14">
        <f>(T186/(1-'Prices&amp;Fuel'!F186))-D186-E186-F186-G186-B186</f>
        <v>0</v>
      </c>
      <c r="D186" s="14">
        <f>ROUND(IF(T186/(1-'Prices&amp;Fuel'!F186)-E186-F186-G186-B186&gt;'Prices&amp;Fuel'!T186,'Prices&amp;Fuel'!T186,T186/(1-'Prices&amp;Fuel'!F186)-E186-F186-G186-B186),9)</f>
        <v>0</v>
      </c>
      <c r="E186" s="14">
        <f>'Prices&amp;Fuel'!U186/(1-'Prices&amp;Fuel'!F186)</f>
        <v>2635.4755784061695</v>
      </c>
      <c r="F186" s="14">
        <f>('Prices&amp;Fuel'!V186+'Prices&amp;Fuel'!X186)/(1-'Prices&amp;Fuel'!F186)</f>
        <v>3645.2442159383031</v>
      </c>
      <c r="G186" s="14">
        <f>'Prices&amp;Fuel'!W186/(1-'Prices&amp;Fuel'!F186)</f>
        <v>1732.6478149100255</v>
      </c>
      <c r="H186" s="25">
        <f>('Prices&amp;Fuel'!C186+'Prices&amp;Fuel'!D186)/2-0+(('Prices&amp;Fuel'!M186+'Prices&amp;Fuel'!P186)*(1-'Prices&amp;Fuel'!F186))</f>
        <v>3.5914662760691329</v>
      </c>
      <c r="I186" s="25"/>
      <c r="J186" s="25"/>
      <c r="K186" s="25">
        <f>(((B186+E186)*('Prices&amp;Fuel'!B186+0.025))+(('Prices&amp;Fuel'!D186+0.025)*(D186+G186))+(('Prices&amp;Fuel'!C186+0.025)*(C186+F186))-(I186+J186)*0.025)/(B186+C186+D186+E186+F186+G186)</f>
        <v>2.8561466927357997</v>
      </c>
      <c r="L186" s="14">
        <f>(B186+C186+D186+E186+F186+G186)*H186*'Prices&amp;Fuel'!H186</f>
        <v>1373805.0948048506</v>
      </c>
      <c r="M186" s="14">
        <f>'Prices&amp;Fuel'!X186*('Prices&amp;Fuel'!N186+'Prices&amp;Fuel'!O186)*'Prices&amp;Fuel'!H186</f>
        <v>9415.6112109141941</v>
      </c>
      <c r="N186" s="14">
        <f>('Prices&amp;Fuel'!U186+'Prices&amp;Fuel'!V186+'Prices&amp;Fuel'!W186)*('Prices&amp;Fuel'!L186+'Prices&amp;Fuel'!O186)*'Prices&amp;Fuel'!H186</f>
        <v>98016.099135578203</v>
      </c>
      <c r="O186" s="14">
        <f>((B186+C186+D186)*(1-'Prices&amp;Fuel'!G186))*('Prices&amp;Fuel'!M186+'Prices&amp;Fuel'!P186)*'Prices&amp;Fuel'!H186</f>
        <v>99834.213499999998</v>
      </c>
      <c r="P186" s="14">
        <f>((B186+C186+D186+E186+F186+G186)/(1-'Prices&amp;Fuel'!F186))*(1-'Prices&amp;Fuel'!F186)*'Prices&amp;Fuel'!H186*0.005</f>
        <v>1912.5964010282776</v>
      </c>
      <c r="Q186" s="14">
        <f>((D186+C186+B186+E186+F186+G186)*K186*'Prices&amp;Fuel'!H186)+M186+N186+O186+P186</f>
        <v>1301709.6973145821</v>
      </c>
      <c r="R186" s="6">
        <f t="shared" si="25"/>
        <v>72095.397490268573</v>
      </c>
      <c r="T186" s="3">
        <f>T185</f>
        <v>12000</v>
      </c>
    </row>
    <row r="187" spans="1:20" x14ac:dyDescent="0.2">
      <c r="A187" s="10">
        <f t="shared" si="19"/>
        <v>41284.833333332892</v>
      </c>
      <c r="B187" s="6">
        <f>IF(T187-((E187+F187+G187)*(1-'Prices&amp;Fuel'!F187))&lt;'Prices&amp;Fuel'!R187,(T187-(E187+F187+G187)*(1-'Prices&amp;Fuel'!F187)),'Prices&amp;Fuel'!R187)/(1-'Prices&amp;Fuel'!F187)</f>
        <v>4325.9640102827761</v>
      </c>
      <c r="C187" s="14">
        <f>(T187/(1-'Prices&amp;Fuel'!F187))-D187-E187-F187-G187-B187</f>
        <v>0</v>
      </c>
      <c r="D187" s="14">
        <f>ROUND(IF(T187/(1-'Prices&amp;Fuel'!F187)-E187-F187-G187-B187&gt;'Prices&amp;Fuel'!T187,'Prices&amp;Fuel'!T187,T187/(1-'Prices&amp;Fuel'!F187)-E187-F187-G187-B187),9)</f>
        <v>0</v>
      </c>
      <c r="E187" s="14">
        <f>'Prices&amp;Fuel'!U187/(1-'Prices&amp;Fuel'!F187)</f>
        <v>2635.4755784061695</v>
      </c>
      <c r="F187" s="14">
        <f>('Prices&amp;Fuel'!V187+'Prices&amp;Fuel'!X187)/(1-'Prices&amp;Fuel'!F187)</f>
        <v>3645.2442159383031</v>
      </c>
      <c r="G187" s="14">
        <f>'Prices&amp;Fuel'!W187/(1-'Prices&amp;Fuel'!F187)</f>
        <v>1732.6478149100255</v>
      </c>
      <c r="H187" s="25">
        <f>('Prices&amp;Fuel'!C187+'Prices&amp;Fuel'!D187)/2-0+(('Prices&amp;Fuel'!M187+'Prices&amp;Fuel'!P187)*(1-'Prices&amp;Fuel'!F187))</f>
        <v>3.2520158969302697</v>
      </c>
      <c r="I187" s="25"/>
      <c r="J187" s="25"/>
      <c r="K187" s="25">
        <f>(((B187+E187)*('Prices&amp;Fuel'!B187+0.025))+(('Prices&amp;Fuel'!D187+0.025)*(D187+G187))+(('Prices&amp;Fuel'!C187+0.025)*(C187+F187))-(I187+J187)*0.025)/(B187+C187+D187+E187+F187+G187)</f>
        <v>2.5166963135969365</v>
      </c>
      <c r="L187" s="14">
        <f>(B187+C187+D187+E187+F187+G187)*H187*'Prices&amp;Fuel'!H187</f>
        <v>1243958.7801111159</v>
      </c>
      <c r="M187" s="14">
        <f>'Prices&amp;Fuel'!X187*('Prices&amp;Fuel'!N187+'Prices&amp;Fuel'!O187)*'Prices&amp;Fuel'!H187</f>
        <v>9438.6404139577935</v>
      </c>
      <c r="N187" s="14">
        <f>('Prices&amp;Fuel'!U187+'Prices&amp;Fuel'!V187+'Prices&amp;Fuel'!W187)*('Prices&amp;Fuel'!L187+'Prices&amp;Fuel'!O187)*'Prices&amp;Fuel'!H187</f>
        <v>98255.832127730479</v>
      </c>
      <c r="O187" s="14">
        <f>((B187+C187+D187)*(1-'Prices&amp;Fuel'!G187))*('Prices&amp;Fuel'!M187+'Prices&amp;Fuel'!P187)*'Prices&amp;Fuel'!H187</f>
        <v>99834.213499999998</v>
      </c>
      <c r="P187" s="14">
        <f>((B187+C187+D187+E187+F187+G187)/(1-'Prices&amp;Fuel'!F187))*(1-'Prices&amp;Fuel'!F187)*'Prices&amp;Fuel'!H187*0.005</f>
        <v>1912.5964010282776</v>
      </c>
      <c r="Q187" s="14">
        <f>((D187+C187+B187+E187+F187+G187)*K187*'Prices&amp;Fuel'!H187)+M187+N187+O187+P187</f>
        <v>1172126.1448160433</v>
      </c>
      <c r="R187" s="6">
        <f t="shared" si="25"/>
        <v>71832.63529507257</v>
      </c>
      <c r="T187" s="3">
        <f t="shared" ref="T187:T196" si="26">T186</f>
        <v>12000</v>
      </c>
    </row>
    <row r="188" spans="1:20" x14ac:dyDescent="0.2">
      <c r="A188" s="10">
        <f t="shared" si="19"/>
        <v>41315.249999999556</v>
      </c>
      <c r="B188" s="6">
        <f>IF(T188-((E188+F188+G188)*(1-'Prices&amp;Fuel'!F188))&lt;'Prices&amp;Fuel'!R188,(T188-(E188+F188+G188)*(1-'Prices&amp;Fuel'!F188)),'Prices&amp;Fuel'!R188)/(1-'Prices&amp;Fuel'!F188)</f>
        <v>4325.9640102827761</v>
      </c>
      <c r="C188" s="14">
        <f>(T188/(1-'Prices&amp;Fuel'!F188))-D188-E188-F188-G188-B188</f>
        <v>0</v>
      </c>
      <c r="D188" s="14">
        <f>ROUND(IF(T188/(1-'Prices&amp;Fuel'!F188)-E188-F188-G188-B188&gt;'Prices&amp;Fuel'!T188,'Prices&amp;Fuel'!T188,T188/(1-'Prices&amp;Fuel'!F188)-E188-F188-G188-B188),9)</f>
        <v>0</v>
      </c>
      <c r="E188" s="14">
        <f>'Prices&amp;Fuel'!U188/(1-'Prices&amp;Fuel'!F188)</f>
        <v>2635.4755784061695</v>
      </c>
      <c r="F188" s="14">
        <f>('Prices&amp;Fuel'!V188+'Prices&amp;Fuel'!X188)/(1-'Prices&amp;Fuel'!F188)</f>
        <v>3645.2442159383031</v>
      </c>
      <c r="G188" s="14">
        <f>'Prices&amp;Fuel'!W188/(1-'Prices&amp;Fuel'!F188)</f>
        <v>1732.6478149100255</v>
      </c>
      <c r="H188" s="25">
        <f>('Prices&amp;Fuel'!C188+'Prices&amp;Fuel'!D188)/2-0+(('Prices&amp;Fuel'!M188+'Prices&amp;Fuel'!P188)*(1-'Prices&amp;Fuel'!F188))</f>
        <v>3.5532463505299039</v>
      </c>
      <c r="I188" s="25"/>
      <c r="J188" s="25"/>
      <c r="K188" s="25">
        <f>(((B188+E188)*('Prices&amp;Fuel'!B188+0.025))+(('Prices&amp;Fuel'!D188+0.025)*(D188+G188))+(('Prices&amp;Fuel'!C188+0.025)*(C188+F188))-(I188+J188)*0.025)/(B188+C188+D188+E188+F188+G188)</f>
        <v>2.8179267671965702</v>
      </c>
      <c r="L188" s="14">
        <f>(B188+C188+D188+E188+F188+G188)*H188*'Prices&amp;Fuel'!H188</f>
        <v>1227651.1812627739</v>
      </c>
      <c r="M188" s="14">
        <f>'Prices&amp;Fuel'!X188*('Prices&amp;Fuel'!N188+'Prices&amp;Fuel'!O188)*'Prices&amp;Fuel'!H188</f>
        <v>8525.2235997038133</v>
      </c>
      <c r="N188" s="14">
        <f>('Prices&amp;Fuel'!U188+'Prices&amp;Fuel'!V188+'Prices&amp;Fuel'!W188)*('Prices&amp;Fuel'!L188+'Prices&amp;Fuel'!O188)*'Prices&amp;Fuel'!H188</f>
        <v>88747.203212143664</v>
      </c>
      <c r="O188" s="14">
        <f>((B188+C188+D188)*(1-'Prices&amp;Fuel'!G188))*('Prices&amp;Fuel'!M188+'Prices&amp;Fuel'!P188)*'Prices&amp;Fuel'!H188</f>
        <v>90172.837999999989</v>
      </c>
      <c r="P188" s="14">
        <f>((B188+C188+D188+E188+F188+G188)/(1-'Prices&amp;Fuel'!F188))*(1-'Prices&amp;Fuel'!F188)*'Prices&amp;Fuel'!H188*0.005</f>
        <v>1727.5064267352184</v>
      </c>
      <c r="Q188" s="14">
        <f>((D188+C188+B188+E188+F188+G188)*K188*'Prices&amp;Fuel'!H188)+M188+N188+O188+P188</f>
        <v>1162770.0913188374</v>
      </c>
      <c r="R188" s="6">
        <f t="shared" si="25"/>
        <v>64881.08994393656</v>
      </c>
      <c r="T188" s="3">
        <f t="shared" si="26"/>
        <v>12000</v>
      </c>
    </row>
    <row r="189" spans="1:20" x14ac:dyDescent="0.2">
      <c r="A189" s="10">
        <f t="shared" si="19"/>
        <v>41345.66666666622</v>
      </c>
      <c r="B189" s="6">
        <f>IF(T189-((E189+F189+G189)*(1-'Prices&amp;Fuel'!F189))&lt;'Prices&amp;Fuel'!R189,(T189-(E189+F189+G189)*(1-'Prices&amp;Fuel'!F189)),'Prices&amp;Fuel'!R189)/(1-'Prices&amp;Fuel'!F189)</f>
        <v>4325.9640102827761</v>
      </c>
      <c r="C189" s="14">
        <f>(T189/(1-'Prices&amp;Fuel'!F189))-D189-E189-F189-G189-B189</f>
        <v>0</v>
      </c>
      <c r="D189" s="14">
        <f>ROUND(IF(T189/(1-'Prices&amp;Fuel'!F189)-E189-F189-G189-B189&gt;'Prices&amp;Fuel'!T189,'Prices&amp;Fuel'!T189,T189/(1-'Prices&amp;Fuel'!F189)-E189-F189-G189-B189),9)</f>
        <v>0</v>
      </c>
      <c r="E189" s="14">
        <f>'Prices&amp;Fuel'!U189/(1-'Prices&amp;Fuel'!F189)</f>
        <v>2635.4755784061695</v>
      </c>
      <c r="F189" s="14">
        <f>('Prices&amp;Fuel'!V189+'Prices&amp;Fuel'!X189)/(1-'Prices&amp;Fuel'!F189)</f>
        <v>3645.2442159383031</v>
      </c>
      <c r="G189" s="14">
        <f>'Prices&amp;Fuel'!W189/(1-'Prices&amp;Fuel'!F189)</f>
        <v>1732.6478149100255</v>
      </c>
      <c r="H189" s="25">
        <f>('Prices&amp;Fuel'!C189+'Prices&amp;Fuel'!D189)/2-0+(('Prices&amp;Fuel'!M189+'Prices&amp;Fuel'!P189)*(1-'Prices&amp;Fuel'!F189))</f>
        <v>3.5532463505299039</v>
      </c>
      <c r="I189" s="25"/>
      <c r="J189" s="25"/>
      <c r="K189" s="25">
        <f>(((B189+E189)*('Prices&amp;Fuel'!B189+0.025))+(('Prices&amp;Fuel'!D189+0.025)*(D189+G189))+(('Prices&amp;Fuel'!C189+0.025)*(C189+F189))-(I189+J189)*0.025)/(B189+C189+D189+E189+F189+G189)</f>
        <v>2.8179267671965702</v>
      </c>
      <c r="L189" s="14">
        <f>(B189+C189+D189+E189+F189+G189)*H189*'Prices&amp;Fuel'!H189</f>
        <v>1359185.2363980711</v>
      </c>
      <c r="M189" s="14">
        <f>'Prices&amp;Fuel'!X189*('Prices&amp;Fuel'!N189+'Prices&amp;Fuel'!O189)*'Prices&amp;Fuel'!H189</f>
        <v>9438.6404139577935</v>
      </c>
      <c r="N189" s="14">
        <f>('Prices&amp;Fuel'!U189+'Prices&amp;Fuel'!V189+'Prices&amp;Fuel'!W189)*('Prices&amp;Fuel'!L189+'Prices&amp;Fuel'!O189)*'Prices&amp;Fuel'!H189</f>
        <v>98255.832127730479</v>
      </c>
      <c r="O189" s="14">
        <f>((B189+C189+D189)*(1-'Prices&amp;Fuel'!G189))*('Prices&amp;Fuel'!M189+'Prices&amp;Fuel'!P189)*'Prices&amp;Fuel'!H189</f>
        <v>99834.213499999998</v>
      </c>
      <c r="P189" s="14">
        <f>((B189+C189+D189+E189+F189+G189)/(1-'Prices&amp;Fuel'!F189))*(1-'Prices&amp;Fuel'!F189)*'Prices&amp;Fuel'!H189*0.005</f>
        <v>1912.5964010282776</v>
      </c>
      <c r="Q189" s="14">
        <f>((D189+C189+B189+E189+F189+G189)*K189*'Prices&amp;Fuel'!H189)+M189+N189+O189+P189</f>
        <v>1287352.6011029985</v>
      </c>
      <c r="R189" s="6">
        <f t="shared" si="25"/>
        <v>71832.63529507257</v>
      </c>
      <c r="T189" s="3">
        <f t="shared" si="26"/>
        <v>12000</v>
      </c>
    </row>
    <row r="190" spans="1:20" x14ac:dyDescent="0.2">
      <c r="A190" s="10">
        <f t="shared" si="19"/>
        <v>41376.083333332885</v>
      </c>
      <c r="B190" s="6">
        <f>IF(T190-((E190+F190+G190)*(1-'Prices&amp;Fuel'!F190))&lt;'Prices&amp;Fuel'!R190,(T190-(E190+F190+G190)*(1-'Prices&amp;Fuel'!F190)),'Prices&amp;Fuel'!R190)/(1-'Prices&amp;Fuel'!F190)</f>
        <v>6278.6632390745499</v>
      </c>
      <c r="C190" s="14">
        <f>(T190/(1-'Prices&amp;Fuel'!F190))-D190-E190-F190-G190-B190</f>
        <v>0</v>
      </c>
      <c r="D190" s="14">
        <f>ROUND(IF(T190/(1-'Prices&amp;Fuel'!F190)-E190-F190-G190-B190&gt;'Prices&amp;Fuel'!T190,'Prices&amp;Fuel'!T190,T190/(1-'Prices&amp;Fuel'!F190)-E190-F190-G190-B190),9)</f>
        <v>0</v>
      </c>
      <c r="E190" s="14">
        <f>'Prices&amp;Fuel'!U190/(1-'Prices&amp;Fuel'!F190)</f>
        <v>1933.1619537275064</v>
      </c>
      <c r="F190" s="14">
        <f>('Prices&amp;Fuel'!V190+'Prices&amp;Fuel'!X190)/(1-'Prices&amp;Fuel'!F190)</f>
        <v>2833.9331619537274</v>
      </c>
      <c r="G190" s="14">
        <f>'Prices&amp;Fuel'!W190/(1-'Prices&amp;Fuel'!F190)</f>
        <v>1293.5732647814909</v>
      </c>
      <c r="H190" s="25">
        <f>('Prices&amp;Fuel'!C190+'Prices&amp;Fuel'!D190)/2-0+(('Prices&amp;Fuel'!M190+'Prices&amp;Fuel'!P190)*(1-'Prices&amp;Fuel'!F190))</f>
        <v>3.8544768041295407</v>
      </c>
      <c r="I190" s="25"/>
      <c r="J190" s="25"/>
      <c r="K190" s="25">
        <f>(((B190+E190)*('Prices&amp;Fuel'!B190+0.025))+(('Prices&amp;Fuel'!D190+0.025)*(D190+G190))+(('Prices&amp;Fuel'!C190+0.025)*(C190+F190))-(I190+J190)*0.025)/(B190+C190+D190+E190+F190+G190)</f>
        <v>3.1148563874628734</v>
      </c>
      <c r="L190" s="14">
        <f>(B190+C190+D190+E190+F190+G190)*H190*'Prices&amp;Fuel'!H190</f>
        <v>1426850.0251790588</v>
      </c>
      <c r="M190" s="14">
        <f>'Prices&amp;Fuel'!X190*('Prices&amp;Fuel'!N190+'Prices&amp;Fuel'!O190)*'Prices&amp;Fuel'!H190</f>
        <v>9134.1681425398001</v>
      </c>
      <c r="N190" s="14">
        <f>('Prices&amp;Fuel'!U190+'Prices&amp;Fuel'!V190+'Prices&amp;Fuel'!W190)*('Prices&amp;Fuel'!L190+'Prices&amp;Fuel'!O190)*'Prices&amp;Fuel'!H190</f>
        <v>69689.82458385783</v>
      </c>
      <c r="O190" s="14">
        <f>((B190+C190+D190)*(1-'Prices&amp;Fuel'!G190))*('Prices&amp;Fuel'!M190+'Prices&amp;Fuel'!P190)*'Prices&amp;Fuel'!H190</f>
        <v>140224.29</v>
      </c>
      <c r="P190" s="14">
        <f>((B190+C190+D190+E190+F190+G190)/(1-'Prices&amp;Fuel'!F190))*(1-'Prices&amp;Fuel'!F190)*'Prices&amp;Fuel'!H190*0.005</f>
        <v>1850.8997429305914</v>
      </c>
      <c r="Q190" s="14">
        <f>((D190+C190+B190+E190+F190+G190)*K190*'Prices&amp;Fuel'!H190)+M190+N190+O190+P190</f>
        <v>1373956.559833477</v>
      </c>
      <c r="R190" s="6">
        <f t="shared" si="25"/>
        <v>52893.465345581761</v>
      </c>
      <c r="T190" s="3">
        <f t="shared" si="26"/>
        <v>12000</v>
      </c>
    </row>
    <row r="191" spans="1:20" x14ac:dyDescent="0.2">
      <c r="A191" s="10">
        <f t="shared" si="19"/>
        <v>41406.499999999549</v>
      </c>
      <c r="B191" s="6">
        <f>IF(T191-((E191+F191+G191)*(1-'Prices&amp;Fuel'!F191))&lt;'Prices&amp;Fuel'!R191,(T191-(E191+F191+G191)*(1-'Prices&amp;Fuel'!F191)),'Prices&amp;Fuel'!R191)/(1-'Prices&amp;Fuel'!F191)</f>
        <v>8976.8637532133671</v>
      </c>
      <c r="C191" s="14">
        <f>(T191/(1-'Prices&amp;Fuel'!F191))-D191-E191-F191-G191-B191</f>
        <v>1.3824319466948509E-10</v>
      </c>
      <c r="D191" s="14">
        <f>ROUND(IF(T191/(1-'Prices&amp;Fuel'!F191)-E191-F191-G191-B191&gt;'Prices&amp;Fuel'!T191,'Prices&amp;Fuel'!T191,T191/(1-'Prices&amp;Fuel'!F191)-E191-F191-G191-B191),9)</f>
        <v>6556.2982005140002</v>
      </c>
      <c r="E191" s="14">
        <f>'Prices&amp;Fuel'!U191/(1-'Prices&amp;Fuel'!F191)</f>
        <v>1933.1619537275064</v>
      </c>
      <c r="F191" s="14">
        <f>('Prices&amp;Fuel'!V191+'Prices&amp;Fuel'!X191)/(1-'Prices&amp;Fuel'!F191)</f>
        <v>3062.2107969151671</v>
      </c>
      <c r="G191" s="14">
        <f>'Prices&amp;Fuel'!W191/(1-'Prices&amp;Fuel'!F191)</f>
        <v>1065.2956298200513</v>
      </c>
      <c r="H191" s="25">
        <f>('Prices&amp;Fuel'!C191+'Prices&amp;Fuel'!D191)/2-0+(('Prices&amp;Fuel'!M191+'Prices&amp;Fuel'!P191)*(1-'Prices&amp;Fuel'!F191))</f>
        <v>4.0664537899959505</v>
      </c>
      <c r="I191" s="25"/>
      <c r="J191" s="25"/>
      <c r="K191" s="25">
        <f>(((B191+E191)*('Prices&amp;Fuel'!B191+0.025))+(('Prices&amp;Fuel'!D191+0.025)*(D191+G191))+(('Prices&amp;Fuel'!C191+0.025)*(C191+F191))-(I191+J191)*0.025)/(B191+C191+D191+E191+F191+G191)</f>
        <v>3.3240431352340463</v>
      </c>
      <c r="L191" s="14">
        <f>(B191+C191+D191+E191+F191+G191)*H191*'Prices&amp;Fuel'!H191</f>
        <v>2722119.7092929189</v>
      </c>
      <c r="M191" s="14">
        <f>'Prices&amp;Fuel'!X191*('Prices&amp;Fuel'!N191+'Prices&amp;Fuel'!O191)*'Prices&amp;Fuel'!H191</f>
        <v>9438.6404139577935</v>
      </c>
      <c r="N191" s="14">
        <f>('Prices&amp;Fuel'!U191+'Prices&amp;Fuel'!V191+'Prices&amp;Fuel'!W191)*('Prices&amp;Fuel'!L191+'Prices&amp;Fuel'!O191)*'Prices&amp;Fuel'!H191</f>
        <v>72012.818736653091</v>
      </c>
      <c r="O191" s="14">
        <f>((B191+C191+D191)*(1-'Prices&amp;Fuel'!G191))*('Prices&amp;Fuel'!M191+'Prices&amp;Fuel'!P191)*'Prices&amp;Fuel'!H191</f>
        <v>358472.93300000002</v>
      </c>
      <c r="P191" s="14">
        <f>((B191+C191+D191+E191+F191+G191)/(1-'Prices&amp;Fuel'!F191))*(1-'Prices&amp;Fuel'!F191)*'Prices&amp;Fuel'!H191*0.005</f>
        <v>3347.043701799485</v>
      </c>
      <c r="Q191" s="14">
        <f>((D191+C191+B191+E191+F191+G191)*K191*'Prices&amp;Fuel'!H191)+M191+N191+O191+P191</f>
        <v>2668414.9639113969</v>
      </c>
      <c r="R191" s="6">
        <f t="shared" si="25"/>
        <v>53704.745381521992</v>
      </c>
      <c r="T191" s="3">
        <v>21000</v>
      </c>
    </row>
    <row r="192" spans="1:20" x14ac:dyDescent="0.2">
      <c r="A192" s="10">
        <f t="shared" si="19"/>
        <v>41436.916666666213</v>
      </c>
      <c r="B192" s="6">
        <f>IF(T192-((E192+F192+G192)*(1-'Prices&amp;Fuel'!F192))&lt;'Prices&amp;Fuel'!R192,(T192-(E192+F192+G192)*(1-'Prices&amp;Fuel'!F192)),'Prices&amp;Fuel'!R192)/(1-'Prices&amp;Fuel'!F192)</f>
        <v>8976.8637532133671</v>
      </c>
      <c r="C192" s="14">
        <f>(T192/(1-'Prices&amp;Fuel'!F192))-D192-E192-F192-G192-B192</f>
        <v>1.3824319466948509E-10</v>
      </c>
      <c r="D192" s="14">
        <f>ROUND(IF(T192/(1-'Prices&amp;Fuel'!F192)-E192-F192-G192-B192&gt;'Prices&amp;Fuel'!T192,'Prices&amp;Fuel'!T192,T192/(1-'Prices&amp;Fuel'!F192)-E192-F192-G192-B192),9)</f>
        <v>6556.2982005140002</v>
      </c>
      <c r="E192" s="14">
        <f>'Prices&amp;Fuel'!U192/(1-'Prices&amp;Fuel'!F192)</f>
        <v>1933.1619537275064</v>
      </c>
      <c r="F192" s="14">
        <f>('Prices&amp;Fuel'!V192+'Prices&amp;Fuel'!X192)/(1-'Prices&amp;Fuel'!F192)</f>
        <v>3062.2107969151671</v>
      </c>
      <c r="G192" s="14">
        <f>'Prices&amp;Fuel'!W192/(1-'Prices&amp;Fuel'!F192)</f>
        <v>1065.2956298200513</v>
      </c>
      <c r="H192" s="25">
        <f>('Prices&amp;Fuel'!C192+'Prices&amp;Fuel'!D192)/2-0+(('Prices&amp;Fuel'!M192+'Prices&amp;Fuel'!P192)*(1-'Prices&amp;Fuel'!F192))</f>
        <v>5.5279793241275144</v>
      </c>
      <c r="I192" s="25"/>
      <c r="J192" s="25"/>
      <c r="K192" s="25">
        <f>(((B192+E192)*('Prices&amp;Fuel'!B192+0.025))+(('Prices&amp;Fuel'!D192+0.025)*(D192+G192))+(('Prices&amp;Fuel'!C192+0.025)*(C192+F192))-(I192+J192)*0.025)/(B192+C192+D192+E192+F192+G192)</f>
        <v>4.7855686693656097</v>
      </c>
      <c r="L192" s="14">
        <f>(B192+C192+D192+E192+F192+G192)*H192*'Prices&amp;Fuel'!H192</f>
        <v>3581107.4284836333</v>
      </c>
      <c r="M192" s="14">
        <f>'Prices&amp;Fuel'!X192*('Prices&amp;Fuel'!N192+'Prices&amp;Fuel'!O192)*'Prices&amp;Fuel'!H192</f>
        <v>9134.1681425398001</v>
      </c>
      <c r="N192" s="14">
        <f>('Prices&amp;Fuel'!U192+'Prices&amp;Fuel'!V192+'Prices&amp;Fuel'!W192)*('Prices&amp;Fuel'!L192+'Prices&amp;Fuel'!O192)*'Prices&amp;Fuel'!H192</f>
        <v>69689.82458385783</v>
      </c>
      <c r="O192" s="14">
        <f>((B192+C192+D192)*(1-'Prices&amp;Fuel'!G192))*('Prices&amp;Fuel'!M192+'Prices&amp;Fuel'!P192)*'Prices&amp;Fuel'!H192</f>
        <v>346909.29</v>
      </c>
      <c r="P192" s="14">
        <f>((B192+C192+D192+E192+F192+G192)/(1-'Prices&amp;Fuel'!F192))*(1-'Prices&amp;Fuel'!F192)*'Prices&amp;Fuel'!H192*0.005</f>
        <v>3239.0745501285346</v>
      </c>
      <c r="Q192" s="14">
        <f>((D192+C192+B192+E192+F192+G192)*K192*'Prices&amp;Fuel'!H192)+M192+N192+O192+P192</f>
        <v>3529135.0942434506</v>
      </c>
      <c r="R192" s="6">
        <f t="shared" si="25"/>
        <v>51972.334240182769</v>
      </c>
      <c r="T192" s="3">
        <f t="shared" si="26"/>
        <v>21000</v>
      </c>
    </row>
    <row r="193" spans="1:20" x14ac:dyDescent="0.2">
      <c r="A193" s="10">
        <f t="shared" si="19"/>
        <v>41467.333333332877</v>
      </c>
      <c r="B193" s="6">
        <f>IF(T193-((E193+F193+G193)*(1-'Prices&amp;Fuel'!F193))&lt;'Prices&amp;Fuel'!R193,(T193-(E193+F193+G193)*(1-'Prices&amp;Fuel'!F193)),'Prices&amp;Fuel'!R193)/(1-'Prices&amp;Fuel'!F193)</f>
        <v>8976.8637532133671</v>
      </c>
      <c r="C193" s="14">
        <f>(T193/(1-'Prices&amp;Fuel'!F193))-D193-E193-F193-G193-B193</f>
        <v>1.3824319466948509E-10</v>
      </c>
      <c r="D193" s="14">
        <f>ROUND(IF(T193/(1-'Prices&amp;Fuel'!F193)-E193-F193-G193-B193&gt;'Prices&amp;Fuel'!T193,'Prices&amp;Fuel'!T193,T193/(1-'Prices&amp;Fuel'!F193)-E193-F193-G193-B193),9)</f>
        <v>6556.2982005140002</v>
      </c>
      <c r="E193" s="14">
        <f>'Prices&amp;Fuel'!U193/(1-'Prices&amp;Fuel'!F193)</f>
        <v>1933.1619537275064</v>
      </c>
      <c r="F193" s="14">
        <f>('Prices&amp;Fuel'!V193+'Prices&amp;Fuel'!X193)/(1-'Prices&amp;Fuel'!F193)</f>
        <v>3062.2107969151671</v>
      </c>
      <c r="G193" s="14">
        <f>'Prices&amp;Fuel'!W193/(1-'Prices&amp;Fuel'!F193)</f>
        <v>1065.2956298200513</v>
      </c>
      <c r="H193" s="25">
        <f>('Prices&amp;Fuel'!C193+'Prices&amp;Fuel'!D193)/2-0+(('Prices&amp;Fuel'!M193+'Prices&amp;Fuel'!P193)*(1-'Prices&amp;Fuel'!F193))</f>
        <v>5.5168226406608607</v>
      </c>
      <c r="I193" s="25"/>
      <c r="J193" s="25"/>
      <c r="K193" s="25">
        <f>(((B193+E193)*('Prices&amp;Fuel'!B193+0.025))+(('Prices&amp;Fuel'!D193+0.025)*(D193+G193))+(('Prices&amp;Fuel'!C193+0.025)*(C193+F193))-(I193+J193)*0.025)/(B193+C193+D193+E193+F193+G193)</f>
        <v>4.7744119858989578</v>
      </c>
      <c r="L193" s="14">
        <f>(B193+C193+D193+E193+F193+G193)*H193*'Prices&amp;Fuel'!H193</f>
        <v>3693009.2946737483</v>
      </c>
      <c r="M193" s="14">
        <f>'Prices&amp;Fuel'!X193*('Prices&amp;Fuel'!N193+'Prices&amp;Fuel'!O193)*'Prices&amp;Fuel'!H193</f>
        <v>9438.6404139577935</v>
      </c>
      <c r="N193" s="14">
        <f>('Prices&amp;Fuel'!U193+'Prices&amp;Fuel'!V193+'Prices&amp;Fuel'!W193)*('Prices&amp;Fuel'!L193+'Prices&amp;Fuel'!O193)*'Prices&amp;Fuel'!H193</f>
        <v>72012.818736653091</v>
      </c>
      <c r="O193" s="14">
        <f>((B193+C193+D193)*(1-'Prices&amp;Fuel'!G193))*('Prices&amp;Fuel'!M193+'Prices&amp;Fuel'!P193)*'Prices&amp;Fuel'!H193</f>
        <v>358472.93300000002</v>
      </c>
      <c r="P193" s="14">
        <f>((B193+C193+D193+E193+F193+G193)/(1-'Prices&amp;Fuel'!F193))*(1-'Prices&amp;Fuel'!F193)*'Prices&amp;Fuel'!H193*0.005</f>
        <v>3347.043701799485</v>
      </c>
      <c r="Q193" s="14">
        <f>((D193+C193+B193+E193+F193+G193)*K193*'Prices&amp;Fuel'!H193)+M193+N193+O193+P193</f>
        <v>3639304.5492922268</v>
      </c>
      <c r="R193" s="6">
        <f t="shared" si="25"/>
        <v>53704.745381521527</v>
      </c>
      <c r="T193" s="3">
        <f t="shared" si="26"/>
        <v>21000</v>
      </c>
    </row>
    <row r="194" spans="1:20" x14ac:dyDescent="0.2">
      <c r="A194" s="10">
        <f t="shared" si="19"/>
        <v>41497.749999999542</v>
      </c>
      <c r="B194" s="6">
        <f>IF(T194-((E194+F194+G194)*(1-'Prices&amp;Fuel'!F194))&lt;'Prices&amp;Fuel'!R194,(T194-(E194+F194+G194)*(1-'Prices&amp;Fuel'!F194)),'Prices&amp;Fuel'!R194)/(1-'Prices&amp;Fuel'!F194)</f>
        <v>8976.8637532133671</v>
      </c>
      <c r="C194" s="14">
        <f>(T194/(1-'Prices&amp;Fuel'!F194))-D194-E194-F194-G194-B194</f>
        <v>1.3824319466948509E-10</v>
      </c>
      <c r="D194" s="14">
        <f>ROUND(IF(T194/(1-'Prices&amp;Fuel'!F194)-E194-F194-G194-B194&gt;'Prices&amp;Fuel'!T194,'Prices&amp;Fuel'!T194,T194/(1-'Prices&amp;Fuel'!F194)-E194-F194-G194-B194),9)</f>
        <v>6556.2982005140002</v>
      </c>
      <c r="E194" s="14">
        <f>'Prices&amp;Fuel'!U194/(1-'Prices&amp;Fuel'!F194)</f>
        <v>1933.1619537275064</v>
      </c>
      <c r="F194" s="14">
        <f>('Prices&amp;Fuel'!V194+'Prices&amp;Fuel'!X194)/(1-'Prices&amp;Fuel'!F194)</f>
        <v>3062.2107969151671</v>
      </c>
      <c r="G194" s="14">
        <f>'Prices&amp;Fuel'!W194/(1-'Prices&amp;Fuel'!F194)</f>
        <v>1065.2956298200513</v>
      </c>
      <c r="H194" s="25">
        <f>('Prices&amp;Fuel'!C194+'Prices&amp;Fuel'!D194)/2-0+(('Prices&amp;Fuel'!M194+'Prices&amp;Fuel'!P194)*(1-'Prices&amp;Fuel'!F194))</f>
        <v>4.9143617334615914</v>
      </c>
      <c r="I194" s="25"/>
      <c r="J194" s="25"/>
      <c r="K194" s="25">
        <f>(((B194+E194)*('Prices&amp;Fuel'!B194+0.025))+(('Prices&amp;Fuel'!D194+0.025)*(D194+G194))+(('Prices&amp;Fuel'!C194+0.025)*(C194+F194))-(I194+J194)*0.025)/(B194+C194+D194+E194+F194+G194)</f>
        <v>4.1719510786996876</v>
      </c>
      <c r="L194" s="14">
        <f>(B194+C194+D194+E194+F194+G194)*H194*'Prices&amp;Fuel'!H194</f>
        <v>3289716.6976694041</v>
      </c>
      <c r="M194" s="14">
        <f>'Prices&amp;Fuel'!X194*('Prices&amp;Fuel'!N194+'Prices&amp;Fuel'!O194)*'Prices&amp;Fuel'!H194</f>
        <v>9438.6404139577935</v>
      </c>
      <c r="N194" s="14">
        <f>('Prices&amp;Fuel'!U194+'Prices&amp;Fuel'!V194+'Prices&amp;Fuel'!W194)*('Prices&amp;Fuel'!L194+'Prices&amp;Fuel'!O194)*'Prices&amp;Fuel'!H194</f>
        <v>72012.818736653091</v>
      </c>
      <c r="O194" s="14">
        <f>((B194+C194+D194)*(1-'Prices&amp;Fuel'!G194))*('Prices&amp;Fuel'!M194+'Prices&amp;Fuel'!P194)*'Prices&amp;Fuel'!H194</f>
        <v>358472.93300000002</v>
      </c>
      <c r="P194" s="14">
        <f>((B194+C194+D194+E194+F194+G194)/(1-'Prices&amp;Fuel'!F194))*(1-'Prices&amp;Fuel'!F194)*'Prices&amp;Fuel'!H194*0.005</f>
        <v>3347.043701799485</v>
      </c>
      <c r="Q194" s="14">
        <f>((D194+C194+B194+E194+F194+G194)*K194*'Prices&amp;Fuel'!H194)+M194+N194+O194+P194</f>
        <v>3236011.9522878826</v>
      </c>
      <c r="R194" s="6">
        <f t="shared" si="25"/>
        <v>53704.745381521527</v>
      </c>
      <c r="T194" s="3">
        <f t="shared" si="26"/>
        <v>21000</v>
      </c>
    </row>
    <row r="195" spans="1:20" x14ac:dyDescent="0.2">
      <c r="A195" s="10">
        <f t="shared" si="19"/>
        <v>41528.166666666206</v>
      </c>
      <c r="B195" s="6">
        <f>IF(T195-((E195+F195+G195)*(1-'Prices&amp;Fuel'!F195))&lt;'Prices&amp;Fuel'!R195,(T195-(E195+F195+G195)*(1-'Prices&amp;Fuel'!F195)),'Prices&amp;Fuel'!R195)/(1-'Prices&amp;Fuel'!F195)</f>
        <v>8976.8637532133671</v>
      </c>
      <c r="C195" s="14">
        <f>(T195/(1-'Prices&amp;Fuel'!F195))-D195-E195-F195-G195-B195</f>
        <v>1.3824319466948509E-10</v>
      </c>
      <c r="D195" s="14">
        <f>ROUND(IF(T195/(1-'Prices&amp;Fuel'!F195)-E195-F195-G195-B195&gt;'Prices&amp;Fuel'!T195,'Prices&amp;Fuel'!T195,T195/(1-'Prices&amp;Fuel'!F195)-E195-F195-G195-B195),9)</f>
        <v>6556.2982005140002</v>
      </c>
      <c r="E195" s="14">
        <f>'Prices&amp;Fuel'!U195/(1-'Prices&amp;Fuel'!F195)</f>
        <v>1933.1619537275064</v>
      </c>
      <c r="F195" s="14">
        <f>('Prices&amp;Fuel'!V195+'Prices&amp;Fuel'!X195)/(1-'Prices&amp;Fuel'!F195)</f>
        <v>3062.2107969151671</v>
      </c>
      <c r="G195" s="14">
        <f>'Prices&amp;Fuel'!W195/(1-'Prices&amp;Fuel'!F195)</f>
        <v>1065.2956298200513</v>
      </c>
      <c r="H195" s="25">
        <f>('Prices&amp;Fuel'!C195+'Prices&amp;Fuel'!D195)/2-0+(('Prices&amp;Fuel'!M195+'Prices&amp;Fuel'!P195)*(1-'Prices&amp;Fuel'!F195))</f>
        <v>5.773426360393886</v>
      </c>
      <c r="I195" s="25"/>
      <c r="J195" s="25"/>
      <c r="K195" s="25">
        <f>(((B195+E195)*('Prices&amp;Fuel'!B195+0.025))+(('Prices&amp;Fuel'!D195+0.025)*(D195+G195))+(('Prices&amp;Fuel'!C195+0.025)*(C195+F195))-(I195+J195)*0.025)/(B195+C195+D195+E195+F195+G195)</f>
        <v>5.0310157056319831</v>
      </c>
      <c r="L195" s="14">
        <f>(B195+C195+D195+E195+F195+G195)*H195*'Prices&amp;Fuel'!H195</f>
        <v>3740111.6781986095</v>
      </c>
      <c r="M195" s="14">
        <f>'Prices&amp;Fuel'!X195*('Prices&amp;Fuel'!N195+'Prices&amp;Fuel'!O195)*'Prices&amp;Fuel'!H195</f>
        <v>9134.1681425398001</v>
      </c>
      <c r="N195" s="14">
        <f>('Prices&amp;Fuel'!U195+'Prices&amp;Fuel'!V195+'Prices&amp;Fuel'!W195)*('Prices&amp;Fuel'!L195+'Prices&amp;Fuel'!O195)*'Prices&amp;Fuel'!H195</f>
        <v>69689.82458385783</v>
      </c>
      <c r="O195" s="14">
        <f>((B195+C195+D195)*(1-'Prices&amp;Fuel'!G195))*('Prices&amp;Fuel'!M195+'Prices&amp;Fuel'!P195)*'Prices&amp;Fuel'!H195</f>
        <v>346909.29</v>
      </c>
      <c r="P195" s="14">
        <f>((B195+C195+D195+E195+F195+G195)/(1-'Prices&amp;Fuel'!F195))*(1-'Prices&amp;Fuel'!F195)*'Prices&amp;Fuel'!H195*0.005</f>
        <v>3239.0745501285346</v>
      </c>
      <c r="Q195" s="14">
        <f>((D195+C195+B195+E195+F195+G195)*K195*'Prices&amp;Fuel'!H195)+M195+N195+O195+P195</f>
        <v>3688139.3439584277</v>
      </c>
      <c r="R195" s="6">
        <f t="shared" si="25"/>
        <v>51972.334240181837</v>
      </c>
      <c r="T195" s="3">
        <f t="shared" si="26"/>
        <v>21000</v>
      </c>
    </row>
    <row r="196" spans="1:20" x14ac:dyDescent="0.2">
      <c r="A196" s="10">
        <f t="shared" si="19"/>
        <v>41558.58333333287</v>
      </c>
      <c r="B196" s="6">
        <f>IF(T196-((E196+F196+G196)*(1-'Prices&amp;Fuel'!F196))&lt;'Prices&amp;Fuel'!R196,(T196-(E196+F196+G196)*(1-'Prices&amp;Fuel'!F196)),'Prices&amp;Fuel'!R196)/(1-'Prices&amp;Fuel'!F196)</f>
        <v>8976.8637532133671</v>
      </c>
      <c r="C196" s="14">
        <f>(T196/(1-'Prices&amp;Fuel'!F196))-D196-E196-F196-G196-B196</f>
        <v>2.0190782379359007E-10</v>
      </c>
      <c r="D196" s="14">
        <f>ROUND(IF(T196/(1-'Prices&amp;Fuel'!F196)-E196-F196-G196-B196&gt;'Prices&amp;Fuel'!T196,'Prices&amp;Fuel'!T196,T196/(1-'Prices&amp;Fuel'!F196)-E196-F196-G196-B196),9)</f>
        <v>3514.6529562979999</v>
      </c>
      <c r="E196" s="14">
        <f>'Prices&amp;Fuel'!U196/(1-'Prices&amp;Fuel'!F196)</f>
        <v>2910.025706940874</v>
      </c>
      <c r="F196" s="14">
        <f>('Prices&amp;Fuel'!V196+'Prices&amp;Fuel'!X196)/(1-'Prices&amp;Fuel'!F196)</f>
        <v>4628.2776349614396</v>
      </c>
      <c r="G196" s="14">
        <f>'Prices&amp;Fuel'!W196/(1-'Prices&amp;Fuel'!F196)</f>
        <v>1564.0102827763496</v>
      </c>
      <c r="H196" s="25">
        <f>('Prices&amp;Fuel'!C196+'Prices&amp;Fuel'!D196)/2-0+(('Prices&amp;Fuel'!M196+'Prices&amp;Fuel'!P196)*(1-'Prices&amp;Fuel'!F196))</f>
        <v>6.5320808361263012</v>
      </c>
      <c r="I196" s="25"/>
      <c r="J196" s="25"/>
      <c r="K196" s="25">
        <f>(((B196+E196)*('Prices&amp;Fuel'!B196+0.025))+(('Prices&amp;Fuel'!D196+0.025)*(D196+G196))+(('Prices&amp;Fuel'!C196+0.025)*(C196+F196))-(I196+J196)*0.025)/(B196+C196+D196+E196+F196+G196)</f>
        <v>5.7928439908882066</v>
      </c>
      <c r="L196" s="14">
        <f>(B196+C196+D196+E196+F196+G196)*H196*'Prices&amp;Fuel'!H196</f>
        <v>4372632.0044403309</v>
      </c>
      <c r="M196" s="14">
        <f>'Prices&amp;Fuel'!X196*('Prices&amp;Fuel'!N196+'Prices&amp;Fuel'!O196)*'Prices&amp;Fuel'!H196</f>
        <v>13833.205057645318</v>
      </c>
      <c r="N196" s="14">
        <f>('Prices&amp;Fuel'!U196+'Prices&amp;Fuel'!V196+'Prices&amp;Fuel'!W196)*('Prices&amp;Fuel'!L196+'Prices&amp;Fuel'!O196)*'Prices&amp;Fuel'!H196</f>
        <v>108495.99691066272</v>
      </c>
      <c r="O196" s="14">
        <f>((B196+C196+D196)*(1-'Prices&amp;Fuel'!G196))*('Prices&amp;Fuel'!M196+'Prices&amp;Fuel'!P196)*'Prices&amp;Fuel'!H196</f>
        <v>288278.114</v>
      </c>
      <c r="P196" s="14">
        <f>((B196+C196+D196+E196+F196+G196)/(1-'Prices&amp;Fuel'!F196))*(1-'Prices&amp;Fuel'!F196)*'Prices&amp;Fuel'!H196*0.005</f>
        <v>3347.0437017994859</v>
      </c>
      <c r="Q196" s="14">
        <f>((D196+C196+B196+E196+F196+G196)*K196*'Prices&amp;Fuel'!H196)+M196+N196+O196+P196</f>
        <v>4291734.7587119816</v>
      </c>
      <c r="R196" s="6">
        <f t="shared" si="25"/>
        <v>80897.245728349313</v>
      </c>
      <c r="T196" s="3">
        <f t="shared" si="26"/>
        <v>21000</v>
      </c>
    </row>
    <row r="197" spans="1:20" x14ac:dyDescent="0.2">
      <c r="A197" s="10">
        <f t="shared" si="19"/>
        <v>41588.999999999534</v>
      </c>
      <c r="B197" s="6"/>
      <c r="C197" s="14"/>
      <c r="D197" s="14"/>
      <c r="E197" s="14"/>
      <c r="F197" s="14"/>
      <c r="G197" s="14"/>
      <c r="H197" s="1"/>
      <c r="I197" s="1"/>
      <c r="J197" s="1"/>
      <c r="K197" s="1"/>
      <c r="L197" s="1"/>
      <c r="M197" s="1"/>
      <c r="N197" s="1"/>
      <c r="O197" s="1"/>
      <c r="P197" s="1"/>
      <c r="Q197" s="1"/>
      <c r="R197" s="1"/>
    </row>
    <row r="198" spans="1:20" x14ac:dyDescent="0.2">
      <c r="A198" s="10">
        <f t="shared" ref="A198:A212" si="27">+A197+365/12</f>
        <v>41619.416666666199</v>
      </c>
      <c r="B198" s="6"/>
      <c r="C198" s="14"/>
      <c r="D198" s="14"/>
      <c r="E198" s="14"/>
      <c r="F198" s="14"/>
      <c r="G198" s="14"/>
      <c r="H198" s="1"/>
      <c r="I198" s="1"/>
      <c r="J198" s="1"/>
      <c r="K198" s="1"/>
      <c r="L198" s="1"/>
      <c r="M198" s="1"/>
      <c r="N198" s="1"/>
      <c r="O198" s="1"/>
      <c r="P198" s="1"/>
      <c r="Q198" s="1"/>
      <c r="R198" s="1"/>
    </row>
    <row r="199" spans="1:20" x14ac:dyDescent="0.2">
      <c r="A199" s="10">
        <f t="shared" si="27"/>
        <v>41649.833333332863</v>
      </c>
      <c r="B199" s="6"/>
      <c r="C199" s="14"/>
      <c r="D199" s="14"/>
      <c r="E199" s="14"/>
      <c r="F199" s="14"/>
      <c r="G199" s="14"/>
      <c r="H199" s="1"/>
      <c r="I199" s="1"/>
      <c r="J199" s="1"/>
      <c r="K199" s="1"/>
      <c r="L199" s="1"/>
      <c r="M199" s="1"/>
      <c r="N199" s="1"/>
      <c r="O199" s="1"/>
      <c r="P199" s="1"/>
      <c r="Q199" s="1"/>
      <c r="R199" s="1"/>
    </row>
    <row r="200" spans="1:20" customFormat="1" ht="13.2" x14ac:dyDescent="0.25">
      <c r="A200" s="10">
        <f t="shared" si="27"/>
        <v>41680.249999999527</v>
      </c>
      <c r="B200" s="6"/>
      <c r="C200" s="14"/>
      <c r="D200" s="14"/>
      <c r="E200" s="14"/>
      <c r="F200" s="14"/>
      <c r="G200" s="14"/>
      <c r="T200" s="3"/>
    </row>
    <row r="201" spans="1:20" customFormat="1" ht="13.2" x14ac:dyDescent="0.25">
      <c r="A201" s="10">
        <f t="shared" si="27"/>
        <v>41710.666666666191</v>
      </c>
      <c r="B201" s="6"/>
      <c r="C201" s="14"/>
      <c r="D201" s="14"/>
      <c r="E201" s="14"/>
      <c r="F201" s="14"/>
      <c r="G201" s="14"/>
      <c r="T201" s="3"/>
    </row>
    <row r="202" spans="1:20" customFormat="1" ht="13.2" x14ac:dyDescent="0.25">
      <c r="A202" s="10">
        <f t="shared" si="27"/>
        <v>41741.083333332856</v>
      </c>
      <c r="B202" s="6"/>
      <c r="C202" s="14"/>
      <c r="D202" s="14"/>
      <c r="E202" s="14"/>
      <c r="F202" s="14"/>
      <c r="G202" s="14"/>
      <c r="T202" s="3"/>
    </row>
    <row r="203" spans="1:20" x14ac:dyDescent="0.2">
      <c r="A203" s="10">
        <f t="shared" si="27"/>
        <v>41771.49999999952</v>
      </c>
      <c r="B203" s="6"/>
      <c r="C203" s="14"/>
      <c r="D203" s="14"/>
      <c r="E203" s="14"/>
      <c r="F203" s="14"/>
      <c r="G203" s="14"/>
      <c r="R203" s="13"/>
    </row>
    <row r="204" spans="1:20" x14ac:dyDescent="0.2">
      <c r="A204" s="10">
        <f t="shared" si="27"/>
        <v>41801.916666666184</v>
      </c>
      <c r="B204" s="6"/>
      <c r="C204" s="14"/>
      <c r="D204" s="14"/>
      <c r="E204" s="14"/>
      <c r="F204" s="14"/>
      <c r="G204" s="14"/>
      <c r="R204" s="13"/>
    </row>
    <row r="205" spans="1:20" x14ac:dyDescent="0.2">
      <c r="A205" s="10">
        <f t="shared" si="27"/>
        <v>41832.333333332848</v>
      </c>
      <c r="B205" s="6"/>
      <c r="C205" s="14"/>
      <c r="D205" s="14"/>
      <c r="E205" s="14"/>
      <c r="F205" s="14"/>
      <c r="G205" s="14"/>
      <c r="R205" s="13"/>
    </row>
    <row r="206" spans="1:20" x14ac:dyDescent="0.2">
      <c r="A206" s="10">
        <f t="shared" si="27"/>
        <v>41862.749999999513</v>
      </c>
      <c r="B206" s="6"/>
      <c r="C206" s="14"/>
      <c r="D206" s="14"/>
      <c r="E206" s="14"/>
      <c r="F206" s="14"/>
      <c r="G206" s="14"/>
    </row>
    <row r="207" spans="1:20" x14ac:dyDescent="0.2">
      <c r="A207" s="10">
        <f t="shared" si="27"/>
        <v>41893.166666666177</v>
      </c>
      <c r="B207" s="6"/>
      <c r="C207" s="14"/>
      <c r="D207" s="14"/>
      <c r="E207" s="14"/>
      <c r="F207" s="14"/>
      <c r="G207" s="14"/>
    </row>
    <row r="208" spans="1:20" x14ac:dyDescent="0.2">
      <c r="A208" s="10">
        <f t="shared" si="27"/>
        <v>41923.583333332841</v>
      </c>
    </row>
    <row r="209" spans="1:16" x14ac:dyDescent="0.2">
      <c r="A209" s="10">
        <f t="shared" si="27"/>
        <v>41953.999999999505</v>
      </c>
    </row>
    <row r="210" spans="1:16" x14ac:dyDescent="0.2">
      <c r="A210" s="10">
        <f t="shared" si="27"/>
        <v>41984.416666666169</v>
      </c>
    </row>
    <row r="211" spans="1:16" x14ac:dyDescent="0.2">
      <c r="A211" s="10">
        <f t="shared" si="27"/>
        <v>42014.833333332834</v>
      </c>
      <c r="O211" s="1"/>
      <c r="P211" s="1"/>
    </row>
    <row r="212" spans="1:16" x14ac:dyDescent="0.2">
      <c r="A212" s="10">
        <f t="shared" si="27"/>
        <v>42045.249999999498</v>
      </c>
    </row>
  </sheetData>
  <printOptions horizontalCentered="1" gridLines="1" gridLinesSet="0"/>
  <pageMargins left="0" right="0" top="0.25" bottom="0.25" header="0" footer="0"/>
  <pageSetup paperSize="5" scale="8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opLeftCell="A26" workbookViewId="0">
      <selection activeCell="BD42" sqref="BD42"/>
    </sheetView>
  </sheetViews>
  <sheetFormatPr defaultRowHeight="13.2" x14ac:dyDescent="0.25"/>
  <cols>
    <col min="1" max="1" width="9.109375" style="35" customWidth="1"/>
    <col min="2" max="2" width="71" style="37" customWidth="1"/>
  </cols>
  <sheetData>
    <row r="1" spans="1:2" x14ac:dyDescent="0.25">
      <c r="A1" s="26" t="s">
        <v>33</v>
      </c>
      <c r="B1" s="45"/>
    </row>
    <row r="3" spans="1:2" x14ac:dyDescent="0.25">
      <c r="A3" s="36" t="s">
        <v>34</v>
      </c>
      <c r="B3" s="37" t="s">
        <v>35</v>
      </c>
    </row>
    <row r="5" spans="1:2" x14ac:dyDescent="0.25">
      <c r="A5" s="36" t="s">
        <v>36</v>
      </c>
      <c r="B5" s="37" t="s">
        <v>37</v>
      </c>
    </row>
    <row r="7" spans="1:2" ht="39.6" x14ac:dyDescent="0.25">
      <c r="A7" s="36" t="s">
        <v>38</v>
      </c>
      <c r="B7" s="37" t="s">
        <v>39</v>
      </c>
    </row>
    <row r="9" spans="1:2" ht="39.6" x14ac:dyDescent="0.25">
      <c r="A9" s="36" t="s">
        <v>40</v>
      </c>
      <c r="B9" s="37" t="s">
        <v>41</v>
      </c>
    </row>
    <row r="11" spans="1:2" ht="39.6" x14ac:dyDescent="0.25">
      <c r="A11" s="36" t="s">
        <v>42</v>
      </c>
      <c r="B11" s="37" t="s">
        <v>43</v>
      </c>
    </row>
    <row r="13" spans="1:2" ht="26.4" x14ac:dyDescent="0.25">
      <c r="A13" s="36" t="s">
        <v>44</v>
      </c>
      <c r="B13" s="37" t="s">
        <v>45</v>
      </c>
    </row>
    <row r="15" spans="1:2" ht="26.4" x14ac:dyDescent="0.25">
      <c r="A15" s="36" t="s">
        <v>46</v>
      </c>
      <c r="B15" s="37" t="s">
        <v>47</v>
      </c>
    </row>
    <row r="17" spans="1:2" x14ac:dyDescent="0.25">
      <c r="A17" s="36" t="s">
        <v>48</v>
      </c>
      <c r="B17" s="37" t="s">
        <v>49</v>
      </c>
    </row>
    <row r="19" spans="1:2" ht="39.6" x14ac:dyDescent="0.25">
      <c r="A19" s="36" t="s">
        <v>50</v>
      </c>
      <c r="B19" s="37" t="s">
        <v>51</v>
      </c>
    </row>
    <row r="21" spans="1:2" ht="39.6" x14ac:dyDescent="0.25">
      <c r="A21" s="36" t="s">
        <v>52</v>
      </c>
      <c r="B21" s="37" t="s">
        <v>53</v>
      </c>
    </row>
    <row r="23" spans="1:2" x14ac:dyDescent="0.25">
      <c r="A23" s="36" t="s">
        <v>54</v>
      </c>
      <c r="B23" s="37" t="s">
        <v>55</v>
      </c>
    </row>
    <row r="25" spans="1:2" ht="26.4" x14ac:dyDescent="0.25">
      <c r="A25" s="36" t="s">
        <v>56</v>
      </c>
      <c r="B25" s="37" t="s">
        <v>57</v>
      </c>
    </row>
    <row r="27" spans="1:2" ht="39.6" x14ac:dyDescent="0.25">
      <c r="A27"/>
      <c r="B27" s="37" t="s">
        <v>58</v>
      </c>
    </row>
    <row r="28" spans="1:2" ht="39.6" x14ac:dyDescent="0.25">
      <c r="A28"/>
      <c r="B28" s="37" t="s">
        <v>59</v>
      </c>
    </row>
    <row r="29" spans="1:2" ht="26.4" x14ac:dyDescent="0.25">
      <c r="A29" s="36" t="s">
        <v>60</v>
      </c>
      <c r="B29" s="37" t="s">
        <v>61</v>
      </c>
    </row>
    <row r="30" spans="1:2" x14ac:dyDescent="0.25">
      <c r="A30"/>
    </row>
    <row r="31" spans="1:2" ht="52.8" x14ac:dyDescent="0.25">
      <c r="A31"/>
      <c r="B31" s="37" t="s">
        <v>62</v>
      </c>
    </row>
    <row r="32" spans="1:2" x14ac:dyDescent="0.25">
      <c r="A32" s="36" t="s">
        <v>63</v>
      </c>
      <c r="B32" s="37" t="s">
        <v>64</v>
      </c>
    </row>
    <row r="33" spans="1:2" x14ac:dyDescent="0.25">
      <c r="A33"/>
    </row>
    <row r="34" spans="1:2" ht="39.6" x14ac:dyDescent="0.25">
      <c r="A34"/>
      <c r="B34" s="37" t="s">
        <v>65</v>
      </c>
    </row>
    <row r="35" spans="1:2" x14ac:dyDescent="0.25">
      <c r="A35" s="36" t="s">
        <v>66</v>
      </c>
      <c r="B35" s="37" t="s">
        <v>67</v>
      </c>
    </row>
  </sheetData>
  <printOptions horizontalCentered="1" gridLines="1" gridLinesSet="0"/>
  <pageMargins left="0.75" right="0.75" top="0.32" bottom="0.23" header="0.5" footer="0.5"/>
  <pageSetup scale="9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75" workbookViewId="0">
      <selection activeCell="E19" sqref="E19"/>
    </sheetView>
  </sheetViews>
  <sheetFormatPr defaultRowHeight="13.2" x14ac:dyDescent="0.25"/>
  <cols>
    <col min="1" max="1" width="9.109375" style="10" customWidth="1"/>
    <col min="2" max="2" width="7.6640625" customWidth="1"/>
    <col min="3" max="3" width="9.109375" style="67" customWidth="1"/>
    <col min="4" max="4" width="4.44140625" style="32" customWidth="1"/>
    <col min="9" max="9" width="10.88671875" customWidth="1"/>
    <col min="10" max="10" width="8.6640625" style="21" customWidth="1"/>
    <col min="11" max="11" width="10.33203125" customWidth="1"/>
  </cols>
  <sheetData>
    <row r="1" spans="1:8" ht="39.6" x14ac:dyDescent="0.25">
      <c r="A1" s="11"/>
      <c r="B1" t="s">
        <v>68</v>
      </c>
      <c r="C1" s="69" t="s">
        <v>69</v>
      </c>
      <c r="E1" s="70">
        <v>1</v>
      </c>
      <c r="F1" s="68" t="s">
        <v>70</v>
      </c>
      <c r="G1" s="35" t="s">
        <v>71</v>
      </c>
      <c r="H1" s="35" t="s">
        <v>72</v>
      </c>
    </row>
    <row r="2" spans="1:8" x14ac:dyDescent="0.25">
      <c r="A2" s="40"/>
    </row>
    <row r="3" spans="1:8" x14ac:dyDescent="0.25">
      <c r="A3" s="43"/>
    </row>
    <row r="4" spans="1:8" x14ac:dyDescent="0.25">
      <c r="A4" s="43">
        <v>35718</v>
      </c>
      <c r="B4" s="23">
        <f>B16+21000</f>
        <v>74852</v>
      </c>
      <c r="D4" s="32">
        <v>31</v>
      </c>
    </row>
    <row r="5" spans="1:8" x14ac:dyDescent="0.25">
      <c r="A5" s="10">
        <v>35749</v>
      </c>
      <c r="B5" s="21">
        <f>Transport!S5</f>
        <v>43756.827899999997</v>
      </c>
      <c r="D5" s="32">
        <v>30</v>
      </c>
    </row>
    <row r="6" spans="1:8" x14ac:dyDescent="0.25">
      <c r="A6" s="10">
        <f t="shared" ref="A6:A46" si="0">+A5+365/12</f>
        <v>35779.416666666664</v>
      </c>
      <c r="B6" s="21">
        <f>Transport!S6</f>
        <v>42228</v>
      </c>
      <c r="D6" s="32">
        <v>31</v>
      </c>
    </row>
    <row r="7" spans="1:8" x14ac:dyDescent="0.25">
      <c r="A7" s="10">
        <f t="shared" si="0"/>
        <v>35809.833333333328</v>
      </c>
      <c r="B7" s="21">
        <f>Transport!S7</f>
        <v>43810</v>
      </c>
      <c r="D7" s="32">
        <v>31</v>
      </c>
    </row>
    <row r="8" spans="1:8" x14ac:dyDescent="0.25">
      <c r="A8" s="10">
        <f t="shared" si="0"/>
        <v>35840.249999999993</v>
      </c>
      <c r="B8" s="21">
        <f>Transport!S8</f>
        <v>43513.25</v>
      </c>
      <c r="D8" s="32">
        <v>28</v>
      </c>
    </row>
    <row r="9" spans="1:8" x14ac:dyDescent="0.25">
      <c r="A9" s="10">
        <f t="shared" si="0"/>
        <v>35870.666666666657</v>
      </c>
      <c r="B9" s="21">
        <f>Transport!S9</f>
        <v>45082.774193548386</v>
      </c>
      <c r="D9" s="32">
        <v>31</v>
      </c>
    </row>
    <row r="10" spans="1:8" x14ac:dyDescent="0.25">
      <c r="A10" s="10">
        <f t="shared" si="0"/>
        <v>35901.083333333321</v>
      </c>
      <c r="B10" s="21">
        <f>Transport!S10</f>
        <v>41812</v>
      </c>
      <c r="D10" s="32">
        <v>30</v>
      </c>
    </row>
    <row r="11" spans="1:8" x14ac:dyDescent="0.25">
      <c r="A11" s="10">
        <f t="shared" si="0"/>
        <v>35931.499999999985</v>
      </c>
      <c r="B11" s="21">
        <f>Transport!S11</f>
        <v>46797</v>
      </c>
      <c r="D11" s="32">
        <v>31</v>
      </c>
    </row>
    <row r="12" spans="1:8" x14ac:dyDescent="0.25">
      <c r="A12" s="10">
        <f t="shared" si="0"/>
        <v>35961.91666666665</v>
      </c>
      <c r="B12" s="21">
        <f>Transport!S12</f>
        <v>49445</v>
      </c>
      <c r="D12" s="32">
        <v>30</v>
      </c>
    </row>
    <row r="13" spans="1:8" x14ac:dyDescent="0.25">
      <c r="A13" s="10">
        <f t="shared" si="0"/>
        <v>35992.333333333314</v>
      </c>
      <c r="B13" s="21">
        <f>Transport!S13</f>
        <v>49264</v>
      </c>
      <c r="D13" s="32">
        <v>31</v>
      </c>
    </row>
    <row r="14" spans="1:8" x14ac:dyDescent="0.25">
      <c r="A14" s="10">
        <f t="shared" si="0"/>
        <v>36022.749999999978</v>
      </c>
      <c r="B14" s="21">
        <f>Transport!S14</f>
        <v>47724</v>
      </c>
      <c r="D14" s="32">
        <v>31</v>
      </c>
    </row>
    <row r="15" spans="1:8" x14ac:dyDescent="0.25">
      <c r="A15" s="10">
        <f t="shared" si="0"/>
        <v>36053.166666666642</v>
      </c>
      <c r="B15" s="21">
        <f>Transport!S15</f>
        <v>48366</v>
      </c>
      <c r="C15" s="67">
        <v>0.05</v>
      </c>
      <c r="D15" s="32">
        <v>30</v>
      </c>
      <c r="E15" s="21">
        <f>(B15*C15*D15*$E$1)</f>
        <v>72549</v>
      </c>
    </row>
    <row r="16" spans="1:8" x14ac:dyDescent="0.25">
      <c r="A16" s="10">
        <f t="shared" si="0"/>
        <v>36083.583333333307</v>
      </c>
      <c r="B16" s="21">
        <f>Transport!S16</f>
        <v>53852</v>
      </c>
      <c r="C16" s="67">
        <v>0.02</v>
      </c>
      <c r="D16" s="32">
        <v>31</v>
      </c>
      <c r="E16" s="21">
        <f>(B16*C16*D16*$E$1)</f>
        <v>33388.239999999998</v>
      </c>
    </row>
    <row r="17" spans="1:12" x14ac:dyDescent="0.25">
      <c r="A17" s="10">
        <f t="shared" si="0"/>
        <v>36113.999999999971</v>
      </c>
      <c r="B17" s="21">
        <f>Transport!S17</f>
        <v>25793</v>
      </c>
      <c r="C17" s="67">
        <v>0.02</v>
      </c>
      <c r="D17" s="32">
        <v>30</v>
      </c>
      <c r="E17" s="21">
        <f>(B17*C17*D17*$E$1)</f>
        <v>15475.800000000001</v>
      </c>
    </row>
    <row r="18" spans="1:12" x14ac:dyDescent="0.25">
      <c r="A18" s="10">
        <f t="shared" si="0"/>
        <v>36144.416666666635</v>
      </c>
      <c r="B18" s="21">
        <f>Transport!S18</f>
        <v>25793</v>
      </c>
      <c r="C18" s="67">
        <v>0.02</v>
      </c>
      <c r="D18" s="32">
        <v>31</v>
      </c>
      <c r="E18" s="21">
        <f>(B18*C18*D18*$E$1)</f>
        <v>15991.66</v>
      </c>
    </row>
    <row r="19" spans="1:12" x14ac:dyDescent="0.25">
      <c r="A19" s="10">
        <f t="shared" si="0"/>
        <v>36174.833333333299</v>
      </c>
      <c r="B19" s="21">
        <f>Transport!S19</f>
        <v>25793</v>
      </c>
      <c r="C19" s="67">
        <v>0.27</v>
      </c>
      <c r="D19" s="32">
        <v>31</v>
      </c>
      <c r="E19" s="21">
        <f>(B19*C19*D19*$E$1)</f>
        <v>215887.41000000003</v>
      </c>
      <c r="G19">
        <f>B19*D19*'Prices&amp;Fuel'!M19</f>
        <v>651500.22840000002</v>
      </c>
      <c r="H19" s="23">
        <f t="shared" ref="H19:H47" si="1">E19-G19</f>
        <v>-435612.81839999999</v>
      </c>
      <c r="J19" s="21">
        <f>B19*D19</f>
        <v>799583</v>
      </c>
    </row>
    <row r="20" spans="1:12" x14ac:dyDescent="0.25">
      <c r="A20" s="10">
        <f t="shared" si="0"/>
        <v>36205.249999999964</v>
      </c>
      <c r="B20" s="21">
        <f>Transport!S20</f>
        <v>25793</v>
      </c>
      <c r="C20" s="67">
        <f>C19</f>
        <v>0.27</v>
      </c>
      <c r="D20" s="32">
        <v>28</v>
      </c>
      <c r="E20" s="21">
        <f t="shared" ref="E20:E46" si="2">(B20*C20*D20*$E$1)</f>
        <v>194995.08000000002</v>
      </c>
      <c r="G20">
        <f>B20*D20*'Prices&amp;Fuel'!M20</f>
        <v>588451.81920000003</v>
      </c>
      <c r="H20" s="23">
        <f t="shared" si="1"/>
        <v>-393456.73920000001</v>
      </c>
      <c r="J20" s="21">
        <f t="shared" ref="J20:J46" si="3">B20*D20</f>
        <v>722204</v>
      </c>
    </row>
    <row r="21" spans="1:12" x14ac:dyDescent="0.25">
      <c r="A21" s="10">
        <f t="shared" si="0"/>
        <v>36235.666666666628</v>
      </c>
      <c r="B21" s="21">
        <f>Transport!S21</f>
        <v>25793</v>
      </c>
      <c r="C21" s="67">
        <f t="shared" ref="C21:C46" si="4">C20</f>
        <v>0.27</v>
      </c>
      <c r="D21" s="32">
        <v>31</v>
      </c>
      <c r="E21" s="21">
        <f t="shared" si="2"/>
        <v>215887.41000000003</v>
      </c>
      <c r="G21">
        <f>B21*D21*'Prices&amp;Fuel'!M21</f>
        <v>623274.94850000006</v>
      </c>
      <c r="H21" s="23">
        <f t="shared" si="1"/>
        <v>-407387.53850000002</v>
      </c>
      <c r="J21" s="21">
        <f t="shared" si="3"/>
        <v>799583</v>
      </c>
    </row>
    <row r="22" spans="1:12" x14ac:dyDescent="0.25">
      <c r="A22" s="10">
        <f t="shared" si="0"/>
        <v>36266.083333333292</v>
      </c>
      <c r="B22" s="21">
        <f>Transport!S22</f>
        <v>23894</v>
      </c>
      <c r="C22" s="67">
        <f t="shared" si="4"/>
        <v>0.27</v>
      </c>
      <c r="D22" s="32">
        <v>30</v>
      </c>
      <c r="E22" s="21">
        <f t="shared" si="2"/>
        <v>193541.4</v>
      </c>
      <c r="G22">
        <f>B22*D22*'Prices&amp;Fuel'!M22</f>
        <v>558761.19000000006</v>
      </c>
      <c r="H22" s="23">
        <f t="shared" si="1"/>
        <v>-365219.79000000004</v>
      </c>
      <c r="J22" s="21">
        <f t="shared" si="3"/>
        <v>716820</v>
      </c>
    </row>
    <row r="23" spans="1:12" x14ac:dyDescent="0.25">
      <c r="A23" s="10">
        <f t="shared" si="0"/>
        <v>36296.499999999956</v>
      </c>
      <c r="B23" s="21">
        <f>Transport!S23</f>
        <v>19894.000000000004</v>
      </c>
      <c r="C23" s="67">
        <f t="shared" si="4"/>
        <v>0.27</v>
      </c>
      <c r="D23" s="32">
        <v>31</v>
      </c>
      <c r="E23" s="21">
        <f t="shared" si="2"/>
        <v>166512.78000000003</v>
      </c>
      <c r="G23">
        <f>B23*D23*'Prices&amp;Fuel'!M23</f>
        <v>480728.56300000014</v>
      </c>
      <c r="H23" s="23">
        <f t="shared" si="1"/>
        <v>-314215.78300000011</v>
      </c>
      <c r="J23" s="21">
        <f t="shared" si="3"/>
        <v>616714.00000000012</v>
      </c>
    </row>
    <row r="24" spans="1:12" x14ac:dyDescent="0.25">
      <c r="A24" s="10">
        <f t="shared" si="0"/>
        <v>36326.916666666621</v>
      </c>
      <c r="B24" s="21">
        <f>Transport!S24</f>
        <v>19894.000000000004</v>
      </c>
      <c r="C24" s="67">
        <f t="shared" si="4"/>
        <v>0.27</v>
      </c>
      <c r="D24" s="32">
        <v>30</v>
      </c>
      <c r="E24" s="21">
        <f t="shared" si="2"/>
        <v>161141.40000000002</v>
      </c>
      <c r="G24">
        <f>B24*D24*'Prices&amp;Fuel'!M24</f>
        <v>465221.19000000012</v>
      </c>
      <c r="H24" s="23">
        <f t="shared" si="1"/>
        <v>-304079.7900000001</v>
      </c>
      <c r="J24" s="21">
        <f t="shared" si="3"/>
        <v>596820.00000000012</v>
      </c>
    </row>
    <row r="25" spans="1:12" x14ac:dyDescent="0.25">
      <c r="A25" s="10">
        <f t="shared" si="0"/>
        <v>36357.333333333285</v>
      </c>
      <c r="B25" s="21">
        <f>Transport!S25</f>
        <v>19894.000000000004</v>
      </c>
      <c r="C25" s="67">
        <f t="shared" si="4"/>
        <v>0.27</v>
      </c>
      <c r="D25" s="32">
        <v>31</v>
      </c>
      <c r="E25" s="21">
        <f t="shared" si="2"/>
        <v>166512.78000000003</v>
      </c>
      <c r="G25">
        <f>B25*D25*'Prices&amp;Fuel'!M25</f>
        <v>480728.56300000014</v>
      </c>
      <c r="H25" s="23">
        <f t="shared" si="1"/>
        <v>-314215.78300000011</v>
      </c>
      <c r="J25" s="21">
        <f t="shared" si="3"/>
        <v>616714.00000000012</v>
      </c>
    </row>
    <row r="26" spans="1:12" x14ac:dyDescent="0.25">
      <c r="A26" s="10">
        <f t="shared" si="0"/>
        <v>36387.749999999949</v>
      </c>
      <c r="B26" s="21">
        <f>Transport!S26</f>
        <v>19894.000000000004</v>
      </c>
      <c r="C26" s="67">
        <f t="shared" si="4"/>
        <v>0.27</v>
      </c>
      <c r="D26" s="32">
        <v>31</v>
      </c>
      <c r="E26" s="21">
        <f t="shared" si="2"/>
        <v>166512.78000000003</v>
      </c>
      <c r="G26">
        <f>B26*D26*'Prices&amp;Fuel'!M26</f>
        <v>480728.56300000014</v>
      </c>
      <c r="H26" s="23">
        <f t="shared" si="1"/>
        <v>-314215.78300000011</v>
      </c>
      <c r="J26" s="21">
        <f t="shared" si="3"/>
        <v>616714.00000000012</v>
      </c>
    </row>
    <row r="27" spans="1:12" x14ac:dyDescent="0.25">
      <c r="A27" s="10">
        <f t="shared" si="0"/>
        <v>36418.166666666613</v>
      </c>
      <c r="B27" s="21">
        <f>Transport!S27</f>
        <v>19894.000000000004</v>
      </c>
      <c r="C27" s="67">
        <f t="shared" si="4"/>
        <v>0.27</v>
      </c>
      <c r="D27" s="32">
        <v>30</v>
      </c>
      <c r="E27" s="21">
        <f t="shared" si="2"/>
        <v>161141.40000000002</v>
      </c>
      <c r="G27">
        <f>B27*D27*'Prices&amp;Fuel'!M27</f>
        <v>465221.19000000012</v>
      </c>
      <c r="H27" s="23">
        <f t="shared" si="1"/>
        <v>-304079.7900000001</v>
      </c>
      <c r="J27" s="21">
        <f t="shared" si="3"/>
        <v>596820.00000000012</v>
      </c>
    </row>
    <row r="28" spans="1:12" x14ac:dyDescent="0.25">
      <c r="A28" s="10">
        <f t="shared" si="0"/>
        <v>36448.583333333278</v>
      </c>
      <c r="B28" s="21">
        <f>Transport!S28</f>
        <v>22852</v>
      </c>
      <c r="C28" s="67">
        <f t="shared" si="4"/>
        <v>0.27</v>
      </c>
      <c r="D28" s="32">
        <v>31</v>
      </c>
      <c r="E28" s="21">
        <f t="shared" si="2"/>
        <v>191271.24</v>
      </c>
      <c r="G28">
        <f>B28*D28*'Prices&amp;Fuel'!M28</f>
        <v>552207.1540000001</v>
      </c>
      <c r="H28" s="23">
        <f t="shared" si="1"/>
        <v>-360935.91400000011</v>
      </c>
      <c r="J28" s="21">
        <f t="shared" si="3"/>
        <v>708412</v>
      </c>
    </row>
    <row r="29" spans="1:12" x14ac:dyDescent="0.25">
      <c r="A29" s="10">
        <f t="shared" si="0"/>
        <v>36478.999999999942</v>
      </c>
      <c r="B29" s="21">
        <f>Transport!S29</f>
        <v>15793</v>
      </c>
      <c r="C29" s="67">
        <f t="shared" si="4"/>
        <v>0.27</v>
      </c>
      <c r="D29" s="32">
        <v>30</v>
      </c>
      <c r="E29" s="21">
        <f t="shared" si="2"/>
        <v>127923.30000000002</v>
      </c>
      <c r="G29">
        <f>B29*D29*'Prices&amp;Fuel'!M29</f>
        <v>369319.30500000005</v>
      </c>
      <c r="H29" s="23">
        <f t="shared" si="1"/>
        <v>-241396.00500000003</v>
      </c>
      <c r="J29" s="21">
        <f t="shared" si="3"/>
        <v>473790</v>
      </c>
    </row>
    <row r="30" spans="1:12" x14ac:dyDescent="0.25">
      <c r="A30" s="10">
        <f t="shared" si="0"/>
        <v>36509.416666666606</v>
      </c>
      <c r="B30" s="21">
        <f>Transport!S30</f>
        <v>15793</v>
      </c>
      <c r="C30" s="67">
        <f t="shared" si="4"/>
        <v>0.27</v>
      </c>
      <c r="D30" s="32">
        <v>31</v>
      </c>
      <c r="E30" s="21">
        <f t="shared" si="2"/>
        <v>132187.41000000003</v>
      </c>
      <c r="F30" s="23">
        <f>SUM(E19:E30)</f>
        <v>2093514.3900000006</v>
      </c>
      <c r="G30">
        <f>B30*D30*'Prices&amp;Fuel'!M30</f>
        <v>381629.94850000006</v>
      </c>
      <c r="H30" s="23">
        <f t="shared" si="1"/>
        <v>-249442.53850000002</v>
      </c>
      <c r="I30" s="23">
        <f>SUM(H19:H30)</f>
        <v>-4004258.2726000007</v>
      </c>
      <c r="J30" s="21">
        <f t="shared" si="3"/>
        <v>489583</v>
      </c>
      <c r="K30" s="23">
        <f>SUM(J19:J30)</f>
        <v>7753757</v>
      </c>
      <c r="L30">
        <f>F30/K30</f>
        <v>0.27000000000000007</v>
      </c>
    </row>
    <row r="31" spans="1:12" x14ac:dyDescent="0.25">
      <c r="A31" s="10">
        <f t="shared" si="0"/>
        <v>36539.83333333327</v>
      </c>
      <c r="B31" s="21">
        <f>Transport!S31</f>
        <v>15793.000000000002</v>
      </c>
      <c r="C31" s="67">
        <f t="shared" si="4"/>
        <v>0.27</v>
      </c>
      <c r="D31" s="32">
        <v>31</v>
      </c>
      <c r="E31" s="21">
        <f t="shared" si="2"/>
        <v>132187.41000000003</v>
      </c>
      <c r="G31">
        <f>B31*D31*'Prices&amp;Fuel'!M31</f>
        <v>381140.36550000001</v>
      </c>
      <c r="H31" s="23">
        <f t="shared" si="1"/>
        <v>-248952.95549999998</v>
      </c>
      <c r="J31" s="21">
        <f t="shared" si="3"/>
        <v>489583.00000000006</v>
      </c>
    </row>
    <row r="32" spans="1:12" x14ac:dyDescent="0.25">
      <c r="A32" s="10">
        <f t="shared" si="0"/>
        <v>36570.249999999935</v>
      </c>
      <c r="B32" s="21">
        <f>Transport!S32</f>
        <v>15793.000000000002</v>
      </c>
      <c r="C32" s="67">
        <f t="shared" si="4"/>
        <v>0.27</v>
      </c>
      <c r="D32" s="32">
        <v>29</v>
      </c>
      <c r="E32" s="21">
        <f t="shared" si="2"/>
        <v>123659.19000000002</v>
      </c>
      <c r="G32">
        <f>B32*D32*'Prices&amp;Fuel'!M32</f>
        <v>356550.66450000001</v>
      </c>
      <c r="H32" s="23">
        <f t="shared" si="1"/>
        <v>-232891.47450000001</v>
      </c>
      <c r="J32" s="21">
        <f t="shared" si="3"/>
        <v>457997.00000000006</v>
      </c>
    </row>
    <row r="33" spans="1:12" x14ac:dyDescent="0.25">
      <c r="A33" s="10">
        <f t="shared" si="0"/>
        <v>36600.666666666599</v>
      </c>
      <c r="B33" s="21">
        <f>Transport!S33</f>
        <v>15793.000000000002</v>
      </c>
      <c r="C33" s="67">
        <f t="shared" si="4"/>
        <v>0.27</v>
      </c>
      <c r="D33" s="32">
        <v>31</v>
      </c>
      <c r="E33" s="21">
        <f t="shared" si="2"/>
        <v>132187.41000000003</v>
      </c>
      <c r="G33">
        <f>B33*D33*'Prices&amp;Fuel'!M33</f>
        <v>376195.57720000006</v>
      </c>
      <c r="H33" s="23">
        <f t="shared" si="1"/>
        <v>-244008.16720000003</v>
      </c>
      <c r="J33" s="21">
        <f t="shared" si="3"/>
        <v>489583.00000000006</v>
      </c>
    </row>
    <row r="34" spans="1:12" x14ac:dyDescent="0.25">
      <c r="A34" s="10">
        <f t="shared" si="0"/>
        <v>36631.083333333263</v>
      </c>
      <c r="B34" s="21">
        <f>Transport!S34</f>
        <v>23894</v>
      </c>
      <c r="C34" s="67">
        <f t="shared" si="4"/>
        <v>0.27</v>
      </c>
      <c r="D34" s="32">
        <v>30</v>
      </c>
      <c r="E34" s="21">
        <f t="shared" si="2"/>
        <v>193541.4</v>
      </c>
      <c r="G34">
        <f>B34*D34*'Prices&amp;Fuel'!M34</f>
        <v>550804.48800000001</v>
      </c>
      <c r="H34" s="23">
        <f t="shared" si="1"/>
        <v>-357263.08799999999</v>
      </c>
      <c r="J34" s="21">
        <f t="shared" si="3"/>
        <v>716820</v>
      </c>
    </row>
    <row r="35" spans="1:12" x14ac:dyDescent="0.25">
      <c r="A35" s="10">
        <f t="shared" si="0"/>
        <v>36661.499999999927</v>
      </c>
      <c r="B35" s="21">
        <f>Transport!S35</f>
        <v>19893.999999999673</v>
      </c>
      <c r="C35" s="67">
        <f t="shared" si="4"/>
        <v>0.27</v>
      </c>
      <c r="D35" s="32">
        <v>31</v>
      </c>
      <c r="E35" s="21">
        <f t="shared" si="2"/>
        <v>166512.77999999726</v>
      </c>
      <c r="G35">
        <f>B35*D35*'Prices&amp;Fuel'!M35</f>
        <v>473883.03759999224</v>
      </c>
      <c r="H35" s="23">
        <f t="shared" si="1"/>
        <v>-307370.25759999501</v>
      </c>
      <c r="J35" s="21">
        <f t="shared" si="3"/>
        <v>616713.99999998987</v>
      </c>
    </row>
    <row r="36" spans="1:12" x14ac:dyDescent="0.25">
      <c r="A36" s="10">
        <f t="shared" si="0"/>
        <v>36691.916666666591</v>
      </c>
      <c r="B36" s="21">
        <f>Transport!S36</f>
        <v>19893.999999999782</v>
      </c>
      <c r="C36" s="67">
        <f t="shared" si="4"/>
        <v>0.27</v>
      </c>
      <c r="D36" s="32">
        <v>30</v>
      </c>
      <c r="E36" s="21">
        <f t="shared" si="2"/>
        <v>161141.39999999822</v>
      </c>
      <c r="G36">
        <f>B36*D36*'Prices&amp;Fuel'!M36</f>
        <v>458596.48799999506</v>
      </c>
      <c r="H36" s="23">
        <f t="shared" si="1"/>
        <v>-297455.08799999685</v>
      </c>
      <c r="J36" s="21">
        <f t="shared" si="3"/>
        <v>596819.99999999348</v>
      </c>
    </row>
    <row r="37" spans="1:12" x14ac:dyDescent="0.25">
      <c r="A37" s="10">
        <f t="shared" si="0"/>
        <v>36722.333333333256</v>
      </c>
      <c r="B37" s="21">
        <f>Transport!S37</f>
        <v>19893.999999999782</v>
      </c>
      <c r="C37" s="67">
        <f t="shared" si="4"/>
        <v>0.27</v>
      </c>
      <c r="D37" s="32">
        <v>31</v>
      </c>
      <c r="E37" s="21">
        <f t="shared" si="2"/>
        <v>166512.77999999817</v>
      </c>
      <c r="G37">
        <f>B37*D37*'Prices&amp;Fuel'!M37</f>
        <v>473883.03759999486</v>
      </c>
      <c r="H37" s="23">
        <f t="shared" si="1"/>
        <v>-307370.25759999669</v>
      </c>
      <c r="J37" s="21">
        <f t="shared" si="3"/>
        <v>616713.99999999325</v>
      </c>
    </row>
    <row r="38" spans="1:12" x14ac:dyDescent="0.25">
      <c r="A38" s="10">
        <f t="shared" si="0"/>
        <v>36752.74999999992</v>
      </c>
      <c r="B38" s="21">
        <f>Transport!S38</f>
        <v>19893.999999999782</v>
      </c>
      <c r="C38" s="67">
        <f t="shared" si="4"/>
        <v>0.27</v>
      </c>
      <c r="D38" s="32">
        <v>31</v>
      </c>
      <c r="E38" s="21">
        <f t="shared" si="2"/>
        <v>166512.77999999817</v>
      </c>
      <c r="G38">
        <f>B38*D38*'Prices&amp;Fuel'!M38</f>
        <v>473883.03759999486</v>
      </c>
      <c r="H38" s="23">
        <f t="shared" si="1"/>
        <v>-307370.25759999669</v>
      </c>
      <c r="J38" s="21">
        <f t="shared" si="3"/>
        <v>616713.99999999325</v>
      </c>
    </row>
    <row r="39" spans="1:12" x14ac:dyDescent="0.25">
      <c r="A39" s="10">
        <f t="shared" si="0"/>
        <v>36783.166666666584</v>
      </c>
      <c r="B39" s="21">
        <f>Transport!S39</f>
        <v>19893.999999999782</v>
      </c>
      <c r="C39" s="67">
        <f t="shared" si="4"/>
        <v>0.27</v>
      </c>
      <c r="D39" s="32">
        <v>30</v>
      </c>
      <c r="E39" s="21">
        <f t="shared" si="2"/>
        <v>161141.39999999822</v>
      </c>
      <c r="G39">
        <f>B39*D39*'Prices&amp;Fuel'!M39</f>
        <v>458596.48799999506</v>
      </c>
      <c r="H39" s="23">
        <f t="shared" si="1"/>
        <v>-297455.08799999685</v>
      </c>
      <c r="J39" s="21">
        <f t="shared" si="3"/>
        <v>596819.99999999348</v>
      </c>
    </row>
    <row r="40" spans="1:12" x14ac:dyDescent="0.25">
      <c r="A40" s="10">
        <f t="shared" si="0"/>
        <v>36813.583333333248</v>
      </c>
      <c r="B40" s="21">
        <f>Transport!S40</f>
        <v>22852.000000000415</v>
      </c>
      <c r="C40" s="67">
        <f t="shared" si="4"/>
        <v>0.27</v>
      </c>
      <c r="D40" s="32">
        <v>31</v>
      </c>
      <c r="E40" s="21">
        <f t="shared" si="2"/>
        <v>191271.24000000348</v>
      </c>
      <c r="G40">
        <f>B40*D40*'Prices&amp;Fuel'!M40</f>
        <v>544343.78080000984</v>
      </c>
      <c r="H40" s="23">
        <f t="shared" si="1"/>
        <v>-353072.54080000636</v>
      </c>
      <c r="J40" s="21">
        <f t="shared" si="3"/>
        <v>708412.00000001281</v>
      </c>
    </row>
    <row r="41" spans="1:12" x14ac:dyDescent="0.25">
      <c r="A41" s="10">
        <f t="shared" si="0"/>
        <v>36843.999999999913</v>
      </c>
      <c r="B41" s="21">
        <f>Transport!S41</f>
        <v>15793.000000000002</v>
      </c>
      <c r="C41" s="67">
        <f t="shared" si="4"/>
        <v>0.27</v>
      </c>
      <c r="D41" s="32">
        <v>30</v>
      </c>
      <c r="E41" s="21">
        <f t="shared" si="2"/>
        <v>127923.30000000002</v>
      </c>
      <c r="G41">
        <f>B41*D41*'Prices&amp;Fuel'!M41</f>
        <v>364060.23600000009</v>
      </c>
      <c r="H41" s="23">
        <f t="shared" si="1"/>
        <v>-236136.93600000007</v>
      </c>
      <c r="J41" s="21">
        <f t="shared" si="3"/>
        <v>473790.00000000006</v>
      </c>
    </row>
    <row r="42" spans="1:12" x14ac:dyDescent="0.25">
      <c r="A42" s="10">
        <f t="shared" si="0"/>
        <v>36874.416666666577</v>
      </c>
      <c r="B42" s="21">
        <f>Transport!S42</f>
        <v>15793.000000000002</v>
      </c>
      <c r="C42" s="67">
        <f t="shared" si="4"/>
        <v>0.27</v>
      </c>
      <c r="D42" s="32">
        <v>31</v>
      </c>
      <c r="E42" s="21">
        <f t="shared" si="2"/>
        <v>132187.41000000003</v>
      </c>
      <c r="F42" s="23">
        <f>SUM(E31:E42)</f>
        <v>1854778.4999999935</v>
      </c>
      <c r="G42">
        <f>B42*D42*'Prices&amp;Fuel'!M42</f>
        <v>376195.57720000006</v>
      </c>
      <c r="H42" s="23">
        <f t="shared" si="1"/>
        <v>-244008.16720000003</v>
      </c>
      <c r="I42" s="23">
        <f>SUM(H31:H42)</f>
        <v>-3433354.2779999883</v>
      </c>
      <c r="J42" s="21">
        <f t="shared" si="3"/>
        <v>489583.00000000006</v>
      </c>
      <c r="K42" s="23">
        <f>SUM(J31:J42)</f>
        <v>6869549.9999999767</v>
      </c>
      <c r="L42">
        <f>F42/K42</f>
        <v>0.26999999999999996</v>
      </c>
    </row>
    <row r="43" spans="1:12" x14ac:dyDescent="0.25">
      <c r="A43" s="10">
        <f t="shared" si="0"/>
        <v>36904.833333333241</v>
      </c>
      <c r="B43" s="21">
        <f>Transport!S43</f>
        <v>15793.000000000002</v>
      </c>
      <c r="C43" s="67">
        <f t="shared" si="4"/>
        <v>0.27</v>
      </c>
      <c r="D43" s="32">
        <v>31</v>
      </c>
      <c r="E43" s="21">
        <f t="shared" si="2"/>
        <v>132187.41000000003</v>
      </c>
      <c r="G43">
        <f>B43*D43*'Prices&amp;Fuel'!M43</f>
        <v>376195.57720000006</v>
      </c>
      <c r="H43" s="23">
        <f t="shared" si="1"/>
        <v>-244008.16720000003</v>
      </c>
      <c r="J43" s="21">
        <f t="shared" si="3"/>
        <v>489583.00000000006</v>
      </c>
    </row>
    <row r="44" spans="1:12" x14ac:dyDescent="0.25">
      <c r="A44" s="10">
        <f t="shared" si="0"/>
        <v>36935.249999999905</v>
      </c>
      <c r="B44" s="21">
        <f>Transport!S44</f>
        <v>15793.000000000002</v>
      </c>
      <c r="C44" s="67">
        <f t="shared" si="4"/>
        <v>0.27</v>
      </c>
      <c r="D44" s="32">
        <v>28</v>
      </c>
      <c r="E44" s="21">
        <f t="shared" si="2"/>
        <v>119395.08000000002</v>
      </c>
      <c r="G44">
        <f>B44*D44*'Prices&amp;Fuel'!M44</f>
        <v>339789.5536000001</v>
      </c>
      <c r="H44" s="23">
        <f t="shared" si="1"/>
        <v>-220394.47360000008</v>
      </c>
      <c r="J44" s="21">
        <f t="shared" si="3"/>
        <v>442204.00000000006</v>
      </c>
    </row>
    <row r="45" spans="1:12" x14ac:dyDescent="0.25">
      <c r="A45" s="10">
        <f t="shared" si="0"/>
        <v>36965.66666666657</v>
      </c>
      <c r="B45" s="21">
        <f>Transport!S45</f>
        <v>15793.000000000002</v>
      </c>
      <c r="C45" s="67">
        <f t="shared" si="4"/>
        <v>0.27</v>
      </c>
      <c r="D45" s="32">
        <v>31</v>
      </c>
      <c r="E45" s="21">
        <f t="shared" si="2"/>
        <v>132187.41000000003</v>
      </c>
      <c r="G45">
        <f>B45*D45*'Prices&amp;Fuel'!M45</f>
        <v>376195.57720000006</v>
      </c>
      <c r="H45" s="23">
        <f t="shared" si="1"/>
        <v>-244008.16720000003</v>
      </c>
      <c r="J45" s="21">
        <f t="shared" si="3"/>
        <v>489583.00000000006</v>
      </c>
    </row>
    <row r="46" spans="1:12" x14ac:dyDescent="0.25">
      <c r="A46" s="10">
        <f t="shared" si="0"/>
        <v>36996.083333333234</v>
      </c>
      <c r="B46" s="21">
        <f>Transport!S46</f>
        <v>23894</v>
      </c>
      <c r="C46" s="67">
        <f t="shared" si="4"/>
        <v>0.27</v>
      </c>
      <c r="D46" s="32">
        <v>30</v>
      </c>
      <c r="E46" s="21">
        <f t="shared" si="2"/>
        <v>193541.4</v>
      </c>
      <c r="F46" s="23">
        <f>SUM(E43:E46)</f>
        <v>577311.30000000005</v>
      </c>
      <c r="G46">
        <f>B46*D46*'Prices&amp;Fuel'!M46</f>
        <v>550804.48800000001</v>
      </c>
      <c r="H46" s="23">
        <f t="shared" si="1"/>
        <v>-357263.08799999999</v>
      </c>
      <c r="I46" s="23">
        <f>SUM(H43:H46)</f>
        <v>-1065673.8960000002</v>
      </c>
      <c r="J46" s="21">
        <f t="shared" si="3"/>
        <v>716820</v>
      </c>
      <c r="K46" s="23">
        <f>SUM(J43:J46)</f>
        <v>2138190</v>
      </c>
      <c r="L46">
        <f>F46/K46</f>
        <v>0.27</v>
      </c>
    </row>
    <row r="47" spans="1:12" x14ac:dyDescent="0.25">
      <c r="H47" s="23">
        <f t="shared" si="1"/>
        <v>0</v>
      </c>
    </row>
  </sheetData>
  <printOptions horizontalCentered="1"/>
  <pageMargins left="0.34" right="0.25" top="1" bottom="1" header="0.5" footer="0.5"/>
  <pageSetup scale="97" orientation="portrait" horizontalDpi="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9"/>
  <sheetViews>
    <sheetView zoomScale="75" workbookViewId="0">
      <pane xSplit="1" ySplit="2" topLeftCell="B3" activePane="bottomRight" state="frozen"/>
      <selection activeCell="BD42" sqref="BD42"/>
      <selection pane="topRight" activeCell="BD42" sqref="BD42"/>
      <selection pane="bottomLeft" activeCell="BD42" sqref="BD42"/>
      <selection pane="bottomRight" activeCell="A23" sqref="A23"/>
    </sheetView>
  </sheetViews>
  <sheetFormatPr defaultColWidth="9.109375" defaultRowHeight="10.199999999999999" x14ac:dyDescent="0.2"/>
  <cols>
    <col min="1" max="1" width="9.109375" style="10"/>
    <col min="2" max="2" width="9.109375" style="3"/>
    <col min="3" max="5" width="0" style="3" hidden="1" customWidth="1"/>
    <col min="6" max="19" width="9.109375" style="3"/>
    <col min="20" max="20" width="10.33203125" style="3" customWidth="1"/>
    <col min="21" max="21" width="11.44140625" style="3" customWidth="1"/>
    <col min="22" max="16384" width="9.109375" style="3"/>
  </cols>
  <sheetData>
    <row r="1" spans="1:26" ht="30.6" x14ac:dyDescent="0.2">
      <c r="A1" s="11"/>
      <c r="F1" s="5" t="s">
        <v>73</v>
      </c>
      <c r="G1" s="5"/>
      <c r="H1" s="5"/>
      <c r="I1" s="5" t="s">
        <v>74</v>
      </c>
      <c r="J1" s="5"/>
      <c r="K1" s="5"/>
      <c r="L1" s="39" t="s">
        <v>75</v>
      </c>
      <c r="M1" s="5" t="s">
        <v>76</v>
      </c>
      <c r="N1" s="5"/>
      <c r="O1" s="5"/>
      <c r="P1" s="5"/>
      <c r="Q1" s="8" t="s">
        <v>77</v>
      </c>
      <c r="R1" s="8" t="s">
        <v>78</v>
      </c>
      <c r="S1" s="8" t="s">
        <v>79</v>
      </c>
      <c r="T1" s="8" t="s">
        <v>80</v>
      </c>
      <c r="U1" s="3" t="s">
        <v>71</v>
      </c>
      <c r="V1" s="8" t="s">
        <v>81</v>
      </c>
    </row>
    <row r="2" spans="1:26" s="32" customFormat="1" x14ac:dyDescent="0.2">
      <c r="A2" s="40"/>
      <c r="F2" s="33" t="s">
        <v>29</v>
      </c>
      <c r="G2" s="33" t="s">
        <v>30</v>
      </c>
      <c r="H2" s="33" t="s">
        <v>31</v>
      </c>
      <c r="I2" s="33" t="s">
        <v>29</v>
      </c>
      <c r="J2" s="33" t="s">
        <v>30</v>
      </c>
      <c r="K2" s="33" t="s">
        <v>31</v>
      </c>
      <c r="L2" s="33" t="s">
        <v>30</v>
      </c>
      <c r="M2" s="33" t="s">
        <v>29</v>
      </c>
      <c r="N2" s="33" t="s">
        <v>30</v>
      </c>
      <c r="O2" s="33" t="s">
        <v>31</v>
      </c>
      <c r="P2" s="32" t="s">
        <v>82</v>
      </c>
    </row>
    <row r="3" spans="1:26" x14ac:dyDescent="0.2">
      <c r="A3" s="43"/>
    </row>
    <row r="4" spans="1:26" x14ac:dyDescent="0.2">
      <c r="A4" s="43"/>
    </row>
    <row r="5" spans="1:26" x14ac:dyDescent="0.2">
      <c r="A5" s="10">
        <v>35749</v>
      </c>
      <c r="B5" s="3">
        <v>30</v>
      </c>
      <c r="C5" s="12">
        <v>-0.13465814091953598</v>
      </c>
      <c r="E5" s="44">
        <v>1.7500000000000071E-2</v>
      </c>
      <c r="F5" s="3">
        <v>7761</v>
      </c>
      <c r="G5" s="3">
        <v>14039</v>
      </c>
      <c r="H5" s="3">
        <v>18200</v>
      </c>
      <c r="I5" s="3">
        <v>2563</v>
      </c>
      <c r="J5" s="3">
        <v>2862</v>
      </c>
      <c r="K5" s="3">
        <v>1685</v>
      </c>
      <c r="M5" s="1">
        <f>F5+I5</f>
        <v>10324</v>
      </c>
      <c r="N5" s="1">
        <f>G5+J5+L5</f>
        <v>16901</v>
      </c>
      <c r="O5" s="1">
        <f t="shared" ref="O5:O20" si="0">H5+K5</f>
        <v>19885</v>
      </c>
      <c r="P5" s="1">
        <f>SUM(M5:O5)</f>
        <v>47110</v>
      </c>
      <c r="Q5" s="1">
        <f>'Index Price Deals'!B5+'Index Price Deals'!C5+'Index Price Deals'!D5-'Prices&amp;Fuel'!AE5</f>
        <v>1653.1721000000002</v>
      </c>
      <c r="R5" s="3">
        <f>('Long Term Deals'!BB5+'Long Term Deals'!BC5+'Long Term Deals'!BD5+'Long Term Deals'!BE5+'Long Term Deals'!BF5+'Long Term Deals'!BG5)*(1-'Prices&amp;Fuel'!F5)</f>
        <v>1700</v>
      </c>
      <c r="S5" s="13">
        <f>P5-Q5-R5-V5</f>
        <v>43756.827899999997</v>
      </c>
      <c r="T5" s="1">
        <f>(('Long Term Deals'!BH5-'Long Term Deals'!BK5)/(1-'Prices&amp;Fuel'!F5)-'Prices&amp;Fuel'!P5)*R5*B5</f>
        <v>4176.2343991748467</v>
      </c>
      <c r="U5" s="1">
        <f>((F5+G5+H5)*B5*'Prices&amp;Fuel'!M5)+((I5+J5+K5)*B5*'Prices&amp;Fuel'!L5)+(L5*B5*'Prices&amp;Fuel'!N5)-T5-((V5)*B5*'Prices&amp;Fuel'!M5)</f>
        <v>1055120.5256008252</v>
      </c>
    </row>
    <row r="6" spans="1:26" x14ac:dyDescent="0.2">
      <c r="A6" s="10">
        <f t="shared" ref="A6:A37" si="1">+A5+365/12</f>
        <v>35779.416666666664</v>
      </c>
      <c r="B6" s="3">
        <v>31</v>
      </c>
      <c r="C6" s="12">
        <v>-0.15463966205032165</v>
      </c>
      <c r="E6" s="44">
        <v>2.2499999999999999E-2</v>
      </c>
      <c r="F6" s="3">
        <v>7761</v>
      </c>
      <c r="G6" s="3">
        <v>14039</v>
      </c>
      <c r="H6" s="3">
        <v>18200</v>
      </c>
      <c r="I6" s="3">
        <v>2563</v>
      </c>
      <c r="J6" s="3">
        <v>2862</v>
      </c>
      <c r="K6" s="3">
        <v>1685</v>
      </c>
      <c r="M6" s="1">
        <f t="shared" ref="M6:M21" si="2">F6+I6</f>
        <v>10324</v>
      </c>
      <c r="N6" s="1">
        <f t="shared" ref="N6:N21" si="3">G6+J6+L6</f>
        <v>16901</v>
      </c>
      <c r="O6" s="1">
        <f t="shared" si="0"/>
        <v>19885</v>
      </c>
      <c r="P6" s="1">
        <f t="shared" ref="P6:P21" si="4">SUM(M6:O6)</f>
        <v>47110</v>
      </c>
      <c r="Q6" s="1">
        <f>'Index Price Deals'!B6+'Index Price Deals'!C6+'Index Price Deals'!D6-'Prices&amp;Fuel'!AE6</f>
        <v>3182</v>
      </c>
      <c r="R6" s="3">
        <f>('Long Term Deals'!BB6+'Long Term Deals'!BC6+'Long Term Deals'!BD6+'Long Term Deals'!BE6+'Long Term Deals'!BF6+'Long Term Deals'!BG6)*(1-'Prices&amp;Fuel'!F6)</f>
        <v>1700</v>
      </c>
      <c r="S6" s="13">
        <f t="shared" ref="S6:S69" si="5">P6-Q6-R6-V6</f>
        <v>42228</v>
      </c>
      <c r="T6" s="1">
        <f>(('Long Term Deals'!BH6-'Long Term Deals'!BK6)/(1-'Prices&amp;Fuel'!F6)-'Prices&amp;Fuel'!P6)*R6*B6</f>
        <v>4315.4422124806742</v>
      </c>
      <c r="U6" s="1">
        <f>((F6+G6+H6)*B6*'Prices&amp;Fuel'!M6)+((I6+J6+K6)*B6*'Prices&amp;Fuel'!L6)+(L6*B6*'Prices&amp;Fuel'!N6)-T6-((V6)*B6*'Prices&amp;Fuel'!M6)</f>
        <v>1090291.2097875194</v>
      </c>
    </row>
    <row r="7" spans="1:26" x14ac:dyDescent="0.2">
      <c r="A7" s="10">
        <f t="shared" si="1"/>
        <v>35809.833333333328</v>
      </c>
      <c r="B7" s="3">
        <v>31</v>
      </c>
      <c r="C7" s="12">
        <v>-0.16463378241011828</v>
      </c>
      <c r="E7" s="44">
        <v>2.2499999999999999E-2</v>
      </c>
      <c r="F7" s="3">
        <v>7761</v>
      </c>
      <c r="G7" s="3">
        <v>14039</v>
      </c>
      <c r="H7" s="3">
        <v>18200</v>
      </c>
      <c r="I7" s="3">
        <v>2563</v>
      </c>
      <c r="J7" s="3">
        <v>2862</v>
      </c>
      <c r="K7" s="3">
        <v>1685</v>
      </c>
      <c r="L7" s="3">
        <v>683</v>
      </c>
      <c r="M7" s="1">
        <f t="shared" si="2"/>
        <v>10324</v>
      </c>
      <c r="N7" s="1">
        <f t="shared" si="3"/>
        <v>17584</v>
      </c>
      <c r="O7" s="1">
        <f t="shared" si="0"/>
        <v>19885</v>
      </c>
      <c r="P7" s="1">
        <f t="shared" si="4"/>
        <v>47793</v>
      </c>
      <c r="Q7" s="1">
        <f>'Index Price Deals'!B7+'Index Price Deals'!C7+'Index Price Deals'!D7-'Prices&amp;Fuel'!AE7</f>
        <v>2283</v>
      </c>
      <c r="R7" s="3">
        <f>('Long Term Deals'!BB7+'Long Term Deals'!BC7+'Long Term Deals'!BD7+'Long Term Deals'!BE7+'Long Term Deals'!BF7+'Long Term Deals'!BG7)*(1-'Prices&amp;Fuel'!F7)</f>
        <v>1700</v>
      </c>
      <c r="S7" s="13">
        <f t="shared" si="5"/>
        <v>43810</v>
      </c>
      <c r="T7" s="1">
        <f>(('Long Term Deals'!BH7-'Long Term Deals'!BK7)/(1-'Prices&amp;Fuel'!F7)-'Prices&amp;Fuel'!P7)*R7*B7</f>
        <v>4315.4422124806742</v>
      </c>
      <c r="U7" s="1">
        <f>((F7+G7+H7)*B7*'Prices&amp;Fuel'!M7)+((I7+J7+K7)*B7*'Prices&amp;Fuel'!L7)+(L7*B7*'Prices&amp;Fuel'!N7)-T7-((V7)*B7*'Prices&amp;Fuel'!M7)</f>
        <v>1094525.8097875195</v>
      </c>
      <c r="Z7" s="3">
        <f>P7*B7</f>
        <v>1481583</v>
      </c>
    </row>
    <row r="8" spans="1:26" x14ac:dyDescent="0.2">
      <c r="A8" s="10">
        <f t="shared" si="1"/>
        <v>35840.249999999993</v>
      </c>
      <c r="B8" s="3">
        <v>28</v>
      </c>
      <c r="C8" s="12">
        <v>-0.14964184591668372</v>
      </c>
      <c r="E8" s="44">
        <v>2.2499999999999999E-2</v>
      </c>
      <c r="F8" s="3">
        <v>7761</v>
      </c>
      <c r="G8" s="3">
        <v>14039</v>
      </c>
      <c r="H8" s="3">
        <v>18200</v>
      </c>
      <c r="I8" s="3">
        <v>2563</v>
      </c>
      <c r="J8" s="3">
        <v>2862</v>
      </c>
      <c r="K8" s="3">
        <v>1685</v>
      </c>
      <c r="L8" s="3">
        <v>683</v>
      </c>
      <c r="M8" s="1">
        <f t="shared" si="2"/>
        <v>10324</v>
      </c>
      <c r="N8" s="1">
        <f t="shared" si="3"/>
        <v>17584</v>
      </c>
      <c r="O8" s="1">
        <f t="shared" si="0"/>
        <v>19885</v>
      </c>
      <c r="P8" s="1">
        <f t="shared" si="4"/>
        <v>47793</v>
      </c>
      <c r="Q8" s="1">
        <f>'Index Price Deals'!B8+'Index Price Deals'!C8+'Index Price Deals'!D8-'Prices&amp;Fuel'!AE8</f>
        <v>2579.75</v>
      </c>
      <c r="R8" s="3">
        <f>('Long Term Deals'!BB8+'Long Term Deals'!BC8+'Long Term Deals'!BD8+'Long Term Deals'!BE8+'Long Term Deals'!BF8+'Long Term Deals'!BG8)*(1-'Prices&amp;Fuel'!F8)</f>
        <v>1700</v>
      </c>
      <c r="S8" s="13">
        <f t="shared" si="5"/>
        <v>43513.25</v>
      </c>
      <c r="T8" s="1">
        <f>(('Long Term Deals'!BH8-'Long Term Deals'!BK8)/(1-'Prices&amp;Fuel'!F8)-'Prices&amp;Fuel'!P8)*R8*B8</f>
        <v>4282.5208226221102</v>
      </c>
      <c r="U8" s="1">
        <f>((F8+G8+H8)*B8*'Prices&amp;Fuel'!M8)+((I8+J8+K8)*B8*'Prices&amp;Fuel'!L8)+(L8*B8*'Prices&amp;Fuel'!N8)-T8-((V8)*B8*'Prices&amp;Fuel'!M8)</f>
        <v>988219.25517737796</v>
      </c>
      <c r="Z8" s="3">
        <f t="shared" ref="Z8:Z18" si="6">P8*B8</f>
        <v>1338204</v>
      </c>
    </row>
    <row r="9" spans="1:26" x14ac:dyDescent="0.2">
      <c r="A9" s="10">
        <f t="shared" si="1"/>
        <v>35870.666666666657</v>
      </c>
      <c r="B9" s="3">
        <v>31</v>
      </c>
      <c r="C9" s="12">
        <v>-0.12465478112513395</v>
      </c>
      <c r="E9" s="44">
        <v>1.7499999999999627E-2</v>
      </c>
      <c r="F9" s="3">
        <v>7761</v>
      </c>
      <c r="G9" s="3">
        <v>14039</v>
      </c>
      <c r="H9" s="3">
        <v>18200</v>
      </c>
      <c r="I9" s="3">
        <v>2563</v>
      </c>
      <c r="J9" s="3">
        <v>2862</v>
      </c>
      <c r="K9" s="3">
        <v>1685</v>
      </c>
      <c r="L9" s="3">
        <v>683</v>
      </c>
      <c r="M9" s="1">
        <f t="shared" si="2"/>
        <v>10324</v>
      </c>
      <c r="N9" s="1">
        <f t="shared" si="3"/>
        <v>17584</v>
      </c>
      <c r="O9" s="1">
        <f t="shared" si="0"/>
        <v>19885</v>
      </c>
      <c r="P9" s="1">
        <f t="shared" si="4"/>
        <v>47793</v>
      </c>
      <c r="Q9" s="1">
        <f>'Index Price Deals'!B9+'Index Price Deals'!C9+'Index Price Deals'!D9-'Prices&amp;Fuel'!AE9</f>
        <v>1010.2258064516132</v>
      </c>
      <c r="R9" s="3">
        <f>('Long Term Deals'!BB9+'Long Term Deals'!BC9+'Long Term Deals'!BD9+'Long Term Deals'!BE9+'Long Term Deals'!BF9+'Long Term Deals'!BG9)*(1-'Prices&amp;Fuel'!F9)</f>
        <v>1700</v>
      </c>
      <c r="S9" s="13">
        <f t="shared" si="5"/>
        <v>45082.774193548386</v>
      </c>
      <c r="T9" s="1">
        <f>(('Long Term Deals'!BH9-'Long Term Deals'!BK9)/(1-'Prices&amp;Fuel'!F9)-'Prices&amp;Fuel'!P9)*R9*B9</f>
        <v>4741.362339331622</v>
      </c>
      <c r="U9" s="1">
        <f>((F9+G9+H9)*B9*'Prices&amp;Fuel'!M9)+((I9+J9+K9)*B9*'Prices&amp;Fuel'!L9)+(L9*B9*'Prices&amp;Fuel'!N9)-T9-((V9)*B9*'Prices&amp;Fuel'!M9)</f>
        <v>1094099.8896606686</v>
      </c>
      <c r="Z9" s="3">
        <f t="shared" si="6"/>
        <v>1481583</v>
      </c>
    </row>
    <row r="10" spans="1:26" x14ac:dyDescent="0.2">
      <c r="A10" s="10">
        <f t="shared" si="1"/>
        <v>35901.083333333321</v>
      </c>
      <c r="B10" s="3">
        <v>30</v>
      </c>
      <c r="C10" s="12">
        <v>-6.4687600198348072E-2</v>
      </c>
      <c r="E10" s="44">
        <v>4.9999999999998934E-3</v>
      </c>
      <c r="F10" s="3">
        <v>7761</v>
      </c>
      <c r="G10" s="3">
        <v>14039</v>
      </c>
      <c r="H10" s="3">
        <v>18200</v>
      </c>
      <c r="I10" s="3">
        <v>1880</v>
      </c>
      <c r="J10" s="3">
        <v>2073</v>
      </c>
      <c r="K10" s="3">
        <v>1258</v>
      </c>
      <c r="L10" s="3">
        <v>683</v>
      </c>
      <c r="M10" s="1">
        <f t="shared" si="2"/>
        <v>9641</v>
      </c>
      <c r="N10" s="1">
        <f t="shared" si="3"/>
        <v>16795</v>
      </c>
      <c r="O10" s="1">
        <f t="shared" si="0"/>
        <v>19458</v>
      </c>
      <c r="P10" s="1">
        <f t="shared" si="4"/>
        <v>45894</v>
      </c>
      <c r="Q10" s="1">
        <f>'Index Price Deals'!B10+'Index Price Deals'!C10+'Index Price Deals'!D10-'Prices&amp;Fuel'!AE10</f>
        <v>2382</v>
      </c>
      <c r="R10" s="3">
        <f>('Long Term Deals'!BB10+'Long Term Deals'!BC10+'Long Term Deals'!BD10+'Long Term Deals'!BE10+'Long Term Deals'!BF10+'Long Term Deals'!BG10)*(1-'Prices&amp;Fuel'!F10)</f>
        <v>1700</v>
      </c>
      <c r="S10" s="13">
        <f t="shared" si="5"/>
        <v>41812</v>
      </c>
      <c r="T10" s="1">
        <f>(('Long Term Deals'!BH10-'Long Term Deals'!BK10)/(1-'Prices&amp;Fuel'!F10)-'Prices&amp;Fuel'!P10)*R10*B10</f>
        <v>2802.9778123057727</v>
      </c>
      <c r="U10" s="1">
        <f>((F10+G10+H10)*B10*'Prices&amp;Fuel'!M10)+((I10+J10+K10)*B10*'Prices&amp;Fuel'!L10)+(L10*B10*'Prices&amp;Fuel'!N10)-T10-((V10)*B10*'Prices&amp;Fuel'!M10)</f>
        <v>1039102.6981876942</v>
      </c>
      <c r="Z10" s="3">
        <f t="shared" si="6"/>
        <v>1376820</v>
      </c>
    </row>
    <row r="11" spans="1:26" x14ac:dyDescent="0.2">
      <c r="A11" s="10">
        <f t="shared" si="1"/>
        <v>35931.499999999985</v>
      </c>
      <c r="B11" s="3">
        <v>31</v>
      </c>
      <c r="C11" s="12">
        <v>-6.4784856162124482E-2</v>
      </c>
      <c r="E11" s="44">
        <v>4.9999999999998934E-3</v>
      </c>
      <c r="F11" s="3">
        <v>8730</v>
      </c>
      <c r="G11" s="3">
        <v>15795</v>
      </c>
      <c r="H11" s="3">
        <v>20475</v>
      </c>
      <c r="I11" s="3">
        <v>1880</v>
      </c>
      <c r="J11" s="3">
        <v>2295</v>
      </c>
      <c r="K11" s="3">
        <v>1036</v>
      </c>
      <c r="L11" s="3">
        <v>683</v>
      </c>
      <c r="M11" s="1">
        <f t="shared" si="2"/>
        <v>10610</v>
      </c>
      <c r="N11" s="1">
        <f t="shared" si="3"/>
        <v>18773</v>
      </c>
      <c r="O11" s="1">
        <f t="shared" si="0"/>
        <v>21511</v>
      </c>
      <c r="P11" s="1">
        <f t="shared" si="4"/>
        <v>50894</v>
      </c>
      <c r="Q11" s="1">
        <f>'Index Price Deals'!B11+'Index Price Deals'!C11+'Index Price Deals'!D11-'Prices&amp;Fuel'!AE11</f>
        <v>2397</v>
      </c>
      <c r="R11" s="3">
        <f>('Long Term Deals'!BB11+'Long Term Deals'!BC11+'Long Term Deals'!BD11+'Long Term Deals'!BE11+'Long Term Deals'!BF11+'Long Term Deals'!BG11)*(1-'Prices&amp;Fuel'!F11)</f>
        <v>1700</v>
      </c>
      <c r="S11" s="13">
        <f t="shared" si="5"/>
        <v>46797</v>
      </c>
      <c r="T11" s="1">
        <f>(('Long Term Deals'!BH11-'Long Term Deals'!BK11)/(1-'Prices&amp;Fuel'!F11)-'Prices&amp;Fuel'!P11)*R11*B11</f>
        <v>3610.8347650453402</v>
      </c>
      <c r="U11" s="1">
        <f>((F11+G11+H11)*B11*'Prices&amp;Fuel'!M11)+((I11+J11+K11)*B11*'Prices&amp;Fuel'!L11)+(L11*B11*'Prices&amp;Fuel'!N11)-T11-((V11)*B11*'Prices&amp;Fuel'!M11)</f>
        <v>1199458.5304349547</v>
      </c>
      <c r="Z11" s="3">
        <f t="shared" si="6"/>
        <v>1577714</v>
      </c>
    </row>
    <row r="12" spans="1:26" x14ac:dyDescent="0.2">
      <c r="A12" s="10">
        <f t="shared" si="1"/>
        <v>35961.91666666665</v>
      </c>
      <c r="B12" s="3">
        <v>30</v>
      </c>
      <c r="C12" s="12">
        <v>-6.4787839666809566E-2</v>
      </c>
      <c r="E12" s="44">
        <v>4.9999999999998934E-3</v>
      </c>
      <c r="F12" s="3">
        <v>8730</v>
      </c>
      <c r="G12" s="3">
        <v>15795</v>
      </c>
      <c r="H12" s="3">
        <v>20475</v>
      </c>
      <c r="I12" s="3">
        <v>1880</v>
      </c>
      <c r="J12" s="3">
        <v>2295</v>
      </c>
      <c r="K12" s="3">
        <v>1036</v>
      </c>
      <c r="L12" s="3">
        <v>683</v>
      </c>
      <c r="M12" s="1">
        <f t="shared" si="2"/>
        <v>10610</v>
      </c>
      <c r="N12" s="1">
        <f t="shared" si="3"/>
        <v>18773</v>
      </c>
      <c r="O12" s="1">
        <f t="shared" si="0"/>
        <v>21511</v>
      </c>
      <c r="P12" s="1">
        <f t="shared" si="4"/>
        <v>50894</v>
      </c>
      <c r="Q12" s="1">
        <f>'Index Price Deals'!B12+'Index Price Deals'!C12+'Index Price Deals'!D12-'Prices&amp;Fuel'!AE12</f>
        <v>1449</v>
      </c>
      <c r="R12" s="3">
        <f>('Long Term Deals'!BB12+'Long Term Deals'!BC12+'Long Term Deals'!BD12+'Long Term Deals'!BE12+'Long Term Deals'!BF12+'Long Term Deals'!BG12)*(1-'Prices&amp;Fuel'!F12)</f>
        <v>0</v>
      </c>
      <c r="S12" s="13">
        <f t="shared" si="5"/>
        <v>49445</v>
      </c>
      <c r="T12" s="1">
        <f>(('Long Term Deals'!BH12-'Long Term Deals'!BK12)/(1-'Prices&amp;Fuel'!F12)-'Prices&amp;Fuel'!P12)*R12*B12</f>
        <v>0</v>
      </c>
      <c r="U12" s="1">
        <f>((F12+G12+H12)*B12*'Prices&amp;Fuel'!M12)+((I12+J12+K12)*B12*'Prices&amp;Fuel'!L12)+(L12*B12*'Prices&amp;Fuel'!N12)-T12-((V12)*B12*'Prices&amp;Fuel'!M12)</f>
        <v>1164260.676</v>
      </c>
      <c r="Z12" s="3">
        <f t="shared" si="6"/>
        <v>1526820</v>
      </c>
    </row>
    <row r="13" spans="1:26" x14ac:dyDescent="0.2">
      <c r="A13" s="10">
        <f t="shared" si="1"/>
        <v>35992.333333333314</v>
      </c>
      <c r="B13" s="3">
        <v>31</v>
      </c>
      <c r="C13" s="12">
        <v>-6.4787508166288976E-2</v>
      </c>
      <c r="E13" s="44">
        <v>9.4999999999998419E-3</v>
      </c>
      <c r="F13" s="3">
        <v>8730</v>
      </c>
      <c r="G13" s="3">
        <v>15795</v>
      </c>
      <c r="H13" s="3">
        <v>20475</v>
      </c>
      <c r="I13" s="3">
        <v>1880</v>
      </c>
      <c r="J13" s="3">
        <v>2295</v>
      </c>
      <c r="K13" s="3">
        <v>1036</v>
      </c>
      <c r="L13" s="3">
        <v>683</v>
      </c>
      <c r="M13" s="1">
        <f t="shared" si="2"/>
        <v>10610</v>
      </c>
      <c r="N13" s="1">
        <f t="shared" si="3"/>
        <v>18773</v>
      </c>
      <c r="O13" s="1">
        <f t="shared" si="0"/>
        <v>21511</v>
      </c>
      <c r="P13" s="1">
        <f t="shared" si="4"/>
        <v>50894</v>
      </c>
      <c r="Q13" s="1">
        <f>'Index Price Deals'!B13+'Index Price Deals'!C13+'Index Price Deals'!D13-'Prices&amp;Fuel'!AE13</f>
        <v>1630</v>
      </c>
      <c r="R13" s="3">
        <f>('Long Term Deals'!BB13+'Long Term Deals'!BC13+'Long Term Deals'!BD13+'Long Term Deals'!BE13+'Long Term Deals'!BF13+'Long Term Deals'!BG13)*(1-'Prices&amp;Fuel'!F13)</f>
        <v>0</v>
      </c>
      <c r="S13" s="13">
        <f t="shared" si="5"/>
        <v>49264</v>
      </c>
      <c r="T13" s="1">
        <f>(('Long Term Deals'!BH13-'Long Term Deals'!BK13)/(1-'Prices&amp;Fuel'!F13)-'Prices&amp;Fuel'!P13)*R13*B13</f>
        <v>0</v>
      </c>
      <c r="U13" s="1">
        <f>((F13+G13+H13)*B13*'Prices&amp;Fuel'!M13)+((I13+J13+K13)*B13*'Prices&amp;Fuel'!L13)+(L13*B13*'Prices&amp;Fuel'!N13)-T13-((V13)*B13*'Prices&amp;Fuel'!M13)</f>
        <v>1203069.3652000001</v>
      </c>
      <c r="Z13" s="3">
        <f t="shared" si="6"/>
        <v>1577714</v>
      </c>
    </row>
    <row r="14" spans="1:26" x14ac:dyDescent="0.2">
      <c r="A14" s="10">
        <f t="shared" si="1"/>
        <v>36022.749999999978</v>
      </c>
      <c r="B14" s="3">
        <v>31</v>
      </c>
      <c r="C14" s="12">
        <v>-6.4786734665074341E-2</v>
      </c>
      <c r="E14" s="44">
        <v>9.4999999999996199E-3</v>
      </c>
      <c r="F14" s="3">
        <v>8730</v>
      </c>
      <c r="G14" s="3">
        <v>15795</v>
      </c>
      <c r="H14" s="3">
        <v>20475</v>
      </c>
      <c r="I14" s="3">
        <v>1880</v>
      </c>
      <c r="J14" s="3">
        <v>2295</v>
      </c>
      <c r="K14" s="3">
        <v>1036</v>
      </c>
      <c r="L14" s="3">
        <v>683</v>
      </c>
      <c r="M14" s="1">
        <f t="shared" si="2"/>
        <v>10610</v>
      </c>
      <c r="N14" s="1">
        <f t="shared" si="3"/>
        <v>18773</v>
      </c>
      <c r="O14" s="1">
        <f t="shared" si="0"/>
        <v>21511</v>
      </c>
      <c r="P14" s="1">
        <f t="shared" si="4"/>
        <v>50894</v>
      </c>
      <c r="Q14" s="1">
        <f>'Index Price Deals'!B14+'Index Price Deals'!C14+'Index Price Deals'!D14-'Prices&amp;Fuel'!AE14</f>
        <v>3170</v>
      </c>
      <c r="R14" s="3">
        <f>('Long Term Deals'!BB14+'Long Term Deals'!BC14+'Long Term Deals'!BD14+'Long Term Deals'!BE14+'Long Term Deals'!BF14+'Long Term Deals'!BG14)*(1-'Prices&amp;Fuel'!F14)</f>
        <v>0</v>
      </c>
      <c r="S14" s="13">
        <f t="shared" si="5"/>
        <v>47724</v>
      </c>
      <c r="T14" s="13"/>
      <c r="U14" s="1">
        <f>((F14+G14+H14)*B14*'Prices&amp;Fuel'!M14)+((I14+J14+K14)*B14*'Prices&amp;Fuel'!L14)+(L14*B14*'Prices&amp;Fuel'!N14)-T14-((V14)*B14*'Prices&amp;Fuel'!M14)</f>
        <v>1203069.3652000001</v>
      </c>
      <c r="Z14" s="3">
        <f t="shared" si="6"/>
        <v>1577714</v>
      </c>
    </row>
    <row r="15" spans="1:26" x14ac:dyDescent="0.2">
      <c r="A15" s="10">
        <f t="shared" si="1"/>
        <v>36053.166666666642</v>
      </c>
      <c r="B15" s="3">
        <v>30</v>
      </c>
      <c r="C15" s="12">
        <v>-6.4786734665074341E-2</v>
      </c>
      <c r="E15" s="44">
        <v>9.4999999999996199E-3</v>
      </c>
      <c r="F15" s="3">
        <v>8730</v>
      </c>
      <c r="G15" s="3">
        <v>15795</v>
      </c>
      <c r="H15" s="3">
        <v>20475</v>
      </c>
      <c r="I15" s="3">
        <v>1880</v>
      </c>
      <c r="J15" s="3">
        <v>2295</v>
      </c>
      <c r="K15" s="3">
        <v>1036</v>
      </c>
      <c r="L15" s="3">
        <v>683</v>
      </c>
      <c r="M15" s="1">
        <f t="shared" si="2"/>
        <v>10610</v>
      </c>
      <c r="N15" s="1">
        <f t="shared" si="3"/>
        <v>18773</v>
      </c>
      <c r="O15" s="1">
        <f t="shared" si="0"/>
        <v>21511</v>
      </c>
      <c r="P15" s="1">
        <f t="shared" si="4"/>
        <v>50894</v>
      </c>
      <c r="Q15" s="1">
        <f>'Index Price Deals'!B15+'Index Price Deals'!C15+'Index Price Deals'!D15-'Prices&amp;Fuel'!AE15</f>
        <v>2528</v>
      </c>
      <c r="R15" s="3">
        <f>('Long Term Deals'!BB15+'Long Term Deals'!BC15+'Long Term Deals'!BD15+'Long Term Deals'!BE15+'Long Term Deals'!BF15+'Long Term Deals'!BG15)*(1-'Prices&amp;Fuel'!F15)</f>
        <v>0</v>
      </c>
      <c r="S15" s="13">
        <f t="shared" si="5"/>
        <v>48366</v>
      </c>
      <c r="T15" s="13"/>
      <c r="U15" s="1">
        <f>((F15+G15+H15)*B15*'Prices&amp;Fuel'!M15)+((I15+J15+K15)*B15*'Prices&amp;Fuel'!L15)+(L15*B15*'Prices&amp;Fuel'!N15)-T15-((V15)*B15*'Prices&amp;Fuel'!M15)</f>
        <v>1164260.676</v>
      </c>
      <c r="Z15" s="3">
        <f t="shared" si="6"/>
        <v>1526820</v>
      </c>
    </row>
    <row r="16" spans="1:26" x14ac:dyDescent="0.2">
      <c r="A16" s="10">
        <f t="shared" si="1"/>
        <v>36083.583333333307</v>
      </c>
      <c r="B16" s="3">
        <v>31</v>
      </c>
      <c r="C16" s="12">
        <v>-6.469438022076246E-2</v>
      </c>
      <c r="E16" s="44">
        <v>1.4499999999999957E-2</v>
      </c>
      <c r="F16" s="3">
        <v>8730</v>
      </c>
      <c r="G16" s="3">
        <v>15795</v>
      </c>
      <c r="H16" s="3">
        <v>20475</v>
      </c>
      <c r="I16" s="3">
        <v>2830</v>
      </c>
      <c r="J16" s="3">
        <v>3500</v>
      </c>
      <c r="K16" s="3">
        <v>1521</v>
      </c>
      <c r="L16" s="3">
        <v>1001</v>
      </c>
      <c r="M16" s="1">
        <f t="shared" si="2"/>
        <v>11560</v>
      </c>
      <c r="N16" s="1">
        <f t="shared" si="3"/>
        <v>20296</v>
      </c>
      <c r="O16" s="1">
        <f t="shared" si="0"/>
        <v>21996</v>
      </c>
      <c r="P16" s="1">
        <f t="shared" si="4"/>
        <v>53852</v>
      </c>
      <c r="Q16" s="1">
        <v>0</v>
      </c>
      <c r="R16" s="3">
        <f>('Long Term Deals'!BB16+'Long Term Deals'!BC16+'Long Term Deals'!BD16+'Long Term Deals'!BE16+'Long Term Deals'!BF16+'Long Term Deals'!BG16)*(1-'Prices&amp;Fuel'!F16)</f>
        <v>0</v>
      </c>
      <c r="S16" s="13">
        <f t="shared" si="5"/>
        <v>53852</v>
      </c>
      <c r="T16" s="13">
        <v>0</v>
      </c>
      <c r="U16" s="1">
        <f>((F16+G16+H16)*B16*'Prices&amp;Fuel'!M16)+((I16+J16+K16)*B16*'Prices&amp;Fuel'!L16)+(L16*B16*'Prices&amp;Fuel'!N16)-T16-((V16)*B16*'Prices&amp;Fuel'!M16)</f>
        <v>1235911.0131999999</v>
      </c>
      <c r="W16" s="13">
        <f>P16-R16-V16</f>
        <v>53852</v>
      </c>
      <c r="Z16" s="3">
        <f t="shared" si="6"/>
        <v>1669412</v>
      </c>
    </row>
    <row r="17" spans="1:26" x14ac:dyDescent="0.2">
      <c r="A17" s="10">
        <f t="shared" si="1"/>
        <v>36113.999999999971</v>
      </c>
      <c r="B17" s="3">
        <v>30</v>
      </c>
      <c r="C17" s="12">
        <v>-0.10466150071393931</v>
      </c>
      <c r="E17" s="44">
        <v>1.9499999999999851E-2</v>
      </c>
      <c r="F17" s="3">
        <f>7761-1128</f>
        <v>6633</v>
      </c>
      <c r="G17" s="3">
        <f>14039-666-3474</f>
        <v>9899</v>
      </c>
      <c r="H17" s="3">
        <f>18200-4732</f>
        <v>13468</v>
      </c>
      <c r="I17" s="3">
        <v>2563</v>
      </c>
      <c r="J17" s="3">
        <v>2862</v>
      </c>
      <c r="K17" s="3">
        <v>1685</v>
      </c>
      <c r="L17" s="3">
        <v>683</v>
      </c>
      <c r="M17" s="1">
        <f t="shared" si="2"/>
        <v>9196</v>
      </c>
      <c r="N17" s="1">
        <f t="shared" si="3"/>
        <v>13444</v>
      </c>
      <c r="O17" s="1">
        <f t="shared" si="0"/>
        <v>15153</v>
      </c>
      <c r="P17" s="1">
        <f t="shared" si="4"/>
        <v>37793</v>
      </c>
      <c r="Q17" s="1">
        <f>'Index Price Deals'!B17+'Index Price Deals'!C17+'Index Price Deals'!D17-'Prices&amp;Fuel'!AE17</f>
        <v>0</v>
      </c>
      <c r="R17" s="3">
        <f>('Long Term Deals'!BB17+'Long Term Deals'!BC17+'Long Term Deals'!BD17+'Long Term Deals'!BE17+'Long Term Deals'!BF17+'Long Term Deals'!BG17)*(1-'Prices&amp;Fuel'!F17)</f>
        <v>12000</v>
      </c>
      <c r="S17" s="13">
        <f t="shared" si="5"/>
        <v>25793</v>
      </c>
      <c r="T17" s="13">
        <f>((I17+J17+K17)*'Prices&amp;Fuel'!H17*'Prices&amp;Fuel'!L17)+('Prices&amp;Fuel'!N17*'Prices&amp;Fuel'!H17*Transport!L17)+(('Long Term Deals'!BB17+'Long Term Deals'!BC17+'Long Term Deals'!BD17)*'Prices&amp;Fuel'!H17*'Prices&amp;Fuel'!M17)</f>
        <v>190513.48478386167</v>
      </c>
      <c r="U17" s="1">
        <f>S17*B17*'Prices&amp;Fuel'!M17</f>
        <v>631180.50300000003</v>
      </c>
      <c r="W17" s="13">
        <f>P17-R17-V17</f>
        <v>25793</v>
      </c>
      <c r="Z17" s="3">
        <f t="shared" si="6"/>
        <v>1133790</v>
      </c>
    </row>
    <row r="18" spans="1:26" x14ac:dyDescent="0.2">
      <c r="A18" s="10">
        <f t="shared" si="1"/>
        <v>36144.416666666635</v>
      </c>
      <c r="B18" s="3">
        <v>31</v>
      </c>
      <c r="C18" s="12">
        <v>-0.13464806153632791</v>
      </c>
      <c r="E18" s="44">
        <v>2.4500000000000188E-2</v>
      </c>
      <c r="F18" s="3">
        <f>7761-1128</f>
        <v>6633</v>
      </c>
      <c r="G18" s="3">
        <f>14039-666-3474</f>
        <v>9899</v>
      </c>
      <c r="H18" s="3">
        <f>18200-4732</f>
        <v>13468</v>
      </c>
      <c r="I18" s="3">
        <v>2563</v>
      </c>
      <c r="J18" s="3">
        <v>2862</v>
      </c>
      <c r="K18" s="3">
        <v>1685</v>
      </c>
      <c r="L18" s="3">
        <v>683</v>
      </c>
      <c r="M18" s="1">
        <f t="shared" si="2"/>
        <v>9196</v>
      </c>
      <c r="N18" s="1">
        <f t="shared" si="3"/>
        <v>13444</v>
      </c>
      <c r="O18" s="1">
        <f t="shared" si="0"/>
        <v>15153</v>
      </c>
      <c r="P18" s="1">
        <f t="shared" si="4"/>
        <v>37793</v>
      </c>
      <c r="Q18" s="1">
        <f>'Index Price Deals'!B18+'Index Price Deals'!C18+'Index Price Deals'!D18-'Prices&amp;Fuel'!AE18</f>
        <v>0</v>
      </c>
      <c r="R18" s="3">
        <f>('Long Term Deals'!BB18+'Long Term Deals'!BC18+'Long Term Deals'!BD18+'Long Term Deals'!BE18+'Long Term Deals'!BF18+'Long Term Deals'!BG18)*(1-'Prices&amp;Fuel'!F18)</f>
        <v>12000</v>
      </c>
      <c r="S18" s="13">
        <f t="shared" si="5"/>
        <v>25793</v>
      </c>
      <c r="T18" s="13">
        <f>((I18+J18+K18)*'Prices&amp;Fuel'!H18*'Prices&amp;Fuel'!L18)+('Prices&amp;Fuel'!N18*'Prices&amp;Fuel'!H18*Transport!L18)+(('Long Term Deals'!BB18+'Long Term Deals'!BC18+'Long Term Deals'!BD18)*'Prices&amp;Fuel'!H18*'Prices&amp;Fuel'!M18)</f>
        <v>196863.93427665706</v>
      </c>
      <c r="U18" s="1">
        <f>S18*B18*'Prices&amp;Fuel'!M18</f>
        <v>652219.85309999995</v>
      </c>
      <c r="W18" s="13">
        <f>P18-R18-V18</f>
        <v>25793</v>
      </c>
      <c r="Z18" s="3">
        <f t="shared" si="6"/>
        <v>1171583</v>
      </c>
    </row>
    <row r="19" spans="1:26" x14ac:dyDescent="0.2">
      <c r="A19" s="10">
        <f t="shared" si="1"/>
        <v>36174.833333333299</v>
      </c>
      <c r="B19" s="3">
        <v>31</v>
      </c>
      <c r="C19" s="12">
        <v>-0.11963899009144097</v>
      </c>
      <c r="E19" s="44">
        <v>2.4500000000000188E-2</v>
      </c>
      <c r="F19" s="3">
        <f>7761-1128</f>
        <v>6633</v>
      </c>
      <c r="G19" s="3">
        <f>14039-666-3474</f>
        <v>9899</v>
      </c>
      <c r="H19" s="3">
        <f>18200-4732</f>
        <v>13468</v>
      </c>
      <c r="I19" s="3">
        <v>2563</v>
      </c>
      <c r="J19" s="3">
        <v>2862</v>
      </c>
      <c r="K19" s="3">
        <v>1685</v>
      </c>
      <c r="L19" s="3">
        <v>683</v>
      </c>
      <c r="M19" s="1">
        <f t="shared" si="2"/>
        <v>9196</v>
      </c>
      <c r="N19" s="1">
        <f t="shared" si="3"/>
        <v>13444</v>
      </c>
      <c r="O19" s="1">
        <f t="shared" si="0"/>
        <v>15153</v>
      </c>
      <c r="P19" s="1">
        <f t="shared" si="4"/>
        <v>37793</v>
      </c>
      <c r="Q19" s="1">
        <f>'Index Price Deals'!B19+'Index Price Deals'!C19+'Index Price Deals'!D19-'Prices&amp;Fuel'!AE19</f>
        <v>0</v>
      </c>
      <c r="R19" s="3">
        <f>('Long Term Deals'!BB19+'Long Term Deals'!BC19+'Long Term Deals'!BD19+'Long Term Deals'!BE19+'Long Term Deals'!BF19+'Long Term Deals'!BG19)*(1-'Prices&amp;Fuel'!F19)</f>
        <v>12000</v>
      </c>
      <c r="S19" s="13">
        <f t="shared" si="5"/>
        <v>25793</v>
      </c>
      <c r="T19" s="13">
        <f>((I19+J19+K19)*'Prices&amp;Fuel'!H19*'Prices&amp;Fuel'!L19)+('Prices&amp;Fuel'!N19*'Prices&amp;Fuel'!H19*Transport!L19)+(('Long Term Deals'!BB19+'Long Term Deals'!BC19+'Long Term Deals'!BD19)*'Prices&amp;Fuel'!H19*'Prices&amp;Fuel'!M19)</f>
        <v>196163.3666923077</v>
      </c>
      <c r="U19" s="1">
        <f>S19*B19*'Prices&amp;Fuel'!M19</f>
        <v>651500.22840000002</v>
      </c>
      <c r="W19" s="13">
        <f>P19-R19-V19</f>
        <v>25793</v>
      </c>
      <c r="X19" s="3">
        <f>W19*'Prices&amp;Fuel'!H19</f>
        <v>799583</v>
      </c>
      <c r="Z19" s="3">
        <f>SUM(Z7:Z18)</f>
        <v>17439757</v>
      </c>
    </row>
    <row r="20" spans="1:26" x14ac:dyDescent="0.2">
      <c r="A20" s="10">
        <f t="shared" si="1"/>
        <v>36205.249999999964</v>
      </c>
      <c r="B20" s="3">
        <v>28</v>
      </c>
      <c r="C20" s="12">
        <v>-0.11964940545408886</v>
      </c>
      <c r="E20" s="44">
        <v>2.4500000000000188E-2</v>
      </c>
      <c r="F20" s="3">
        <f>7761-1128</f>
        <v>6633</v>
      </c>
      <c r="G20" s="3">
        <f>14039-666-3474</f>
        <v>9899</v>
      </c>
      <c r="H20" s="3">
        <f>18200-4732</f>
        <v>13468</v>
      </c>
      <c r="I20" s="3">
        <v>2563</v>
      </c>
      <c r="J20" s="3">
        <v>2862</v>
      </c>
      <c r="K20" s="3">
        <v>1685</v>
      </c>
      <c r="L20" s="3">
        <v>683</v>
      </c>
      <c r="M20" s="1">
        <f t="shared" si="2"/>
        <v>9196</v>
      </c>
      <c r="N20" s="1">
        <f t="shared" si="3"/>
        <v>13444</v>
      </c>
      <c r="O20" s="1">
        <f t="shared" si="0"/>
        <v>15153</v>
      </c>
      <c r="P20" s="1">
        <f t="shared" si="4"/>
        <v>37793</v>
      </c>
      <c r="Q20" s="1">
        <f>'Index Price Deals'!B20+'Index Price Deals'!C20+'Index Price Deals'!D20-'Prices&amp;Fuel'!AE20</f>
        <v>0</v>
      </c>
      <c r="R20" s="3">
        <f>('Long Term Deals'!BB20+'Long Term Deals'!BC20+'Long Term Deals'!BD20+'Long Term Deals'!BE20+'Long Term Deals'!BF20+'Long Term Deals'!BG20)*(1-'Prices&amp;Fuel'!F20)</f>
        <v>12000</v>
      </c>
      <c r="S20" s="13">
        <f t="shared" si="5"/>
        <v>25793</v>
      </c>
      <c r="T20" s="13">
        <f>((I20+J20+K20)*'Prices&amp;Fuel'!H20*'Prices&amp;Fuel'!L20)+('Prices&amp;Fuel'!N20*'Prices&amp;Fuel'!H20*Transport!L20)+(('Long Term Deals'!BB20+'Long Term Deals'!BC20+'Long Term Deals'!BD20)*'Prices&amp;Fuel'!H20*'Prices&amp;Fuel'!M20)</f>
        <v>177179.81507692306</v>
      </c>
      <c r="U20" s="1">
        <f>S20*B20*'Prices&amp;Fuel'!M20</f>
        <v>588451.81920000003</v>
      </c>
      <c r="W20" s="13">
        <f t="shared" ref="W20:W83" si="7">P20-R20-V20</f>
        <v>25793</v>
      </c>
      <c r="X20" s="3">
        <f>W20*'Prices&amp;Fuel'!H20</f>
        <v>722204</v>
      </c>
    </row>
    <row r="21" spans="1:26" x14ac:dyDescent="0.2">
      <c r="A21" s="10">
        <f t="shared" si="1"/>
        <v>36235.666666666628</v>
      </c>
      <c r="B21" s="3">
        <v>31</v>
      </c>
      <c r="C21" s="12">
        <v>-9.9662004683099159E-2</v>
      </c>
      <c r="E21" s="44">
        <v>1.9500000000000295E-2</v>
      </c>
      <c r="F21" s="3">
        <f>7761-1128</f>
        <v>6633</v>
      </c>
      <c r="G21" s="3">
        <f>14039-666-3474</f>
        <v>9899</v>
      </c>
      <c r="H21" s="3">
        <f>18200-4732</f>
        <v>13468</v>
      </c>
      <c r="I21" s="3">
        <v>2563</v>
      </c>
      <c r="J21" s="3">
        <v>2862</v>
      </c>
      <c r="K21" s="3">
        <v>1685</v>
      </c>
      <c r="L21" s="3">
        <v>683</v>
      </c>
      <c r="M21" s="1">
        <f t="shared" si="2"/>
        <v>9196</v>
      </c>
      <c r="N21" s="1">
        <f t="shared" si="3"/>
        <v>13444</v>
      </c>
      <c r="O21" s="1">
        <f t="shared" ref="O21:O36" si="8">H21+K21</f>
        <v>15153</v>
      </c>
      <c r="P21" s="1">
        <f t="shared" si="4"/>
        <v>37793</v>
      </c>
      <c r="Q21" s="1">
        <f>'Index Price Deals'!B21+'Index Price Deals'!C21+'Index Price Deals'!D21-'Prices&amp;Fuel'!AE21</f>
        <v>0</v>
      </c>
      <c r="R21" s="3">
        <f>('Long Term Deals'!BB21+'Long Term Deals'!BC21+'Long Term Deals'!BD21+'Long Term Deals'!BE21+'Long Term Deals'!BF21+'Long Term Deals'!BG21)*(1-'Prices&amp;Fuel'!F21)</f>
        <v>12000</v>
      </c>
      <c r="S21" s="13">
        <f t="shared" si="5"/>
        <v>25793</v>
      </c>
      <c r="T21" s="13">
        <f>((I21+J21+K21)*'Prices&amp;Fuel'!H21*'Prices&amp;Fuel'!L21)+('Prices&amp;Fuel'!N21*'Prices&amp;Fuel'!H21*Transport!L21)+(('Long Term Deals'!BB21+'Long Term Deals'!BC21+'Long Term Deals'!BD21)*'Prices&amp;Fuel'!H21*'Prices&amp;Fuel'!M21)</f>
        <v>191441.60248717951</v>
      </c>
      <c r="U21" s="1">
        <f>S21*B21*'Prices&amp;Fuel'!M21</f>
        <v>623274.94850000006</v>
      </c>
      <c r="W21" s="13">
        <f t="shared" si="7"/>
        <v>25793</v>
      </c>
      <c r="X21" s="3">
        <f>W21*'Prices&amp;Fuel'!H21</f>
        <v>799583</v>
      </c>
    </row>
    <row r="22" spans="1:26" x14ac:dyDescent="0.2">
      <c r="A22" s="10">
        <f t="shared" si="1"/>
        <v>36266.083333333292</v>
      </c>
      <c r="B22" s="3">
        <v>30</v>
      </c>
      <c r="C22" s="12">
        <v>-6.5696191192893494E-2</v>
      </c>
      <c r="E22" s="44">
        <v>5.9999999999997833E-3</v>
      </c>
      <c r="F22" s="3">
        <f>7761-828</f>
        <v>6933</v>
      </c>
      <c r="G22" s="3">
        <f>14039-5241</f>
        <v>8798</v>
      </c>
      <c r="H22" s="3">
        <f>18200-3931</f>
        <v>14269</v>
      </c>
      <c r="I22" s="3">
        <v>1880</v>
      </c>
      <c r="J22" s="3">
        <v>2073</v>
      </c>
      <c r="K22" s="3">
        <v>1258</v>
      </c>
      <c r="L22" s="3">
        <v>683</v>
      </c>
      <c r="M22" s="1">
        <f t="shared" ref="M22:M37" si="9">F22+I22</f>
        <v>8813</v>
      </c>
      <c r="N22" s="1">
        <f t="shared" ref="N22:N37" si="10">G22+J22+L22</f>
        <v>11554</v>
      </c>
      <c r="O22" s="1">
        <f t="shared" si="8"/>
        <v>15527</v>
      </c>
      <c r="P22" s="1">
        <f t="shared" ref="P22:P37" si="11">SUM(M22:O22)</f>
        <v>35894</v>
      </c>
      <c r="Q22" s="1">
        <f>'Index Price Deals'!B22+'Index Price Deals'!C22+'Index Price Deals'!D22-'Prices&amp;Fuel'!AE22</f>
        <v>0</v>
      </c>
      <c r="R22" s="3">
        <f>('Long Term Deals'!BB22+'Long Term Deals'!BC22+'Long Term Deals'!BD22+'Long Term Deals'!BE22+'Long Term Deals'!BF22+'Long Term Deals'!BG22)*(1-'Prices&amp;Fuel'!F22)</f>
        <v>11999.999999999998</v>
      </c>
      <c r="S22" s="13">
        <f t="shared" si="5"/>
        <v>23894</v>
      </c>
      <c r="T22" s="13">
        <f>((I22+J22+K22)*'Prices&amp;Fuel'!H22*'Prices&amp;Fuel'!L22)+('Prices&amp;Fuel'!N22*'Prices&amp;Fuel'!H22*Transport!L22)+(('Long Term Deals'!BB22+'Long Term Deals'!BC22+'Long Term Deals'!BD22)*'Prices&amp;Fuel'!H22*'Prices&amp;Fuel'!M22)</f>
        <v>209375.04053846153</v>
      </c>
      <c r="U22" s="1">
        <f>S22*B22*'Prices&amp;Fuel'!M22</f>
        <v>558761.19000000006</v>
      </c>
      <c r="W22" s="13">
        <f t="shared" si="7"/>
        <v>23894</v>
      </c>
      <c r="X22" s="3">
        <f>W22*'Prices&amp;Fuel'!H22</f>
        <v>716820</v>
      </c>
    </row>
    <row r="23" spans="1:26" x14ac:dyDescent="0.2">
      <c r="A23" s="10">
        <f t="shared" si="1"/>
        <v>36296.499999999956</v>
      </c>
      <c r="B23" s="3">
        <v>31</v>
      </c>
      <c r="C23" s="12">
        <v>-6.5786071664033274E-2</v>
      </c>
      <c r="E23" s="44">
        <v>5.9999999999997833E-3</v>
      </c>
      <c r="F23" s="3">
        <v>8730</v>
      </c>
      <c r="G23" s="3">
        <f>15795-5034</f>
        <v>10761</v>
      </c>
      <c r="H23" s="3">
        <f>20475-4966</f>
        <v>15509</v>
      </c>
      <c r="I23" s="3">
        <v>1880</v>
      </c>
      <c r="J23" s="3">
        <v>2295</v>
      </c>
      <c r="K23" s="3">
        <v>1036</v>
      </c>
      <c r="L23" s="3">
        <v>683</v>
      </c>
      <c r="M23" s="1">
        <f t="shared" si="9"/>
        <v>10610</v>
      </c>
      <c r="N23" s="1">
        <f t="shared" si="10"/>
        <v>13739</v>
      </c>
      <c r="O23" s="1">
        <f t="shared" si="8"/>
        <v>16545</v>
      </c>
      <c r="P23" s="1">
        <f t="shared" si="11"/>
        <v>40894</v>
      </c>
      <c r="Q23" s="1">
        <f>'Index Price Deals'!B23+'Index Price Deals'!C23+'Index Price Deals'!D23-'Prices&amp;Fuel'!AE23</f>
        <v>0</v>
      </c>
      <c r="R23" s="3">
        <f>('Long Term Deals'!BB23+'Long Term Deals'!BC23+'Long Term Deals'!BD23+'Long Term Deals'!BE23+'Long Term Deals'!BF23+'Long Term Deals'!BG23)*(1-'Prices&amp;Fuel'!F23)</f>
        <v>20999.999999999996</v>
      </c>
      <c r="S23" s="13">
        <f t="shared" si="5"/>
        <v>19894.000000000004</v>
      </c>
      <c r="T23" s="13">
        <f>((I23+J23+K23)*'Prices&amp;Fuel'!H23*'Prices&amp;Fuel'!L23)+('Prices&amp;Fuel'!N23*'Prices&amp;Fuel'!H23*Transport!L23)+(('Long Term Deals'!BB23+'Long Term Deals'!BC23+'Long Term Deals'!BD23)*'Prices&amp;Fuel'!H23*'Prices&amp;Fuel'!M23)</f>
        <v>441340.97005257744</v>
      </c>
      <c r="U23" s="1">
        <f>S23*B23*'Prices&amp;Fuel'!M23</f>
        <v>480728.56300000014</v>
      </c>
      <c r="W23" s="13">
        <f t="shared" si="7"/>
        <v>19894.000000000004</v>
      </c>
      <c r="X23" s="3">
        <f>W23*'Prices&amp;Fuel'!H23</f>
        <v>616714.00000000012</v>
      </c>
    </row>
    <row r="24" spans="1:26" x14ac:dyDescent="0.2">
      <c r="A24" s="10">
        <f t="shared" si="1"/>
        <v>36326.916666666621</v>
      </c>
      <c r="B24" s="3">
        <v>30</v>
      </c>
      <c r="C24" s="12">
        <v>-6.5785519163165773E-2</v>
      </c>
      <c r="E24" s="44">
        <v>5.9999999999997833E-3</v>
      </c>
      <c r="F24" s="3">
        <v>8730</v>
      </c>
      <c r="G24" s="3">
        <f>15795-5034</f>
        <v>10761</v>
      </c>
      <c r="H24" s="3">
        <f>20475-4966</f>
        <v>15509</v>
      </c>
      <c r="I24" s="3">
        <v>1880</v>
      </c>
      <c r="J24" s="3">
        <v>2295</v>
      </c>
      <c r="K24" s="3">
        <v>1036</v>
      </c>
      <c r="L24" s="3">
        <v>683</v>
      </c>
      <c r="M24" s="1">
        <f t="shared" si="9"/>
        <v>10610</v>
      </c>
      <c r="N24" s="1">
        <f t="shared" si="10"/>
        <v>13739</v>
      </c>
      <c r="O24" s="1">
        <f t="shared" si="8"/>
        <v>16545</v>
      </c>
      <c r="P24" s="1">
        <f t="shared" si="11"/>
        <v>40894</v>
      </c>
      <c r="Q24" s="1">
        <f>'Index Price Deals'!B24+'Index Price Deals'!C24+'Index Price Deals'!D24-'Prices&amp;Fuel'!AE24</f>
        <v>0</v>
      </c>
      <c r="R24" s="3">
        <f>('Long Term Deals'!BB24+'Long Term Deals'!BC24+'Long Term Deals'!BD24+'Long Term Deals'!BE24+'Long Term Deals'!BF24+'Long Term Deals'!BG24)*(1-'Prices&amp;Fuel'!F24)</f>
        <v>20999.999999999996</v>
      </c>
      <c r="S24" s="13">
        <f t="shared" si="5"/>
        <v>19894.000000000004</v>
      </c>
      <c r="T24" s="13">
        <f>((I24+J24+K24)*'Prices&amp;Fuel'!H24*'Prices&amp;Fuel'!L24)+('Prices&amp;Fuel'!N24*'Prices&amp;Fuel'!H24*Transport!L24)+(('Long Term Deals'!BB24+'Long Term Deals'!BC24+'Long Term Deals'!BD24)*'Prices&amp;Fuel'!H24*'Prices&amp;Fuel'!M24)</f>
        <v>427104.16456701036</v>
      </c>
      <c r="U24" s="1">
        <f>S24*B24*'Prices&amp;Fuel'!M24</f>
        <v>465221.19000000012</v>
      </c>
      <c r="W24" s="13">
        <f t="shared" si="7"/>
        <v>19894.000000000004</v>
      </c>
      <c r="X24" s="3">
        <f>W24*'Prices&amp;Fuel'!H24</f>
        <v>596820.00000000012</v>
      </c>
    </row>
    <row r="25" spans="1:26" x14ac:dyDescent="0.2">
      <c r="A25" s="10">
        <f t="shared" si="1"/>
        <v>36357.333333333285</v>
      </c>
      <c r="B25" s="3">
        <v>31</v>
      </c>
      <c r="C25" s="12">
        <v>-7.6243665582616416E-2</v>
      </c>
      <c r="E25" s="44">
        <v>9.4999999999998419E-3</v>
      </c>
      <c r="F25" s="3">
        <v>8730</v>
      </c>
      <c r="G25" s="3">
        <f>15795-5034</f>
        <v>10761</v>
      </c>
      <c r="H25" s="3">
        <f>20475-4966</f>
        <v>15509</v>
      </c>
      <c r="I25" s="3">
        <v>1880</v>
      </c>
      <c r="J25" s="3">
        <v>2295</v>
      </c>
      <c r="K25" s="3">
        <v>1036</v>
      </c>
      <c r="L25" s="3">
        <v>683</v>
      </c>
      <c r="M25" s="1">
        <f t="shared" si="9"/>
        <v>10610</v>
      </c>
      <c r="N25" s="1">
        <f t="shared" si="10"/>
        <v>13739</v>
      </c>
      <c r="O25" s="1">
        <f t="shared" si="8"/>
        <v>16545</v>
      </c>
      <c r="P25" s="1">
        <f t="shared" si="11"/>
        <v>40894</v>
      </c>
      <c r="Q25" s="1">
        <f>'Index Price Deals'!B25+'Index Price Deals'!C25+'Index Price Deals'!D25-'Prices&amp;Fuel'!AE25</f>
        <v>0</v>
      </c>
      <c r="R25" s="3">
        <f>('Long Term Deals'!BB25+'Long Term Deals'!BC25+'Long Term Deals'!BD25+'Long Term Deals'!BE25+'Long Term Deals'!BF25+'Long Term Deals'!BG25)*(1-'Prices&amp;Fuel'!F25)</f>
        <v>20999.999999999996</v>
      </c>
      <c r="S25" s="13">
        <f t="shared" si="5"/>
        <v>19894.000000000004</v>
      </c>
      <c r="T25" s="13">
        <f>((I25+J25+K25)*'Prices&amp;Fuel'!H25*'Prices&amp;Fuel'!L25)+('Prices&amp;Fuel'!N25*'Prices&amp;Fuel'!H25*Transport!L25)+(('Long Term Deals'!BB25+'Long Term Deals'!BC25+'Long Term Deals'!BD25)*'Prices&amp;Fuel'!H25*'Prices&amp;Fuel'!M25)</f>
        <v>441340.97005257744</v>
      </c>
      <c r="U25" s="1">
        <f>S25*B25*'Prices&amp;Fuel'!M25</f>
        <v>480728.56300000014</v>
      </c>
      <c r="W25" s="13">
        <f t="shared" si="7"/>
        <v>19894.000000000004</v>
      </c>
      <c r="X25" s="3">
        <f>W25*'Prices&amp;Fuel'!H25</f>
        <v>616714.00000000012</v>
      </c>
    </row>
    <row r="26" spans="1:26" x14ac:dyDescent="0.2">
      <c r="A26" s="10">
        <f t="shared" si="1"/>
        <v>36387.749999999949</v>
      </c>
      <c r="B26" s="3">
        <v>31</v>
      </c>
      <c r="C26" s="12">
        <v>-7.6242874427006502E-2</v>
      </c>
      <c r="E26" s="44">
        <v>9.4999999999996199E-3</v>
      </c>
      <c r="F26" s="3">
        <v>8730</v>
      </c>
      <c r="G26" s="3">
        <f>15795-5034</f>
        <v>10761</v>
      </c>
      <c r="H26" s="3">
        <f>20475-4966</f>
        <v>15509</v>
      </c>
      <c r="I26" s="3">
        <v>1880</v>
      </c>
      <c r="J26" s="3">
        <v>2295</v>
      </c>
      <c r="K26" s="3">
        <v>1036</v>
      </c>
      <c r="L26" s="3">
        <v>683</v>
      </c>
      <c r="M26" s="1">
        <f t="shared" si="9"/>
        <v>10610</v>
      </c>
      <c r="N26" s="1">
        <f t="shared" si="10"/>
        <v>13739</v>
      </c>
      <c r="O26" s="1">
        <f t="shared" si="8"/>
        <v>16545</v>
      </c>
      <c r="P26" s="1">
        <f t="shared" si="11"/>
        <v>40894</v>
      </c>
      <c r="Q26" s="1">
        <f>'Index Price Deals'!B26+'Index Price Deals'!C26+'Index Price Deals'!D26-'Prices&amp;Fuel'!AE26</f>
        <v>0</v>
      </c>
      <c r="R26" s="3">
        <f>('Long Term Deals'!BB26+'Long Term Deals'!BC26+'Long Term Deals'!BD26+'Long Term Deals'!BE26+'Long Term Deals'!BF26+'Long Term Deals'!BG26)*(1-'Prices&amp;Fuel'!F26)</f>
        <v>20999.999999999996</v>
      </c>
      <c r="S26" s="13">
        <f t="shared" si="5"/>
        <v>19894.000000000004</v>
      </c>
      <c r="T26" s="13">
        <f>((I26+J26+K26)*'Prices&amp;Fuel'!H26*'Prices&amp;Fuel'!L26)+('Prices&amp;Fuel'!N26*'Prices&amp;Fuel'!H26*Transport!L26)+(('Long Term Deals'!BB26+'Long Term Deals'!BC26+'Long Term Deals'!BD26)*'Prices&amp;Fuel'!H26*'Prices&amp;Fuel'!M26)</f>
        <v>441340.97005257744</v>
      </c>
      <c r="U26" s="1">
        <f>S26*B26*'Prices&amp;Fuel'!M26</f>
        <v>480728.56300000014</v>
      </c>
      <c r="W26" s="13">
        <f t="shared" si="7"/>
        <v>19894.000000000004</v>
      </c>
      <c r="X26" s="3">
        <f>W26*'Prices&amp;Fuel'!H26</f>
        <v>616714.00000000012</v>
      </c>
    </row>
    <row r="27" spans="1:26" x14ac:dyDescent="0.2">
      <c r="A27" s="10">
        <f t="shared" si="1"/>
        <v>36418.166666666613</v>
      </c>
      <c r="B27" s="3">
        <v>30</v>
      </c>
      <c r="C27" s="12">
        <v>-7.6241555834325014E-2</v>
      </c>
      <c r="E27" s="44">
        <v>9.4999999999996199E-3</v>
      </c>
      <c r="F27" s="3">
        <v>8730</v>
      </c>
      <c r="G27" s="3">
        <f>15795-5034</f>
        <v>10761</v>
      </c>
      <c r="H27" s="3">
        <f>20475-4966</f>
        <v>15509</v>
      </c>
      <c r="I27" s="3">
        <v>1880</v>
      </c>
      <c r="J27" s="3">
        <v>2295</v>
      </c>
      <c r="K27" s="3">
        <v>1036</v>
      </c>
      <c r="L27" s="3">
        <v>683</v>
      </c>
      <c r="M27" s="1">
        <f t="shared" si="9"/>
        <v>10610</v>
      </c>
      <c r="N27" s="1">
        <f t="shared" si="10"/>
        <v>13739</v>
      </c>
      <c r="O27" s="1">
        <f t="shared" si="8"/>
        <v>16545</v>
      </c>
      <c r="P27" s="1">
        <f t="shared" si="11"/>
        <v>40894</v>
      </c>
      <c r="Q27" s="1">
        <f>'Index Price Deals'!B27+'Index Price Deals'!C27+'Index Price Deals'!D27-'Prices&amp;Fuel'!AE27</f>
        <v>0</v>
      </c>
      <c r="R27" s="3">
        <f>('Long Term Deals'!BB27+'Long Term Deals'!BC27+'Long Term Deals'!BD27+'Long Term Deals'!BE27+'Long Term Deals'!BF27+'Long Term Deals'!BG27)*(1-'Prices&amp;Fuel'!F27)</f>
        <v>20999.999999999996</v>
      </c>
      <c r="S27" s="13">
        <f t="shared" si="5"/>
        <v>19894.000000000004</v>
      </c>
      <c r="T27" s="13">
        <f>((I27+J27+K27)*'Prices&amp;Fuel'!H27*'Prices&amp;Fuel'!L27)+('Prices&amp;Fuel'!N27*'Prices&amp;Fuel'!H27*Transport!L27)+(('Long Term Deals'!BB27+'Long Term Deals'!BC27+'Long Term Deals'!BD27)*'Prices&amp;Fuel'!H27*'Prices&amp;Fuel'!M27)</f>
        <v>427104.16456701036</v>
      </c>
      <c r="U27" s="1">
        <f>S27*B27*'Prices&amp;Fuel'!M27</f>
        <v>465221.19000000012</v>
      </c>
      <c r="W27" s="13">
        <f t="shared" si="7"/>
        <v>19894.000000000004</v>
      </c>
      <c r="X27" s="3">
        <f>W27*'Prices&amp;Fuel'!H27</f>
        <v>596820.00000000012</v>
      </c>
    </row>
    <row r="28" spans="1:26" x14ac:dyDescent="0.2">
      <c r="A28" s="10">
        <f t="shared" si="1"/>
        <v>36448.583333333278</v>
      </c>
      <c r="B28" s="3">
        <v>31</v>
      </c>
      <c r="C28" s="12">
        <v>-8.0811829509147337E-2</v>
      </c>
      <c r="E28" s="44">
        <v>1.4499999999999957E-2</v>
      </c>
      <c r="F28" s="3">
        <f>8730-0</f>
        <v>8730</v>
      </c>
      <c r="G28" s="3">
        <f>15795-5434</f>
        <v>10361</v>
      </c>
      <c r="H28" s="3">
        <f>20475-4566</f>
        <v>15909</v>
      </c>
      <c r="I28" s="3">
        <v>2830</v>
      </c>
      <c r="J28" s="3">
        <v>3500</v>
      </c>
      <c r="K28" s="3">
        <v>1521</v>
      </c>
      <c r="L28" s="3">
        <v>1001</v>
      </c>
      <c r="M28" s="1">
        <f t="shared" si="9"/>
        <v>11560</v>
      </c>
      <c r="N28" s="1">
        <f t="shared" si="10"/>
        <v>14862</v>
      </c>
      <c r="O28" s="1">
        <f t="shared" si="8"/>
        <v>17430</v>
      </c>
      <c r="P28" s="1">
        <f t="shared" si="11"/>
        <v>43852</v>
      </c>
      <c r="Q28" s="1">
        <f>'Index Price Deals'!B28+'Index Price Deals'!C28+'Index Price Deals'!D28-'Prices&amp;Fuel'!AE28</f>
        <v>0</v>
      </c>
      <c r="R28" s="3">
        <f>('Long Term Deals'!BB28+'Long Term Deals'!BC28+'Long Term Deals'!BD28+'Long Term Deals'!BE28+'Long Term Deals'!BF28+'Long Term Deals'!BG28)*(1-'Prices&amp;Fuel'!F28)</f>
        <v>21000</v>
      </c>
      <c r="S28" s="13">
        <f t="shared" si="5"/>
        <v>22852</v>
      </c>
      <c r="T28" s="13">
        <f>((I28+J28+K28)*'Prices&amp;Fuel'!H28*'Prices&amp;Fuel'!L28)+('Prices&amp;Fuel'!N28*'Prices&amp;Fuel'!H28*Transport!L28)+(('Long Term Deals'!BB28+'Long Term Deals'!BC28+'Long Term Deals'!BD28)*'Prices&amp;Fuel'!H28*'Prices&amp;Fuel'!M28)</f>
        <v>399641.7258269923</v>
      </c>
      <c r="U28" s="1">
        <f>S28*B28*'Prices&amp;Fuel'!M28</f>
        <v>552207.1540000001</v>
      </c>
      <c r="W28" s="13">
        <f t="shared" si="7"/>
        <v>22852</v>
      </c>
      <c r="X28" s="3">
        <f>W28*'Prices&amp;Fuel'!H28</f>
        <v>708412</v>
      </c>
    </row>
    <row r="29" spans="1:26" x14ac:dyDescent="0.2">
      <c r="A29" s="10">
        <f t="shared" si="1"/>
        <v>36478.999999999942</v>
      </c>
      <c r="B29" s="3">
        <v>30</v>
      </c>
      <c r="C29" s="12">
        <v>-0.12578405269821502</v>
      </c>
      <c r="E29" s="44">
        <v>1.9499999999999851E-2</v>
      </c>
      <c r="F29" s="3">
        <f>7761-1128-1707</f>
        <v>4926</v>
      </c>
      <c r="G29" s="3">
        <f>14039-666-3474-4167</f>
        <v>5732</v>
      </c>
      <c r="H29" s="3">
        <f>18200-4732-4126</f>
        <v>9342</v>
      </c>
      <c r="I29" s="3">
        <v>2563</v>
      </c>
      <c r="J29" s="3">
        <v>2862</v>
      </c>
      <c r="K29" s="3">
        <v>1685</v>
      </c>
      <c r="L29" s="3">
        <v>683</v>
      </c>
      <c r="M29" s="1">
        <f t="shared" si="9"/>
        <v>7489</v>
      </c>
      <c r="N29" s="1">
        <f t="shared" si="10"/>
        <v>9277</v>
      </c>
      <c r="O29" s="1">
        <f t="shared" si="8"/>
        <v>11027</v>
      </c>
      <c r="P29" s="1">
        <f t="shared" si="11"/>
        <v>27793</v>
      </c>
      <c r="Q29" s="1">
        <f>'Index Price Deals'!B29+'Index Price Deals'!C29+'Index Price Deals'!D29-'Prices&amp;Fuel'!AE29</f>
        <v>0</v>
      </c>
      <c r="R29" s="3">
        <f>('Long Term Deals'!BB29+'Long Term Deals'!BC29+'Long Term Deals'!BD29+'Long Term Deals'!BE29+'Long Term Deals'!BF29+'Long Term Deals'!BG29)*(1-'Prices&amp;Fuel'!F29)</f>
        <v>12000</v>
      </c>
      <c r="S29" s="13">
        <f t="shared" si="5"/>
        <v>15793</v>
      </c>
      <c r="T29" s="13">
        <f>((I29+J29+K29)*'Prices&amp;Fuel'!H29*'Prices&amp;Fuel'!L29)+('Prices&amp;Fuel'!N29*'Prices&amp;Fuel'!H29*Transport!L29)+(('Long Term Deals'!BB29+'Long Term Deals'!BC29+'Long Term Deals'!BD29)*'Prices&amp;Fuel'!H29*'Prices&amp;Fuel'!M29)</f>
        <v>185525.45838046278</v>
      </c>
      <c r="U29" s="1">
        <f>S29*B29*'Prices&amp;Fuel'!M29</f>
        <v>369319.30500000005</v>
      </c>
      <c r="W29" s="13">
        <f t="shared" si="7"/>
        <v>15793</v>
      </c>
      <c r="X29" s="3">
        <f>W29*'Prices&amp;Fuel'!H29</f>
        <v>473790</v>
      </c>
    </row>
    <row r="30" spans="1:26" x14ac:dyDescent="0.2">
      <c r="A30" s="10">
        <f t="shared" si="1"/>
        <v>36509.416666666606</v>
      </c>
      <c r="B30" s="3">
        <v>31</v>
      </c>
      <c r="C30" s="12">
        <v>-0.16074655400345561</v>
      </c>
      <c r="E30" s="44">
        <v>2.4500000000000188E-2</v>
      </c>
      <c r="F30" s="3">
        <f>7761-1128-1707</f>
        <v>4926</v>
      </c>
      <c r="G30" s="3">
        <f>14039-666-3474-4167</f>
        <v>5732</v>
      </c>
      <c r="H30" s="3">
        <f>18200-4732-4126</f>
        <v>9342</v>
      </c>
      <c r="I30" s="3">
        <v>2563</v>
      </c>
      <c r="J30" s="3">
        <v>2862</v>
      </c>
      <c r="K30" s="3">
        <v>1685</v>
      </c>
      <c r="L30" s="3">
        <v>683</v>
      </c>
      <c r="M30" s="1">
        <f t="shared" si="9"/>
        <v>7489</v>
      </c>
      <c r="N30" s="1">
        <f t="shared" si="10"/>
        <v>9277</v>
      </c>
      <c r="O30" s="1">
        <f t="shared" si="8"/>
        <v>11027</v>
      </c>
      <c r="P30" s="1">
        <f t="shared" si="11"/>
        <v>27793</v>
      </c>
      <c r="Q30" s="1">
        <f>'Index Price Deals'!B30+'Index Price Deals'!C30+'Index Price Deals'!D30-'Prices&amp;Fuel'!AE30</f>
        <v>0</v>
      </c>
      <c r="R30" s="3">
        <f>('Long Term Deals'!BB30+'Long Term Deals'!BC30+'Long Term Deals'!BD30+'Long Term Deals'!BE30+'Long Term Deals'!BF30+'Long Term Deals'!BG30)*(1-'Prices&amp;Fuel'!F30)</f>
        <v>12000</v>
      </c>
      <c r="S30" s="13">
        <f t="shared" si="5"/>
        <v>15793</v>
      </c>
      <c r="T30" s="13">
        <f>((I30+J30+K30)*'Prices&amp;Fuel'!H30*'Prices&amp;Fuel'!L30)+('Prices&amp;Fuel'!N30*'Prices&amp;Fuel'!H30*Transport!L30)+(('Long Term Deals'!BB30+'Long Term Deals'!BC30+'Long Term Deals'!BD30)*'Prices&amp;Fuel'!H30*'Prices&amp;Fuel'!M30)</f>
        <v>191709.64032647823</v>
      </c>
      <c r="U30" s="1">
        <f>S30*B30*'Prices&amp;Fuel'!M30</f>
        <v>381629.94850000006</v>
      </c>
      <c r="W30" s="13">
        <f t="shared" si="7"/>
        <v>15793</v>
      </c>
      <c r="X30" s="3">
        <f>W30*'Prices&amp;Fuel'!H30</f>
        <v>489583</v>
      </c>
      <c r="Y30" s="1">
        <f>SUM(X19:X30)/365</f>
        <v>21243.1698630137</v>
      </c>
    </row>
    <row r="31" spans="1:26" x14ac:dyDescent="0.2">
      <c r="A31" s="10">
        <f t="shared" si="1"/>
        <v>36539.83333333327</v>
      </c>
      <c r="B31" s="3">
        <v>31</v>
      </c>
      <c r="C31" s="12">
        <v>-0.14572641581552981</v>
      </c>
      <c r="E31" s="44">
        <v>2.4500000000000188E-2</v>
      </c>
      <c r="F31" s="3">
        <f>7761-1128-1707</f>
        <v>4926</v>
      </c>
      <c r="G31" s="3">
        <f>14039-666-3474-4167</f>
        <v>5732</v>
      </c>
      <c r="H31" s="3">
        <f>18200-4732-4126</f>
        <v>9342</v>
      </c>
      <c r="I31" s="3">
        <v>2563</v>
      </c>
      <c r="J31" s="3">
        <v>2862</v>
      </c>
      <c r="K31" s="3">
        <v>1685</v>
      </c>
      <c r="L31" s="3">
        <v>683</v>
      </c>
      <c r="M31" s="1">
        <f t="shared" si="9"/>
        <v>7489</v>
      </c>
      <c r="N31" s="1">
        <f t="shared" si="10"/>
        <v>9277</v>
      </c>
      <c r="O31" s="1">
        <f t="shared" si="8"/>
        <v>11027</v>
      </c>
      <c r="P31" s="1">
        <f t="shared" si="11"/>
        <v>27793</v>
      </c>
      <c r="Q31" s="1">
        <f>'Index Price Deals'!B31+'Index Price Deals'!C31+'Index Price Deals'!D31-'Prices&amp;Fuel'!AE31</f>
        <v>0</v>
      </c>
      <c r="R31" s="3">
        <f>('Long Term Deals'!BB31+'Long Term Deals'!BC31+'Long Term Deals'!BD31+'Long Term Deals'!BE31+'Long Term Deals'!BF31+'Long Term Deals'!BG31)*(1-'Prices&amp;Fuel'!F31)</f>
        <v>11999.999999999998</v>
      </c>
      <c r="S31" s="13">
        <f t="shared" si="5"/>
        <v>15793.000000000002</v>
      </c>
      <c r="T31" s="13">
        <f>((I31+J31+K31)*'Prices&amp;Fuel'!H31*'Prices&amp;Fuel'!L31)+('Prices&amp;Fuel'!N31*'Prices&amp;Fuel'!H31*Transport!L31)+(('Long Term Deals'!BB31+'Long Term Deals'!BC31+'Long Term Deals'!BD31)*'Prices&amp;Fuel'!H31*'Prices&amp;Fuel'!M31)</f>
        <v>195066.75234215939</v>
      </c>
      <c r="U31" s="1">
        <f>S31*B31*'Prices&amp;Fuel'!M31</f>
        <v>381140.36550000001</v>
      </c>
      <c r="W31" s="13">
        <f t="shared" si="7"/>
        <v>15793.000000000002</v>
      </c>
      <c r="X31" s="3">
        <f>W31*'Prices&amp;Fuel'!H31</f>
        <v>489583.00000000006</v>
      </c>
    </row>
    <row r="32" spans="1:26" x14ac:dyDescent="0.2">
      <c r="A32" s="10">
        <f t="shared" si="1"/>
        <v>36570.249999999935</v>
      </c>
      <c r="B32" s="3">
        <v>29</v>
      </c>
      <c r="C32" s="12">
        <v>-0.14575419262646205</v>
      </c>
      <c r="E32" s="44">
        <v>2.4500000000000188E-2</v>
      </c>
      <c r="F32" s="3">
        <f>7761-1128-1707</f>
        <v>4926</v>
      </c>
      <c r="G32" s="3">
        <f>14039-666-3474-4167</f>
        <v>5732</v>
      </c>
      <c r="H32" s="3">
        <f>18200-4732-4126</f>
        <v>9342</v>
      </c>
      <c r="I32" s="3">
        <v>2563</v>
      </c>
      <c r="J32" s="3">
        <v>2862</v>
      </c>
      <c r="K32" s="3">
        <v>1685</v>
      </c>
      <c r="L32" s="3">
        <v>683</v>
      </c>
      <c r="M32" s="1">
        <f t="shared" si="9"/>
        <v>7489</v>
      </c>
      <c r="N32" s="1">
        <f t="shared" si="10"/>
        <v>9277</v>
      </c>
      <c r="O32" s="1">
        <f t="shared" si="8"/>
        <v>11027</v>
      </c>
      <c r="P32" s="1">
        <f t="shared" si="11"/>
        <v>27793</v>
      </c>
      <c r="Q32" s="1">
        <f>'Index Price Deals'!B32+'Index Price Deals'!C32+'Index Price Deals'!D32-'Prices&amp;Fuel'!AE32</f>
        <v>0</v>
      </c>
      <c r="R32" s="3">
        <f>('Long Term Deals'!BB32+'Long Term Deals'!BC32+'Long Term Deals'!BD32+'Long Term Deals'!BE32+'Long Term Deals'!BF32+'Long Term Deals'!BG32)*(1-'Prices&amp;Fuel'!F32)</f>
        <v>11999.999999999998</v>
      </c>
      <c r="S32" s="13">
        <f t="shared" si="5"/>
        <v>15793.000000000002</v>
      </c>
      <c r="T32" s="13">
        <f>((I32+J32+K32)*'Prices&amp;Fuel'!H32*'Prices&amp;Fuel'!L32)+('Prices&amp;Fuel'!N32*'Prices&amp;Fuel'!H32*Transport!L32)+(('Long Term Deals'!BB32+'Long Term Deals'!BC32+'Long Term Deals'!BD32)*'Prices&amp;Fuel'!H32*'Prices&amp;Fuel'!M32)</f>
        <v>182733.5148216495</v>
      </c>
      <c r="U32" s="1">
        <f>S32*B32*'Prices&amp;Fuel'!M32</f>
        <v>356550.66450000001</v>
      </c>
      <c r="W32" s="13">
        <f t="shared" si="7"/>
        <v>15793.000000000002</v>
      </c>
      <c r="X32" s="3">
        <f>W32*'Prices&amp;Fuel'!H32</f>
        <v>457997.00000000006</v>
      </c>
    </row>
    <row r="33" spans="1:25" x14ac:dyDescent="0.2">
      <c r="A33" s="10">
        <f t="shared" si="1"/>
        <v>36600.666666666599</v>
      </c>
      <c r="B33" s="3">
        <v>31</v>
      </c>
      <c r="C33" s="12">
        <v>-0.12078995527053848</v>
      </c>
      <c r="E33" s="44">
        <v>1.9500000000000295E-2</v>
      </c>
      <c r="F33" s="3">
        <f>7761-1128-1707</f>
        <v>4926</v>
      </c>
      <c r="G33" s="3">
        <f>14039-666-3474-4167</f>
        <v>5732</v>
      </c>
      <c r="H33" s="3">
        <f>18200-4732-4126</f>
        <v>9342</v>
      </c>
      <c r="I33" s="3">
        <v>2563</v>
      </c>
      <c r="J33" s="3">
        <v>2862</v>
      </c>
      <c r="K33" s="3">
        <v>1685</v>
      </c>
      <c r="L33" s="3">
        <v>683</v>
      </c>
      <c r="M33" s="1">
        <f t="shared" si="9"/>
        <v>7489</v>
      </c>
      <c r="N33" s="1">
        <f t="shared" si="10"/>
        <v>9277</v>
      </c>
      <c r="O33" s="1">
        <f t="shared" si="8"/>
        <v>11027</v>
      </c>
      <c r="P33" s="1">
        <f t="shared" si="11"/>
        <v>27793</v>
      </c>
      <c r="Q33" s="1">
        <f>'Index Price Deals'!B33+'Index Price Deals'!C33+'Index Price Deals'!D33-'Prices&amp;Fuel'!AE33</f>
        <v>0</v>
      </c>
      <c r="R33" s="3">
        <f>('Long Term Deals'!BB33+'Long Term Deals'!BC33+'Long Term Deals'!BD33+'Long Term Deals'!BE33+'Long Term Deals'!BF33+'Long Term Deals'!BG33)*(1-'Prices&amp;Fuel'!F33)</f>
        <v>11999.999999999998</v>
      </c>
      <c r="S33" s="13">
        <f t="shared" si="5"/>
        <v>15793.000000000002</v>
      </c>
      <c r="T33" s="13">
        <f>((I33+J33+K33)*'Prices&amp;Fuel'!H33*'Prices&amp;Fuel'!L33)+('Prices&amp;Fuel'!N33*'Prices&amp;Fuel'!H33*Transport!L33)+(('Long Term Deals'!BB33+'Long Term Deals'!BC33+'Long Term Deals'!BD33)*'Prices&amp;Fuel'!H33*'Prices&amp;Fuel'!M33)</f>
        <v>193977.87598247424</v>
      </c>
      <c r="U33" s="1">
        <f>S33*B33*'Prices&amp;Fuel'!M33</f>
        <v>376195.57720000006</v>
      </c>
      <c r="W33" s="13">
        <f t="shared" si="7"/>
        <v>15793.000000000002</v>
      </c>
      <c r="X33" s="3">
        <f>W33*'Prices&amp;Fuel'!H33</f>
        <v>489583.00000000006</v>
      </c>
    </row>
    <row r="34" spans="1:25" x14ac:dyDescent="0.2">
      <c r="A34" s="10">
        <f t="shared" si="1"/>
        <v>36631.083333333263</v>
      </c>
      <c r="B34" s="3">
        <v>30</v>
      </c>
      <c r="C34" s="12">
        <v>-7.3307662987507571E-2</v>
      </c>
      <c r="E34" s="44">
        <v>5.9999999999997833E-3</v>
      </c>
      <c r="F34" s="3">
        <f>7761-828</f>
        <v>6933</v>
      </c>
      <c r="G34" s="3">
        <f>14039-5241</f>
        <v>8798</v>
      </c>
      <c r="H34" s="3">
        <f>18200-3931</f>
        <v>14269</v>
      </c>
      <c r="I34" s="3">
        <v>1880</v>
      </c>
      <c r="J34" s="3">
        <v>2073</v>
      </c>
      <c r="K34" s="3">
        <v>1258</v>
      </c>
      <c r="L34" s="3">
        <v>683</v>
      </c>
      <c r="M34" s="1">
        <f t="shared" si="9"/>
        <v>8813</v>
      </c>
      <c r="N34" s="1">
        <f t="shared" si="10"/>
        <v>11554</v>
      </c>
      <c r="O34" s="1">
        <f t="shared" si="8"/>
        <v>15527</v>
      </c>
      <c r="P34" s="1">
        <f t="shared" si="11"/>
        <v>35894</v>
      </c>
      <c r="Q34" s="1">
        <f>'Index Price Deals'!B34+'Index Price Deals'!C34+'Index Price Deals'!D34-'Prices&amp;Fuel'!AE34</f>
        <v>0</v>
      </c>
      <c r="R34" s="3">
        <f>('Long Term Deals'!BB34+'Long Term Deals'!BC34+'Long Term Deals'!BD34+'Long Term Deals'!BE34+'Long Term Deals'!BF34+'Long Term Deals'!BG34)*(1-'Prices&amp;Fuel'!F34)</f>
        <v>12000</v>
      </c>
      <c r="S34" s="13">
        <f t="shared" si="5"/>
        <v>23894</v>
      </c>
      <c r="T34" s="13">
        <f>((I34+J34+K34)*'Prices&amp;Fuel'!H34*'Prices&amp;Fuel'!L34)+('Prices&amp;Fuel'!N34*'Prices&amp;Fuel'!H34*Transport!L34)+(('Long Term Deals'!BB34+'Long Term Deals'!BC34+'Long Term Deals'!BD34)*'Prices&amp;Fuel'!H34*'Prices&amp;Fuel'!M34)</f>
        <v>211454.36313225442</v>
      </c>
      <c r="U34" s="1">
        <f>S34*B34*'Prices&amp;Fuel'!M34</f>
        <v>550804.48800000001</v>
      </c>
      <c r="W34" s="13">
        <f t="shared" si="7"/>
        <v>23894</v>
      </c>
      <c r="X34" s="3">
        <f>W34*'Prices&amp;Fuel'!H34</f>
        <v>716820</v>
      </c>
    </row>
    <row r="35" spans="1:25" x14ac:dyDescent="0.2">
      <c r="A35" s="10">
        <f t="shared" si="1"/>
        <v>36661.499999999927</v>
      </c>
      <c r="B35" s="3">
        <v>31</v>
      </c>
      <c r="C35" s="12">
        <v>-7.3739446086033444E-2</v>
      </c>
      <c r="E35" s="44">
        <v>5.9999999999997833E-3</v>
      </c>
      <c r="F35" s="3">
        <v>8730</v>
      </c>
      <c r="G35" s="3">
        <f>15795-5034</f>
        <v>10761</v>
      </c>
      <c r="H35" s="3">
        <f>20475-4966</f>
        <v>15509</v>
      </c>
      <c r="I35" s="3">
        <v>1880</v>
      </c>
      <c r="J35" s="3">
        <v>2295</v>
      </c>
      <c r="K35" s="3">
        <v>1036</v>
      </c>
      <c r="L35" s="3">
        <v>683</v>
      </c>
      <c r="M35" s="1">
        <f t="shared" si="9"/>
        <v>10610</v>
      </c>
      <c r="N35" s="1">
        <f t="shared" si="10"/>
        <v>13739</v>
      </c>
      <c r="O35" s="1">
        <f t="shared" si="8"/>
        <v>16545</v>
      </c>
      <c r="P35" s="1">
        <f t="shared" si="11"/>
        <v>40894</v>
      </c>
      <c r="Q35" s="1">
        <f>'Index Price Deals'!B35+'Index Price Deals'!C35+'Index Price Deals'!D35-'Prices&amp;Fuel'!AE35</f>
        <v>0</v>
      </c>
      <c r="R35" s="3">
        <f>('Long Term Deals'!BB35+'Long Term Deals'!BC35+'Long Term Deals'!BD35+'Long Term Deals'!BE35+'Long Term Deals'!BF35+'Long Term Deals'!BG35)*(1-'Prices&amp;Fuel'!F35)</f>
        <v>21000.000000000327</v>
      </c>
      <c r="S35" s="13">
        <f t="shared" si="5"/>
        <v>19893.999999999673</v>
      </c>
      <c r="T35" s="13">
        <f>((I35+J35+K35)*'Prices&amp;Fuel'!H35*'Prices&amp;Fuel'!L35)+('Prices&amp;Fuel'!N35*'Prices&amp;Fuel'!H35*Transport!L35)+(('Long Term Deals'!BB35+'Long Term Deals'!BC35+'Long Term Deals'!BD35)*'Prices&amp;Fuel'!H35*'Prices&amp;Fuel'!M35)</f>
        <v>439532.31925155455</v>
      </c>
      <c r="U35" s="1">
        <f>S35*B35*'Prices&amp;Fuel'!M35</f>
        <v>473883.03759999224</v>
      </c>
      <c r="W35" s="13">
        <f t="shared" si="7"/>
        <v>19893.999999999673</v>
      </c>
      <c r="X35" s="3">
        <f>W35*'Prices&amp;Fuel'!H35</f>
        <v>616713.99999998987</v>
      </c>
    </row>
    <row r="36" spans="1:25" x14ac:dyDescent="0.2">
      <c r="A36" s="10">
        <f t="shared" si="1"/>
        <v>36691.916666666591</v>
      </c>
      <c r="B36" s="3">
        <v>30</v>
      </c>
      <c r="C36" s="12">
        <v>-7.3738786789692368E-2</v>
      </c>
      <c r="E36" s="44">
        <v>5.9999999999997833E-3</v>
      </c>
      <c r="F36" s="3">
        <v>8730</v>
      </c>
      <c r="G36" s="3">
        <f>15795-5034</f>
        <v>10761</v>
      </c>
      <c r="H36" s="3">
        <f>20475-4966</f>
        <v>15509</v>
      </c>
      <c r="I36" s="3">
        <v>1880</v>
      </c>
      <c r="J36" s="3">
        <v>2295</v>
      </c>
      <c r="K36" s="3">
        <v>1036</v>
      </c>
      <c r="L36" s="3">
        <v>683</v>
      </c>
      <c r="M36" s="1">
        <f t="shared" si="9"/>
        <v>10610</v>
      </c>
      <c r="N36" s="1">
        <f t="shared" si="10"/>
        <v>13739</v>
      </c>
      <c r="O36" s="1">
        <f t="shared" si="8"/>
        <v>16545</v>
      </c>
      <c r="P36" s="1">
        <f t="shared" si="11"/>
        <v>40894</v>
      </c>
      <c r="Q36" s="1">
        <f>'Index Price Deals'!B36+'Index Price Deals'!C36+'Index Price Deals'!D36-'Prices&amp;Fuel'!AE36</f>
        <v>0</v>
      </c>
      <c r="R36" s="3">
        <f>('Long Term Deals'!BB36+'Long Term Deals'!BC36+'Long Term Deals'!BD36+'Long Term Deals'!BE36+'Long Term Deals'!BF36+'Long Term Deals'!BG36)*(1-'Prices&amp;Fuel'!F36)</f>
        <v>21000.000000000218</v>
      </c>
      <c r="S36" s="13">
        <f t="shared" si="5"/>
        <v>19893.999999999782</v>
      </c>
      <c r="T36" s="13">
        <f>((I36+J36+K36)*'Prices&amp;Fuel'!H36*'Prices&amp;Fuel'!L36)+('Prices&amp;Fuel'!N36*'Prices&amp;Fuel'!H36*Transport!L36)+(('Long Term Deals'!BB36+'Long Term Deals'!BC36+'Long Term Deals'!BD36)*'Prices&amp;Fuel'!H36*'Prices&amp;Fuel'!M36)</f>
        <v>425316.85153551702</v>
      </c>
      <c r="U36" s="1">
        <f>S36*B36*'Prices&amp;Fuel'!M36</f>
        <v>458596.48799999506</v>
      </c>
      <c r="W36" s="13">
        <f t="shared" si="7"/>
        <v>19893.999999999782</v>
      </c>
      <c r="X36" s="3">
        <f>W36*'Prices&amp;Fuel'!H36</f>
        <v>596819.99999999348</v>
      </c>
    </row>
    <row r="37" spans="1:25" x14ac:dyDescent="0.2">
      <c r="A37" s="10">
        <f t="shared" si="1"/>
        <v>36722.333333333256</v>
      </c>
      <c r="B37" s="3">
        <v>31</v>
      </c>
      <c r="C37" s="12">
        <v>-7.8238391211888025E-2</v>
      </c>
      <c r="E37" s="44">
        <v>9.4999999999998419E-3</v>
      </c>
      <c r="F37" s="3">
        <v>8730</v>
      </c>
      <c r="G37" s="3">
        <f>15795-5034</f>
        <v>10761</v>
      </c>
      <c r="H37" s="3">
        <f>20475-4966</f>
        <v>15509</v>
      </c>
      <c r="I37" s="3">
        <v>1880</v>
      </c>
      <c r="J37" s="3">
        <v>2295</v>
      </c>
      <c r="K37" s="3">
        <v>1036</v>
      </c>
      <c r="L37" s="3">
        <v>683</v>
      </c>
      <c r="M37" s="1">
        <f t="shared" si="9"/>
        <v>10610</v>
      </c>
      <c r="N37" s="1">
        <f t="shared" si="10"/>
        <v>13739</v>
      </c>
      <c r="O37" s="1">
        <f t="shared" ref="O37:O52" si="12">H37+K37</f>
        <v>16545</v>
      </c>
      <c r="P37" s="1">
        <f t="shared" si="11"/>
        <v>40894</v>
      </c>
      <c r="Q37" s="1">
        <f>'Index Price Deals'!B37+'Index Price Deals'!C37+'Index Price Deals'!D37-'Prices&amp;Fuel'!AE37</f>
        <v>0</v>
      </c>
      <c r="R37" s="3">
        <f>('Long Term Deals'!BB37+'Long Term Deals'!BC37+'Long Term Deals'!BD37+'Long Term Deals'!BE37+'Long Term Deals'!BF37+'Long Term Deals'!BG37)*(1-'Prices&amp;Fuel'!F37)</f>
        <v>21000.000000000218</v>
      </c>
      <c r="S37" s="13">
        <f t="shared" si="5"/>
        <v>19893.999999999782</v>
      </c>
      <c r="T37" s="13">
        <f>((I37+J37+K37)*'Prices&amp;Fuel'!H37*'Prices&amp;Fuel'!L37)+('Prices&amp;Fuel'!N37*'Prices&amp;Fuel'!H37*Transport!L37)+(('Long Term Deals'!BB37+'Long Term Deals'!BC37+'Long Term Deals'!BD37)*'Prices&amp;Fuel'!H37*'Prices&amp;Fuel'!M37)</f>
        <v>439494.07992003427</v>
      </c>
      <c r="U37" s="1">
        <f>S37*B37*'Prices&amp;Fuel'!M37</f>
        <v>473883.03759999486</v>
      </c>
      <c r="W37" s="13">
        <f t="shared" si="7"/>
        <v>19893.999999999782</v>
      </c>
      <c r="X37" s="3">
        <f>W37*'Prices&amp;Fuel'!H37</f>
        <v>616713.99999999325</v>
      </c>
    </row>
    <row r="38" spans="1:25" x14ac:dyDescent="0.2">
      <c r="A38" s="10">
        <f t="shared" ref="A38:A69" si="13">+A37+365/12</f>
        <v>36752.74999999992</v>
      </c>
      <c r="B38" s="3">
        <v>31</v>
      </c>
      <c r="C38" s="12">
        <v>-7.8237600056278556E-2</v>
      </c>
      <c r="E38" s="44">
        <v>9.4999999999996199E-3</v>
      </c>
      <c r="F38" s="3">
        <v>8730</v>
      </c>
      <c r="G38" s="3">
        <f>15795-5034</f>
        <v>10761</v>
      </c>
      <c r="H38" s="3">
        <f>20475-4966</f>
        <v>15509</v>
      </c>
      <c r="I38" s="3">
        <v>1880</v>
      </c>
      <c r="J38" s="3">
        <v>2295</v>
      </c>
      <c r="K38" s="3">
        <v>1036</v>
      </c>
      <c r="L38" s="3">
        <v>683</v>
      </c>
      <c r="M38" s="1">
        <f t="shared" ref="M38:M53" si="14">F38+I38</f>
        <v>10610</v>
      </c>
      <c r="N38" s="1">
        <f t="shared" ref="N38:N53" si="15">G38+J38+L38</f>
        <v>13739</v>
      </c>
      <c r="O38" s="1">
        <f t="shared" si="12"/>
        <v>16545</v>
      </c>
      <c r="P38" s="1">
        <f t="shared" ref="P38:P53" si="16">SUM(M38:O38)</f>
        <v>40894</v>
      </c>
      <c r="Q38" s="1">
        <f>'Index Price Deals'!B38+'Index Price Deals'!C38+'Index Price Deals'!D38-'Prices&amp;Fuel'!AE38</f>
        <v>0</v>
      </c>
      <c r="R38" s="3">
        <f>('Long Term Deals'!BB38+'Long Term Deals'!BC38+'Long Term Deals'!BD38+'Long Term Deals'!BE38+'Long Term Deals'!BF38+'Long Term Deals'!BG38)*(1-'Prices&amp;Fuel'!F38)</f>
        <v>21000.000000000218</v>
      </c>
      <c r="S38" s="13">
        <f t="shared" si="5"/>
        <v>19893.999999999782</v>
      </c>
      <c r="T38" s="13">
        <f>((I38+J38+K38)*'Prices&amp;Fuel'!H38*'Prices&amp;Fuel'!L38)+('Prices&amp;Fuel'!N38*'Prices&amp;Fuel'!H38*Transport!L38)+(('Long Term Deals'!BB38+'Long Term Deals'!BC38+'Long Term Deals'!BD38)*'Prices&amp;Fuel'!H38*'Prices&amp;Fuel'!M38)</f>
        <v>439494.07992003427</v>
      </c>
      <c r="U38" s="1">
        <f>S38*B38*'Prices&amp;Fuel'!M38</f>
        <v>473883.03759999486</v>
      </c>
      <c r="W38" s="13">
        <f t="shared" si="7"/>
        <v>19893.999999999782</v>
      </c>
      <c r="X38" s="3">
        <f>W38*'Prices&amp;Fuel'!H38</f>
        <v>616713.99999999325</v>
      </c>
    </row>
    <row r="39" spans="1:25" x14ac:dyDescent="0.2">
      <c r="A39" s="10">
        <f t="shared" si="13"/>
        <v>36783.166666666584</v>
      </c>
      <c r="B39" s="3">
        <v>30</v>
      </c>
      <c r="C39" s="12">
        <v>-7.8236281463596846E-2</v>
      </c>
      <c r="E39" s="44">
        <v>9.4999999999996199E-3</v>
      </c>
      <c r="F39" s="3">
        <v>8730</v>
      </c>
      <c r="G39" s="3">
        <f>15795-5034</f>
        <v>10761</v>
      </c>
      <c r="H39" s="3">
        <f>20475-4966</f>
        <v>15509</v>
      </c>
      <c r="I39" s="3">
        <v>1880</v>
      </c>
      <c r="J39" s="3">
        <v>2295</v>
      </c>
      <c r="K39" s="3">
        <v>1036</v>
      </c>
      <c r="L39" s="3">
        <v>683</v>
      </c>
      <c r="M39" s="1">
        <f t="shared" si="14"/>
        <v>10610</v>
      </c>
      <c r="N39" s="1">
        <f t="shared" si="15"/>
        <v>13739</v>
      </c>
      <c r="O39" s="1">
        <f t="shared" si="12"/>
        <v>16545</v>
      </c>
      <c r="P39" s="1">
        <f t="shared" si="16"/>
        <v>40894</v>
      </c>
      <c r="Q39" s="1">
        <f>'Index Price Deals'!B39+'Index Price Deals'!C39+'Index Price Deals'!D39-'Prices&amp;Fuel'!AE39</f>
        <v>0</v>
      </c>
      <c r="R39" s="3">
        <f>('Long Term Deals'!BB39+'Long Term Deals'!BC39+'Long Term Deals'!BD39+'Long Term Deals'!BE39+'Long Term Deals'!BF39+'Long Term Deals'!BG39)*(1-'Prices&amp;Fuel'!F39)</f>
        <v>21000.000000000218</v>
      </c>
      <c r="S39" s="13">
        <f t="shared" si="5"/>
        <v>19893.999999999782</v>
      </c>
      <c r="T39" s="13">
        <f>((I39+J39+K39)*'Prices&amp;Fuel'!H39*'Prices&amp;Fuel'!L39)+('Prices&amp;Fuel'!N39*'Prices&amp;Fuel'!H39*Transport!L39)+(('Long Term Deals'!BB39+'Long Term Deals'!BC39+'Long Term Deals'!BD39)*'Prices&amp;Fuel'!H39*'Prices&amp;Fuel'!M39)</f>
        <v>425316.85153551702</v>
      </c>
      <c r="U39" s="1">
        <f>S39*B39*'Prices&amp;Fuel'!M39</f>
        <v>458596.48799999506</v>
      </c>
      <c r="W39" s="13">
        <f t="shared" si="7"/>
        <v>19893.999999999782</v>
      </c>
      <c r="X39" s="3">
        <f>W39*'Prices&amp;Fuel'!H39</f>
        <v>596819.99999999348</v>
      </c>
    </row>
    <row r="40" spans="1:25" x14ac:dyDescent="0.2">
      <c r="A40" s="10">
        <f t="shared" si="13"/>
        <v>36813.583333333248</v>
      </c>
      <c r="B40" s="3">
        <v>31</v>
      </c>
      <c r="C40" s="12">
        <v>-8.2797941103680994E-2</v>
      </c>
      <c r="E40" s="44">
        <v>1.4499999999999957E-2</v>
      </c>
      <c r="F40" s="3">
        <f>8730-0</f>
        <v>8730</v>
      </c>
      <c r="G40" s="3">
        <f>15795-5434</f>
        <v>10361</v>
      </c>
      <c r="H40" s="3">
        <f>20475-4566</f>
        <v>15909</v>
      </c>
      <c r="I40" s="3">
        <v>2830</v>
      </c>
      <c r="J40" s="3">
        <v>3500</v>
      </c>
      <c r="K40" s="3">
        <v>1521</v>
      </c>
      <c r="L40" s="3">
        <v>1001</v>
      </c>
      <c r="M40" s="1">
        <f t="shared" si="14"/>
        <v>11560</v>
      </c>
      <c r="N40" s="1">
        <f t="shared" si="15"/>
        <v>14862</v>
      </c>
      <c r="O40" s="1">
        <f t="shared" si="12"/>
        <v>17430</v>
      </c>
      <c r="P40" s="1">
        <f t="shared" si="16"/>
        <v>43852</v>
      </c>
      <c r="Q40" s="1">
        <f>'Index Price Deals'!B40+'Index Price Deals'!C40+'Index Price Deals'!D40-'Prices&amp;Fuel'!AE40</f>
        <v>0</v>
      </c>
      <c r="R40" s="3">
        <f>('Long Term Deals'!BB40+'Long Term Deals'!BC40+'Long Term Deals'!BD40+'Long Term Deals'!BE40+'Long Term Deals'!BF40+'Long Term Deals'!BG40)*(1-'Prices&amp;Fuel'!F40)</f>
        <v>20999.999999999585</v>
      </c>
      <c r="S40" s="13">
        <f t="shared" si="5"/>
        <v>22852.000000000415</v>
      </c>
      <c r="T40" s="13">
        <f>((I40+J40+K40)*'Prices&amp;Fuel'!H40*'Prices&amp;Fuel'!L40)+('Prices&amp;Fuel'!N40*'Prices&amp;Fuel'!H40*Transport!L40)+(('Long Term Deals'!BB40+'Long Term Deals'!BC40+'Long Term Deals'!BD40)*'Prices&amp;Fuel'!H40*'Prices&amp;Fuel'!M40)</f>
        <v>401737.82421944058</v>
      </c>
      <c r="U40" s="1">
        <f>S40*B40*'Prices&amp;Fuel'!M40</f>
        <v>544343.78080000984</v>
      </c>
      <c r="V40" s="1"/>
      <c r="W40" s="13">
        <f t="shared" si="7"/>
        <v>22852.000000000415</v>
      </c>
      <c r="X40" s="3">
        <f>W40*'Prices&amp;Fuel'!H40</f>
        <v>708412.00000001281</v>
      </c>
    </row>
    <row r="41" spans="1:25" x14ac:dyDescent="0.2">
      <c r="A41" s="10">
        <f t="shared" si="13"/>
        <v>36843.999999999913</v>
      </c>
      <c r="B41" s="3">
        <v>30</v>
      </c>
      <c r="C41" s="12">
        <v>-0.12777016429274912</v>
      </c>
      <c r="E41" s="44">
        <v>1.9499999999999851E-2</v>
      </c>
      <c r="F41" s="3">
        <f>7761-1128-1707</f>
        <v>4926</v>
      </c>
      <c r="G41" s="3">
        <f>14039-666-3474-4167</f>
        <v>5732</v>
      </c>
      <c r="H41" s="3">
        <f>18200-4732-4126</f>
        <v>9342</v>
      </c>
      <c r="I41" s="3">
        <v>2563</v>
      </c>
      <c r="J41" s="3">
        <v>2862</v>
      </c>
      <c r="K41" s="3">
        <v>1685</v>
      </c>
      <c r="L41" s="3">
        <v>683</v>
      </c>
      <c r="M41" s="1">
        <f t="shared" si="14"/>
        <v>7489</v>
      </c>
      <c r="N41" s="1">
        <f t="shared" si="15"/>
        <v>9277</v>
      </c>
      <c r="O41" s="1">
        <f t="shared" si="12"/>
        <v>11027</v>
      </c>
      <c r="P41" s="1">
        <f t="shared" si="16"/>
        <v>27793</v>
      </c>
      <c r="Q41" s="1">
        <f>'Index Price Deals'!B41+'Index Price Deals'!C41+'Index Price Deals'!D41-'Prices&amp;Fuel'!AE41</f>
        <v>0</v>
      </c>
      <c r="R41" s="3">
        <f>('Long Term Deals'!BB41+'Long Term Deals'!BC41+'Long Term Deals'!BD41+'Long Term Deals'!BE41+'Long Term Deals'!BF41+'Long Term Deals'!BG41)*(1-'Prices&amp;Fuel'!F41)</f>
        <v>11999.999999999998</v>
      </c>
      <c r="S41" s="13">
        <f t="shared" si="5"/>
        <v>15793.000000000002</v>
      </c>
      <c r="T41" s="13">
        <f>((I41+J41+K41)*'Prices&amp;Fuel'!H41*'Prices&amp;Fuel'!L41)+('Prices&amp;Fuel'!N41*'Prices&amp;Fuel'!H41*Transport!L41)+(('Long Term Deals'!BB41+'Long Term Deals'!BC41+'Long Term Deals'!BD41)*'Prices&amp;Fuel'!H41*'Prices&amp;Fuel'!M41)</f>
        <v>187463.50936503857</v>
      </c>
      <c r="U41" s="1">
        <f>S41*B41*'Prices&amp;Fuel'!M41</f>
        <v>364060.23600000009</v>
      </c>
      <c r="V41" s="1"/>
      <c r="W41" s="13">
        <f t="shared" si="7"/>
        <v>15793.000000000002</v>
      </c>
      <c r="X41" s="3">
        <f>W41*'Prices&amp;Fuel'!H41</f>
        <v>473790.00000000006</v>
      </c>
    </row>
    <row r="42" spans="1:25" x14ac:dyDescent="0.2">
      <c r="A42" s="10">
        <f t="shared" si="13"/>
        <v>36874.416666666577</v>
      </c>
      <c r="B42" s="3">
        <v>31</v>
      </c>
      <c r="C42" s="12">
        <v>-0.16273266559798971</v>
      </c>
      <c r="E42" s="44">
        <v>2.4500000000000188E-2</v>
      </c>
      <c r="F42" s="3">
        <f>7761-1128-1707</f>
        <v>4926</v>
      </c>
      <c r="G42" s="3">
        <f>14039-666-3474-4167</f>
        <v>5732</v>
      </c>
      <c r="H42" s="3">
        <f>18200-4732-4126</f>
        <v>9342</v>
      </c>
      <c r="I42" s="3">
        <v>2563</v>
      </c>
      <c r="J42" s="3">
        <v>2862</v>
      </c>
      <c r="K42" s="3">
        <v>1685</v>
      </c>
      <c r="L42" s="3">
        <v>683</v>
      </c>
      <c r="M42" s="1">
        <f t="shared" si="14"/>
        <v>7489</v>
      </c>
      <c r="N42" s="1">
        <f t="shared" si="15"/>
        <v>9277</v>
      </c>
      <c r="O42" s="1">
        <f t="shared" si="12"/>
        <v>11027</v>
      </c>
      <c r="P42" s="1">
        <f t="shared" si="16"/>
        <v>27793</v>
      </c>
      <c r="Q42" s="1">
        <f>'Index Price Deals'!B42+'Index Price Deals'!C42+'Index Price Deals'!D42-'Prices&amp;Fuel'!AE42</f>
        <v>0</v>
      </c>
      <c r="R42" s="3">
        <f>('Long Term Deals'!BB42+'Long Term Deals'!BC42+'Long Term Deals'!BD42+'Long Term Deals'!BE42+'Long Term Deals'!BF42+'Long Term Deals'!BG42)*(1-'Prices&amp;Fuel'!F42)</f>
        <v>11999.999999999998</v>
      </c>
      <c r="S42" s="13">
        <f t="shared" si="5"/>
        <v>15793.000000000002</v>
      </c>
      <c r="T42" s="13">
        <f>((I42+J42+K42)*'Prices&amp;Fuel'!H42*'Prices&amp;Fuel'!L42)+('Prices&amp;Fuel'!N42*'Prices&amp;Fuel'!H42*Transport!L42)+(('Long Term Deals'!BB42+'Long Term Deals'!BC42+'Long Term Deals'!BD42)*'Prices&amp;Fuel'!H42*'Prices&amp;Fuel'!M42)</f>
        <v>193712.29301053984</v>
      </c>
      <c r="U42" s="1">
        <f>S42*B42*'Prices&amp;Fuel'!M42</f>
        <v>376195.57720000006</v>
      </c>
      <c r="V42" s="1"/>
      <c r="W42" s="13">
        <f t="shared" si="7"/>
        <v>15793.000000000002</v>
      </c>
      <c r="X42" s="3">
        <f>W42*'Prices&amp;Fuel'!H42</f>
        <v>489583.00000000006</v>
      </c>
      <c r="Y42" s="1">
        <f>SUM(X31:X42)/366</f>
        <v>18769.262295081902</v>
      </c>
    </row>
    <row r="43" spans="1:25" x14ac:dyDescent="0.2">
      <c r="A43" s="10">
        <f t="shared" si="13"/>
        <v>36904.833333333241</v>
      </c>
      <c r="B43" s="3">
        <v>31</v>
      </c>
      <c r="C43" s="12">
        <v>-0.14771252741006347</v>
      </c>
      <c r="E43" s="44">
        <v>2.4500000000000188E-2</v>
      </c>
      <c r="F43" s="3">
        <f>7761-1128-1707</f>
        <v>4926</v>
      </c>
      <c r="G43" s="3">
        <f>14039-666-3474-4167</f>
        <v>5732</v>
      </c>
      <c r="H43" s="3">
        <f>18200-4732-4126</f>
        <v>9342</v>
      </c>
      <c r="I43" s="3">
        <v>2563</v>
      </c>
      <c r="J43" s="3">
        <v>2862</v>
      </c>
      <c r="K43" s="3">
        <v>1685</v>
      </c>
      <c r="L43" s="3">
        <v>683</v>
      </c>
      <c r="M43" s="1">
        <f t="shared" si="14"/>
        <v>7489</v>
      </c>
      <c r="N43" s="1">
        <f t="shared" si="15"/>
        <v>9277</v>
      </c>
      <c r="O43" s="1">
        <f t="shared" si="12"/>
        <v>11027</v>
      </c>
      <c r="P43" s="1">
        <f t="shared" si="16"/>
        <v>27793</v>
      </c>
      <c r="Q43" s="1">
        <f>'Index Price Deals'!B43+'Index Price Deals'!C43+'Index Price Deals'!D43-'Prices&amp;Fuel'!AE43</f>
        <v>0</v>
      </c>
      <c r="R43" s="3">
        <f>('Long Term Deals'!BB43+'Long Term Deals'!BC43+'Long Term Deals'!BD43+'Long Term Deals'!BE43+'Long Term Deals'!BF43+'Long Term Deals'!BG43)*(1-'Prices&amp;Fuel'!F43)</f>
        <v>11999.999999999998</v>
      </c>
      <c r="S43" s="13">
        <f t="shared" si="5"/>
        <v>15793.000000000002</v>
      </c>
      <c r="T43" s="13">
        <f>((I43+J43+K43)*'Prices&amp;Fuel'!H43*'Prices&amp;Fuel'!L43)+('Prices&amp;Fuel'!N43*'Prices&amp;Fuel'!H43*Transport!L43)+(('Long Term Deals'!BB43+'Long Term Deals'!BC43+'Long Term Deals'!BD43)*'Prices&amp;Fuel'!H43*'Prices&amp;Fuel'!M43)</f>
        <v>193712.29301053984</v>
      </c>
      <c r="U43" s="1">
        <f>S43*B43*'Prices&amp;Fuel'!M43</f>
        <v>376195.57720000006</v>
      </c>
      <c r="V43" s="1"/>
      <c r="W43" s="13">
        <f t="shared" si="7"/>
        <v>15793.000000000002</v>
      </c>
      <c r="X43" s="3">
        <f>W43*'Prices&amp;Fuel'!H43</f>
        <v>489583.00000000006</v>
      </c>
    </row>
    <row r="44" spans="1:25" x14ac:dyDescent="0.2">
      <c r="A44" s="10">
        <f t="shared" si="13"/>
        <v>36935.249999999905</v>
      </c>
      <c r="B44" s="3">
        <v>28</v>
      </c>
      <c r="C44" s="12">
        <v>-0.14774030422099615</v>
      </c>
      <c r="E44" s="44">
        <v>2.4500000000000188E-2</v>
      </c>
      <c r="F44" s="3">
        <f>7761-1128-1707</f>
        <v>4926</v>
      </c>
      <c r="G44" s="3">
        <f>14039-666-3474-4167</f>
        <v>5732</v>
      </c>
      <c r="H44" s="3">
        <f>18200-4732-4126</f>
        <v>9342</v>
      </c>
      <c r="I44" s="3">
        <v>2563</v>
      </c>
      <c r="J44" s="3">
        <v>2862</v>
      </c>
      <c r="K44" s="3">
        <v>1685</v>
      </c>
      <c r="L44" s="3">
        <v>683</v>
      </c>
      <c r="M44" s="1">
        <f t="shared" si="14"/>
        <v>7489</v>
      </c>
      <c r="N44" s="1">
        <f t="shared" si="15"/>
        <v>9277</v>
      </c>
      <c r="O44" s="1">
        <f t="shared" si="12"/>
        <v>11027</v>
      </c>
      <c r="P44" s="1">
        <f t="shared" si="16"/>
        <v>27793</v>
      </c>
      <c r="Q44" s="1">
        <f>'Index Price Deals'!B44+'Index Price Deals'!C44+'Index Price Deals'!D44-'Prices&amp;Fuel'!AE44</f>
        <v>0</v>
      </c>
      <c r="R44" s="3">
        <f>('Long Term Deals'!BB44+'Long Term Deals'!BC44+'Long Term Deals'!BD44+'Long Term Deals'!BE44+'Long Term Deals'!BF44+'Long Term Deals'!BG44)*(1-'Prices&amp;Fuel'!F44)</f>
        <v>11999.999999999998</v>
      </c>
      <c r="S44" s="13">
        <f t="shared" si="5"/>
        <v>15793.000000000002</v>
      </c>
      <c r="T44" s="13">
        <f>((I44+J44+K44)*'Prices&amp;Fuel'!H44*'Prices&amp;Fuel'!L44)+('Prices&amp;Fuel'!N44*'Prices&amp;Fuel'!H44*Transport!L44)+(('Long Term Deals'!BB44+'Long Term Deals'!BC44+'Long Term Deals'!BD44)*'Prices&amp;Fuel'!H44*'Prices&amp;Fuel'!M44)</f>
        <v>174965.94207403599</v>
      </c>
      <c r="U44" s="1">
        <f>S44*B44*'Prices&amp;Fuel'!M44</f>
        <v>339789.5536000001</v>
      </c>
      <c r="V44" s="1"/>
      <c r="W44" s="13">
        <f t="shared" si="7"/>
        <v>15793.000000000002</v>
      </c>
      <c r="X44" s="3">
        <f>W44*'Prices&amp;Fuel'!H44</f>
        <v>442204.00000000006</v>
      </c>
    </row>
    <row r="45" spans="1:25" x14ac:dyDescent="0.2">
      <c r="A45" s="10">
        <f t="shared" si="13"/>
        <v>36965.66666666657</v>
      </c>
      <c r="B45" s="3">
        <v>31</v>
      </c>
      <c r="C45" s="12">
        <v>-0.12277606686507214</v>
      </c>
      <c r="E45" s="44">
        <v>1.9500000000000295E-2</v>
      </c>
      <c r="F45" s="3">
        <f>7761-1128-1707</f>
        <v>4926</v>
      </c>
      <c r="G45" s="3">
        <f>14039-666-3474-4167</f>
        <v>5732</v>
      </c>
      <c r="H45" s="3">
        <f>18200-4732-4126</f>
        <v>9342</v>
      </c>
      <c r="I45" s="3">
        <v>2563</v>
      </c>
      <c r="J45" s="3">
        <v>2862</v>
      </c>
      <c r="K45" s="3">
        <v>1685</v>
      </c>
      <c r="L45" s="3">
        <v>683</v>
      </c>
      <c r="M45" s="1">
        <f t="shared" si="14"/>
        <v>7489</v>
      </c>
      <c r="N45" s="1">
        <f t="shared" si="15"/>
        <v>9277</v>
      </c>
      <c r="O45" s="1">
        <f t="shared" si="12"/>
        <v>11027</v>
      </c>
      <c r="P45" s="1">
        <f t="shared" si="16"/>
        <v>27793</v>
      </c>
      <c r="Q45" s="1">
        <f>'Index Price Deals'!B45+'Index Price Deals'!C45+'Index Price Deals'!D45-'Prices&amp;Fuel'!AE45</f>
        <v>0</v>
      </c>
      <c r="R45" s="3">
        <f>('Long Term Deals'!BB45+'Long Term Deals'!BC45+'Long Term Deals'!BD45+'Long Term Deals'!BE45+'Long Term Deals'!BF45+'Long Term Deals'!BG45)*(1-'Prices&amp;Fuel'!F45)</f>
        <v>11999.999999999998</v>
      </c>
      <c r="S45" s="13">
        <f t="shared" si="5"/>
        <v>15793.000000000002</v>
      </c>
      <c r="T45" s="13">
        <f>((I45+J45+K45)*'Prices&amp;Fuel'!H45*'Prices&amp;Fuel'!L45)+('Prices&amp;Fuel'!N45*'Prices&amp;Fuel'!H45*Transport!L45)+(('Long Term Deals'!BB45+'Long Term Deals'!BC45+'Long Term Deals'!BD45)*'Prices&amp;Fuel'!H45*'Prices&amp;Fuel'!M45)</f>
        <v>193712.29301053984</v>
      </c>
      <c r="U45" s="1">
        <f>S45*B45*'Prices&amp;Fuel'!M45</f>
        <v>376195.57720000006</v>
      </c>
      <c r="V45" s="1"/>
      <c r="W45" s="13">
        <f t="shared" si="7"/>
        <v>15793.000000000002</v>
      </c>
      <c r="X45" s="3">
        <f>W45*'Prices&amp;Fuel'!H45</f>
        <v>489583.00000000006</v>
      </c>
    </row>
    <row r="46" spans="1:25" x14ac:dyDescent="0.2">
      <c r="A46" s="10">
        <f t="shared" si="13"/>
        <v>36996.083333333234</v>
      </c>
      <c r="B46" s="3">
        <v>30</v>
      </c>
      <c r="C46" s="12">
        <v>-7.3293080161768387E-2</v>
      </c>
      <c r="E46" s="44">
        <v>5.9999999999997833E-3</v>
      </c>
      <c r="F46" s="3">
        <f>7761-828</f>
        <v>6933</v>
      </c>
      <c r="G46" s="3">
        <f>14039-5241</f>
        <v>8798</v>
      </c>
      <c r="H46" s="3">
        <f>18200-3931</f>
        <v>14269</v>
      </c>
      <c r="I46" s="3">
        <v>1880</v>
      </c>
      <c r="J46" s="3">
        <v>2073</v>
      </c>
      <c r="K46" s="3">
        <v>1258</v>
      </c>
      <c r="L46" s="3">
        <v>683</v>
      </c>
      <c r="M46" s="1">
        <f t="shared" si="14"/>
        <v>8813</v>
      </c>
      <c r="N46" s="1">
        <f t="shared" si="15"/>
        <v>11554</v>
      </c>
      <c r="O46" s="1">
        <f t="shared" si="12"/>
        <v>15527</v>
      </c>
      <c r="P46" s="1">
        <f t="shared" si="16"/>
        <v>35894</v>
      </c>
      <c r="Q46" s="1">
        <f>'Index Price Deals'!B46+'Index Price Deals'!C46+'Index Price Deals'!D46-'Prices&amp;Fuel'!AE46</f>
        <v>0</v>
      </c>
      <c r="R46" s="3">
        <f>('Long Term Deals'!BB46+'Long Term Deals'!BC46+'Long Term Deals'!BD46+'Long Term Deals'!BE46+'Long Term Deals'!BF46+'Long Term Deals'!BG46)*(1-'Prices&amp;Fuel'!F46)</f>
        <v>12000</v>
      </c>
      <c r="S46" s="13">
        <f t="shared" si="5"/>
        <v>23894</v>
      </c>
      <c r="T46" s="13">
        <f>((I46+J46+K46)*'Prices&amp;Fuel'!H46*'Prices&amp;Fuel'!L46)+('Prices&amp;Fuel'!N46*'Prices&amp;Fuel'!H46*Transport!L46)+(('Long Term Deals'!BB46+'Long Term Deals'!BC46+'Long Term Deals'!BD46)*'Prices&amp;Fuel'!H46*'Prices&amp;Fuel'!M46)</f>
        <v>211096.29098714655</v>
      </c>
      <c r="U46" s="1">
        <f>S46*B46*'Prices&amp;Fuel'!M46</f>
        <v>550804.48800000001</v>
      </c>
      <c r="V46" s="1"/>
      <c r="W46" s="13">
        <f t="shared" si="7"/>
        <v>23894</v>
      </c>
      <c r="X46" s="3">
        <f>W46*'Prices&amp;Fuel'!H46</f>
        <v>716820</v>
      </c>
      <c r="Y46" s="1">
        <f>SUM(X43:X46)/365</f>
        <v>5858.0547945205481</v>
      </c>
    </row>
    <row r="47" spans="1:25" x14ac:dyDescent="0.2">
      <c r="A47" s="10">
        <f t="shared" si="13"/>
        <v>37026.499999999898</v>
      </c>
      <c r="B47" s="3">
        <v>31</v>
      </c>
      <c r="C47" s="12">
        <v>-7.3733907996769599E-2</v>
      </c>
      <c r="E47" s="44">
        <v>5.9999999999997833E-3</v>
      </c>
      <c r="F47" s="3">
        <v>8730</v>
      </c>
      <c r="G47" s="3">
        <f>15795-5034</f>
        <v>10761</v>
      </c>
      <c r="H47" s="3">
        <f>20475-4966</f>
        <v>15509</v>
      </c>
      <c r="I47" s="3">
        <v>1880</v>
      </c>
      <c r="J47" s="3">
        <v>2295</v>
      </c>
      <c r="K47" s="3">
        <v>1036</v>
      </c>
      <c r="L47" s="3">
        <v>683</v>
      </c>
      <c r="M47" s="1">
        <f t="shared" si="14"/>
        <v>10610</v>
      </c>
      <c r="N47" s="1">
        <f t="shared" si="15"/>
        <v>13739</v>
      </c>
      <c r="O47" s="1">
        <f t="shared" si="12"/>
        <v>16545</v>
      </c>
      <c r="P47" s="1">
        <f t="shared" si="16"/>
        <v>40894</v>
      </c>
      <c r="Q47" s="1">
        <f>'Index Price Deals'!B47+'Index Price Deals'!C47+'Index Price Deals'!D47-'Prices&amp;Fuel'!AE47</f>
        <v>0</v>
      </c>
      <c r="R47" s="3">
        <f>('Long Term Deals'!BB47+'Long Term Deals'!BC47+'Long Term Deals'!BD47+'Long Term Deals'!BE47+'Long Term Deals'!BF47+'Long Term Deals'!BG47)*(1-'Prices&amp;Fuel'!F47)</f>
        <v>20999.999999999862</v>
      </c>
      <c r="S47" s="13">
        <f t="shared" si="5"/>
        <v>1.3824319466948509E-10</v>
      </c>
      <c r="T47" s="13">
        <f>((I47+J47+K47)*'Prices&amp;Fuel'!H47*'Prices&amp;Fuel'!L47)+('Prices&amp;Fuel'!N47*'Prices&amp;Fuel'!H47*Transport!L47)+(('Long Term Deals'!BB47+'Long Term Deals'!BC47+'Long Term Deals'!BD47)*'Prices&amp;Fuel'!H47*'Prices&amp;Fuel'!M47)</f>
        <v>424614.38260616653</v>
      </c>
      <c r="U47" s="1">
        <f>S47*B47*'Prices&amp;Fuel'!M47</f>
        <v>3.1687275622971359E-9</v>
      </c>
      <c r="V47" s="1">
        <f>29894-10000</f>
        <v>19894</v>
      </c>
      <c r="W47" s="13">
        <f t="shared" si="7"/>
        <v>1.3824319466948509E-10</v>
      </c>
    </row>
    <row r="48" spans="1:25" x14ac:dyDescent="0.2">
      <c r="A48" s="10">
        <f t="shared" si="13"/>
        <v>37056.916666666562</v>
      </c>
      <c r="B48" s="3">
        <v>30</v>
      </c>
      <c r="C48" s="12">
        <v>-7.3733248700428078E-2</v>
      </c>
      <c r="E48" s="44">
        <v>5.9999999999997833E-3</v>
      </c>
      <c r="F48" s="3">
        <v>8730</v>
      </c>
      <c r="G48" s="3">
        <f>15795-5034</f>
        <v>10761</v>
      </c>
      <c r="H48" s="3">
        <f>20475-4966</f>
        <v>15509</v>
      </c>
      <c r="I48" s="3">
        <v>1880</v>
      </c>
      <c r="J48" s="3">
        <v>2295</v>
      </c>
      <c r="K48" s="3">
        <v>1036</v>
      </c>
      <c r="L48" s="3">
        <v>683</v>
      </c>
      <c r="M48" s="1">
        <f t="shared" si="14"/>
        <v>10610</v>
      </c>
      <c r="N48" s="1">
        <f t="shared" si="15"/>
        <v>13739</v>
      </c>
      <c r="O48" s="1">
        <f t="shared" si="12"/>
        <v>16545</v>
      </c>
      <c r="P48" s="1">
        <f t="shared" si="16"/>
        <v>40894</v>
      </c>
      <c r="Q48" s="1">
        <f>'Index Price Deals'!B48+'Index Price Deals'!C48+'Index Price Deals'!D48-'Prices&amp;Fuel'!AE48</f>
        <v>0</v>
      </c>
      <c r="R48" s="3">
        <f>('Long Term Deals'!BB48+'Long Term Deals'!BC48+'Long Term Deals'!BD48+'Long Term Deals'!BE48+'Long Term Deals'!BF48+'Long Term Deals'!BG48)*(1-'Prices&amp;Fuel'!F48)</f>
        <v>20999.999999999862</v>
      </c>
      <c r="S48" s="13">
        <f t="shared" si="5"/>
        <v>1.3824319466948509E-10</v>
      </c>
      <c r="T48" s="13">
        <f>((I48+J48+K48)*'Prices&amp;Fuel'!H48*'Prices&amp;Fuel'!L48)+('Prices&amp;Fuel'!N48*'Prices&amp;Fuel'!H48*Transport!L48)+(('Long Term Deals'!BB48+'Long Term Deals'!BC48+'Long Term Deals'!BD48)*'Prices&amp;Fuel'!H48*'Prices&amp;Fuel'!M48)</f>
        <v>410917.14445758052</v>
      </c>
      <c r="U48" s="1">
        <f>S48*B48*'Prices&amp;Fuel'!M48</f>
        <v>3.0665105441585185E-9</v>
      </c>
      <c r="V48" s="1">
        <f>29894-10000</f>
        <v>19894</v>
      </c>
      <c r="W48" s="13">
        <f t="shared" si="7"/>
        <v>1.3824319466948509E-10</v>
      </c>
    </row>
    <row r="49" spans="1:23" x14ac:dyDescent="0.2">
      <c r="A49" s="10">
        <f t="shared" si="13"/>
        <v>37087.333333333227</v>
      </c>
      <c r="B49" s="3">
        <v>31</v>
      </c>
      <c r="C49" s="12">
        <v>-7.8232853122623514E-2</v>
      </c>
      <c r="E49" s="44">
        <v>9.4999999999998419E-3</v>
      </c>
      <c r="F49" s="3">
        <v>8730</v>
      </c>
      <c r="G49" s="3">
        <f>15795-5034</f>
        <v>10761</v>
      </c>
      <c r="H49" s="3">
        <f>20475-4966</f>
        <v>15509</v>
      </c>
      <c r="I49" s="3">
        <v>1880</v>
      </c>
      <c r="J49" s="3">
        <v>2295</v>
      </c>
      <c r="K49" s="3">
        <v>1036</v>
      </c>
      <c r="L49" s="3">
        <v>683</v>
      </c>
      <c r="M49" s="1">
        <f t="shared" si="14"/>
        <v>10610</v>
      </c>
      <c r="N49" s="1">
        <f t="shared" si="15"/>
        <v>13739</v>
      </c>
      <c r="O49" s="1">
        <f t="shared" si="12"/>
        <v>16545</v>
      </c>
      <c r="P49" s="1">
        <f t="shared" si="16"/>
        <v>40894</v>
      </c>
      <c r="Q49" s="1">
        <f>'Index Price Deals'!B49+'Index Price Deals'!C49+'Index Price Deals'!D49-'Prices&amp;Fuel'!AE49</f>
        <v>0</v>
      </c>
      <c r="R49" s="3">
        <f>('Long Term Deals'!BB49+'Long Term Deals'!BC49+'Long Term Deals'!BD49+'Long Term Deals'!BE49+'Long Term Deals'!BF49+'Long Term Deals'!BG49)*(1-'Prices&amp;Fuel'!F49)</f>
        <v>20999.999999999862</v>
      </c>
      <c r="S49" s="13">
        <f t="shared" si="5"/>
        <v>1.3824319466948509E-10</v>
      </c>
      <c r="T49" s="13">
        <f>((I49+J49+K49)*'Prices&amp;Fuel'!H49*'Prices&amp;Fuel'!L49)+('Prices&amp;Fuel'!N49*'Prices&amp;Fuel'!H49*Transport!L49)+(('Long Term Deals'!BB49+'Long Term Deals'!BC49+'Long Term Deals'!BD49)*'Prices&amp;Fuel'!H49*'Prices&amp;Fuel'!M49)</f>
        <v>424614.38260616653</v>
      </c>
      <c r="U49" s="1">
        <f>S49*B49*'Prices&amp;Fuel'!M49</f>
        <v>3.1687275622971359E-9</v>
      </c>
      <c r="V49" s="1">
        <f>29894-10000</f>
        <v>19894</v>
      </c>
      <c r="W49" s="13">
        <f t="shared" si="7"/>
        <v>1.3824319466948509E-10</v>
      </c>
    </row>
    <row r="50" spans="1:23" x14ac:dyDescent="0.2">
      <c r="A50" s="10">
        <f t="shared" si="13"/>
        <v>37117.749999999891</v>
      </c>
      <c r="B50" s="3">
        <v>31</v>
      </c>
      <c r="C50" s="12">
        <v>-7.8232061967014044E-2</v>
      </c>
      <c r="E50" s="44">
        <v>9.4999999999996199E-3</v>
      </c>
      <c r="F50" s="3">
        <v>8730</v>
      </c>
      <c r="G50" s="3">
        <f>15795-5034</f>
        <v>10761</v>
      </c>
      <c r="H50" s="3">
        <f>20475-4966</f>
        <v>15509</v>
      </c>
      <c r="I50" s="3">
        <v>1880</v>
      </c>
      <c r="J50" s="3">
        <v>2295</v>
      </c>
      <c r="K50" s="3">
        <v>1036</v>
      </c>
      <c r="L50" s="3">
        <v>683</v>
      </c>
      <c r="M50" s="1">
        <f t="shared" si="14"/>
        <v>10610</v>
      </c>
      <c r="N50" s="1">
        <f t="shared" si="15"/>
        <v>13739</v>
      </c>
      <c r="O50" s="1">
        <f t="shared" si="12"/>
        <v>16545</v>
      </c>
      <c r="P50" s="1">
        <f t="shared" si="16"/>
        <v>40894</v>
      </c>
      <c r="Q50" s="1">
        <f>'Index Price Deals'!B50+'Index Price Deals'!C50+'Index Price Deals'!D50-'Prices&amp;Fuel'!AE50</f>
        <v>0</v>
      </c>
      <c r="R50" s="3">
        <f>('Long Term Deals'!BB50+'Long Term Deals'!BC50+'Long Term Deals'!BD50+'Long Term Deals'!BE50+'Long Term Deals'!BF50+'Long Term Deals'!BG50)*(1-'Prices&amp;Fuel'!F50)</f>
        <v>20999.999999999862</v>
      </c>
      <c r="S50" s="13">
        <f t="shared" si="5"/>
        <v>1.3824319466948509E-10</v>
      </c>
      <c r="T50" s="13">
        <f>((I50+J50+K50)*'Prices&amp;Fuel'!H50*'Prices&amp;Fuel'!L50)+('Prices&amp;Fuel'!N50*'Prices&amp;Fuel'!H50*Transport!L50)+(('Long Term Deals'!BB50+'Long Term Deals'!BC50+'Long Term Deals'!BD50)*'Prices&amp;Fuel'!H50*'Prices&amp;Fuel'!M50)</f>
        <v>424614.38260616653</v>
      </c>
      <c r="U50" s="1">
        <f>S50*B50*'Prices&amp;Fuel'!M50</f>
        <v>3.1687275622971359E-9</v>
      </c>
      <c r="V50" s="1">
        <f>29894-10000</f>
        <v>19894</v>
      </c>
      <c r="W50" s="13">
        <f t="shared" si="7"/>
        <v>1.3824319466948509E-10</v>
      </c>
    </row>
    <row r="51" spans="1:23" x14ac:dyDescent="0.2">
      <c r="A51" s="10">
        <f t="shared" si="13"/>
        <v>37148.166666666555</v>
      </c>
      <c r="B51" s="3">
        <v>30</v>
      </c>
      <c r="C51" s="12">
        <v>-7.8230743374332334E-2</v>
      </c>
      <c r="E51" s="44">
        <v>9.4999999999996199E-3</v>
      </c>
      <c r="F51" s="3">
        <v>8730</v>
      </c>
      <c r="G51" s="3">
        <f>15795-5034</f>
        <v>10761</v>
      </c>
      <c r="H51" s="3">
        <f>20475-4966</f>
        <v>15509</v>
      </c>
      <c r="I51" s="3">
        <v>1880</v>
      </c>
      <c r="J51" s="3">
        <v>2295</v>
      </c>
      <c r="K51" s="3">
        <v>1036</v>
      </c>
      <c r="L51" s="3">
        <v>683</v>
      </c>
      <c r="M51" s="1">
        <f t="shared" si="14"/>
        <v>10610</v>
      </c>
      <c r="N51" s="1">
        <f t="shared" si="15"/>
        <v>13739</v>
      </c>
      <c r="O51" s="1">
        <f t="shared" si="12"/>
        <v>16545</v>
      </c>
      <c r="P51" s="1">
        <f t="shared" si="16"/>
        <v>40894</v>
      </c>
      <c r="Q51" s="1">
        <f>'Index Price Deals'!B51+'Index Price Deals'!C51+'Index Price Deals'!D51-'Prices&amp;Fuel'!AE51</f>
        <v>0</v>
      </c>
      <c r="R51" s="3">
        <f>('Long Term Deals'!BB51+'Long Term Deals'!BC51+'Long Term Deals'!BD51+'Long Term Deals'!BE51+'Long Term Deals'!BF51+'Long Term Deals'!BG51)*(1-'Prices&amp;Fuel'!F51)</f>
        <v>20999.999999999862</v>
      </c>
      <c r="S51" s="13">
        <f t="shared" si="5"/>
        <v>1.3824319466948509E-10</v>
      </c>
      <c r="T51" s="13">
        <f>((I51+J51+K51)*'Prices&amp;Fuel'!H51*'Prices&amp;Fuel'!L51)+('Prices&amp;Fuel'!N51*'Prices&amp;Fuel'!H51*Transport!L51)+(('Long Term Deals'!BB51+'Long Term Deals'!BC51+'Long Term Deals'!BD51)*'Prices&amp;Fuel'!H51*'Prices&amp;Fuel'!M51)</f>
        <v>410917.14445758052</v>
      </c>
      <c r="U51" s="1">
        <f>S51*B51*'Prices&amp;Fuel'!M51</f>
        <v>3.0665105441585185E-9</v>
      </c>
      <c r="V51" s="1">
        <f>29894-10000</f>
        <v>19894</v>
      </c>
      <c r="W51" s="13">
        <f t="shared" si="7"/>
        <v>1.3824319466948509E-10</v>
      </c>
    </row>
    <row r="52" spans="1:23" x14ac:dyDescent="0.2">
      <c r="A52" s="10">
        <f t="shared" si="13"/>
        <v>37178.583333333219</v>
      </c>
      <c r="B52" s="3">
        <v>31</v>
      </c>
      <c r="C52" s="12">
        <v>-8.2783358277941588E-2</v>
      </c>
      <c r="E52" s="44">
        <v>1.4499999999999957E-2</v>
      </c>
      <c r="F52" s="3">
        <f>8730-0</f>
        <v>8730</v>
      </c>
      <c r="G52" s="3">
        <f>15795-5434</f>
        <v>10361</v>
      </c>
      <c r="H52" s="3">
        <f>20475-4566</f>
        <v>15909</v>
      </c>
      <c r="I52" s="3">
        <v>2830</v>
      </c>
      <c r="J52" s="3">
        <v>3500</v>
      </c>
      <c r="K52" s="3">
        <v>1521</v>
      </c>
      <c r="L52" s="3">
        <v>1001</v>
      </c>
      <c r="M52" s="1">
        <f t="shared" si="14"/>
        <v>11560</v>
      </c>
      <c r="N52" s="1">
        <f t="shared" si="15"/>
        <v>14862</v>
      </c>
      <c r="O52" s="1">
        <f t="shared" si="12"/>
        <v>17430</v>
      </c>
      <c r="P52" s="1">
        <f t="shared" si="16"/>
        <v>43852</v>
      </c>
      <c r="Q52" s="1">
        <f>'Index Price Deals'!B52+'Index Price Deals'!C52+'Index Price Deals'!D52-'Prices&amp;Fuel'!AE52</f>
        <v>0</v>
      </c>
      <c r="R52" s="3">
        <f>('Long Term Deals'!BB52+'Long Term Deals'!BC52+'Long Term Deals'!BD52+'Long Term Deals'!BE52+'Long Term Deals'!BF52+'Long Term Deals'!BG52)*(1-'Prices&amp;Fuel'!F52)</f>
        <v>20999.999999999807</v>
      </c>
      <c r="S52" s="13">
        <f t="shared" si="5"/>
        <v>1.9281287677586079E-10</v>
      </c>
      <c r="T52" s="13">
        <f>((I52+J52+K52)*'Prices&amp;Fuel'!H52*'Prices&amp;Fuel'!L52)+('Prices&amp;Fuel'!N52*'Prices&amp;Fuel'!H52*Transport!L52)+(('Long Term Deals'!BB52+'Long Term Deals'!BC52+'Long Term Deals'!BD52)*'Prices&amp;Fuel'!H52*'Prices&amp;Fuel'!M52)</f>
        <v>389309.87470539386</v>
      </c>
      <c r="U52" s="1">
        <f>S52*B52*'Prices&amp;Fuel'!M52</f>
        <v>4.4195410737302155E-9</v>
      </c>
      <c r="V52" s="1">
        <f>32852-10000</f>
        <v>22852</v>
      </c>
      <c r="W52" s="13">
        <f t="shared" si="7"/>
        <v>1.9281287677586079E-10</v>
      </c>
    </row>
    <row r="53" spans="1:23" x14ac:dyDescent="0.2">
      <c r="A53" s="10">
        <f t="shared" si="13"/>
        <v>37208.999999999884</v>
      </c>
      <c r="B53" s="3">
        <v>30</v>
      </c>
      <c r="C53" s="12">
        <v>-0.12775558146700927</v>
      </c>
      <c r="E53" s="44">
        <v>1.9499999999999851E-2</v>
      </c>
      <c r="F53" s="3">
        <f>7761-1128-1707</f>
        <v>4926</v>
      </c>
      <c r="G53" s="3">
        <f>14039-666-3474-4167</f>
        <v>5732</v>
      </c>
      <c r="H53" s="3">
        <f>18200-4732-4126</f>
        <v>9342</v>
      </c>
      <c r="I53" s="3">
        <v>2563</v>
      </c>
      <c r="J53" s="3">
        <v>2862</v>
      </c>
      <c r="K53" s="3">
        <v>1685</v>
      </c>
      <c r="L53" s="3">
        <v>683</v>
      </c>
      <c r="M53" s="1">
        <f t="shared" si="14"/>
        <v>7489</v>
      </c>
      <c r="N53" s="1">
        <f t="shared" si="15"/>
        <v>9277</v>
      </c>
      <c r="O53" s="1">
        <f t="shared" ref="O53:O68" si="17">H53+K53</f>
        <v>11027</v>
      </c>
      <c r="P53" s="1">
        <f t="shared" si="16"/>
        <v>27793</v>
      </c>
      <c r="Q53" s="1">
        <f>'Index Price Deals'!B53+'Index Price Deals'!C53+'Index Price Deals'!D53-'Prices&amp;Fuel'!AE53</f>
        <v>0</v>
      </c>
      <c r="R53" s="3">
        <f>('Long Term Deals'!BB53+'Long Term Deals'!BC53+'Long Term Deals'!BD53+'Long Term Deals'!BE53+'Long Term Deals'!BF53+'Long Term Deals'!BG53)*(1-'Prices&amp;Fuel'!F53)</f>
        <v>11999.999999999998</v>
      </c>
      <c r="S53" s="13">
        <f t="shared" si="5"/>
        <v>0</v>
      </c>
      <c r="T53" s="13">
        <f>((I53+J53+K53)*'Prices&amp;Fuel'!H53*'Prices&amp;Fuel'!L53)+('Prices&amp;Fuel'!N53*'Prices&amp;Fuel'!H53*Transport!L53)+(('Long Term Deals'!BB53+'Long Term Deals'!BC53+'Long Term Deals'!BD53)*'Prices&amp;Fuel'!H53*'Prices&amp;Fuel'!M53)</f>
        <v>183699.92067609256</v>
      </c>
      <c r="U53" s="1">
        <f>S53*B53*'Prices&amp;Fuel'!M53</f>
        <v>0</v>
      </c>
      <c r="V53" s="1">
        <f>35793-20000</f>
        <v>15793</v>
      </c>
      <c r="W53" s="13">
        <f t="shared" si="7"/>
        <v>0</v>
      </c>
    </row>
    <row r="54" spans="1:23" x14ac:dyDescent="0.2">
      <c r="A54" s="10">
        <f t="shared" si="13"/>
        <v>37239.416666666548</v>
      </c>
      <c r="B54" s="3">
        <v>31</v>
      </c>
      <c r="C54" s="12">
        <v>-0.16271808277225031</v>
      </c>
      <c r="E54" s="44">
        <v>2.4500000000000188E-2</v>
      </c>
      <c r="F54" s="3">
        <f>7761-1128-1707</f>
        <v>4926</v>
      </c>
      <c r="G54" s="3">
        <f>14039-666-3474-4167</f>
        <v>5732</v>
      </c>
      <c r="H54" s="3">
        <f>18200-4732-4126</f>
        <v>9342</v>
      </c>
      <c r="I54" s="3">
        <v>2563</v>
      </c>
      <c r="J54" s="3">
        <v>2862</v>
      </c>
      <c r="K54" s="3">
        <v>1685</v>
      </c>
      <c r="L54" s="3">
        <v>683</v>
      </c>
      <c r="M54" s="1">
        <f t="shared" ref="M54:M69" si="18">F54+I54</f>
        <v>7489</v>
      </c>
      <c r="N54" s="1">
        <f t="shared" ref="N54:N69" si="19">G54+J54+L54</f>
        <v>9277</v>
      </c>
      <c r="O54" s="1">
        <f t="shared" si="17"/>
        <v>11027</v>
      </c>
      <c r="P54" s="1">
        <f t="shared" ref="P54:P69" si="20">SUM(M54:O54)</f>
        <v>27793</v>
      </c>
      <c r="Q54" s="1">
        <f>'Index Price Deals'!B54+'Index Price Deals'!C54+'Index Price Deals'!D54-'Prices&amp;Fuel'!AE54</f>
        <v>0</v>
      </c>
      <c r="R54" s="3">
        <f>('Long Term Deals'!BB54+'Long Term Deals'!BC54+'Long Term Deals'!BD54+'Long Term Deals'!BE54+'Long Term Deals'!BF54+'Long Term Deals'!BG54)*(1-'Prices&amp;Fuel'!F54)</f>
        <v>11999.999999999998</v>
      </c>
      <c r="S54" s="13">
        <f t="shared" si="5"/>
        <v>0</v>
      </c>
      <c r="T54" s="13">
        <f>((I54+J54+K54)*'Prices&amp;Fuel'!H54*'Prices&amp;Fuel'!L54)+('Prices&amp;Fuel'!N54*'Prices&amp;Fuel'!H54*Transport!L54)+(('Long Term Deals'!BB54+'Long Term Deals'!BC54+'Long Term Deals'!BD54)*'Prices&amp;Fuel'!H54*'Prices&amp;Fuel'!M54)</f>
        <v>189823.25136529564</v>
      </c>
      <c r="U54" s="1">
        <f>S54*B54*'Prices&amp;Fuel'!M54</f>
        <v>0</v>
      </c>
      <c r="V54" s="1">
        <f>35793-20000</f>
        <v>15793</v>
      </c>
      <c r="W54" s="13">
        <f t="shared" si="7"/>
        <v>0</v>
      </c>
    </row>
    <row r="55" spans="1:23" x14ac:dyDescent="0.2">
      <c r="A55" s="10">
        <f t="shared" si="13"/>
        <v>37269.833333333212</v>
      </c>
      <c r="B55" s="3">
        <v>31</v>
      </c>
      <c r="C55" s="12">
        <v>-0.14770141668569048</v>
      </c>
      <c r="E55" s="44">
        <v>2.4500000000000188E-2</v>
      </c>
      <c r="F55" s="3">
        <f>7761-1128-1707</f>
        <v>4926</v>
      </c>
      <c r="G55" s="3">
        <f>14039-666-3474-4167</f>
        <v>5732</v>
      </c>
      <c r="H55" s="3">
        <f>18200-4732-4126</f>
        <v>9342</v>
      </c>
      <c r="I55" s="3">
        <v>2563</v>
      </c>
      <c r="J55" s="3">
        <v>2862</v>
      </c>
      <c r="K55" s="3">
        <v>1685</v>
      </c>
      <c r="L55" s="3">
        <v>683</v>
      </c>
      <c r="M55" s="1">
        <f t="shared" si="18"/>
        <v>7489</v>
      </c>
      <c r="N55" s="1">
        <f t="shared" si="19"/>
        <v>9277</v>
      </c>
      <c r="O55" s="1">
        <f t="shared" si="17"/>
        <v>11027</v>
      </c>
      <c r="P55" s="1">
        <f t="shared" si="20"/>
        <v>27793</v>
      </c>
      <c r="Q55" s="1">
        <f>'Index Price Deals'!B55+'Index Price Deals'!C55+'Index Price Deals'!D55-'Prices&amp;Fuel'!AE55</f>
        <v>0</v>
      </c>
      <c r="R55" s="3">
        <f>('Long Term Deals'!BB55+'Long Term Deals'!BC55+'Long Term Deals'!BD55+'Long Term Deals'!BE55+'Long Term Deals'!BF55+'Long Term Deals'!BG55)*(1-'Prices&amp;Fuel'!F55)</f>
        <v>11999.999999999998</v>
      </c>
      <c r="S55" s="13">
        <f t="shared" si="5"/>
        <v>0</v>
      </c>
      <c r="T55" s="13">
        <f>((I55+J55+K55)*'Prices&amp;Fuel'!H55*'Prices&amp;Fuel'!L55)+('Prices&amp;Fuel'!N55*'Prices&amp;Fuel'!H55*Transport!L55)+(('Long Term Deals'!BB55+'Long Term Deals'!BC55+'Long Term Deals'!BD55)*'Prices&amp;Fuel'!H55*'Prices&amp;Fuel'!M55)</f>
        <v>189823.25136529564</v>
      </c>
      <c r="U55" s="1">
        <f>S55*B55*'Prices&amp;Fuel'!M55</f>
        <v>0</v>
      </c>
      <c r="V55" s="1">
        <f>35793-20000</f>
        <v>15793</v>
      </c>
      <c r="W55" s="13">
        <f t="shared" si="7"/>
        <v>0</v>
      </c>
    </row>
    <row r="56" spans="1:23" x14ac:dyDescent="0.2">
      <c r="A56" s="10">
        <f t="shared" si="13"/>
        <v>37300.249999999876</v>
      </c>
      <c r="B56" s="3">
        <v>28</v>
      </c>
      <c r="C56" s="12">
        <v>-0.14772919349662317</v>
      </c>
      <c r="E56" s="44">
        <v>2.4500000000000188E-2</v>
      </c>
      <c r="F56" s="3">
        <f>7761-1128-1707</f>
        <v>4926</v>
      </c>
      <c r="G56" s="3">
        <f>14039-666-3474-4167</f>
        <v>5732</v>
      </c>
      <c r="H56" s="3">
        <f>18200-4732-4126</f>
        <v>9342</v>
      </c>
      <c r="I56" s="3">
        <v>2563</v>
      </c>
      <c r="J56" s="3">
        <v>2862</v>
      </c>
      <c r="K56" s="3">
        <v>1685</v>
      </c>
      <c r="L56" s="3">
        <v>683</v>
      </c>
      <c r="M56" s="1">
        <f t="shared" si="18"/>
        <v>7489</v>
      </c>
      <c r="N56" s="1">
        <f t="shared" si="19"/>
        <v>9277</v>
      </c>
      <c r="O56" s="1">
        <f t="shared" si="17"/>
        <v>11027</v>
      </c>
      <c r="P56" s="1">
        <f t="shared" si="20"/>
        <v>27793</v>
      </c>
      <c r="Q56" s="1">
        <f>'Index Price Deals'!B56+'Index Price Deals'!C56+'Index Price Deals'!D56-'Prices&amp;Fuel'!AE56</f>
        <v>0</v>
      </c>
      <c r="R56" s="3">
        <f>('Long Term Deals'!BB56+'Long Term Deals'!BC56+'Long Term Deals'!BD56+'Long Term Deals'!BE56+'Long Term Deals'!BF56+'Long Term Deals'!BG56)*(1-'Prices&amp;Fuel'!F56)</f>
        <v>11999.999999999998</v>
      </c>
      <c r="S56" s="13">
        <f t="shared" si="5"/>
        <v>0</v>
      </c>
      <c r="T56" s="13">
        <f>((I56+J56+K56)*'Prices&amp;Fuel'!H56*'Prices&amp;Fuel'!L56)+('Prices&amp;Fuel'!N56*'Prices&amp;Fuel'!H56*Transport!L56)+(('Long Term Deals'!BB56+'Long Term Deals'!BC56+'Long Term Deals'!BD56)*'Prices&amp;Fuel'!H56*'Prices&amp;Fuel'!M56)</f>
        <v>171453.2592976864</v>
      </c>
      <c r="U56" s="1">
        <f>S56*B56*'Prices&amp;Fuel'!M56</f>
        <v>0</v>
      </c>
      <c r="V56" s="1">
        <f>35793-20000</f>
        <v>15793</v>
      </c>
      <c r="W56" s="13">
        <f t="shared" si="7"/>
        <v>0</v>
      </c>
    </row>
    <row r="57" spans="1:23" x14ac:dyDescent="0.2">
      <c r="A57" s="10">
        <f t="shared" si="13"/>
        <v>37330.666666666541</v>
      </c>
      <c r="B57" s="3">
        <v>31</v>
      </c>
      <c r="C57" s="12">
        <v>-0.12276495614069827</v>
      </c>
      <c r="E57" s="44">
        <v>1.9500000000000295E-2</v>
      </c>
      <c r="F57" s="3">
        <f>7761-1128-1707</f>
        <v>4926</v>
      </c>
      <c r="G57" s="3">
        <f>14039-666-3474-4167</f>
        <v>5732</v>
      </c>
      <c r="H57" s="3">
        <f>18200-4732-4126</f>
        <v>9342</v>
      </c>
      <c r="I57" s="3">
        <v>2563</v>
      </c>
      <c r="J57" s="3">
        <v>2862</v>
      </c>
      <c r="K57" s="3">
        <v>1685</v>
      </c>
      <c r="L57" s="3">
        <v>683</v>
      </c>
      <c r="M57" s="1">
        <f t="shared" si="18"/>
        <v>7489</v>
      </c>
      <c r="N57" s="1">
        <f t="shared" si="19"/>
        <v>9277</v>
      </c>
      <c r="O57" s="1">
        <f t="shared" si="17"/>
        <v>11027</v>
      </c>
      <c r="P57" s="1">
        <f t="shared" si="20"/>
        <v>27793</v>
      </c>
      <c r="Q57" s="1">
        <f>'Index Price Deals'!B57+'Index Price Deals'!C57+'Index Price Deals'!D57-'Prices&amp;Fuel'!AE57</f>
        <v>0</v>
      </c>
      <c r="R57" s="3">
        <f>('Long Term Deals'!BB57+'Long Term Deals'!BC57+'Long Term Deals'!BD57+'Long Term Deals'!BE57+'Long Term Deals'!BF57+'Long Term Deals'!BG57)*(1-'Prices&amp;Fuel'!F57)</f>
        <v>11999.999999999998</v>
      </c>
      <c r="S57" s="13">
        <f t="shared" si="5"/>
        <v>0</v>
      </c>
      <c r="T57" s="13">
        <f>((I57+J57+K57)*'Prices&amp;Fuel'!H57*'Prices&amp;Fuel'!L57)+('Prices&amp;Fuel'!N57*'Prices&amp;Fuel'!H57*Transport!L57)+(('Long Term Deals'!BB57+'Long Term Deals'!BC57+'Long Term Deals'!BD57)*'Prices&amp;Fuel'!H57*'Prices&amp;Fuel'!M57)</f>
        <v>189823.25136529564</v>
      </c>
      <c r="U57" s="1">
        <f>S57*B57*'Prices&amp;Fuel'!M57</f>
        <v>0</v>
      </c>
      <c r="V57" s="1">
        <f>35793-20000</f>
        <v>15793</v>
      </c>
      <c r="W57" s="13">
        <f t="shared" si="7"/>
        <v>0</v>
      </c>
    </row>
    <row r="58" spans="1:23" x14ac:dyDescent="0.2">
      <c r="A58" s="10">
        <f t="shared" si="13"/>
        <v>37361.083333333205</v>
      </c>
      <c r="B58" s="3">
        <v>30</v>
      </c>
      <c r="C58" s="12">
        <v>-7.32819694373954E-2</v>
      </c>
      <c r="E58" s="44">
        <v>5.9999999999997833E-3</v>
      </c>
      <c r="F58" s="3">
        <f>7761-828</f>
        <v>6933</v>
      </c>
      <c r="G58" s="3">
        <f>14039-5241</f>
        <v>8798</v>
      </c>
      <c r="H58" s="3">
        <f>18200-3931</f>
        <v>14269</v>
      </c>
      <c r="I58" s="3">
        <v>1880</v>
      </c>
      <c r="J58" s="3">
        <v>2073</v>
      </c>
      <c r="K58" s="3">
        <v>1258</v>
      </c>
      <c r="L58" s="3">
        <v>683</v>
      </c>
      <c r="M58" s="1">
        <f t="shared" si="18"/>
        <v>8813</v>
      </c>
      <c r="N58" s="1">
        <f t="shared" si="19"/>
        <v>11554</v>
      </c>
      <c r="O58" s="1">
        <f t="shared" si="17"/>
        <v>15527</v>
      </c>
      <c r="P58" s="1">
        <f t="shared" si="20"/>
        <v>35894</v>
      </c>
      <c r="Q58" s="1">
        <f>'Index Price Deals'!B58+'Index Price Deals'!C58+'Index Price Deals'!D58-'Prices&amp;Fuel'!AE58</f>
        <v>0</v>
      </c>
      <c r="R58" s="3">
        <f>('Long Term Deals'!BB58+'Long Term Deals'!BC58+'Long Term Deals'!BD58+'Long Term Deals'!BE58+'Long Term Deals'!BF58+'Long Term Deals'!BG58)*(1-'Prices&amp;Fuel'!F58)</f>
        <v>12000</v>
      </c>
      <c r="S58" s="13">
        <f t="shared" si="5"/>
        <v>0</v>
      </c>
      <c r="T58" s="13">
        <f>((I58+J58+K58)*'Prices&amp;Fuel'!H58*'Prices&amp;Fuel'!L58)+('Prices&amp;Fuel'!N58*'Prices&amp;Fuel'!H58*Transport!L58)+(('Long Term Deals'!BB58+'Long Term Deals'!BC58+'Long Term Deals'!BD58)*'Prices&amp;Fuel'!H58*'Prices&amp;Fuel'!M58)</f>
        <v>205633.85396915168</v>
      </c>
      <c r="U58" s="1">
        <f>S58*B58*'Prices&amp;Fuel'!M58</f>
        <v>0</v>
      </c>
      <c r="V58" s="1">
        <f>33894-10000</f>
        <v>23894</v>
      </c>
      <c r="W58" s="13">
        <f t="shared" si="7"/>
        <v>0</v>
      </c>
    </row>
    <row r="59" spans="1:23" x14ac:dyDescent="0.2">
      <c r="A59" s="10">
        <f t="shared" si="13"/>
        <v>37391.499999999869</v>
      </c>
      <c r="B59" s="3">
        <v>31</v>
      </c>
      <c r="C59" s="12">
        <v>-7.3729688500186796E-2</v>
      </c>
      <c r="E59" s="44">
        <v>5.9999999999997833E-3</v>
      </c>
      <c r="F59" s="3">
        <v>8730</v>
      </c>
      <c r="G59" s="3">
        <f>15795-5034</f>
        <v>10761</v>
      </c>
      <c r="H59" s="3">
        <f>20475-4966</f>
        <v>15509</v>
      </c>
      <c r="I59" s="3">
        <v>1880</v>
      </c>
      <c r="J59" s="3">
        <v>2295</v>
      </c>
      <c r="K59" s="3">
        <v>1036</v>
      </c>
      <c r="L59" s="3">
        <v>683</v>
      </c>
      <c r="M59" s="1">
        <f t="shared" si="18"/>
        <v>10610</v>
      </c>
      <c r="N59" s="1">
        <f t="shared" si="19"/>
        <v>13739</v>
      </c>
      <c r="O59" s="1">
        <f t="shared" si="17"/>
        <v>16545</v>
      </c>
      <c r="P59" s="1">
        <f t="shared" si="20"/>
        <v>40894</v>
      </c>
      <c r="Q59" s="1">
        <f>'Index Price Deals'!B59+'Index Price Deals'!C59+'Index Price Deals'!D59-'Prices&amp;Fuel'!AE59</f>
        <v>0</v>
      </c>
      <c r="R59" s="3">
        <f>('Long Term Deals'!BB59+'Long Term Deals'!BC59+'Long Term Deals'!BD59+'Long Term Deals'!BE59+'Long Term Deals'!BF59+'Long Term Deals'!BG59)*(1-'Prices&amp;Fuel'!F59)</f>
        <v>20999.999999999862</v>
      </c>
      <c r="S59" s="13">
        <f t="shared" si="5"/>
        <v>1.3824319466948509E-10</v>
      </c>
      <c r="T59" s="13">
        <f>((I59+J59+K59)*'Prices&amp;Fuel'!H59*'Prices&amp;Fuel'!L59)+('Prices&amp;Fuel'!N59*'Prices&amp;Fuel'!H59*Transport!L59)+(('Long Term Deals'!BB59+'Long Term Deals'!BC59+'Long Term Deals'!BD59)*'Prices&amp;Fuel'!H59*'Prices&amp;Fuel'!M59)</f>
        <v>424614.38260616653</v>
      </c>
      <c r="U59" s="1">
        <f>S59*B59*'Prices&amp;Fuel'!M59</f>
        <v>3.1687275622971359E-9</v>
      </c>
      <c r="V59" s="1">
        <f>29894-10000</f>
        <v>19894</v>
      </c>
      <c r="W59" s="13">
        <f t="shared" si="7"/>
        <v>1.3824319466948509E-10</v>
      </c>
    </row>
    <row r="60" spans="1:23" x14ac:dyDescent="0.2">
      <c r="A60" s="10">
        <f t="shared" si="13"/>
        <v>37421.916666666533</v>
      </c>
      <c r="B60" s="3">
        <v>30</v>
      </c>
      <c r="C60" s="12">
        <v>-7.3729029203846164E-2</v>
      </c>
      <c r="E60" s="44">
        <v>5.9999999999997833E-3</v>
      </c>
      <c r="F60" s="3">
        <v>8730</v>
      </c>
      <c r="G60" s="3">
        <f>15795-5034</f>
        <v>10761</v>
      </c>
      <c r="H60" s="3">
        <f>20475-4966</f>
        <v>15509</v>
      </c>
      <c r="I60" s="3">
        <v>1880</v>
      </c>
      <c r="J60" s="3">
        <v>2295</v>
      </c>
      <c r="K60" s="3">
        <v>1036</v>
      </c>
      <c r="L60" s="3">
        <v>683</v>
      </c>
      <c r="M60" s="1">
        <f t="shared" si="18"/>
        <v>10610</v>
      </c>
      <c r="N60" s="1">
        <f t="shared" si="19"/>
        <v>13739</v>
      </c>
      <c r="O60" s="1">
        <f t="shared" si="17"/>
        <v>16545</v>
      </c>
      <c r="P60" s="1">
        <f t="shared" si="20"/>
        <v>40894</v>
      </c>
      <c r="Q60" s="1">
        <f>'Index Price Deals'!B60+'Index Price Deals'!C60+'Index Price Deals'!D60-'Prices&amp;Fuel'!AE60</f>
        <v>0</v>
      </c>
      <c r="R60" s="3">
        <f>('Long Term Deals'!BB60+'Long Term Deals'!BC60+'Long Term Deals'!BD60+'Long Term Deals'!BE60+'Long Term Deals'!BF60+'Long Term Deals'!BG60)*(1-'Prices&amp;Fuel'!F60)</f>
        <v>20999.999999999862</v>
      </c>
      <c r="S60" s="13">
        <f t="shared" si="5"/>
        <v>1.3824319466948509E-10</v>
      </c>
      <c r="T60" s="13">
        <f>((I60+J60+K60)*'Prices&amp;Fuel'!H60*'Prices&amp;Fuel'!L60)+('Prices&amp;Fuel'!N60*'Prices&amp;Fuel'!H60*Transport!L60)+(('Long Term Deals'!BB60+'Long Term Deals'!BC60+'Long Term Deals'!BD60)*'Prices&amp;Fuel'!H60*'Prices&amp;Fuel'!M60)</f>
        <v>410917.14445758052</v>
      </c>
      <c r="U60" s="1">
        <f>S60*B60*'Prices&amp;Fuel'!M60</f>
        <v>3.0665105441585185E-9</v>
      </c>
      <c r="V60" s="1">
        <f>29894-10000</f>
        <v>19894</v>
      </c>
      <c r="W60" s="13">
        <f t="shared" si="7"/>
        <v>1.3824319466948509E-10</v>
      </c>
    </row>
    <row r="61" spans="1:23" x14ac:dyDescent="0.2">
      <c r="A61" s="10">
        <f t="shared" si="13"/>
        <v>37452.333333333198</v>
      </c>
      <c r="B61" s="3">
        <v>31</v>
      </c>
      <c r="C61" s="12">
        <v>-7.8228633626041155E-2</v>
      </c>
      <c r="E61" s="44">
        <v>9.4999999999998419E-3</v>
      </c>
      <c r="F61" s="3">
        <v>8730</v>
      </c>
      <c r="G61" s="3">
        <f>15795-5034</f>
        <v>10761</v>
      </c>
      <c r="H61" s="3">
        <f>20475-4966</f>
        <v>15509</v>
      </c>
      <c r="I61" s="3">
        <v>1880</v>
      </c>
      <c r="J61" s="3">
        <v>2295</v>
      </c>
      <c r="K61" s="3">
        <v>1036</v>
      </c>
      <c r="L61" s="3">
        <v>683</v>
      </c>
      <c r="M61" s="1">
        <f t="shared" si="18"/>
        <v>10610</v>
      </c>
      <c r="N61" s="1">
        <f t="shared" si="19"/>
        <v>13739</v>
      </c>
      <c r="O61" s="1">
        <f t="shared" si="17"/>
        <v>16545</v>
      </c>
      <c r="P61" s="1">
        <f t="shared" si="20"/>
        <v>40894</v>
      </c>
      <c r="Q61" s="1">
        <f>'Index Price Deals'!B61+'Index Price Deals'!C61+'Index Price Deals'!D61-'Prices&amp;Fuel'!AE61</f>
        <v>0</v>
      </c>
      <c r="R61" s="3">
        <f>('Long Term Deals'!BB61+'Long Term Deals'!BC61+'Long Term Deals'!BD61+'Long Term Deals'!BE61+'Long Term Deals'!BF61+'Long Term Deals'!BG61)*(1-'Prices&amp;Fuel'!F61)</f>
        <v>20999.999999999862</v>
      </c>
      <c r="S61" s="13">
        <f t="shared" si="5"/>
        <v>1.3824319466948509E-10</v>
      </c>
      <c r="T61" s="13">
        <f>((I61+J61+K61)*'Prices&amp;Fuel'!H61*'Prices&amp;Fuel'!L61)+('Prices&amp;Fuel'!N61*'Prices&amp;Fuel'!H61*Transport!L61)+(('Long Term Deals'!BB61+'Long Term Deals'!BC61+'Long Term Deals'!BD61)*'Prices&amp;Fuel'!H61*'Prices&amp;Fuel'!M61)</f>
        <v>424614.38260616653</v>
      </c>
      <c r="U61" s="1">
        <f>S61*B61*'Prices&amp;Fuel'!M61</f>
        <v>3.1687275622971359E-9</v>
      </c>
      <c r="V61" s="1">
        <f>29894-10000</f>
        <v>19894</v>
      </c>
      <c r="W61" s="13">
        <f t="shared" si="7"/>
        <v>1.3824319466948509E-10</v>
      </c>
    </row>
    <row r="62" spans="1:23" x14ac:dyDescent="0.2">
      <c r="A62" s="10">
        <f t="shared" si="13"/>
        <v>37482.749999999862</v>
      </c>
      <c r="B62" s="3">
        <v>31</v>
      </c>
      <c r="C62" s="12">
        <v>-7.822784247043213E-2</v>
      </c>
      <c r="E62" s="44">
        <v>9.4999999999996199E-3</v>
      </c>
      <c r="F62" s="3">
        <v>8730</v>
      </c>
      <c r="G62" s="3">
        <f>15795-5034</f>
        <v>10761</v>
      </c>
      <c r="H62" s="3">
        <f>20475-4966</f>
        <v>15509</v>
      </c>
      <c r="I62" s="3">
        <v>1880</v>
      </c>
      <c r="J62" s="3">
        <v>2295</v>
      </c>
      <c r="K62" s="3">
        <v>1036</v>
      </c>
      <c r="L62" s="3">
        <v>683</v>
      </c>
      <c r="M62" s="1">
        <f t="shared" si="18"/>
        <v>10610</v>
      </c>
      <c r="N62" s="1">
        <f t="shared" si="19"/>
        <v>13739</v>
      </c>
      <c r="O62" s="1">
        <f t="shared" si="17"/>
        <v>16545</v>
      </c>
      <c r="P62" s="1">
        <f t="shared" si="20"/>
        <v>40894</v>
      </c>
      <c r="Q62" s="1">
        <f>'Index Price Deals'!B62+'Index Price Deals'!C62+'Index Price Deals'!D62-'Prices&amp;Fuel'!AE62</f>
        <v>0</v>
      </c>
      <c r="R62" s="3">
        <f>('Long Term Deals'!BB62+'Long Term Deals'!BC62+'Long Term Deals'!BD62+'Long Term Deals'!BE62+'Long Term Deals'!BF62+'Long Term Deals'!BG62)*(1-'Prices&amp;Fuel'!F62)</f>
        <v>20999.999999999862</v>
      </c>
      <c r="S62" s="13">
        <f t="shared" si="5"/>
        <v>1.3824319466948509E-10</v>
      </c>
      <c r="T62" s="13">
        <f>((I62+J62+K62)*'Prices&amp;Fuel'!H62*'Prices&amp;Fuel'!L62)+('Prices&amp;Fuel'!N62*'Prices&amp;Fuel'!H62*Transport!L62)+(('Long Term Deals'!BB62+'Long Term Deals'!BC62+'Long Term Deals'!BD62)*'Prices&amp;Fuel'!H62*'Prices&amp;Fuel'!M62)</f>
        <v>424614.38260616653</v>
      </c>
      <c r="U62" s="1">
        <f>S62*B62*'Prices&amp;Fuel'!M62</f>
        <v>3.1687275622971359E-9</v>
      </c>
      <c r="V62" s="1">
        <f>29894-10000</f>
        <v>19894</v>
      </c>
      <c r="W62" s="13">
        <f t="shared" si="7"/>
        <v>1.3824319466948509E-10</v>
      </c>
    </row>
    <row r="63" spans="1:23" x14ac:dyDescent="0.2">
      <c r="A63" s="10">
        <f t="shared" si="13"/>
        <v>37513.166666666526</v>
      </c>
      <c r="B63" s="3">
        <v>30</v>
      </c>
      <c r="C63" s="12">
        <v>-7.8226523877749976E-2</v>
      </c>
      <c r="E63" s="44">
        <v>9.4999999999996199E-3</v>
      </c>
      <c r="F63" s="3">
        <v>8730</v>
      </c>
      <c r="G63" s="3">
        <f>15795-5034</f>
        <v>10761</v>
      </c>
      <c r="H63" s="3">
        <f>20475-4966</f>
        <v>15509</v>
      </c>
      <c r="I63" s="3">
        <v>1880</v>
      </c>
      <c r="J63" s="3">
        <v>2295</v>
      </c>
      <c r="K63" s="3">
        <v>1036</v>
      </c>
      <c r="L63" s="3">
        <v>683</v>
      </c>
      <c r="M63" s="1">
        <f t="shared" si="18"/>
        <v>10610</v>
      </c>
      <c r="N63" s="1">
        <f t="shared" si="19"/>
        <v>13739</v>
      </c>
      <c r="O63" s="1">
        <f t="shared" si="17"/>
        <v>16545</v>
      </c>
      <c r="P63" s="1">
        <f t="shared" si="20"/>
        <v>40894</v>
      </c>
      <c r="Q63" s="1">
        <f>'Index Price Deals'!B63+'Index Price Deals'!C63+'Index Price Deals'!D63-'Prices&amp;Fuel'!AE63</f>
        <v>0</v>
      </c>
      <c r="R63" s="3">
        <f>('Long Term Deals'!BB63+'Long Term Deals'!BC63+'Long Term Deals'!BD63+'Long Term Deals'!BE63+'Long Term Deals'!BF63+'Long Term Deals'!BG63)*(1-'Prices&amp;Fuel'!F63)</f>
        <v>20999.999999999862</v>
      </c>
      <c r="S63" s="13">
        <f t="shared" si="5"/>
        <v>1.3824319466948509E-10</v>
      </c>
      <c r="T63" s="13">
        <f>((I63+J63+K63)*'Prices&amp;Fuel'!H63*'Prices&amp;Fuel'!L63)+('Prices&amp;Fuel'!N63*'Prices&amp;Fuel'!H63*Transport!L63)+(('Long Term Deals'!BB63+'Long Term Deals'!BC63+'Long Term Deals'!BD63)*'Prices&amp;Fuel'!H63*'Prices&amp;Fuel'!M63)</f>
        <v>410917.14445758052</v>
      </c>
      <c r="U63" s="1">
        <f>S63*B63*'Prices&amp;Fuel'!M63</f>
        <v>3.0665105441585185E-9</v>
      </c>
      <c r="V63" s="1">
        <f>29894-10000</f>
        <v>19894</v>
      </c>
      <c r="W63" s="13">
        <f t="shared" si="7"/>
        <v>1.3824319466948509E-10</v>
      </c>
    </row>
    <row r="64" spans="1:23" x14ac:dyDescent="0.2">
      <c r="A64" s="10">
        <f t="shared" si="13"/>
        <v>37543.58333333319</v>
      </c>
      <c r="B64" s="3">
        <v>31</v>
      </c>
      <c r="C64" s="12">
        <v>-8.2772247553568601E-2</v>
      </c>
      <c r="E64" s="44">
        <v>1.4499999999999957E-2</v>
      </c>
      <c r="F64" s="3">
        <f>8730-0</f>
        <v>8730</v>
      </c>
      <c r="G64" s="3">
        <f>15795-5434</f>
        <v>10361</v>
      </c>
      <c r="H64" s="3">
        <f>20475-4566</f>
        <v>15909</v>
      </c>
      <c r="I64" s="3">
        <v>2830</v>
      </c>
      <c r="J64" s="3">
        <v>3500</v>
      </c>
      <c r="K64" s="3">
        <v>1521</v>
      </c>
      <c r="L64" s="3">
        <v>1001</v>
      </c>
      <c r="M64" s="1">
        <f t="shared" si="18"/>
        <v>11560</v>
      </c>
      <c r="N64" s="1">
        <f t="shared" si="19"/>
        <v>14862</v>
      </c>
      <c r="O64" s="1">
        <f t="shared" si="17"/>
        <v>17430</v>
      </c>
      <c r="P64" s="1">
        <f t="shared" si="20"/>
        <v>43852</v>
      </c>
      <c r="Q64" s="1">
        <f>'Index Price Deals'!B64+'Index Price Deals'!C64+'Index Price Deals'!D64-'Prices&amp;Fuel'!AE64</f>
        <v>0</v>
      </c>
      <c r="R64" s="3">
        <f>('Long Term Deals'!BB64+'Long Term Deals'!BC64+'Long Term Deals'!BD64+'Long Term Deals'!BE64+'Long Term Deals'!BF64+'Long Term Deals'!BG64)*(1-'Prices&amp;Fuel'!F64)</f>
        <v>20999.999999999807</v>
      </c>
      <c r="S64" s="13">
        <f t="shared" si="5"/>
        <v>1.9281287677586079E-10</v>
      </c>
      <c r="T64" s="13">
        <f>((I64+J64+K64)*'Prices&amp;Fuel'!H64*'Prices&amp;Fuel'!L64)+('Prices&amp;Fuel'!N64*'Prices&amp;Fuel'!H64*Transport!L64)+(('Long Term Deals'!BB64+'Long Term Deals'!BC64+'Long Term Deals'!BD64)*'Prices&amp;Fuel'!H64*'Prices&amp;Fuel'!M64)</f>
        <v>389309.87470539386</v>
      </c>
      <c r="U64" s="1">
        <f>S64*B64*'Prices&amp;Fuel'!M64</f>
        <v>4.4195410737302155E-9</v>
      </c>
      <c r="V64" s="1">
        <f>32852-10000</f>
        <v>22852</v>
      </c>
      <c r="W64" s="13">
        <f t="shared" si="7"/>
        <v>1.9281287677586079E-10</v>
      </c>
    </row>
    <row r="65" spans="1:23" x14ac:dyDescent="0.2">
      <c r="A65" s="10">
        <f t="shared" si="13"/>
        <v>37573.999999999854</v>
      </c>
      <c r="B65" s="3">
        <v>30</v>
      </c>
      <c r="C65" s="12">
        <v>-0.12774447074263628</v>
      </c>
      <c r="E65" s="44">
        <v>1.9499999999999851E-2</v>
      </c>
      <c r="F65" s="3">
        <f>7761-1128-1707</f>
        <v>4926</v>
      </c>
      <c r="G65" s="3">
        <f>14039-666-3474-4167</f>
        <v>5732</v>
      </c>
      <c r="H65" s="3">
        <f>18200-4732-4126</f>
        <v>9342</v>
      </c>
      <c r="I65" s="3">
        <v>2563</v>
      </c>
      <c r="J65" s="3">
        <v>2862</v>
      </c>
      <c r="K65" s="3">
        <v>1685</v>
      </c>
      <c r="L65" s="3">
        <v>683</v>
      </c>
      <c r="M65" s="1">
        <f t="shared" si="18"/>
        <v>7489</v>
      </c>
      <c r="N65" s="1">
        <f t="shared" si="19"/>
        <v>9277</v>
      </c>
      <c r="O65" s="1">
        <f t="shared" si="17"/>
        <v>11027</v>
      </c>
      <c r="P65" s="1">
        <f t="shared" si="20"/>
        <v>27793</v>
      </c>
      <c r="Q65" s="1">
        <f>'Index Price Deals'!B65+'Index Price Deals'!C65+'Index Price Deals'!D65-'Prices&amp;Fuel'!AE65</f>
        <v>0</v>
      </c>
      <c r="R65" s="3">
        <f>('Long Term Deals'!BB65+'Long Term Deals'!BC65+'Long Term Deals'!BD65+'Long Term Deals'!BE65+'Long Term Deals'!BF65+'Long Term Deals'!BG65)*(1-'Prices&amp;Fuel'!F65)</f>
        <v>11999.999999999998</v>
      </c>
      <c r="S65" s="13">
        <f t="shared" si="5"/>
        <v>0</v>
      </c>
      <c r="T65" s="13">
        <f>((I65+J65+K65)*'Prices&amp;Fuel'!H65*'Prices&amp;Fuel'!L65)+('Prices&amp;Fuel'!N65*'Prices&amp;Fuel'!H65*Transport!L65)+(('Long Term Deals'!BB65+'Long Term Deals'!BC65+'Long Term Deals'!BD65)*'Prices&amp;Fuel'!H65*'Prices&amp;Fuel'!M65)</f>
        <v>183699.92067609256</v>
      </c>
      <c r="U65" s="1">
        <f>S65*B65*'Prices&amp;Fuel'!M65</f>
        <v>0</v>
      </c>
      <c r="V65" s="1">
        <f>35793-20000</f>
        <v>15793</v>
      </c>
      <c r="W65" s="13">
        <f t="shared" si="7"/>
        <v>0</v>
      </c>
    </row>
    <row r="66" spans="1:23" x14ac:dyDescent="0.2">
      <c r="A66" s="10">
        <f t="shared" si="13"/>
        <v>37604.416666666519</v>
      </c>
      <c r="B66" s="3">
        <v>31</v>
      </c>
      <c r="C66" s="12">
        <v>-0.16270697204787732</v>
      </c>
      <c r="E66" s="44">
        <v>2.4500000000000188E-2</v>
      </c>
      <c r="F66" s="3">
        <f>7761-1128-1707</f>
        <v>4926</v>
      </c>
      <c r="G66" s="3">
        <f>14039-666-3474-4167</f>
        <v>5732</v>
      </c>
      <c r="H66" s="3">
        <f>18200-4732-4126</f>
        <v>9342</v>
      </c>
      <c r="I66" s="3">
        <v>2563</v>
      </c>
      <c r="J66" s="3">
        <v>2862</v>
      </c>
      <c r="K66" s="3">
        <v>1685</v>
      </c>
      <c r="L66" s="3">
        <v>683</v>
      </c>
      <c r="M66" s="1">
        <f t="shared" si="18"/>
        <v>7489</v>
      </c>
      <c r="N66" s="1">
        <f t="shared" si="19"/>
        <v>9277</v>
      </c>
      <c r="O66" s="1">
        <f t="shared" si="17"/>
        <v>11027</v>
      </c>
      <c r="P66" s="1">
        <f t="shared" si="20"/>
        <v>27793</v>
      </c>
      <c r="Q66" s="1">
        <f>'Index Price Deals'!B66+'Index Price Deals'!C66+'Index Price Deals'!D66-'Prices&amp;Fuel'!AE66</f>
        <v>0</v>
      </c>
      <c r="R66" s="3">
        <f>('Long Term Deals'!BB66+'Long Term Deals'!BC66+'Long Term Deals'!BD66+'Long Term Deals'!BE66+'Long Term Deals'!BF66+'Long Term Deals'!BG66)*(1-'Prices&amp;Fuel'!F66)</f>
        <v>11999.999999999998</v>
      </c>
      <c r="S66" s="13">
        <f t="shared" si="5"/>
        <v>0</v>
      </c>
      <c r="T66" s="13">
        <f>((I66+J66+K66)*'Prices&amp;Fuel'!H66*'Prices&amp;Fuel'!L66)+('Prices&amp;Fuel'!N66*'Prices&amp;Fuel'!H66*Transport!L66)+(('Long Term Deals'!BB66+'Long Term Deals'!BC66+'Long Term Deals'!BD66)*'Prices&amp;Fuel'!H66*'Prices&amp;Fuel'!M66)</f>
        <v>189823.25136529564</v>
      </c>
      <c r="U66" s="1">
        <f>S66*B66*'Prices&amp;Fuel'!M66</f>
        <v>0</v>
      </c>
      <c r="V66" s="1">
        <f>35793-20000</f>
        <v>15793</v>
      </c>
      <c r="W66" s="13">
        <f t="shared" si="7"/>
        <v>0</v>
      </c>
    </row>
    <row r="67" spans="1:23" x14ac:dyDescent="0.2">
      <c r="A67" s="10">
        <f t="shared" si="13"/>
        <v>37634.833333333183</v>
      </c>
      <c r="B67" s="3">
        <v>31</v>
      </c>
      <c r="C67" s="12">
        <v>-0.14769030596131749</v>
      </c>
      <c r="E67" s="44">
        <v>2.4500000000000188E-2</v>
      </c>
      <c r="F67" s="3">
        <f>7761-1128-1707</f>
        <v>4926</v>
      </c>
      <c r="G67" s="3">
        <f>14039-666-3474-4167</f>
        <v>5732</v>
      </c>
      <c r="H67" s="3">
        <f>18200-4732-4126</f>
        <v>9342</v>
      </c>
      <c r="I67" s="3">
        <v>2563</v>
      </c>
      <c r="J67" s="3">
        <v>2862</v>
      </c>
      <c r="K67" s="3">
        <v>1685</v>
      </c>
      <c r="L67" s="3">
        <v>683</v>
      </c>
      <c r="M67" s="1">
        <f t="shared" si="18"/>
        <v>7489</v>
      </c>
      <c r="N67" s="1">
        <f t="shared" si="19"/>
        <v>9277</v>
      </c>
      <c r="O67" s="1">
        <f t="shared" si="17"/>
        <v>11027</v>
      </c>
      <c r="P67" s="1">
        <f t="shared" si="20"/>
        <v>27793</v>
      </c>
      <c r="Q67" s="1">
        <f>'Index Price Deals'!B67+'Index Price Deals'!C67+'Index Price Deals'!D67-'Prices&amp;Fuel'!AE67</f>
        <v>0</v>
      </c>
      <c r="R67" s="3">
        <f>('Long Term Deals'!BB67+'Long Term Deals'!BC67+'Long Term Deals'!BD67+'Long Term Deals'!BE67+'Long Term Deals'!BF67+'Long Term Deals'!BG67)*(1-'Prices&amp;Fuel'!F67)</f>
        <v>11999.999999999998</v>
      </c>
      <c r="S67" s="13">
        <f t="shared" si="5"/>
        <v>0</v>
      </c>
      <c r="T67" s="13">
        <f>((I67+J67+K67)*'Prices&amp;Fuel'!H67*'Prices&amp;Fuel'!L67)+('Prices&amp;Fuel'!N67*'Prices&amp;Fuel'!H67*Transport!L67)+(('Long Term Deals'!BB67+'Long Term Deals'!BC67+'Long Term Deals'!BD67)*'Prices&amp;Fuel'!H67*'Prices&amp;Fuel'!M67)</f>
        <v>189278.25407025678</v>
      </c>
      <c r="U67" s="1">
        <f>S67*B67*'Prices&amp;Fuel'!M67</f>
        <v>0</v>
      </c>
      <c r="V67" s="1">
        <f>35793-20000</f>
        <v>15793</v>
      </c>
      <c r="W67" s="13">
        <f t="shared" si="7"/>
        <v>0</v>
      </c>
    </row>
    <row r="68" spans="1:23" x14ac:dyDescent="0.2">
      <c r="A68" s="10">
        <f t="shared" si="13"/>
        <v>37665.249999999847</v>
      </c>
      <c r="B68" s="3">
        <v>28</v>
      </c>
      <c r="C68" s="12">
        <v>-0.14771808277225063</v>
      </c>
      <c r="E68" s="44">
        <v>2.4500000000000188E-2</v>
      </c>
      <c r="F68" s="3">
        <f>7761-1128-1707</f>
        <v>4926</v>
      </c>
      <c r="G68" s="3">
        <f>14039-666-3474-4167</f>
        <v>5732</v>
      </c>
      <c r="H68" s="3">
        <f>18200-4732-4126</f>
        <v>9342</v>
      </c>
      <c r="I68" s="3">
        <v>2563</v>
      </c>
      <c r="J68" s="3">
        <v>2862</v>
      </c>
      <c r="K68" s="3">
        <v>1685</v>
      </c>
      <c r="L68" s="3">
        <v>683</v>
      </c>
      <c r="M68" s="1">
        <f t="shared" si="18"/>
        <v>7489</v>
      </c>
      <c r="N68" s="1">
        <f t="shared" si="19"/>
        <v>9277</v>
      </c>
      <c r="O68" s="1">
        <f t="shared" si="17"/>
        <v>11027</v>
      </c>
      <c r="P68" s="1">
        <f t="shared" si="20"/>
        <v>27793</v>
      </c>
      <c r="Q68" s="1">
        <f>'Index Price Deals'!B68+'Index Price Deals'!C68+'Index Price Deals'!D68-'Prices&amp;Fuel'!AE68</f>
        <v>0</v>
      </c>
      <c r="R68" s="3">
        <f>('Long Term Deals'!BB68+'Long Term Deals'!BC68+'Long Term Deals'!BD68+'Long Term Deals'!BE68+'Long Term Deals'!BF68+'Long Term Deals'!BG68)*(1-'Prices&amp;Fuel'!F68)</f>
        <v>11999.999999999998</v>
      </c>
      <c r="S68" s="13">
        <f t="shared" si="5"/>
        <v>0</v>
      </c>
      <c r="T68" s="13">
        <f>((I68+J68+K68)*'Prices&amp;Fuel'!H68*'Prices&amp;Fuel'!L68)+('Prices&amp;Fuel'!N68*'Prices&amp;Fuel'!H68*Transport!L68)+(('Long Term Deals'!BB68+'Long Term Deals'!BC68+'Long Term Deals'!BD68)*'Prices&amp;Fuel'!H68*'Prices&amp;Fuel'!M68)</f>
        <v>170961.00367636094</v>
      </c>
      <c r="U68" s="1">
        <f>S68*B68*'Prices&amp;Fuel'!M68</f>
        <v>0</v>
      </c>
      <c r="V68" s="1">
        <f>35793-20000</f>
        <v>15793</v>
      </c>
      <c r="W68" s="13">
        <f t="shared" si="7"/>
        <v>0</v>
      </c>
    </row>
    <row r="69" spans="1:23" x14ac:dyDescent="0.2">
      <c r="A69" s="10">
        <f t="shared" si="13"/>
        <v>37695.666666666511</v>
      </c>
      <c r="B69" s="3">
        <v>31</v>
      </c>
      <c r="C69" s="12">
        <v>-0.12275384541632617</v>
      </c>
      <c r="E69" s="44">
        <v>1.9500000000000295E-2</v>
      </c>
      <c r="F69" s="3">
        <f>7761-1128-1707</f>
        <v>4926</v>
      </c>
      <c r="G69" s="3">
        <f>14039-666-3474-4167</f>
        <v>5732</v>
      </c>
      <c r="H69" s="3">
        <f>18200-4732-4126</f>
        <v>9342</v>
      </c>
      <c r="I69" s="3">
        <v>2563</v>
      </c>
      <c r="J69" s="3">
        <v>2862</v>
      </c>
      <c r="K69" s="3">
        <v>1685</v>
      </c>
      <c r="L69" s="3">
        <v>683</v>
      </c>
      <c r="M69" s="1">
        <f t="shared" si="18"/>
        <v>7489</v>
      </c>
      <c r="N69" s="1">
        <f t="shared" si="19"/>
        <v>9277</v>
      </c>
      <c r="O69" s="1">
        <f t="shared" ref="O69:O84" si="21">H69+K69</f>
        <v>11027</v>
      </c>
      <c r="P69" s="1">
        <f t="shared" si="20"/>
        <v>27793</v>
      </c>
      <c r="Q69" s="1">
        <f>'Index Price Deals'!B69+'Index Price Deals'!C69+'Index Price Deals'!D69-'Prices&amp;Fuel'!AE69</f>
        <v>0</v>
      </c>
      <c r="R69" s="3">
        <f>('Long Term Deals'!BB69+'Long Term Deals'!BC69+'Long Term Deals'!BD69+'Long Term Deals'!BE69+'Long Term Deals'!BF69+'Long Term Deals'!BG69)*(1-'Prices&amp;Fuel'!F69)</f>
        <v>11999.999999999998</v>
      </c>
      <c r="S69" s="13">
        <f t="shared" si="5"/>
        <v>0</v>
      </c>
      <c r="T69" s="13">
        <f>((I69+J69+K69)*'Prices&amp;Fuel'!H69*'Prices&amp;Fuel'!L69)+('Prices&amp;Fuel'!N69*'Prices&amp;Fuel'!H69*Transport!L69)+(('Long Term Deals'!BB69+'Long Term Deals'!BC69+'Long Term Deals'!BD69)*'Prices&amp;Fuel'!H69*'Prices&amp;Fuel'!M69)</f>
        <v>189278.25407025678</v>
      </c>
      <c r="U69" s="1">
        <f>S69*B69*'Prices&amp;Fuel'!M69</f>
        <v>0</v>
      </c>
      <c r="V69" s="1">
        <f>35793-20000</f>
        <v>15793</v>
      </c>
      <c r="W69" s="13">
        <f t="shared" si="7"/>
        <v>0</v>
      </c>
    </row>
    <row r="70" spans="1:23" x14ac:dyDescent="0.2">
      <c r="A70" s="10">
        <f t="shared" ref="A70:A101" si="22">+A69+365/12</f>
        <v>37726.083333333176</v>
      </c>
      <c r="B70" s="3">
        <v>30</v>
      </c>
      <c r="C70" s="12">
        <v>-7.3270858713021969E-2</v>
      </c>
      <c r="E70" s="44">
        <v>5.9999999999997833E-3</v>
      </c>
      <c r="F70" s="3">
        <f>7761-828</f>
        <v>6933</v>
      </c>
      <c r="G70" s="3">
        <f>14039-5241</f>
        <v>8798</v>
      </c>
      <c r="H70" s="3">
        <f>18200-3931</f>
        <v>14269</v>
      </c>
      <c r="I70" s="3">
        <v>1880</v>
      </c>
      <c r="J70" s="3">
        <v>2073</v>
      </c>
      <c r="K70" s="3">
        <v>1258</v>
      </c>
      <c r="L70" s="3">
        <v>683</v>
      </c>
      <c r="M70" s="1">
        <f t="shared" ref="M70:M85" si="23">F70+I70</f>
        <v>8813</v>
      </c>
      <c r="N70" s="1">
        <f t="shared" ref="N70:N85" si="24">G70+J70+L70</f>
        <v>11554</v>
      </c>
      <c r="O70" s="1">
        <f t="shared" si="21"/>
        <v>15527</v>
      </c>
      <c r="P70" s="1">
        <f t="shared" ref="P70:P85" si="25">SUM(M70:O70)</f>
        <v>35894</v>
      </c>
      <c r="Q70" s="1">
        <f>'Index Price Deals'!B70+'Index Price Deals'!C70+'Index Price Deals'!D70-'Prices&amp;Fuel'!AE70</f>
        <v>0</v>
      </c>
      <c r="R70" s="3">
        <f>('Long Term Deals'!BB70+'Long Term Deals'!BC70+'Long Term Deals'!BD70+'Long Term Deals'!BE70+'Long Term Deals'!BF70+'Long Term Deals'!BG70)*(1-'Prices&amp;Fuel'!F70)</f>
        <v>12000</v>
      </c>
      <c r="S70" s="13">
        <f t="shared" ref="S70:S133" si="26">P70-Q70-R70-V70</f>
        <v>0</v>
      </c>
      <c r="T70" s="13">
        <f>((I70+J70+K70)*'Prices&amp;Fuel'!H70*'Prices&amp;Fuel'!L70)+('Prices&amp;Fuel'!N70*'Prices&amp;Fuel'!H70*Transport!L70)+(('Long Term Deals'!BB70+'Long Term Deals'!BC70+'Long Term Deals'!BD70)*'Prices&amp;Fuel'!H70*'Prices&amp;Fuel'!M70)</f>
        <v>205234.95826163594</v>
      </c>
      <c r="U70" s="1">
        <f>S70*B70*'Prices&amp;Fuel'!M70</f>
        <v>0</v>
      </c>
      <c r="V70" s="1">
        <f>33894-10000</f>
        <v>23894</v>
      </c>
      <c r="W70" s="13">
        <f t="shared" si="7"/>
        <v>0</v>
      </c>
    </row>
    <row r="71" spans="1:23" x14ac:dyDescent="0.2">
      <c r="A71" s="10">
        <f t="shared" si="22"/>
        <v>37756.49999999984</v>
      </c>
      <c r="B71" s="3">
        <v>31</v>
      </c>
      <c r="C71" s="12">
        <v>-7.3725469003603994E-2</v>
      </c>
      <c r="E71" s="44">
        <v>5.9999999999997833E-3</v>
      </c>
      <c r="F71" s="3">
        <v>8730</v>
      </c>
      <c r="G71" s="3">
        <f>15795-5034</f>
        <v>10761</v>
      </c>
      <c r="H71" s="3">
        <f>20475-4966</f>
        <v>15509</v>
      </c>
      <c r="I71" s="3">
        <v>1880</v>
      </c>
      <c r="J71" s="3">
        <v>2295</v>
      </c>
      <c r="K71" s="3">
        <v>1036</v>
      </c>
      <c r="L71" s="3">
        <v>683</v>
      </c>
      <c r="M71" s="1">
        <f t="shared" si="23"/>
        <v>10610</v>
      </c>
      <c r="N71" s="1">
        <f t="shared" si="24"/>
        <v>13739</v>
      </c>
      <c r="O71" s="1">
        <f t="shared" si="21"/>
        <v>16545</v>
      </c>
      <c r="P71" s="1">
        <f t="shared" si="25"/>
        <v>40894</v>
      </c>
      <c r="Q71" s="1">
        <f>'Index Price Deals'!B71+'Index Price Deals'!C71+'Index Price Deals'!D71-'Prices&amp;Fuel'!AE71</f>
        <v>0</v>
      </c>
      <c r="R71" s="3">
        <f>('Long Term Deals'!BB71+'Long Term Deals'!BC71+'Long Term Deals'!BD71+'Long Term Deals'!BE71+'Long Term Deals'!BF71+'Long Term Deals'!BG71)*(1-'Prices&amp;Fuel'!F71)</f>
        <v>20999.999999999862</v>
      </c>
      <c r="S71" s="13">
        <f t="shared" si="26"/>
        <v>1.3824319466948509E-10</v>
      </c>
      <c r="T71" s="13">
        <f>((I71+J71+K71)*'Prices&amp;Fuel'!H71*'Prices&amp;Fuel'!L71)+('Prices&amp;Fuel'!N71*'Prices&amp;Fuel'!H71*Transport!L71)+(('Long Term Deals'!BB71+'Long Term Deals'!BC71+'Long Term Deals'!BD71)*'Prices&amp;Fuel'!H71*'Prices&amp;Fuel'!M71)</f>
        <v>424202.19037506694</v>
      </c>
      <c r="U71" s="1">
        <f>S71*B71*'Prices&amp;Fuel'!M71</f>
        <v>3.1687275622971359E-9</v>
      </c>
      <c r="V71" s="1">
        <f>29894-10000</f>
        <v>19894</v>
      </c>
      <c r="W71" s="13">
        <f t="shared" si="7"/>
        <v>1.3824319466948509E-10</v>
      </c>
    </row>
    <row r="72" spans="1:23" x14ac:dyDescent="0.2">
      <c r="A72" s="10">
        <f t="shared" si="22"/>
        <v>37786.916666666504</v>
      </c>
      <c r="B72" s="3">
        <v>30</v>
      </c>
      <c r="C72" s="12">
        <v>-7.3724809707263361E-2</v>
      </c>
      <c r="E72" s="44">
        <v>5.9999999999997833E-3</v>
      </c>
      <c r="F72" s="3">
        <v>8730</v>
      </c>
      <c r="G72" s="3">
        <f>15795-5034</f>
        <v>10761</v>
      </c>
      <c r="H72" s="3">
        <f>20475-4966</f>
        <v>15509</v>
      </c>
      <c r="I72" s="3">
        <v>1880</v>
      </c>
      <c r="J72" s="3">
        <v>2295</v>
      </c>
      <c r="K72" s="3">
        <v>1036</v>
      </c>
      <c r="L72" s="3">
        <v>683</v>
      </c>
      <c r="M72" s="1">
        <f t="shared" si="23"/>
        <v>10610</v>
      </c>
      <c r="N72" s="1">
        <f t="shared" si="24"/>
        <v>13739</v>
      </c>
      <c r="O72" s="1">
        <f t="shared" si="21"/>
        <v>16545</v>
      </c>
      <c r="P72" s="1">
        <f t="shared" si="25"/>
        <v>40894</v>
      </c>
      <c r="Q72" s="1">
        <f>'Index Price Deals'!B72+'Index Price Deals'!C72+'Index Price Deals'!D72-'Prices&amp;Fuel'!AE72</f>
        <v>0</v>
      </c>
      <c r="R72" s="3">
        <f>('Long Term Deals'!BB72+'Long Term Deals'!BC72+'Long Term Deals'!BD72+'Long Term Deals'!BE72+'Long Term Deals'!BF72+'Long Term Deals'!BG72)*(1-'Prices&amp;Fuel'!F72)</f>
        <v>20999.999999999862</v>
      </c>
      <c r="S72" s="13">
        <f t="shared" si="26"/>
        <v>1.3824319466948509E-10</v>
      </c>
      <c r="T72" s="13">
        <f>((I72+J72+K72)*'Prices&amp;Fuel'!H72*'Prices&amp;Fuel'!L72)+('Prices&amp;Fuel'!N72*'Prices&amp;Fuel'!H72*Transport!L72)+(('Long Term Deals'!BB72+'Long Term Deals'!BC72+'Long Term Deals'!BD72)*'Prices&amp;Fuel'!H72*'Prices&amp;Fuel'!M72)</f>
        <v>410518.24875006475</v>
      </c>
      <c r="U72" s="1">
        <f>S72*B72*'Prices&amp;Fuel'!M72</f>
        <v>3.0665105441585185E-9</v>
      </c>
      <c r="V72" s="1">
        <f>29894-10000</f>
        <v>19894</v>
      </c>
      <c r="W72" s="13">
        <f t="shared" si="7"/>
        <v>1.3824319466948509E-10</v>
      </c>
    </row>
    <row r="73" spans="1:23" x14ac:dyDescent="0.2">
      <c r="A73" s="10">
        <f t="shared" si="22"/>
        <v>37817.333333333168</v>
      </c>
      <c r="B73" s="3">
        <v>31</v>
      </c>
      <c r="C73" s="12">
        <v>-7.8224414129458797E-2</v>
      </c>
      <c r="E73" s="44">
        <v>9.4999999999998419E-3</v>
      </c>
      <c r="F73" s="3">
        <v>8730</v>
      </c>
      <c r="G73" s="3">
        <f>15795-5034</f>
        <v>10761</v>
      </c>
      <c r="H73" s="3">
        <f>20475-4966</f>
        <v>15509</v>
      </c>
      <c r="I73" s="3">
        <v>1880</v>
      </c>
      <c r="J73" s="3">
        <v>2295</v>
      </c>
      <c r="K73" s="3">
        <v>1036</v>
      </c>
      <c r="L73" s="3">
        <v>683</v>
      </c>
      <c r="M73" s="1">
        <f t="shared" si="23"/>
        <v>10610</v>
      </c>
      <c r="N73" s="1">
        <f t="shared" si="24"/>
        <v>13739</v>
      </c>
      <c r="O73" s="1">
        <f t="shared" si="21"/>
        <v>16545</v>
      </c>
      <c r="P73" s="1">
        <f t="shared" si="25"/>
        <v>40894</v>
      </c>
      <c r="Q73" s="1">
        <f>'Index Price Deals'!B73+'Index Price Deals'!C73+'Index Price Deals'!D73-'Prices&amp;Fuel'!AE73</f>
        <v>0</v>
      </c>
      <c r="R73" s="3">
        <f>('Long Term Deals'!BB73+'Long Term Deals'!BC73+'Long Term Deals'!BD73+'Long Term Deals'!BE73+'Long Term Deals'!BF73+'Long Term Deals'!BG73)*(1-'Prices&amp;Fuel'!F73)</f>
        <v>20999.999999999862</v>
      </c>
      <c r="S73" s="13">
        <f t="shared" si="26"/>
        <v>1.3824319466948509E-10</v>
      </c>
      <c r="T73" s="13">
        <f>((I73+J73+K73)*'Prices&amp;Fuel'!H73*'Prices&amp;Fuel'!L73)+('Prices&amp;Fuel'!N73*'Prices&amp;Fuel'!H73*Transport!L73)+(('Long Term Deals'!BB73+'Long Term Deals'!BC73+'Long Term Deals'!BD73)*'Prices&amp;Fuel'!H73*'Prices&amp;Fuel'!M73)</f>
        <v>424202.19037506694</v>
      </c>
      <c r="U73" s="1">
        <f>S73*B73*'Prices&amp;Fuel'!M73</f>
        <v>3.1687275622971359E-9</v>
      </c>
      <c r="V73" s="1">
        <f>29894-10000</f>
        <v>19894</v>
      </c>
      <c r="W73" s="13">
        <f t="shared" si="7"/>
        <v>1.3824319466948509E-10</v>
      </c>
    </row>
    <row r="74" spans="1:23" x14ac:dyDescent="0.2">
      <c r="A74" s="10">
        <f t="shared" si="22"/>
        <v>37847.749999999833</v>
      </c>
      <c r="B74" s="3">
        <v>31</v>
      </c>
      <c r="C74" s="12">
        <v>-7.8223622973849327E-2</v>
      </c>
      <c r="E74" s="44">
        <v>9.4999999999996199E-3</v>
      </c>
      <c r="F74" s="3">
        <v>8730</v>
      </c>
      <c r="G74" s="3">
        <f>15795-5034</f>
        <v>10761</v>
      </c>
      <c r="H74" s="3">
        <f>20475-4966</f>
        <v>15509</v>
      </c>
      <c r="I74" s="3">
        <v>1880</v>
      </c>
      <c r="J74" s="3">
        <v>2295</v>
      </c>
      <c r="K74" s="3">
        <v>1036</v>
      </c>
      <c r="L74" s="3">
        <v>683</v>
      </c>
      <c r="M74" s="1">
        <f t="shared" si="23"/>
        <v>10610</v>
      </c>
      <c r="N74" s="1">
        <f t="shared" si="24"/>
        <v>13739</v>
      </c>
      <c r="O74" s="1">
        <f t="shared" si="21"/>
        <v>16545</v>
      </c>
      <c r="P74" s="1">
        <f t="shared" si="25"/>
        <v>40894</v>
      </c>
      <c r="Q74" s="1">
        <f>'Index Price Deals'!B74+'Index Price Deals'!C74+'Index Price Deals'!D74-'Prices&amp;Fuel'!AE74</f>
        <v>0</v>
      </c>
      <c r="R74" s="3">
        <f>('Long Term Deals'!BB74+'Long Term Deals'!BC74+'Long Term Deals'!BD74+'Long Term Deals'!BE74+'Long Term Deals'!BF74+'Long Term Deals'!BG74)*(1-'Prices&amp;Fuel'!F74)</f>
        <v>20999.999999999862</v>
      </c>
      <c r="S74" s="13">
        <f t="shared" si="26"/>
        <v>1.3824319466948509E-10</v>
      </c>
      <c r="T74" s="13">
        <f>((I74+J74+K74)*'Prices&amp;Fuel'!H74*'Prices&amp;Fuel'!L74)+('Prices&amp;Fuel'!N74*'Prices&amp;Fuel'!H74*Transport!L74)+(('Long Term Deals'!BB74+'Long Term Deals'!BC74+'Long Term Deals'!BD74)*'Prices&amp;Fuel'!H74*'Prices&amp;Fuel'!M74)</f>
        <v>424202.19037506694</v>
      </c>
      <c r="U74" s="1">
        <f>S74*B74*'Prices&amp;Fuel'!M74</f>
        <v>3.1687275622971359E-9</v>
      </c>
      <c r="V74" s="1">
        <f>29894-10000</f>
        <v>19894</v>
      </c>
      <c r="W74" s="13">
        <f t="shared" si="7"/>
        <v>1.3824319466948509E-10</v>
      </c>
    </row>
    <row r="75" spans="1:23" x14ac:dyDescent="0.2">
      <c r="A75" s="10">
        <f t="shared" si="22"/>
        <v>37878.166666666497</v>
      </c>
      <c r="B75" s="3">
        <v>30</v>
      </c>
      <c r="C75" s="12">
        <v>-7.8222304381167174E-2</v>
      </c>
      <c r="E75" s="44">
        <v>9.4999999999996199E-3</v>
      </c>
      <c r="F75" s="3">
        <v>8730</v>
      </c>
      <c r="G75" s="3">
        <f>15795-5034</f>
        <v>10761</v>
      </c>
      <c r="H75" s="3">
        <f>20475-4966</f>
        <v>15509</v>
      </c>
      <c r="I75" s="3">
        <v>1880</v>
      </c>
      <c r="J75" s="3">
        <v>2295</v>
      </c>
      <c r="K75" s="3">
        <v>1036</v>
      </c>
      <c r="L75" s="3">
        <v>683</v>
      </c>
      <c r="M75" s="1">
        <f t="shared" si="23"/>
        <v>10610</v>
      </c>
      <c r="N75" s="1">
        <f t="shared" si="24"/>
        <v>13739</v>
      </c>
      <c r="O75" s="1">
        <f t="shared" si="21"/>
        <v>16545</v>
      </c>
      <c r="P75" s="1">
        <f t="shared" si="25"/>
        <v>40894</v>
      </c>
      <c r="Q75" s="1">
        <f>'Index Price Deals'!B75+'Index Price Deals'!C75+'Index Price Deals'!D75-'Prices&amp;Fuel'!AE75</f>
        <v>0</v>
      </c>
      <c r="R75" s="3">
        <f>('Long Term Deals'!BB75+'Long Term Deals'!BC75+'Long Term Deals'!BD75+'Long Term Deals'!BE75+'Long Term Deals'!BF75+'Long Term Deals'!BG75)*(1-'Prices&amp;Fuel'!F75)</f>
        <v>20999.999999999862</v>
      </c>
      <c r="S75" s="13">
        <f t="shared" si="26"/>
        <v>1.3824319466948509E-10</v>
      </c>
      <c r="T75" s="13">
        <f>((I75+J75+K75)*'Prices&amp;Fuel'!H75*'Prices&amp;Fuel'!L75)+('Prices&amp;Fuel'!N75*'Prices&amp;Fuel'!H75*Transport!L75)+(('Long Term Deals'!BB75+'Long Term Deals'!BC75+'Long Term Deals'!BD75)*'Prices&amp;Fuel'!H75*'Prices&amp;Fuel'!M75)</f>
        <v>410518.24875006475</v>
      </c>
      <c r="U75" s="1">
        <f>S75*B75*'Prices&amp;Fuel'!M75</f>
        <v>3.0665105441585185E-9</v>
      </c>
      <c r="V75" s="1">
        <f>29894-10000</f>
        <v>19894</v>
      </c>
      <c r="W75" s="13">
        <f t="shared" si="7"/>
        <v>1.3824319466948509E-10</v>
      </c>
    </row>
    <row r="76" spans="1:23" x14ac:dyDescent="0.2">
      <c r="A76" s="10">
        <f t="shared" si="22"/>
        <v>37908.583333333161</v>
      </c>
      <c r="B76" s="3">
        <v>31</v>
      </c>
      <c r="C76" s="12">
        <v>-8.2761136829195614E-2</v>
      </c>
      <c r="E76" s="44">
        <v>1.4499999999999957E-2</v>
      </c>
      <c r="F76" s="3">
        <f>8730-0</f>
        <v>8730</v>
      </c>
      <c r="G76" s="3">
        <f>15795-5434</f>
        <v>10361</v>
      </c>
      <c r="H76" s="3">
        <f>20475-4566</f>
        <v>15909</v>
      </c>
      <c r="I76" s="3">
        <v>2830</v>
      </c>
      <c r="J76" s="3">
        <v>3500</v>
      </c>
      <c r="K76" s="3">
        <v>1521</v>
      </c>
      <c r="L76" s="3">
        <v>1001</v>
      </c>
      <c r="M76" s="1">
        <f t="shared" si="23"/>
        <v>11560</v>
      </c>
      <c r="N76" s="1">
        <f t="shared" si="24"/>
        <v>14862</v>
      </c>
      <c r="O76" s="1">
        <f t="shared" si="21"/>
        <v>17430</v>
      </c>
      <c r="P76" s="1">
        <f t="shared" si="25"/>
        <v>43852</v>
      </c>
      <c r="Q76" s="1">
        <f>'Index Price Deals'!B76+'Index Price Deals'!C76+'Index Price Deals'!D76-'Prices&amp;Fuel'!AE76</f>
        <v>0</v>
      </c>
      <c r="R76" s="3">
        <f>('Long Term Deals'!BB76+'Long Term Deals'!BC76+'Long Term Deals'!BD76+'Long Term Deals'!BE76+'Long Term Deals'!BF76+'Long Term Deals'!BG76)*(1-'Prices&amp;Fuel'!F76)</f>
        <v>20999.999999999807</v>
      </c>
      <c r="S76" s="13">
        <f t="shared" si="26"/>
        <v>1.9281287677586079E-10</v>
      </c>
      <c r="T76" s="13">
        <f>((I76+J76+K76)*'Prices&amp;Fuel'!H76*'Prices&amp;Fuel'!L76)+('Prices&amp;Fuel'!N76*'Prices&amp;Fuel'!H76*Transport!L76)+(('Long Term Deals'!BB76+'Long Term Deals'!BC76+'Long Term Deals'!BD76)*'Prices&amp;Fuel'!H76*'Prices&amp;Fuel'!M76)</f>
        <v>388690.81708243943</v>
      </c>
      <c r="U76" s="1">
        <f>S76*B76*'Prices&amp;Fuel'!M76</f>
        <v>4.4195410737302155E-9</v>
      </c>
      <c r="V76" s="1">
        <f>32852-10000</f>
        <v>22852</v>
      </c>
      <c r="W76" s="13">
        <f t="shared" si="7"/>
        <v>1.9281287677586079E-10</v>
      </c>
    </row>
    <row r="77" spans="1:23" x14ac:dyDescent="0.2">
      <c r="A77" s="10">
        <f t="shared" si="22"/>
        <v>37938.999999999825</v>
      </c>
      <c r="B77" s="3">
        <v>30</v>
      </c>
      <c r="C77" s="12">
        <v>-0.12773336001826285</v>
      </c>
      <c r="E77" s="44">
        <v>1.9499999999999851E-2</v>
      </c>
      <c r="F77" s="3">
        <f>7761-1128-1707</f>
        <v>4926</v>
      </c>
      <c r="G77" s="3">
        <f>14039-666-3474-4167</f>
        <v>5732</v>
      </c>
      <c r="H77" s="3">
        <f>18200-4732-4126</f>
        <v>9342</v>
      </c>
      <c r="I77" s="3">
        <v>2563</v>
      </c>
      <c r="J77" s="3">
        <v>2862</v>
      </c>
      <c r="K77" s="3">
        <v>1685</v>
      </c>
      <c r="L77" s="3">
        <v>683</v>
      </c>
      <c r="M77" s="1">
        <f t="shared" si="23"/>
        <v>7489</v>
      </c>
      <c r="N77" s="1">
        <f t="shared" si="24"/>
        <v>9277</v>
      </c>
      <c r="O77" s="1">
        <f t="shared" si="21"/>
        <v>11027</v>
      </c>
      <c r="P77" s="1">
        <f t="shared" si="25"/>
        <v>27793</v>
      </c>
      <c r="Q77" s="1">
        <f>'Index Price Deals'!B77+'Index Price Deals'!C77+'Index Price Deals'!D77-'Prices&amp;Fuel'!AE77</f>
        <v>0</v>
      </c>
      <c r="R77" s="3">
        <f>('Long Term Deals'!BB77+'Long Term Deals'!BC77+'Long Term Deals'!BD77+'Long Term Deals'!BE77+'Long Term Deals'!BF77+'Long Term Deals'!BG77)*(1-'Prices&amp;Fuel'!F77)</f>
        <v>11999.999999999998</v>
      </c>
      <c r="S77" s="13">
        <f t="shared" si="26"/>
        <v>0</v>
      </c>
      <c r="T77" s="13">
        <f>((I77+J77+K77)*'Prices&amp;Fuel'!H77*'Prices&amp;Fuel'!L77)+('Prices&amp;Fuel'!N77*'Prices&amp;Fuel'!H77*Transport!L77)+(('Long Term Deals'!BB77+'Long Term Deals'!BC77+'Long Term Deals'!BD77)*'Prices&amp;Fuel'!H77*'Prices&amp;Fuel'!M77)</f>
        <v>183172.50393895817</v>
      </c>
      <c r="U77" s="1">
        <f>S77*B77*'Prices&amp;Fuel'!M77</f>
        <v>0</v>
      </c>
      <c r="V77" s="1">
        <f>35793-20000</f>
        <v>15793</v>
      </c>
      <c r="W77" s="13">
        <f t="shared" si="7"/>
        <v>0</v>
      </c>
    </row>
    <row r="78" spans="1:23" x14ac:dyDescent="0.2">
      <c r="A78" s="10">
        <f t="shared" si="22"/>
        <v>37969.41666666649</v>
      </c>
      <c r="B78" s="3">
        <v>31</v>
      </c>
      <c r="C78" s="12">
        <v>-0.16269586132350478</v>
      </c>
      <c r="E78" s="44">
        <v>2.4500000000000188E-2</v>
      </c>
      <c r="F78" s="3">
        <f>7761-1128-1707</f>
        <v>4926</v>
      </c>
      <c r="G78" s="3">
        <f>14039-666-3474-4167</f>
        <v>5732</v>
      </c>
      <c r="H78" s="3">
        <f>18200-4732-4126</f>
        <v>9342</v>
      </c>
      <c r="I78" s="3">
        <v>2563</v>
      </c>
      <c r="J78" s="3">
        <v>2862</v>
      </c>
      <c r="K78" s="3">
        <v>1685</v>
      </c>
      <c r="L78" s="3">
        <v>683</v>
      </c>
      <c r="M78" s="1">
        <f t="shared" si="23"/>
        <v>7489</v>
      </c>
      <c r="N78" s="1">
        <f t="shared" si="24"/>
        <v>9277</v>
      </c>
      <c r="O78" s="1">
        <f t="shared" si="21"/>
        <v>11027</v>
      </c>
      <c r="P78" s="1">
        <f t="shared" si="25"/>
        <v>27793</v>
      </c>
      <c r="Q78" s="1">
        <f>'Index Price Deals'!B78+'Index Price Deals'!C78+'Index Price Deals'!D78-'Prices&amp;Fuel'!AE78</f>
        <v>0</v>
      </c>
      <c r="R78" s="3">
        <f>('Long Term Deals'!BB78+'Long Term Deals'!BC78+'Long Term Deals'!BD78+'Long Term Deals'!BE78+'Long Term Deals'!BF78+'Long Term Deals'!BG78)*(1-'Prices&amp;Fuel'!F78)</f>
        <v>11999.999999999998</v>
      </c>
      <c r="S78" s="13">
        <f t="shared" si="26"/>
        <v>0</v>
      </c>
      <c r="T78" s="13">
        <f>((I78+J78+K78)*'Prices&amp;Fuel'!H78*'Prices&amp;Fuel'!L78)+('Prices&amp;Fuel'!N78*'Prices&amp;Fuel'!H78*Transport!L78)+(('Long Term Deals'!BB78+'Long Term Deals'!BC78+'Long Term Deals'!BD78)*'Prices&amp;Fuel'!H78*'Prices&amp;Fuel'!M78)</f>
        <v>189278.25407025678</v>
      </c>
      <c r="U78" s="1">
        <f>S78*B78*'Prices&amp;Fuel'!M78</f>
        <v>0</v>
      </c>
      <c r="V78" s="1">
        <f>35793-20000</f>
        <v>15793</v>
      </c>
      <c r="W78" s="13">
        <f t="shared" si="7"/>
        <v>0</v>
      </c>
    </row>
    <row r="79" spans="1:23" x14ac:dyDescent="0.2">
      <c r="A79" s="10">
        <f t="shared" si="22"/>
        <v>37999.833333333154</v>
      </c>
      <c r="B79" s="3">
        <v>31</v>
      </c>
      <c r="C79" s="12">
        <v>-0.14767919523694539</v>
      </c>
      <c r="E79" s="44">
        <v>2.4500000000000188E-2</v>
      </c>
      <c r="F79" s="3">
        <f>7761-1128-1707</f>
        <v>4926</v>
      </c>
      <c r="G79" s="3">
        <f>14039-666-3474-4167</f>
        <v>5732</v>
      </c>
      <c r="H79" s="3">
        <f>18200-4732-4126</f>
        <v>9342</v>
      </c>
      <c r="I79" s="3">
        <v>2563</v>
      </c>
      <c r="J79" s="3">
        <v>2862</v>
      </c>
      <c r="K79" s="3">
        <v>1685</v>
      </c>
      <c r="L79" s="3">
        <v>683</v>
      </c>
      <c r="M79" s="1">
        <f t="shared" si="23"/>
        <v>7489</v>
      </c>
      <c r="N79" s="1">
        <f t="shared" si="24"/>
        <v>9277</v>
      </c>
      <c r="O79" s="1">
        <f t="shared" si="21"/>
        <v>11027</v>
      </c>
      <c r="P79" s="1">
        <f t="shared" si="25"/>
        <v>27793</v>
      </c>
      <c r="Q79" s="1">
        <f>'Index Price Deals'!B79+'Index Price Deals'!C79+'Index Price Deals'!D79-'Prices&amp;Fuel'!AE79</f>
        <v>0</v>
      </c>
      <c r="R79" s="3">
        <f>('Long Term Deals'!BB79+'Long Term Deals'!BC79+'Long Term Deals'!BD79+'Long Term Deals'!BE79+'Long Term Deals'!BF79+'Long Term Deals'!BG79)*(1-'Prices&amp;Fuel'!F79)</f>
        <v>11999.999999999998</v>
      </c>
      <c r="S79" s="13">
        <f t="shared" si="26"/>
        <v>0</v>
      </c>
      <c r="T79" s="13">
        <f>((I79+J79+K79)*'Prices&amp;Fuel'!H79*'Prices&amp;Fuel'!L79)+('Prices&amp;Fuel'!N79*'Prices&amp;Fuel'!H79*Transport!L79)+(('Long Term Deals'!BB79+'Long Term Deals'!BC79+'Long Term Deals'!BD79)*'Prices&amp;Fuel'!H79*'Prices&amp;Fuel'!M79)</f>
        <v>188661.37160239043</v>
      </c>
      <c r="U79" s="1">
        <f>S79*B79*'Prices&amp;Fuel'!M79</f>
        <v>0</v>
      </c>
      <c r="V79" s="1">
        <f>35793-20000</f>
        <v>15793</v>
      </c>
      <c r="W79" s="13">
        <f t="shared" si="7"/>
        <v>0</v>
      </c>
    </row>
    <row r="80" spans="1:23" x14ac:dyDescent="0.2">
      <c r="A80" s="10">
        <f t="shared" si="22"/>
        <v>38030.249999999818</v>
      </c>
      <c r="B80" s="3">
        <v>29</v>
      </c>
      <c r="C80" s="12">
        <v>-0.14770697204787764</v>
      </c>
      <c r="E80" s="44">
        <v>2.4500000000000188E-2</v>
      </c>
      <c r="F80" s="3">
        <f>7761-1128-1707</f>
        <v>4926</v>
      </c>
      <c r="G80" s="3">
        <f>14039-666-3474-4167</f>
        <v>5732</v>
      </c>
      <c r="H80" s="3">
        <f>18200-4732-4126</f>
        <v>9342</v>
      </c>
      <c r="I80" s="3">
        <v>2563</v>
      </c>
      <c r="J80" s="3">
        <v>2862</v>
      </c>
      <c r="K80" s="3">
        <v>1685</v>
      </c>
      <c r="L80" s="3">
        <v>683</v>
      </c>
      <c r="M80" s="1">
        <f t="shared" si="23"/>
        <v>7489</v>
      </c>
      <c r="N80" s="1">
        <f t="shared" si="24"/>
        <v>9277</v>
      </c>
      <c r="O80" s="1">
        <f t="shared" si="21"/>
        <v>11027</v>
      </c>
      <c r="P80" s="1">
        <f t="shared" si="25"/>
        <v>27793</v>
      </c>
      <c r="Q80" s="1">
        <f>'Index Price Deals'!B80+'Index Price Deals'!C80+'Index Price Deals'!D80-'Prices&amp;Fuel'!AE80</f>
        <v>0</v>
      </c>
      <c r="R80" s="3">
        <f>('Long Term Deals'!BB80+'Long Term Deals'!BC80+'Long Term Deals'!BD80+'Long Term Deals'!BE80+'Long Term Deals'!BF80+'Long Term Deals'!BG80)*(1-'Prices&amp;Fuel'!F80)</f>
        <v>11999.999999999998</v>
      </c>
      <c r="S80" s="13">
        <f t="shared" si="26"/>
        <v>0</v>
      </c>
      <c r="T80" s="13">
        <f>((I80+J80+K80)*'Prices&amp;Fuel'!H80*'Prices&amp;Fuel'!L80)+('Prices&amp;Fuel'!N80*'Prices&amp;Fuel'!H80*Transport!L80)+(('Long Term Deals'!BB80+'Long Term Deals'!BC80+'Long Term Deals'!BD80)*'Prices&amp;Fuel'!H80*'Prices&amp;Fuel'!M80)</f>
        <v>176489.67020868784</v>
      </c>
      <c r="U80" s="1">
        <f>S80*B80*'Prices&amp;Fuel'!M80</f>
        <v>0</v>
      </c>
      <c r="V80" s="1">
        <f>35793-20000</f>
        <v>15793</v>
      </c>
      <c r="W80" s="13">
        <f t="shared" si="7"/>
        <v>0</v>
      </c>
    </row>
    <row r="81" spans="1:23" x14ac:dyDescent="0.2">
      <c r="A81" s="10">
        <f t="shared" si="22"/>
        <v>38060.666666666482</v>
      </c>
      <c r="B81" s="3">
        <v>31</v>
      </c>
      <c r="C81" s="12">
        <v>-0.12274273469195274</v>
      </c>
      <c r="E81" s="44">
        <v>1.9500000000000295E-2</v>
      </c>
      <c r="F81" s="3">
        <f>7761-1128-1707</f>
        <v>4926</v>
      </c>
      <c r="G81" s="3">
        <f>14039-666-3474-4167</f>
        <v>5732</v>
      </c>
      <c r="H81" s="3">
        <f>18200-4732-4126</f>
        <v>9342</v>
      </c>
      <c r="I81" s="3">
        <v>2563</v>
      </c>
      <c r="J81" s="3">
        <v>2862</v>
      </c>
      <c r="K81" s="3">
        <v>1685</v>
      </c>
      <c r="L81" s="3">
        <v>683</v>
      </c>
      <c r="M81" s="1">
        <f t="shared" si="23"/>
        <v>7489</v>
      </c>
      <c r="N81" s="1">
        <f t="shared" si="24"/>
        <v>9277</v>
      </c>
      <c r="O81" s="1">
        <f t="shared" si="21"/>
        <v>11027</v>
      </c>
      <c r="P81" s="1">
        <f t="shared" si="25"/>
        <v>27793</v>
      </c>
      <c r="Q81" s="1">
        <f>'Index Price Deals'!B81+'Index Price Deals'!C81+'Index Price Deals'!D81-'Prices&amp;Fuel'!AE81</f>
        <v>0</v>
      </c>
      <c r="R81" s="3">
        <f>('Long Term Deals'!BB81+'Long Term Deals'!BC81+'Long Term Deals'!BD81+'Long Term Deals'!BE81+'Long Term Deals'!BF81+'Long Term Deals'!BG81)*(1-'Prices&amp;Fuel'!F81)</f>
        <v>11999.999999999998</v>
      </c>
      <c r="S81" s="13">
        <f t="shared" si="26"/>
        <v>0</v>
      </c>
      <c r="T81" s="13">
        <f>((I81+J81+K81)*'Prices&amp;Fuel'!H81*'Prices&amp;Fuel'!L81)+('Prices&amp;Fuel'!N81*'Prices&amp;Fuel'!H81*Transport!L81)+(('Long Term Deals'!BB81+'Long Term Deals'!BC81+'Long Term Deals'!BD81)*'Prices&amp;Fuel'!H81*'Prices&amp;Fuel'!M81)</f>
        <v>188661.37160239043</v>
      </c>
      <c r="U81" s="1">
        <f>S81*B81*'Prices&amp;Fuel'!M81</f>
        <v>0</v>
      </c>
      <c r="V81" s="1">
        <f>35793-20000</f>
        <v>15793</v>
      </c>
      <c r="W81" s="13">
        <f t="shared" si="7"/>
        <v>0</v>
      </c>
    </row>
    <row r="82" spans="1:23" x14ac:dyDescent="0.2">
      <c r="A82" s="10">
        <f t="shared" si="22"/>
        <v>38091.083333333147</v>
      </c>
      <c r="B82" s="3">
        <v>30</v>
      </c>
      <c r="C82" s="12">
        <v>-7.3259747988649426E-2</v>
      </c>
      <c r="E82" s="44">
        <v>5.9999999999997833E-3</v>
      </c>
      <c r="F82" s="3">
        <f>7761-828</f>
        <v>6933</v>
      </c>
      <c r="G82" s="3">
        <f>14039-5241</f>
        <v>8798</v>
      </c>
      <c r="H82" s="3">
        <f>18200-3931</f>
        <v>14269</v>
      </c>
      <c r="I82" s="3">
        <v>1880</v>
      </c>
      <c r="J82" s="3">
        <v>2073</v>
      </c>
      <c r="K82" s="3">
        <v>1258</v>
      </c>
      <c r="L82" s="3">
        <v>683</v>
      </c>
      <c r="M82" s="1">
        <f t="shared" si="23"/>
        <v>8813</v>
      </c>
      <c r="N82" s="1">
        <f t="shared" si="24"/>
        <v>11554</v>
      </c>
      <c r="O82" s="1">
        <f t="shared" si="21"/>
        <v>15527</v>
      </c>
      <c r="P82" s="1">
        <f t="shared" si="25"/>
        <v>35894</v>
      </c>
      <c r="Q82" s="1">
        <f>'Index Price Deals'!B82+'Index Price Deals'!C82+'Index Price Deals'!D82-'Prices&amp;Fuel'!AE82</f>
        <v>0</v>
      </c>
      <c r="R82" s="3">
        <f>('Long Term Deals'!BB82+'Long Term Deals'!BC82+'Long Term Deals'!BD82+'Long Term Deals'!BE82+'Long Term Deals'!BF82+'Long Term Deals'!BG82)*(1-'Prices&amp;Fuel'!F82)</f>
        <v>12000</v>
      </c>
      <c r="S82" s="13">
        <f t="shared" si="26"/>
        <v>0</v>
      </c>
      <c r="T82" s="13">
        <f>((I82+J82+K82)*'Prices&amp;Fuel'!H82*'Prices&amp;Fuel'!L82)+('Prices&amp;Fuel'!N82*'Prices&amp;Fuel'!H82*Transport!L82)+(('Long Term Deals'!BB82+'Long Term Deals'!BC82+'Long Term Deals'!BD82)*'Prices&amp;Fuel'!H82*'Prices&amp;Fuel'!M82)</f>
        <v>204368.50273464364</v>
      </c>
      <c r="U82" s="1">
        <f>S82*B82*'Prices&amp;Fuel'!M82</f>
        <v>0</v>
      </c>
      <c r="V82" s="1">
        <f>33894-10000</f>
        <v>23894</v>
      </c>
      <c r="W82" s="13">
        <f t="shared" si="7"/>
        <v>0</v>
      </c>
    </row>
    <row r="83" spans="1:23" x14ac:dyDescent="0.2">
      <c r="A83" s="10">
        <f t="shared" si="22"/>
        <v>38121.499999999811</v>
      </c>
      <c r="B83" s="3">
        <v>31</v>
      </c>
      <c r="C83" s="12">
        <v>-7.372124950702208E-2</v>
      </c>
      <c r="E83" s="44">
        <v>5.9999999999997833E-3</v>
      </c>
      <c r="F83" s="3">
        <v>8730</v>
      </c>
      <c r="G83" s="3">
        <f>15795-5034</f>
        <v>10761</v>
      </c>
      <c r="H83" s="3">
        <f>20475-4966</f>
        <v>15509</v>
      </c>
      <c r="I83" s="3">
        <v>1880</v>
      </c>
      <c r="J83" s="3">
        <v>2295</v>
      </c>
      <c r="K83" s="3">
        <v>1036</v>
      </c>
      <c r="L83" s="3">
        <v>683</v>
      </c>
      <c r="M83" s="1">
        <f t="shared" si="23"/>
        <v>10610</v>
      </c>
      <c r="N83" s="1">
        <f t="shared" si="24"/>
        <v>13739</v>
      </c>
      <c r="O83" s="1">
        <f t="shared" si="21"/>
        <v>16545</v>
      </c>
      <c r="P83" s="1">
        <f t="shared" si="25"/>
        <v>40894</v>
      </c>
      <c r="Q83" s="1">
        <f>'Index Price Deals'!B83+'Index Price Deals'!C83+'Index Price Deals'!D83-'Prices&amp;Fuel'!AE83</f>
        <v>0</v>
      </c>
      <c r="R83" s="3">
        <f>('Long Term Deals'!BB83+'Long Term Deals'!BC83+'Long Term Deals'!BD83+'Long Term Deals'!BE83+'Long Term Deals'!BF83+'Long Term Deals'!BG83)*(1-'Prices&amp;Fuel'!F83)</f>
        <v>20999.999999999862</v>
      </c>
      <c r="S83" s="13">
        <f t="shared" si="26"/>
        <v>1.3824319466948509E-10</v>
      </c>
      <c r="T83" s="13">
        <f>((I83+J83+K83)*'Prices&amp;Fuel'!H83*'Prices&amp;Fuel'!L83)+('Prices&amp;Fuel'!N83*'Prices&amp;Fuel'!H83*Transport!L83)+(('Long Term Deals'!BB83+'Long Term Deals'!BC83+'Long Term Deals'!BD83)*'Prices&amp;Fuel'!H83*'Prices&amp;Fuel'!M83)</f>
        <v>421987.16148046532</v>
      </c>
      <c r="U83" s="1">
        <f>S83*B83*'Prices&amp;Fuel'!M83</f>
        <v>3.1490140827372673E-9</v>
      </c>
      <c r="V83" s="1">
        <f>29894-10000</f>
        <v>19894</v>
      </c>
      <c r="W83" s="13">
        <f t="shared" si="7"/>
        <v>1.3824319466948509E-10</v>
      </c>
    </row>
    <row r="84" spans="1:23" x14ac:dyDescent="0.2">
      <c r="A84" s="10">
        <f t="shared" si="22"/>
        <v>38151.916666666475</v>
      </c>
      <c r="B84" s="3">
        <v>30</v>
      </c>
      <c r="C84" s="12">
        <v>-7.3720590210681447E-2</v>
      </c>
      <c r="E84" s="44">
        <v>5.9999999999997833E-3</v>
      </c>
      <c r="F84" s="3">
        <v>8730</v>
      </c>
      <c r="G84" s="3">
        <f>15795-5034</f>
        <v>10761</v>
      </c>
      <c r="H84" s="3">
        <f>20475-4966</f>
        <v>15509</v>
      </c>
      <c r="I84" s="3">
        <v>1880</v>
      </c>
      <c r="J84" s="3">
        <v>2295</v>
      </c>
      <c r="K84" s="3">
        <v>1036</v>
      </c>
      <c r="L84" s="3">
        <v>683</v>
      </c>
      <c r="M84" s="1">
        <f t="shared" si="23"/>
        <v>10610</v>
      </c>
      <c r="N84" s="1">
        <f t="shared" si="24"/>
        <v>13739</v>
      </c>
      <c r="O84" s="1">
        <f t="shared" si="21"/>
        <v>16545</v>
      </c>
      <c r="P84" s="1">
        <f t="shared" si="25"/>
        <v>40894</v>
      </c>
      <c r="Q84" s="1">
        <f>'Index Price Deals'!B84+'Index Price Deals'!C84+'Index Price Deals'!D84-'Prices&amp;Fuel'!AE84</f>
        <v>0</v>
      </c>
      <c r="R84" s="3">
        <f>('Long Term Deals'!BB84+'Long Term Deals'!BC84+'Long Term Deals'!BD84+'Long Term Deals'!BE84+'Long Term Deals'!BF84+'Long Term Deals'!BG84)*(1-'Prices&amp;Fuel'!F84)</f>
        <v>20999.999999999862</v>
      </c>
      <c r="S84" s="13">
        <f t="shared" si="26"/>
        <v>1.3824319466948509E-10</v>
      </c>
      <c r="T84" s="13">
        <f>((I84+J84+K84)*'Prices&amp;Fuel'!H84*'Prices&amp;Fuel'!L84)+('Prices&amp;Fuel'!N84*'Prices&amp;Fuel'!H84*Transport!L84)+(('Long Term Deals'!BB84+'Long Term Deals'!BC84+'Long Term Deals'!BD84)*'Prices&amp;Fuel'!H84*'Prices&amp;Fuel'!M84)</f>
        <v>408374.67240045033</v>
      </c>
      <c r="U84" s="1">
        <f>S84*B84*'Prices&amp;Fuel'!M84</f>
        <v>3.0474329832941295E-9</v>
      </c>
      <c r="V84" s="1">
        <f>29894-10000</f>
        <v>19894</v>
      </c>
      <c r="W84" s="13">
        <f t="shared" ref="W84:W147" si="27">P84-R84-V84</f>
        <v>1.3824319466948509E-10</v>
      </c>
    </row>
    <row r="85" spans="1:23" x14ac:dyDescent="0.2">
      <c r="A85" s="10">
        <f t="shared" si="22"/>
        <v>38182.333333333139</v>
      </c>
      <c r="B85" s="3">
        <v>31</v>
      </c>
      <c r="C85" s="12">
        <v>-7.8220194632875995E-2</v>
      </c>
      <c r="E85" s="44">
        <v>9.4999999999998419E-3</v>
      </c>
      <c r="F85" s="3">
        <v>8730</v>
      </c>
      <c r="G85" s="3">
        <f>15795-5034</f>
        <v>10761</v>
      </c>
      <c r="H85" s="3">
        <f>20475-4966</f>
        <v>15509</v>
      </c>
      <c r="I85" s="3">
        <v>1880</v>
      </c>
      <c r="J85" s="3">
        <v>2295</v>
      </c>
      <c r="K85" s="3">
        <v>1036</v>
      </c>
      <c r="L85" s="3">
        <v>683</v>
      </c>
      <c r="M85" s="1">
        <f t="shared" si="23"/>
        <v>10610</v>
      </c>
      <c r="N85" s="1">
        <f t="shared" si="24"/>
        <v>13739</v>
      </c>
      <c r="O85" s="1">
        <f t="shared" ref="O85:O100" si="28">H85+K85</f>
        <v>16545</v>
      </c>
      <c r="P85" s="1">
        <f t="shared" si="25"/>
        <v>40894</v>
      </c>
      <c r="Q85" s="1">
        <f>'Index Price Deals'!B85+'Index Price Deals'!C85+'Index Price Deals'!D85-'Prices&amp;Fuel'!AE85</f>
        <v>0</v>
      </c>
      <c r="R85" s="3">
        <f>('Long Term Deals'!BB85+'Long Term Deals'!BC85+'Long Term Deals'!BD85+'Long Term Deals'!BE85+'Long Term Deals'!BF85+'Long Term Deals'!BG85)*(1-'Prices&amp;Fuel'!F85)</f>
        <v>20999.999999999862</v>
      </c>
      <c r="S85" s="13">
        <f t="shared" si="26"/>
        <v>1.3824319466948509E-10</v>
      </c>
      <c r="T85" s="13">
        <f>((I85+J85+K85)*'Prices&amp;Fuel'!H85*'Prices&amp;Fuel'!L85)+('Prices&amp;Fuel'!N85*'Prices&amp;Fuel'!H85*Transport!L85)+(('Long Term Deals'!BB85+'Long Term Deals'!BC85+'Long Term Deals'!BD85)*'Prices&amp;Fuel'!H85*'Prices&amp;Fuel'!M85)</f>
        <v>421987.16148046532</v>
      </c>
      <c r="U85" s="1">
        <f>S85*B85*'Prices&amp;Fuel'!M85</f>
        <v>3.1490140827372673E-9</v>
      </c>
      <c r="V85" s="1">
        <f>29894-10000</f>
        <v>19894</v>
      </c>
      <c r="W85" s="13">
        <f t="shared" si="27"/>
        <v>1.3824319466948509E-10</v>
      </c>
    </row>
    <row r="86" spans="1:23" x14ac:dyDescent="0.2">
      <c r="A86" s="10">
        <f t="shared" si="22"/>
        <v>38212.749999999804</v>
      </c>
      <c r="B86" s="3">
        <v>31</v>
      </c>
      <c r="C86" s="12">
        <v>-7.8219403477266969E-2</v>
      </c>
      <c r="E86" s="44">
        <v>9.4999999999996199E-3</v>
      </c>
      <c r="F86" s="3">
        <v>8730</v>
      </c>
      <c r="G86" s="3">
        <f>15795-5034</f>
        <v>10761</v>
      </c>
      <c r="H86" s="3">
        <f>20475-4966</f>
        <v>15509</v>
      </c>
      <c r="I86" s="3">
        <v>1880</v>
      </c>
      <c r="J86" s="3">
        <v>2295</v>
      </c>
      <c r="K86" s="3">
        <v>1036</v>
      </c>
      <c r="L86" s="3">
        <v>683</v>
      </c>
      <c r="M86" s="1">
        <f t="shared" ref="M86:M101" si="29">F86+I86</f>
        <v>10610</v>
      </c>
      <c r="N86" s="1">
        <f t="shared" ref="N86:N101" si="30">G86+J86+L86</f>
        <v>13739</v>
      </c>
      <c r="O86" s="1">
        <f t="shared" si="28"/>
        <v>16545</v>
      </c>
      <c r="P86" s="1">
        <f t="shared" ref="P86:P101" si="31">SUM(M86:O86)</f>
        <v>40894</v>
      </c>
      <c r="Q86" s="1">
        <f>'Index Price Deals'!B86+'Index Price Deals'!C86+'Index Price Deals'!D86-'Prices&amp;Fuel'!AE86</f>
        <v>0</v>
      </c>
      <c r="R86" s="3">
        <f>('Long Term Deals'!BB86+'Long Term Deals'!BC86+'Long Term Deals'!BD86+'Long Term Deals'!BE86+'Long Term Deals'!BF86+'Long Term Deals'!BG86)*(1-'Prices&amp;Fuel'!F86)</f>
        <v>20999.999999999862</v>
      </c>
      <c r="S86" s="13">
        <f t="shared" si="26"/>
        <v>1.3824319466948509E-10</v>
      </c>
      <c r="T86" s="13">
        <f>((I86+J86+K86)*'Prices&amp;Fuel'!H86*'Prices&amp;Fuel'!L86)+('Prices&amp;Fuel'!N86*'Prices&amp;Fuel'!H86*Transport!L86)+(('Long Term Deals'!BB86+'Long Term Deals'!BC86+'Long Term Deals'!BD86)*'Prices&amp;Fuel'!H86*'Prices&amp;Fuel'!M86)</f>
        <v>421987.16148046532</v>
      </c>
      <c r="U86" s="1">
        <f>S86*B86*'Prices&amp;Fuel'!M86</f>
        <v>3.1490140827372673E-9</v>
      </c>
      <c r="V86" s="1">
        <f>29894-10000</f>
        <v>19894</v>
      </c>
      <c r="W86" s="13">
        <f t="shared" si="27"/>
        <v>1.3824319466948509E-10</v>
      </c>
    </row>
    <row r="87" spans="1:23" x14ac:dyDescent="0.2">
      <c r="A87" s="10">
        <f t="shared" si="22"/>
        <v>38243.166666666468</v>
      </c>
      <c r="B87" s="3">
        <v>30</v>
      </c>
      <c r="C87" s="12">
        <v>-7.8218084884585259E-2</v>
      </c>
      <c r="E87" s="44">
        <v>9.4999999999996199E-3</v>
      </c>
      <c r="F87" s="3">
        <v>8730</v>
      </c>
      <c r="G87" s="3">
        <f>15795-5034</f>
        <v>10761</v>
      </c>
      <c r="H87" s="3">
        <f>20475-4966</f>
        <v>15509</v>
      </c>
      <c r="I87" s="3">
        <v>1880</v>
      </c>
      <c r="J87" s="3">
        <v>2295</v>
      </c>
      <c r="K87" s="3">
        <v>1036</v>
      </c>
      <c r="L87" s="3">
        <v>683</v>
      </c>
      <c r="M87" s="1">
        <f t="shared" si="29"/>
        <v>10610</v>
      </c>
      <c r="N87" s="1">
        <f t="shared" si="30"/>
        <v>13739</v>
      </c>
      <c r="O87" s="1">
        <f t="shared" si="28"/>
        <v>16545</v>
      </c>
      <c r="P87" s="1">
        <f t="shared" si="31"/>
        <v>40894</v>
      </c>
      <c r="Q87" s="1">
        <f>'Index Price Deals'!B87+'Index Price Deals'!C87+'Index Price Deals'!D87-'Prices&amp;Fuel'!AE87</f>
        <v>0</v>
      </c>
      <c r="R87" s="3">
        <f>('Long Term Deals'!BB87+'Long Term Deals'!BC87+'Long Term Deals'!BD87+'Long Term Deals'!BE87+'Long Term Deals'!BF87+'Long Term Deals'!BG87)*(1-'Prices&amp;Fuel'!F87)</f>
        <v>20999.999999999862</v>
      </c>
      <c r="S87" s="13">
        <f t="shared" si="26"/>
        <v>1.3824319466948509E-10</v>
      </c>
      <c r="T87" s="13">
        <f>((I87+J87+K87)*'Prices&amp;Fuel'!H87*'Prices&amp;Fuel'!L87)+('Prices&amp;Fuel'!N87*'Prices&amp;Fuel'!H87*Transport!L87)+(('Long Term Deals'!BB87+'Long Term Deals'!BC87+'Long Term Deals'!BD87)*'Prices&amp;Fuel'!H87*'Prices&amp;Fuel'!M87)</f>
        <v>408374.67240045033</v>
      </c>
      <c r="U87" s="1">
        <f>S87*B87*'Prices&amp;Fuel'!M87</f>
        <v>3.0474329832941295E-9</v>
      </c>
      <c r="V87" s="1">
        <f>29894-10000</f>
        <v>19894</v>
      </c>
      <c r="W87" s="13">
        <f t="shared" si="27"/>
        <v>1.3824319466948509E-10</v>
      </c>
    </row>
    <row r="88" spans="1:23" x14ac:dyDescent="0.2">
      <c r="A88" s="10">
        <f t="shared" si="22"/>
        <v>38273.583333333132</v>
      </c>
      <c r="B88" s="3">
        <v>31</v>
      </c>
      <c r="C88" s="12">
        <v>-8.2750026104823515E-2</v>
      </c>
      <c r="E88" s="44">
        <v>1.4499999999999957E-2</v>
      </c>
      <c r="F88" s="3">
        <f>8730-0</f>
        <v>8730</v>
      </c>
      <c r="G88" s="3">
        <f>15795-5434</f>
        <v>10361</v>
      </c>
      <c r="H88" s="3">
        <f>20475-4566</f>
        <v>15909</v>
      </c>
      <c r="I88" s="3">
        <v>2830</v>
      </c>
      <c r="J88" s="3">
        <v>3500</v>
      </c>
      <c r="K88" s="3">
        <v>1521</v>
      </c>
      <c r="L88" s="3">
        <v>1001</v>
      </c>
      <c r="M88" s="1">
        <f t="shared" si="29"/>
        <v>11560</v>
      </c>
      <c r="N88" s="1">
        <f t="shared" si="30"/>
        <v>14862</v>
      </c>
      <c r="O88" s="1">
        <f t="shared" si="28"/>
        <v>17430</v>
      </c>
      <c r="P88" s="1">
        <f t="shared" si="31"/>
        <v>43852</v>
      </c>
      <c r="Q88" s="1">
        <f>'Index Price Deals'!B88+'Index Price Deals'!C88+'Index Price Deals'!D88-'Prices&amp;Fuel'!AE88</f>
        <v>0</v>
      </c>
      <c r="R88" s="3">
        <f>('Long Term Deals'!BB88+'Long Term Deals'!BC88+'Long Term Deals'!BD88+'Long Term Deals'!BE88+'Long Term Deals'!BF88+'Long Term Deals'!BG88)*(1-'Prices&amp;Fuel'!F88)</f>
        <v>20999.999999999807</v>
      </c>
      <c r="S88" s="13">
        <f t="shared" si="26"/>
        <v>1.9281287677586079E-10</v>
      </c>
      <c r="T88" s="13">
        <f>((I88+J88+K88)*'Prices&amp;Fuel'!H88*'Prices&amp;Fuel'!L88)+('Prices&amp;Fuel'!N88*'Prices&amp;Fuel'!H88*Transport!L88)+(('Long Term Deals'!BB88+'Long Term Deals'!BC88+'Long Term Deals'!BD88)*'Prices&amp;Fuel'!H88*'Prices&amp;Fuel'!M88)</f>
        <v>386909.52679966309</v>
      </c>
      <c r="U88" s="1">
        <f>S88*B88*'Prices&amp;Fuel'!M88</f>
        <v>4.3920459575019776E-9</v>
      </c>
      <c r="V88" s="1">
        <f>32852-10000</f>
        <v>22852</v>
      </c>
      <c r="W88" s="13">
        <f t="shared" si="27"/>
        <v>1.9281287677586079E-10</v>
      </c>
    </row>
    <row r="89" spans="1:23" x14ac:dyDescent="0.2">
      <c r="A89" s="10">
        <f t="shared" si="22"/>
        <v>38303.999999999796</v>
      </c>
      <c r="B89" s="3">
        <v>30</v>
      </c>
      <c r="C89" s="12">
        <v>-0.12772224929389031</v>
      </c>
      <c r="E89" s="44">
        <v>1.9499999999999851E-2</v>
      </c>
      <c r="F89" s="3">
        <f>7761-1128-1707</f>
        <v>4926</v>
      </c>
      <c r="G89" s="3">
        <f>14039-666-3474-4167</f>
        <v>5732</v>
      </c>
      <c r="H89" s="3">
        <f>18200-4732-4126</f>
        <v>9342</v>
      </c>
      <c r="I89" s="3">
        <v>2563</v>
      </c>
      <c r="J89" s="3">
        <v>2862</v>
      </c>
      <c r="K89" s="3">
        <v>1685</v>
      </c>
      <c r="L89" s="3">
        <v>683</v>
      </c>
      <c r="M89" s="1">
        <f t="shared" si="29"/>
        <v>7489</v>
      </c>
      <c r="N89" s="1">
        <f t="shared" si="30"/>
        <v>9277</v>
      </c>
      <c r="O89" s="1">
        <f t="shared" si="28"/>
        <v>11027</v>
      </c>
      <c r="P89" s="1">
        <f t="shared" si="31"/>
        <v>27793</v>
      </c>
      <c r="Q89" s="1">
        <f>'Index Price Deals'!B89+'Index Price Deals'!C89+'Index Price Deals'!D89-'Prices&amp;Fuel'!AE89</f>
        <v>0</v>
      </c>
      <c r="R89" s="3">
        <f>('Long Term Deals'!BB89+'Long Term Deals'!BC89+'Long Term Deals'!BD89+'Long Term Deals'!BE89+'Long Term Deals'!BF89+'Long Term Deals'!BG89)*(1-'Prices&amp;Fuel'!F89)</f>
        <v>11999.999999999998</v>
      </c>
      <c r="S89" s="13">
        <f t="shared" si="26"/>
        <v>0</v>
      </c>
      <c r="T89" s="13">
        <f>((I89+J89+K89)*'Prices&amp;Fuel'!H89*'Prices&amp;Fuel'!L89)+('Prices&amp;Fuel'!N89*'Prices&amp;Fuel'!H89*Transport!L89)+(('Long Term Deals'!BB89+'Long Term Deals'!BC89+'Long Term Deals'!BD89)*'Prices&amp;Fuel'!H89*'Prices&amp;Fuel'!M89)</f>
        <v>182575.52090553916</v>
      </c>
      <c r="U89" s="1">
        <f>S89*B89*'Prices&amp;Fuel'!M89</f>
        <v>0</v>
      </c>
      <c r="V89" s="1">
        <f>35793-20000</f>
        <v>15793</v>
      </c>
      <c r="W89" s="13">
        <f t="shared" si="27"/>
        <v>0</v>
      </c>
    </row>
    <row r="90" spans="1:23" x14ac:dyDescent="0.2">
      <c r="A90" s="10">
        <f t="shared" si="22"/>
        <v>38334.416666666461</v>
      </c>
      <c r="B90" s="3">
        <v>31</v>
      </c>
      <c r="C90" s="12">
        <v>-0.16268475059913134</v>
      </c>
      <c r="E90" s="44">
        <v>2.4500000000000188E-2</v>
      </c>
      <c r="F90" s="3">
        <f>7761-1128-1707</f>
        <v>4926</v>
      </c>
      <c r="G90" s="3">
        <f>14039-666-3474-4167</f>
        <v>5732</v>
      </c>
      <c r="H90" s="3">
        <f>18200-4732-4126</f>
        <v>9342</v>
      </c>
      <c r="I90" s="3">
        <v>2563</v>
      </c>
      <c r="J90" s="3">
        <v>2862</v>
      </c>
      <c r="K90" s="3">
        <v>1685</v>
      </c>
      <c r="L90" s="3">
        <v>683</v>
      </c>
      <c r="M90" s="1">
        <f t="shared" si="29"/>
        <v>7489</v>
      </c>
      <c r="N90" s="1">
        <f t="shared" si="30"/>
        <v>9277</v>
      </c>
      <c r="O90" s="1">
        <f t="shared" si="28"/>
        <v>11027</v>
      </c>
      <c r="P90" s="1">
        <f t="shared" si="31"/>
        <v>27793</v>
      </c>
      <c r="Q90" s="1">
        <f>'Index Price Deals'!B90+'Index Price Deals'!C90+'Index Price Deals'!D90-'Prices&amp;Fuel'!AE90</f>
        <v>0</v>
      </c>
      <c r="R90" s="3">
        <f>('Long Term Deals'!BB90+'Long Term Deals'!BC90+'Long Term Deals'!BD90+'Long Term Deals'!BE90+'Long Term Deals'!BF90+'Long Term Deals'!BG90)*(1-'Prices&amp;Fuel'!F90)</f>
        <v>11999.999999999998</v>
      </c>
      <c r="S90" s="13">
        <f t="shared" si="26"/>
        <v>0</v>
      </c>
      <c r="T90" s="13">
        <f>((I90+J90+K90)*'Prices&amp;Fuel'!H90*'Prices&amp;Fuel'!L90)+('Prices&amp;Fuel'!N90*'Prices&amp;Fuel'!H90*Transport!L90)+(('Long Term Deals'!BB90+'Long Term Deals'!BC90+'Long Term Deals'!BD90)*'Prices&amp;Fuel'!H90*'Prices&amp;Fuel'!M90)</f>
        <v>188661.37160239043</v>
      </c>
      <c r="U90" s="1">
        <f>S90*B90*'Prices&amp;Fuel'!M90</f>
        <v>0</v>
      </c>
      <c r="V90" s="1">
        <f>35793-20000</f>
        <v>15793</v>
      </c>
      <c r="W90" s="13">
        <f t="shared" si="27"/>
        <v>0</v>
      </c>
    </row>
    <row r="91" spans="1:23" x14ac:dyDescent="0.2">
      <c r="A91" s="10">
        <f t="shared" si="22"/>
        <v>38364.833333333125</v>
      </c>
      <c r="B91" s="3">
        <v>31</v>
      </c>
      <c r="C91" s="12">
        <v>-0.14766114030983823</v>
      </c>
      <c r="E91" s="44">
        <v>2.4500000000000188E-2</v>
      </c>
      <c r="F91" s="3">
        <f>7761-1128-1707</f>
        <v>4926</v>
      </c>
      <c r="G91" s="3">
        <f>14039-666-3474-4167</f>
        <v>5732</v>
      </c>
      <c r="H91" s="3">
        <f>18200-4732-4126</f>
        <v>9342</v>
      </c>
      <c r="I91" s="3">
        <v>2563</v>
      </c>
      <c r="J91" s="3">
        <v>2862</v>
      </c>
      <c r="K91" s="3">
        <v>1685</v>
      </c>
      <c r="L91" s="3">
        <v>683</v>
      </c>
      <c r="M91" s="1">
        <f t="shared" si="29"/>
        <v>7489</v>
      </c>
      <c r="N91" s="1">
        <f t="shared" si="30"/>
        <v>9277</v>
      </c>
      <c r="O91" s="1">
        <f t="shared" si="28"/>
        <v>11027</v>
      </c>
      <c r="P91" s="1">
        <f t="shared" si="31"/>
        <v>27793</v>
      </c>
      <c r="Q91" s="1">
        <f>'Index Price Deals'!B91+'Index Price Deals'!C91+'Index Price Deals'!D91-'Prices&amp;Fuel'!AE91</f>
        <v>0</v>
      </c>
      <c r="R91" s="3">
        <f>('Long Term Deals'!BB91+'Long Term Deals'!BC91+'Long Term Deals'!BD91+'Long Term Deals'!BE91+'Long Term Deals'!BF91+'Long Term Deals'!BG91)*(1-'Prices&amp;Fuel'!F91)</f>
        <v>11999.999999999998</v>
      </c>
      <c r="S91" s="13">
        <f t="shared" si="26"/>
        <v>0</v>
      </c>
      <c r="T91" s="13">
        <f>((I91+J91+K91)*'Prices&amp;Fuel'!H91*'Prices&amp;Fuel'!L91)+('Prices&amp;Fuel'!N91*'Prices&amp;Fuel'!H91*Transport!L91)+(('Long Term Deals'!BB91+'Long Term Deals'!BC91+'Long Term Deals'!BD91)*'Prices&amp;Fuel'!H91*'Prices&amp;Fuel'!M91)</f>
        <v>194711.23243911756</v>
      </c>
      <c r="U91" s="1">
        <f>S91*B91*'Prices&amp;Fuel'!M91</f>
        <v>0</v>
      </c>
      <c r="V91" s="1">
        <f>35793-20000</f>
        <v>15793</v>
      </c>
      <c r="W91" s="13">
        <f t="shared" si="27"/>
        <v>0</v>
      </c>
    </row>
    <row r="92" spans="1:23" x14ac:dyDescent="0.2">
      <c r="A92" s="10">
        <f t="shared" si="22"/>
        <v>38395.249999999789</v>
      </c>
      <c r="B92" s="3">
        <v>28</v>
      </c>
      <c r="C92" s="12">
        <v>-0.14768891712077092</v>
      </c>
      <c r="E92" s="44">
        <v>2.4500000000000188E-2</v>
      </c>
      <c r="F92" s="3">
        <f>7761-1128-1707</f>
        <v>4926</v>
      </c>
      <c r="G92" s="3">
        <f>14039-666-3474-4167</f>
        <v>5732</v>
      </c>
      <c r="H92" s="3">
        <f>18200-4732-4126</f>
        <v>9342</v>
      </c>
      <c r="I92" s="3">
        <v>2563</v>
      </c>
      <c r="J92" s="3">
        <v>2862</v>
      </c>
      <c r="K92" s="3">
        <v>1685</v>
      </c>
      <c r="L92" s="3">
        <v>683</v>
      </c>
      <c r="M92" s="1">
        <f t="shared" si="29"/>
        <v>7489</v>
      </c>
      <c r="N92" s="1">
        <f t="shared" si="30"/>
        <v>9277</v>
      </c>
      <c r="O92" s="1">
        <f t="shared" si="28"/>
        <v>11027</v>
      </c>
      <c r="P92" s="1">
        <f t="shared" si="31"/>
        <v>27793</v>
      </c>
      <c r="Q92" s="1">
        <f>'Index Price Deals'!B92+'Index Price Deals'!C92+'Index Price Deals'!D92-'Prices&amp;Fuel'!AE92</f>
        <v>0</v>
      </c>
      <c r="R92" s="3">
        <f>('Long Term Deals'!BB92+'Long Term Deals'!BC92+'Long Term Deals'!BD92+'Long Term Deals'!BE92+'Long Term Deals'!BF92+'Long Term Deals'!BG92)*(1-'Prices&amp;Fuel'!F92)</f>
        <v>11999.999999999998</v>
      </c>
      <c r="S92" s="13">
        <f t="shared" si="26"/>
        <v>0</v>
      </c>
      <c r="T92" s="13">
        <f>((I92+J92+K92)*'Prices&amp;Fuel'!H92*'Prices&amp;Fuel'!L92)+('Prices&amp;Fuel'!N92*'Prices&amp;Fuel'!H92*Transport!L92)+(('Long Term Deals'!BB92+'Long Term Deals'!BC92+'Long Term Deals'!BD92)*'Prices&amp;Fuel'!H92*'Prices&amp;Fuel'!M92)</f>
        <v>175868.20994500941</v>
      </c>
      <c r="U92" s="1">
        <f>S92*B92*'Prices&amp;Fuel'!M92</f>
        <v>0</v>
      </c>
      <c r="V92" s="1">
        <f>35793-20000</f>
        <v>15793</v>
      </c>
      <c r="W92" s="13">
        <f t="shared" si="27"/>
        <v>0</v>
      </c>
    </row>
    <row r="93" spans="1:23" x14ac:dyDescent="0.2">
      <c r="A93" s="10">
        <f t="shared" si="22"/>
        <v>38425.666666666453</v>
      </c>
      <c r="B93" s="3">
        <v>31</v>
      </c>
      <c r="C93" s="12">
        <v>-0.12272467976484736</v>
      </c>
      <c r="E93" s="44">
        <v>1.9500000000000295E-2</v>
      </c>
      <c r="F93" s="3">
        <f>7761-1128-1707</f>
        <v>4926</v>
      </c>
      <c r="G93" s="3">
        <f>14039-666-3474-4167</f>
        <v>5732</v>
      </c>
      <c r="H93" s="3">
        <f>18200-4732-4126</f>
        <v>9342</v>
      </c>
      <c r="I93" s="3">
        <v>2563</v>
      </c>
      <c r="J93" s="3">
        <v>2862</v>
      </c>
      <c r="K93" s="3">
        <v>1685</v>
      </c>
      <c r="L93" s="3">
        <v>683</v>
      </c>
      <c r="M93" s="1">
        <f t="shared" si="29"/>
        <v>7489</v>
      </c>
      <c r="N93" s="1">
        <f t="shared" si="30"/>
        <v>9277</v>
      </c>
      <c r="O93" s="1">
        <f t="shared" si="28"/>
        <v>11027</v>
      </c>
      <c r="P93" s="1">
        <f t="shared" si="31"/>
        <v>27793</v>
      </c>
      <c r="Q93" s="1">
        <f>'Index Price Deals'!B93+'Index Price Deals'!C93+'Index Price Deals'!D93-'Prices&amp;Fuel'!AE93</f>
        <v>0</v>
      </c>
      <c r="R93" s="3">
        <f>('Long Term Deals'!BB93+'Long Term Deals'!BC93+'Long Term Deals'!BD93+'Long Term Deals'!BE93+'Long Term Deals'!BF93+'Long Term Deals'!BG93)*(1-'Prices&amp;Fuel'!F93)</f>
        <v>11999.999999999998</v>
      </c>
      <c r="S93" s="13">
        <f t="shared" si="26"/>
        <v>0</v>
      </c>
      <c r="T93" s="13">
        <f>((I93+J93+K93)*'Prices&amp;Fuel'!H93*'Prices&amp;Fuel'!L93)+('Prices&amp;Fuel'!N93*'Prices&amp;Fuel'!H93*Transport!L93)+(('Long Term Deals'!BB93+'Long Term Deals'!BC93+'Long Term Deals'!BD93)*'Prices&amp;Fuel'!H93*'Prices&amp;Fuel'!M93)</f>
        <v>194711.23243911756</v>
      </c>
      <c r="U93" s="1">
        <f>S93*B93*'Prices&amp;Fuel'!M93</f>
        <v>0</v>
      </c>
      <c r="V93" s="1">
        <f>35793-20000</f>
        <v>15793</v>
      </c>
      <c r="W93" s="13">
        <f t="shared" si="27"/>
        <v>0</v>
      </c>
    </row>
    <row r="94" spans="1:23" x14ac:dyDescent="0.2">
      <c r="A94" s="10">
        <f t="shared" si="22"/>
        <v>38456.083333333117</v>
      </c>
      <c r="B94" s="3">
        <v>30</v>
      </c>
      <c r="C94" s="12">
        <v>-7.3241693061542712E-2</v>
      </c>
      <c r="E94" s="44">
        <v>5.9999999999997833E-3</v>
      </c>
      <c r="F94" s="3">
        <f>7761-828</f>
        <v>6933</v>
      </c>
      <c r="G94" s="3">
        <f>14039-5241</f>
        <v>8798</v>
      </c>
      <c r="H94" s="3">
        <f>18200-3931</f>
        <v>14269</v>
      </c>
      <c r="I94" s="3">
        <v>1880</v>
      </c>
      <c r="J94" s="3">
        <v>2073</v>
      </c>
      <c r="K94" s="3">
        <v>1258</v>
      </c>
      <c r="L94" s="3">
        <v>683</v>
      </c>
      <c r="M94" s="1">
        <f t="shared" si="29"/>
        <v>8813</v>
      </c>
      <c r="N94" s="1">
        <f t="shared" si="30"/>
        <v>11554</v>
      </c>
      <c r="O94" s="1">
        <f t="shared" si="28"/>
        <v>15527</v>
      </c>
      <c r="P94" s="1">
        <f t="shared" si="31"/>
        <v>35894</v>
      </c>
      <c r="Q94" s="1">
        <f>'Index Price Deals'!B94+'Index Price Deals'!C94+'Index Price Deals'!D94-'Prices&amp;Fuel'!AE94</f>
        <v>0</v>
      </c>
      <c r="R94" s="3">
        <f>('Long Term Deals'!BB94+'Long Term Deals'!BC94+'Long Term Deals'!BD94+'Long Term Deals'!BE94+'Long Term Deals'!BF94+'Long Term Deals'!BG94)*(1-'Prices&amp;Fuel'!F94)</f>
        <v>12000</v>
      </c>
      <c r="S94" s="13">
        <f t="shared" si="26"/>
        <v>0</v>
      </c>
      <c r="T94" s="13">
        <f>((I94+J94+K94)*'Prices&amp;Fuel'!H94*'Prices&amp;Fuel'!L94)+('Prices&amp;Fuel'!N94*'Prices&amp;Fuel'!H94*Transport!L94)+(('Long Term Deals'!BB94+'Long Term Deals'!BC94+'Long Term Deals'!BD94)*'Prices&amp;Fuel'!H94*'Prices&amp;Fuel'!M94)</f>
        <v>208796.53116855701</v>
      </c>
      <c r="U94" s="1">
        <f>S94*B94*'Prices&amp;Fuel'!M94</f>
        <v>0</v>
      </c>
      <c r="V94" s="1">
        <f>33894-10000</f>
        <v>23894</v>
      </c>
      <c r="W94" s="13">
        <f t="shared" si="27"/>
        <v>0</v>
      </c>
    </row>
    <row r="95" spans="1:23" x14ac:dyDescent="0.2">
      <c r="A95" s="10">
        <f t="shared" si="22"/>
        <v>38486.499999999782</v>
      </c>
      <c r="B95" s="3">
        <v>31</v>
      </c>
      <c r="C95" s="12">
        <v>-7.3714392825075414E-2</v>
      </c>
      <c r="E95" s="44">
        <v>5.9999999999997833E-3</v>
      </c>
      <c r="F95" s="3">
        <v>8730</v>
      </c>
      <c r="G95" s="3">
        <f>15795-5034</f>
        <v>10761</v>
      </c>
      <c r="H95" s="3">
        <f>20475-4966</f>
        <v>15509</v>
      </c>
      <c r="I95" s="3">
        <v>1880</v>
      </c>
      <c r="J95" s="3">
        <v>2295</v>
      </c>
      <c r="K95" s="3">
        <v>1036</v>
      </c>
      <c r="L95" s="3">
        <v>683</v>
      </c>
      <c r="M95" s="1">
        <f t="shared" si="29"/>
        <v>10610</v>
      </c>
      <c r="N95" s="1">
        <f t="shared" si="30"/>
        <v>13739</v>
      </c>
      <c r="O95" s="1">
        <f t="shared" si="28"/>
        <v>16545</v>
      </c>
      <c r="P95" s="1">
        <f t="shared" si="31"/>
        <v>40894</v>
      </c>
      <c r="Q95" s="1">
        <f>'Index Price Deals'!B95+'Index Price Deals'!C95+'Index Price Deals'!D95-'Prices&amp;Fuel'!AE95</f>
        <v>0</v>
      </c>
      <c r="R95" s="3">
        <f>('Long Term Deals'!BB95+'Long Term Deals'!BC95+'Long Term Deals'!BD95+'Long Term Deals'!BE95+'Long Term Deals'!BF95+'Long Term Deals'!BG95)*(1-'Prices&amp;Fuel'!F95)</f>
        <v>20999.999999999862</v>
      </c>
      <c r="S95" s="13">
        <f t="shared" si="26"/>
        <v>1.3824319466948509E-10</v>
      </c>
      <c r="T95" s="13">
        <f>((I95+J95+K95)*'Prices&amp;Fuel'!H95*'Prices&amp;Fuel'!L95)+('Prices&amp;Fuel'!N95*'Prices&amp;Fuel'!H95*Transport!L95)+(('Long Term Deals'!BB95+'Long Term Deals'!BC95+'Long Term Deals'!BD95)*'Prices&amp;Fuel'!H95*'Prices&amp;Fuel'!M95)</f>
        <v>426562.79086217581</v>
      </c>
      <c r="U95" s="1">
        <f>S95*B95*'Prices&amp;Fuel'!M95</f>
        <v>3.1490140827372673E-9</v>
      </c>
      <c r="V95" s="1">
        <f>29894-10000</f>
        <v>19894</v>
      </c>
      <c r="W95" s="13">
        <f t="shared" si="27"/>
        <v>1.3824319466948509E-10</v>
      </c>
    </row>
    <row r="96" spans="1:23" x14ac:dyDescent="0.2">
      <c r="A96" s="10">
        <f t="shared" si="22"/>
        <v>38516.916666666446</v>
      </c>
      <c r="B96" s="3">
        <v>30</v>
      </c>
      <c r="C96" s="12">
        <v>-7.3713733528734338E-2</v>
      </c>
      <c r="E96" s="44">
        <v>5.9999999999997833E-3</v>
      </c>
      <c r="F96" s="3">
        <v>8730</v>
      </c>
      <c r="G96" s="3">
        <f>15795-5034</f>
        <v>10761</v>
      </c>
      <c r="H96" s="3">
        <f>20475-4966</f>
        <v>15509</v>
      </c>
      <c r="I96" s="3">
        <v>1880</v>
      </c>
      <c r="J96" s="3">
        <v>2295</v>
      </c>
      <c r="K96" s="3">
        <v>1036</v>
      </c>
      <c r="L96" s="3">
        <v>683</v>
      </c>
      <c r="M96" s="1">
        <f t="shared" si="29"/>
        <v>10610</v>
      </c>
      <c r="N96" s="1">
        <f t="shared" si="30"/>
        <v>13739</v>
      </c>
      <c r="O96" s="1">
        <f t="shared" si="28"/>
        <v>16545</v>
      </c>
      <c r="P96" s="1">
        <f t="shared" si="31"/>
        <v>40894</v>
      </c>
      <c r="Q96" s="1">
        <f>'Index Price Deals'!B96+'Index Price Deals'!C96+'Index Price Deals'!D96-'Prices&amp;Fuel'!AE96</f>
        <v>0</v>
      </c>
      <c r="R96" s="3">
        <f>('Long Term Deals'!BB96+'Long Term Deals'!BC96+'Long Term Deals'!BD96+'Long Term Deals'!BE96+'Long Term Deals'!BF96+'Long Term Deals'!BG96)*(1-'Prices&amp;Fuel'!F96)</f>
        <v>20999.999999999862</v>
      </c>
      <c r="S96" s="13">
        <f t="shared" si="26"/>
        <v>1.3824319466948509E-10</v>
      </c>
      <c r="T96" s="13">
        <f>((I96+J96+K96)*'Prices&amp;Fuel'!H96*'Prices&amp;Fuel'!L96)+('Prices&amp;Fuel'!N96*'Prices&amp;Fuel'!H96*Transport!L96)+(('Long Term Deals'!BB96+'Long Term Deals'!BC96+'Long Term Deals'!BD96)*'Prices&amp;Fuel'!H96*'Prices&amp;Fuel'!M96)</f>
        <v>412802.7008343637</v>
      </c>
      <c r="U96" s="1">
        <f>S96*B96*'Prices&amp;Fuel'!M96</f>
        <v>3.0474329832941295E-9</v>
      </c>
      <c r="V96" s="1">
        <f>29894-10000</f>
        <v>19894</v>
      </c>
      <c r="W96" s="13">
        <f t="shared" si="27"/>
        <v>1.3824319466948509E-10</v>
      </c>
    </row>
    <row r="97" spans="1:23" x14ac:dyDescent="0.2">
      <c r="A97" s="10">
        <f t="shared" si="22"/>
        <v>38547.33333333311</v>
      </c>
      <c r="B97" s="3">
        <v>31</v>
      </c>
      <c r="C97" s="12">
        <v>-7.8213337950929773E-2</v>
      </c>
      <c r="E97" s="44">
        <v>9.4999999999998419E-3</v>
      </c>
      <c r="F97" s="3">
        <v>8730</v>
      </c>
      <c r="G97" s="3">
        <f>15795-5034</f>
        <v>10761</v>
      </c>
      <c r="H97" s="3">
        <f>20475-4966</f>
        <v>15509</v>
      </c>
      <c r="I97" s="3">
        <v>1880</v>
      </c>
      <c r="J97" s="3">
        <v>2295</v>
      </c>
      <c r="K97" s="3">
        <v>1036</v>
      </c>
      <c r="L97" s="3">
        <v>683</v>
      </c>
      <c r="M97" s="1">
        <f t="shared" si="29"/>
        <v>10610</v>
      </c>
      <c r="N97" s="1">
        <f t="shared" si="30"/>
        <v>13739</v>
      </c>
      <c r="O97" s="1">
        <f t="shared" si="28"/>
        <v>16545</v>
      </c>
      <c r="P97" s="1">
        <f t="shared" si="31"/>
        <v>40894</v>
      </c>
      <c r="Q97" s="1">
        <f>'Index Price Deals'!B97+'Index Price Deals'!C97+'Index Price Deals'!D97-'Prices&amp;Fuel'!AE97</f>
        <v>0</v>
      </c>
      <c r="R97" s="3">
        <f>('Long Term Deals'!BB97+'Long Term Deals'!BC97+'Long Term Deals'!BD97+'Long Term Deals'!BE97+'Long Term Deals'!BF97+'Long Term Deals'!BG97)*(1-'Prices&amp;Fuel'!F97)</f>
        <v>20999.999999999862</v>
      </c>
      <c r="S97" s="13">
        <f t="shared" si="26"/>
        <v>1.3824319466948509E-10</v>
      </c>
      <c r="T97" s="13">
        <f>((I97+J97+K97)*'Prices&amp;Fuel'!H97*'Prices&amp;Fuel'!L97)+('Prices&amp;Fuel'!N97*'Prices&amp;Fuel'!H97*Transport!L97)+(('Long Term Deals'!BB97+'Long Term Deals'!BC97+'Long Term Deals'!BD97)*'Prices&amp;Fuel'!H97*'Prices&amp;Fuel'!M97)</f>
        <v>426562.79086217581</v>
      </c>
      <c r="U97" s="1">
        <f>S97*B97*'Prices&amp;Fuel'!M97</f>
        <v>3.1490140827372673E-9</v>
      </c>
      <c r="V97" s="1">
        <f>29894-10000</f>
        <v>19894</v>
      </c>
      <c r="W97" s="13">
        <f t="shared" si="27"/>
        <v>1.3824319466948509E-10</v>
      </c>
    </row>
    <row r="98" spans="1:23" x14ac:dyDescent="0.2">
      <c r="A98" s="10">
        <f t="shared" si="22"/>
        <v>38577.749999999774</v>
      </c>
      <c r="B98" s="3">
        <v>31</v>
      </c>
      <c r="C98" s="12">
        <v>-7.8212546795320304E-2</v>
      </c>
      <c r="E98" s="44">
        <v>9.4999999999996199E-3</v>
      </c>
      <c r="F98" s="3">
        <v>8730</v>
      </c>
      <c r="G98" s="3">
        <f>15795-5034</f>
        <v>10761</v>
      </c>
      <c r="H98" s="3">
        <f>20475-4966</f>
        <v>15509</v>
      </c>
      <c r="I98" s="3">
        <v>1880</v>
      </c>
      <c r="J98" s="3">
        <v>2295</v>
      </c>
      <c r="K98" s="3">
        <v>1036</v>
      </c>
      <c r="L98" s="3">
        <v>683</v>
      </c>
      <c r="M98" s="1">
        <f t="shared" si="29"/>
        <v>10610</v>
      </c>
      <c r="N98" s="1">
        <f t="shared" si="30"/>
        <v>13739</v>
      </c>
      <c r="O98" s="1">
        <f t="shared" si="28"/>
        <v>16545</v>
      </c>
      <c r="P98" s="1">
        <f t="shared" si="31"/>
        <v>40894</v>
      </c>
      <c r="Q98" s="1">
        <f>'Index Price Deals'!B98+'Index Price Deals'!C98+'Index Price Deals'!D98-'Prices&amp;Fuel'!AE98</f>
        <v>0</v>
      </c>
      <c r="R98" s="3">
        <f>('Long Term Deals'!BB98+'Long Term Deals'!BC98+'Long Term Deals'!BD98+'Long Term Deals'!BE98+'Long Term Deals'!BF98+'Long Term Deals'!BG98)*(1-'Prices&amp;Fuel'!F98)</f>
        <v>20999.999999999862</v>
      </c>
      <c r="S98" s="13">
        <f t="shared" si="26"/>
        <v>1.3824319466948509E-10</v>
      </c>
      <c r="T98" s="13">
        <f>((I98+J98+K98)*'Prices&amp;Fuel'!H98*'Prices&amp;Fuel'!L98)+('Prices&amp;Fuel'!N98*'Prices&amp;Fuel'!H98*Transport!L98)+(('Long Term Deals'!BB98+'Long Term Deals'!BC98+'Long Term Deals'!BD98)*'Prices&amp;Fuel'!H98*'Prices&amp;Fuel'!M98)</f>
        <v>426562.79086217581</v>
      </c>
      <c r="U98" s="1">
        <f>S98*B98*'Prices&amp;Fuel'!M98</f>
        <v>3.1490140827372673E-9</v>
      </c>
      <c r="V98" s="1">
        <f>29894-10000</f>
        <v>19894</v>
      </c>
      <c r="W98" s="13">
        <f t="shared" si="27"/>
        <v>1.3824319466948509E-10</v>
      </c>
    </row>
    <row r="99" spans="1:23" x14ac:dyDescent="0.2">
      <c r="A99" s="10">
        <f t="shared" si="22"/>
        <v>38608.166666666439</v>
      </c>
      <c r="B99" s="3">
        <v>30</v>
      </c>
      <c r="C99" s="12">
        <v>-7.821122820263815E-2</v>
      </c>
      <c r="E99" s="44">
        <v>9.4999999999996199E-3</v>
      </c>
      <c r="F99" s="3">
        <v>8730</v>
      </c>
      <c r="G99" s="3">
        <f>15795-5034</f>
        <v>10761</v>
      </c>
      <c r="H99" s="3">
        <f>20475-4966</f>
        <v>15509</v>
      </c>
      <c r="I99" s="3">
        <v>1880</v>
      </c>
      <c r="J99" s="3">
        <v>2295</v>
      </c>
      <c r="K99" s="3">
        <v>1036</v>
      </c>
      <c r="L99" s="3">
        <v>683</v>
      </c>
      <c r="M99" s="1">
        <f t="shared" si="29"/>
        <v>10610</v>
      </c>
      <c r="N99" s="1">
        <f t="shared" si="30"/>
        <v>13739</v>
      </c>
      <c r="O99" s="1">
        <f t="shared" si="28"/>
        <v>16545</v>
      </c>
      <c r="P99" s="1">
        <f t="shared" si="31"/>
        <v>40894</v>
      </c>
      <c r="Q99" s="1">
        <f>'Index Price Deals'!B99+'Index Price Deals'!C99+'Index Price Deals'!D99-'Prices&amp;Fuel'!AE99</f>
        <v>0</v>
      </c>
      <c r="R99" s="3">
        <f>('Long Term Deals'!BB99+'Long Term Deals'!BC99+'Long Term Deals'!BD99+'Long Term Deals'!BE99+'Long Term Deals'!BF99+'Long Term Deals'!BG99)*(1-'Prices&amp;Fuel'!F99)</f>
        <v>20999.999999999862</v>
      </c>
      <c r="S99" s="13">
        <f t="shared" si="26"/>
        <v>1.3824319466948509E-10</v>
      </c>
      <c r="T99" s="13">
        <f>((I99+J99+K99)*'Prices&amp;Fuel'!H99*'Prices&amp;Fuel'!L99)+('Prices&amp;Fuel'!N99*'Prices&amp;Fuel'!H99*Transport!L99)+(('Long Term Deals'!BB99+'Long Term Deals'!BC99+'Long Term Deals'!BD99)*'Prices&amp;Fuel'!H99*'Prices&amp;Fuel'!M99)</f>
        <v>412802.7008343637</v>
      </c>
      <c r="U99" s="1">
        <f>S99*B99*'Prices&amp;Fuel'!M99</f>
        <v>3.0474329832941295E-9</v>
      </c>
      <c r="V99" s="1">
        <f>29894-10000</f>
        <v>19894</v>
      </c>
      <c r="W99" s="13">
        <f t="shared" si="27"/>
        <v>1.3824319466948509E-10</v>
      </c>
    </row>
    <row r="100" spans="1:23" x14ac:dyDescent="0.2">
      <c r="A100" s="10">
        <f t="shared" si="22"/>
        <v>38638.583333333103</v>
      </c>
      <c r="B100" s="3">
        <v>31</v>
      </c>
      <c r="C100" s="12">
        <v>-8.2731971177716357E-2</v>
      </c>
      <c r="E100" s="44">
        <v>1.4499999999999957E-2</v>
      </c>
      <c r="F100" s="3">
        <f>8730-0</f>
        <v>8730</v>
      </c>
      <c r="G100" s="3">
        <f>15795-5434</f>
        <v>10361</v>
      </c>
      <c r="H100" s="3">
        <f>20475-4566</f>
        <v>15909</v>
      </c>
      <c r="I100" s="3">
        <v>2830</v>
      </c>
      <c r="J100" s="3">
        <v>3500</v>
      </c>
      <c r="K100" s="3">
        <v>1521</v>
      </c>
      <c r="L100" s="3">
        <v>1001</v>
      </c>
      <c r="M100" s="1">
        <f t="shared" si="29"/>
        <v>11560</v>
      </c>
      <c r="N100" s="1">
        <f t="shared" si="30"/>
        <v>14862</v>
      </c>
      <c r="O100" s="1">
        <f t="shared" si="28"/>
        <v>17430</v>
      </c>
      <c r="P100" s="1">
        <f t="shared" si="31"/>
        <v>43852</v>
      </c>
      <c r="Q100" s="1">
        <f>'Index Price Deals'!B100+'Index Price Deals'!C100+'Index Price Deals'!D100-'Prices&amp;Fuel'!AE100</f>
        <v>0</v>
      </c>
      <c r="R100" s="3">
        <f>('Long Term Deals'!BB100+'Long Term Deals'!BC100+'Long Term Deals'!BD100+'Long Term Deals'!BE100+'Long Term Deals'!BF100+'Long Term Deals'!BG100)*(1-'Prices&amp;Fuel'!F100)</f>
        <v>20999.999999999807</v>
      </c>
      <c r="S100" s="13">
        <f t="shared" si="26"/>
        <v>1.9281287677586079E-10</v>
      </c>
      <c r="T100" s="13">
        <f>((I100+J100+K100)*'Prices&amp;Fuel'!H100*'Prices&amp;Fuel'!L100)+('Prices&amp;Fuel'!N100*'Prices&amp;Fuel'!H100*Transport!L100)+(('Long Term Deals'!BB100+'Long Term Deals'!BC100+'Long Term Deals'!BD100)*'Prices&amp;Fuel'!H100*'Prices&amp;Fuel'!M100)</f>
        <v>393781.51039092557</v>
      </c>
      <c r="U100" s="1">
        <f>S100*B100*'Prices&amp;Fuel'!M100</f>
        <v>4.3920459575019776E-9</v>
      </c>
      <c r="V100" s="1">
        <f>32852-10000</f>
        <v>22852</v>
      </c>
      <c r="W100" s="13">
        <f t="shared" si="27"/>
        <v>1.9281287677586079E-10</v>
      </c>
    </row>
    <row r="101" spans="1:23" x14ac:dyDescent="0.2">
      <c r="A101" s="10">
        <f t="shared" si="22"/>
        <v>38668.999999999767</v>
      </c>
      <c r="B101" s="3">
        <v>30</v>
      </c>
      <c r="C101" s="12">
        <v>-0.12770419436678448</v>
      </c>
      <c r="E101" s="44">
        <v>1.9499999999999851E-2</v>
      </c>
      <c r="F101" s="3">
        <f>7761-1128-1707</f>
        <v>4926</v>
      </c>
      <c r="G101" s="3">
        <f>14039-666-3474-4167</f>
        <v>5732</v>
      </c>
      <c r="H101" s="3">
        <f>18200-4732-4126</f>
        <v>9342</v>
      </c>
      <c r="I101" s="3">
        <v>2563</v>
      </c>
      <c r="J101" s="3">
        <v>2862</v>
      </c>
      <c r="K101" s="3">
        <v>1685</v>
      </c>
      <c r="L101" s="3">
        <v>683</v>
      </c>
      <c r="M101" s="1">
        <f t="shared" si="29"/>
        <v>7489</v>
      </c>
      <c r="N101" s="1">
        <f t="shared" si="30"/>
        <v>9277</v>
      </c>
      <c r="O101" s="1">
        <f t="shared" ref="O101:O116" si="32">H101+K101</f>
        <v>11027</v>
      </c>
      <c r="P101" s="1">
        <f t="shared" si="31"/>
        <v>27793</v>
      </c>
      <c r="Q101" s="1">
        <f>'Index Price Deals'!B101+'Index Price Deals'!C101+'Index Price Deals'!D101-'Prices&amp;Fuel'!AE101</f>
        <v>0</v>
      </c>
      <c r="R101" s="3">
        <f>('Long Term Deals'!BB101+'Long Term Deals'!BC101+'Long Term Deals'!BD101+'Long Term Deals'!BE101+'Long Term Deals'!BF101+'Long Term Deals'!BG101)*(1-'Prices&amp;Fuel'!F101)</f>
        <v>11999.999999999998</v>
      </c>
      <c r="S101" s="13">
        <f t="shared" si="26"/>
        <v>0</v>
      </c>
      <c r="T101" s="13">
        <f>((I101+J101+K101)*'Prices&amp;Fuel'!H101*'Prices&amp;Fuel'!L101)+('Prices&amp;Fuel'!N101*'Prices&amp;Fuel'!H101*Transport!L101)+(('Long Term Deals'!BB101+'Long Term Deals'!BC101+'Long Term Deals'!BD101)*'Prices&amp;Fuel'!H101*'Prices&amp;Fuel'!M101)</f>
        <v>188430.22494108154</v>
      </c>
      <c r="U101" s="1">
        <f>S101*B101*'Prices&amp;Fuel'!M101</f>
        <v>0</v>
      </c>
      <c r="V101" s="1">
        <f>35793-20000</f>
        <v>15793</v>
      </c>
      <c r="W101" s="13">
        <f t="shared" si="27"/>
        <v>0</v>
      </c>
    </row>
    <row r="102" spans="1:23" x14ac:dyDescent="0.2">
      <c r="A102" s="10">
        <f t="shared" ref="A102:A133" si="33">+A101+365/12</f>
        <v>38699.416666666431</v>
      </c>
      <c r="B102" s="3">
        <v>31</v>
      </c>
      <c r="C102" s="12">
        <v>-0.16266669567202507</v>
      </c>
      <c r="E102" s="44">
        <v>2.4500000000000188E-2</v>
      </c>
      <c r="F102" s="3">
        <f>7761-1128-1707</f>
        <v>4926</v>
      </c>
      <c r="G102" s="3">
        <f>14039-666-3474-4167</f>
        <v>5732</v>
      </c>
      <c r="H102" s="3">
        <f>18200-4732-4126</f>
        <v>9342</v>
      </c>
      <c r="I102" s="3">
        <v>2563</v>
      </c>
      <c r="J102" s="3">
        <v>2862</v>
      </c>
      <c r="K102" s="3">
        <v>1685</v>
      </c>
      <c r="L102" s="3">
        <v>683</v>
      </c>
      <c r="M102" s="1">
        <f t="shared" ref="M102:M117" si="34">F102+I102</f>
        <v>7489</v>
      </c>
      <c r="N102" s="1">
        <f t="shared" ref="N102:N117" si="35">G102+J102+L102</f>
        <v>9277</v>
      </c>
      <c r="O102" s="1">
        <f t="shared" si="32"/>
        <v>11027</v>
      </c>
      <c r="P102" s="1">
        <f t="shared" ref="P102:P117" si="36">SUM(M102:O102)</f>
        <v>27793</v>
      </c>
      <c r="Q102" s="1">
        <f>'Index Price Deals'!B102+'Index Price Deals'!C102+'Index Price Deals'!D102-'Prices&amp;Fuel'!AE102</f>
        <v>0</v>
      </c>
      <c r="R102" s="3">
        <f>('Long Term Deals'!BB102+'Long Term Deals'!BC102+'Long Term Deals'!BD102+'Long Term Deals'!BE102+'Long Term Deals'!BF102+'Long Term Deals'!BG102)*(1-'Prices&amp;Fuel'!F102)</f>
        <v>11999.999999999998</v>
      </c>
      <c r="S102" s="13">
        <f t="shared" si="26"/>
        <v>0</v>
      </c>
      <c r="T102" s="13">
        <f>((I102+J102+K102)*'Prices&amp;Fuel'!H102*'Prices&amp;Fuel'!L102)+('Prices&amp;Fuel'!N102*'Prices&amp;Fuel'!H102*Transport!L102)+(('Long Term Deals'!BB102+'Long Term Deals'!BC102+'Long Term Deals'!BD102)*'Prices&amp;Fuel'!H102*'Prices&amp;Fuel'!M102)</f>
        <v>194711.23243911756</v>
      </c>
      <c r="U102" s="1">
        <f>S102*B102*'Prices&amp;Fuel'!M102</f>
        <v>0</v>
      </c>
      <c r="V102" s="1">
        <f>35793-20000</f>
        <v>15793</v>
      </c>
      <c r="W102" s="13">
        <f t="shared" si="27"/>
        <v>0</v>
      </c>
    </row>
    <row r="103" spans="1:23" x14ac:dyDescent="0.2">
      <c r="A103" s="10">
        <f t="shared" si="33"/>
        <v>38729.833333333096</v>
      </c>
      <c r="B103" s="3">
        <v>31</v>
      </c>
      <c r="C103" s="12">
        <v>-0.14763440512931636</v>
      </c>
      <c r="E103" s="44">
        <v>2.4500000000000188E-2</v>
      </c>
      <c r="F103" s="3">
        <f>7761-1128-1707</f>
        <v>4926</v>
      </c>
      <c r="G103" s="3">
        <f>14039-666-3474-4167</f>
        <v>5732</v>
      </c>
      <c r="H103" s="3">
        <f>18200-4732-4126</f>
        <v>9342</v>
      </c>
      <c r="I103" s="3">
        <v>2563</v>
      </c>
      <c r="J103" s="3">
        <v>2862</v>
      </c>
      <c r="K103" s="3">
        <v>1685</v>
      </c>
      <c r="L103" s="3">
        <v>683</v>
      </c>
      <c r="M103" s="1">
        <f t="shared" si="34"/>
        <v>7489</v>
      </c>
      <c r="N103" s="1">
        <f t="shared" si="35"/>
        <v>9277</v>
      </c>
      <c r="O103" s="1">
        <f t="shared" si="32"/>
        <v>11027</v>
      </c>
      <c r="P103" s="1">
        <f t="shared" si="36"/>
        <v>27793</v>
      </c>
      <c r="Q103" s="1">
        <f>'Index Price Deals'!B103+'Index Price Deals'!C103+'Index Price Deals'!D103-'Prices&amp;Fuel'!AE103</f>
        <v>0</v>
      </c>
      <c r="R103" s="3">
        <f>('Long Term Deals'!BB103+'Long Term Deals'!BC103+'Long Term Deals'!BD103+'Long Term Deals'!BE103+'Long Term Deals'!BF103+'Long Term Deals'!BG103)*(1-'Prices&amp;Fuel'!F103)</f>
        <v>11999.999999999998</v>
      </c>
      <c r="S103" s="13">
        <f t="shared" si="26"/>
        <v>0</v>
      </c>
      <c r="T103" s="13">
        <f>((I103+J103+K103)*'Prices&amp;Fuel'!H103*'Prices&amp;Fuel'!L103)+('Prices&amp;Fuel'!N103*'Prices&amp;Fuel'!H103*Transport!L103)+(('Long Term Deals'!BB103+'Long Term Deals'!BC103+'Long Term Deals'!BD103)*'Prices&amp;Fuel'!H103*'Prices&amp;Fuel'!M103)</f>
        <v>194711.23243911756</v>
      </c>
      <c r="U103" s="1">
        <f>S103*B103*'Prices&amp;Fuel'!M103</f>
        <v>0</v>
      </c>
      <c r="V103" s="1">
        <f>35793-20000</f>
        <v>15793</v>
      </c>
      <c r="W103" s="13">
        <f t="shared" si="27"/>
        <v>0</v>
      </c>
    </row>
    <row r="104" spans="1:23" x14ac:dyDescent="0.2">
      <c r="A104" s="10">
        <f t="shared" si="33"/>
        <v>38760.24999999976</v>
      </c>
      <c r="B104" s="3">
        <v>28</v>
      </c>
      <c r="C104" s="12">
        <v>-0.1476621819402486</v>
      </c>
      <c r="E104" s="44">
        <v>2.4500000000000188E-2</v>
      </c>
      <c r="F104" s="3">
        <f>7761-1128-1707</f>
        <v>4926</v>
      </c>
      <c r="G104" s="3">
        <f>14039-666-3474-4167</f>
        <v>5732</v>
      </c>
      <c r="H104" s="3">
        <f>18200-4732-4126</f>
        <v>9342</v>
      </c>
      <c r="I104" s="3">
        <v>2563</v>
      </c>
      <c r="J104" s="3">
        <v>2862</v>
      </c>
      <c r="K104" s="3">
        <v>1685</v>
      </c>
      <c r="L104" s="3">
        <v>683</v>
      </c>
      <c r="M104" s="1">
        <f t="shared" si="34"/>
        <v>7489</v>
      </c>
      <c r="N104" s="1">
        <f t="shared" si="35"/>
        <v>9277</v>
      </c>
      <c r="O104" s="1">
        <f t="shared" si="32"/>
        <v>11027</v>
      </c>
      <c r="P104" s="1">
        <f t="shared" si="36"/>
        <v>27793</v>
      </c>
      <c r="Q104" s="1">
        <f>'Index Price Deals'!B104+'Index Price Deals'!C104+'Index Price Deals'!D104-'Prices&amp;Fuel'!AE104</f>
        <v>0</v>
      </c>
      <c r="R104" s="3">
        <f>('Long Term Deals'!BB104+'Long Term Deals'!BC104+'Long Term Deals'!BD104+'Long Term Deals'!BE104+'Long Term Deals'!BF104+'Long Term Deals'!BG104)*(1-'Prices&amp;Fuel'!F104)</f>
        <v>11999.999999999998</v>
      </c>
      <c r="S104" s="13">
        <f t="shared" si="26"/>
        <v>0</v>
      </c>
      <c r="T104" s="13">
        <f>((I104+J104+K104)*'Prices&amp;Fuel'!H104*'Prices&amp;Fuel'!L104)+('Prices&amp;Fuel'!N104*'Prices&amp;Fuel'!H104*Transport!L104)+(('Long Term Deals'!BB104+'Long Term Deals'!BC104+'Long Term Deals'!BD104)*'Prices&amp;Fuel'!H104*'Prices&amp;Fuel'!M104)</f>
        <v>175868.20994500941</v>
      </c>
      <c r="U104" s="1">
        <f>S104*B104*'Prices&amp;Fuel'!M104</f>
        <v>0</v>
      </c>
      <c r="V104" s="1">
        <f>35793-20000</f>
        <v>15793</v>
      </c>
      <c r="W104" s="13">
        <f t="shared" si="27"/>
        <v>0</v>
      </c>
    </row>
    <row r="105" spans="1:23" x14ac:dyDescent="0.2">
      <c r="A105" s="10">
        <f t="shared" si="33"/>
        <v>38790.666666666424</v>
      </c>
      <c r="B105" s="3">
        <v>31</v>
      </c>
      <c r="C105" s="12">
        <v>-0.12269794458432415</v>
      </c>
      <c r="E105" s="44">
        <v>1.9500000000000295E-2</v>
      </c>
      <c r="F105" s="3">
        <f>7761-1128-1707</f>
        <v>4926</v>
      </c>
      <c r="G105" s="3">
        <f>14039-666-3474-4167</f>
        <v>5732</v>
      </c>
      <c r="H105" s="3">
        <f>18200-4732-4126</f>
        <v>9342</v>
      </c>
      <c r="I105" s="3">
        <v>2563</v>
      </c>
      <c r="J105" s="3">
        <v>2862</v>
      </c>
      <c r="K105" s="3">
        <v>1685</v>
      </c>
      <c r="L105" s="3">
        <v>683</v>
      </c>
      <c r="M105" s="1">
        <f t="shared" si="34"/>
        <v>7489</v>
      </c>
      <c r="N105" s="1">
        <f t="shared" si="35"/>
        <v>9277</v>
      </c>
      <c r="O105" s="1">
        <f t="shared" si="32"/>
        <v>11027</v>
      </c>
      <c r="P105" s="1">
        <f t="shared" si="36"/>
        <v>27793</v>
      </c>
      <c r="Q105" s="1">
        <f>'Index Price Deals'!B105+'Index Price Deals'!C105+'Index Price Deals'!D105-'Prices&amp;Fuel'!AE105</f>
        <v>0</v>
      </c>
      <c r="R105" s="3">
        <f>('Long Term Deals'!BB105+'Long Term Deals'!BC105+'Long Term Deals'!BD105+'Long Term Deals'!BE105+'Long Term Deals'!BF105+'Long Term Deals'!BG105)*(1-'Prices&amp;Fuel'!F105)</f>
        <v>11999.999999999998</v>
      </c>
      <c r="S105" s="13">
        <f t="shared" si="26"/>
        <v>0</v>
      </c>
      <c r="T105" s="13">
        <f>((I105+J105+K105)*'Prices&amp;Fuel'!H105*'Prices&amp;Fuel'!L105)+('Prices&amp;Fuel'!N105*'Prices&amp;Fuel'!H105*Transport!L105)+(('Long Term Deals'!BB105+'Long Term Deals'!BC105+'Long Term Deals'!BD105)*'Prices&amp;Fuel'!H105*'Prices&amp;Fuel'!M105)</f>
        <v>194711.23243911756</v>
      </c>
      <c r="U105" s="1">
        <f>S105*B105*'Prices&amp;Fuel'!M105</f>
        <v>0</v>
      </c>
      <c r="V105" s="1">
        <f>35793-20000</f>
        <v>15793</v>
      </c>
      <c r="W105" s="13">
        <f t="shared" si="27"/>
        <v>0</v>
      </c>
    </row>
    <row r="106" spans="1:23" x14ac:dyDescent="0.2">
      <c r="A106" s="10">
        <f t="shared" si="33"/>
        <v>38821.083333333088</v>
      </c>
      <c r="B106" s="3">
        <v>30</v>
      </c>
      <c r="C106" s="12">
        <v>-7.3214957881019949E-2</v>
      </c>
      <c r="E106" s="44">
        <v>5.9999999999997833E-3</v>
      </c>
      <c r="F106" s="3">
        <f>7761-828</f>
        <v>6933</v>
      </c>
      <c r="G106" s="3">
        <f>14039-5241</f>
        <v>8798</v>
      </c>
      <c r="H106" s="3">
        <f>18200-3931</f>
        <v>14269</v>
      </c>
      <c r="I106" s="3">
        <v>1880</v>
      </c>
      <c r="J106" s="3">
        <v>2073</v>
      </c>
      <c r="K106" s="3">
        <v>1258</v>
      </c>
      <c r="L106" s="3">
        <v>683</v>
      </c>
      <c r="M106" s="1">
        <f t="shared" si="34"/>
        <v>8813</v>
      </c>
      <c r="N106" s="1">
        <f t="shared" si="35"/>
        <v>11554</v>
      </c>
      <c r="O106" s="1">
        <f t="shared" si="32"/>
        <v>15527</v>
      </c>
      <c r="P106" s="1">
        <f t="shared" si="36"/>
        <v>35894</v>
      </c>
      <c r="Q106" s="1">
        <f>'Index Price Deals'!B106+'Index Price Deals'!C106+'Index Price Deals'!D106-'Prices&amp;Fuel'!AE106</f>
        <v>0</v>
      </c>
      <c r="R106" s="3">
        <f>('Long Term Deals'!BB106+'Long Term Deals'!BC106+'Long Term Deals'!BD106+'Long Term Deals'!BE106+'Long Term Deals'!BF106+'Long Term Deals'!BG106)*(1-'Prices&amp;Fuel'!F106)</f>
        <v>12000</v>
      </c>
      <c r="S106" s="13">
        <f t="shared" si="26"/>
        <v>0</v>
      </c>
      <c r="T106" s="13">
        <f>((I106+J106+K106)*'Prices&amp;Fuel'!H106*'Prices&amp;Fuel'!L106)+('Prices&amp;Fuel'!N106*'Prices&amp;Fuel'!H106*Transport!L106)+(('Long Term Deals'!BB106+'Long Term Deals'!BC106+'Long Term Deals'!BD106)*'Prices&amp;Fuel'!H106*'Prices&amp;Fuel'!M106)</f>
        <v>208796.53116855701</v>
      </c>
      <c r="U106" s="1">
        <f>S106*B106*'Prices&amp;Fuel'!M106</f>
        <v>0</v>
      </c>
      <c r="V106" s="1">
        <f>33894-10000</f>
        <v>23894</v>
      </c>
      <c r="W106" s="13">
        <f t="shared" si="27"/>
        <v>0</v>
      </c>
    </row>
    <row r="107" spans="1:23" x14ac:dyDescent="0.2">
      <c r="A107" s="10">
        <f t="shared" si="33"/>
        <v>38851.499999999753</v>
      </c>
      <c r="B107" s="3">
        <v>31</v>
      </c>
      <c r="C107" s="12">
        <v>-7.541524945607625E-2</v>
      </c>
      <c r="E107" s="44">
        <v>5.9999999999997833E-3</v>
      </c>
      <c r="F107" s="3">
        <v>8730</v>
      </c>
      <c r="G107" s="3">
        <f>15795-5034</f>
        <v>10761</v>
      </c>
      <c r="H107" s="3">
        <f>20475-4966</f>
        <v>15509</v>
      </c>
      <c r="I107" s="3">
        <v>1880</v>
      </c>
      <c r="J107" s="3">
        <v>2295</v>
      </c>
      <c r="K107" s="3">
        <v>1036</v>
      </c>
      <c r="L107" s="3">
        <v>683</v>
      </c>
      <c r="M107" s="1">
        <f t="shared" si="34"/>
        <v>10610</v>
      </c>
      <c r="N107" s="1">
        <f t="shared" si="35"/>
        <v>13739</v>
      </c>
      <c r="O107" s="1">
        <f t="shared" si="32"/>
        <v>16545</v>
      </c>
      <c r="P107" s="1">
        <f t="shared" si="36"/>
        <v>40894</v>
      </c>
      <c r="Q107" s="1">
        <f>'Index Price Deals'!B107+'Index Price Deals'!C107+'Index Price Deals'!D107-'Prices&amp;Fuel'!AE107</f>
        <v>0</v>
      </c>
      <c r="R107" s="3">
        <f>('Long Term Deals'!BB107+'Long Term Deals'!BC107+'Long Term Deals'!BD107+'Long Term Deals'!BE107+'Long Term Deals'!BF107+'Long Term Deals'!BG107)*(1-'Prices&amp;Fuel'!F107)</f>
        <v>20999.999999999862</v>
      </c>
      <c r="S107" s="13">
        <f t="shared" si="26"/>
        <v>1.3824319466948509E-10</v>
      </c>
      <c r="T107" s="13">
        <f>((I107+J107+K107)*'Prices&amp;Fuel'!H107*'Prices&amp;Fuel'!L107)+('Prices&amp;Fuel'!N107*'Prices&amp;Fuel'!H107*Transport!L107)+(('Long Term Deals'!BB107+'Long Term Deals'!BC107+'Long Term Deals'!BD107)*'Prices&amp;Fuel'!H107*'Prices&amp;Fuel'!M107)</f>
        <v>426562.79086217581</v>
      </c>
      <c r="U107" s="1">
        <f>S107*B107*'Prices&amp;Fuel'!M107</f>
        <v>3.1490140827372673E-9</v>
      </c>
      <c r="V107" s="1">
        <f>29894-10000</f>
        <v>19894</v>
      </c>
      <c r="W107" s="13">
        <f t="shared" si="27"/>
        <v>1.3824319466948509E-10</v>
      </c>
    </row>
    <row r="108" spans="1:23" x14ac:dyDescent="0.2">
      <c r="A108" s="10">
        <f t="shared" si="33"/>
        <v>38881.916666666417</v>
      </c>
      <c r="B108" s="3">
        <v>30</v>
      </c>
      <c r="C108" s="12">
        <v>-7.5418404269843808E-2</v>
      </c>
      <c r="E108" s="44">
        <v>5.9999999999997833E-3</v>
      </c>
      <c r="F108" s="3">
        <v>8730</v>
      </c>
      <c r="G108" s="3">
        <f>15795-5034</f>
        <v>10761</v>
      </c>
      <c r="H108" s="3">
        <f>20475-4966</f>
        <v>15509</v>
      </c>
      <c r="I108" s="3">
        <v>1880</v>
      </c>
      <c r="J108" s="3">
        <v>2295</v>
      </c>
      <c r="K108" s="3">
        <v>1036</v>
      </c>
      <c r="L108" s="3">
        <v>683</v>
      </c>
      <c r="M108" s="1">
        <f t="shared" si="34"/>
        <v>10610</v>
      </c>
      <c r="N108" s="1">
        <f t="shared" si="35"/>
        <v>13739</v>
      </c>
      <c r="O108" s="1">
        <f t="shared" si="32"/>
        <v>16545</v>
      </c>
      <c r="P108" s="1">
        <f t="shared" si="36"/>
        <v>40894</v>
      </c>
      <c r="Q108" s="1">
        <f>'Index Price Deals'!B108+'Index Price Deals'!C108+'Index Price Deals'!D108-'Prices&amp;Fuel'!AE108</f>
        <v>0</v>
      </c>
      <c r="R108" s="3">
        <f>('Long Term Deals'!BB108+'Long Term Deals'!BC108+'Long Term Deals'!BD108+'Long Term Deals'!BE108+'Long Term Deals'!BF108+'Long Term Deals'!BG108)*(1-'Prices&amp;Fuel'!F108)</f>
        <v>20999.999999999862</v>
      </c>
      <c r="S108" s="13">
        <f t="shared" si="26"/>
        <v>1.3824319466948509E-10</v>
      </c>
      <c r="T108" s="13">
        <f>((I108+J108+K108)*'Prices&amp;Fuel'!H108*'Prices&amp;Fuel'!L108)+('Prices&amp;Fuel'!N108*'Prices&amp;Fuel'!H108*Transport!L108)+(('Long Term Deals'!BB108+'Long Term Deals'!BC108+'Long Term Deals'!BD108)*'Prices&amp;Fuel'!H108*'Prices&amp;Fuel'!M108)</f>
        <v>412802.7008343637</v>
      </c>
      <c r="U108" s="1">
        <f>S108*B108*'Prices&amp;Fuel'!M108</f>
        <v>3.0474329832941295E-9</v>
      </c>
      <c r="V108" s="1">
        <f>29894-10000</f>
        <v>19894</v>
      </c>
      <c r="W108" s="13">
        <f t="shared" si="27"/>
        <v>1.3824319466948509E-10</v>
      </c>
    </row>
    <row r="109" spans="1:23" x14ac:dyDescent="0.2">
      <c r="A109" s="10">
        <f t="shared" si="33"/>
        <v>38912.333333333081</v>
      </c>
      <c r="B109" s="3">
        <v>31</v>
      </c>
      <c r="C109" s="12">
        <v>-7.9920297158104336E-2</v>
      </c>
      <c r="E109" s="44">
        <v>9.4999999999998419E-3</v>
      </c>
      <c r="F109" s="3">
        <v>8730</v>
      </c>
      <c r="G109" s="3">
        <f>15795-5034</f>
        <v>10761</v>
      </c>
      <c r="H109" s="3">
        <f>20475-4966</f>
        <v>15509</v>
      </c>
      <c r="I109" s="3">
        <v>1880</v>
      </c>
      <c r="J109" s="3">
        <v>2295</v>
      </c>
      <c r="K109" s="3">
        <v>1036</v>
      </c>
      <c r="L109" s="3">
        <v>683</v>
      </c>
      <c r="M109" s="1">
        <f t="shared" si="34"/>
        <v>10610</v>
      </c>
      <c r="N109" s="1">
        <f t="shared" si="35"/>
        <v>13739</v>
      </c>
      <c r="O109" s="1">
        <f t="shared" si="32"/>
        <v>16545</v>
      </c>
      <c r="P109" s="1">
        <f t="shared" si="36"/>
        <v>40894</v>
      </c>
      <c r="Q109" s="1">
        <f>'Index Price Deals'!B109+'Index Price Deals'!C109+'Index Price Deals'!D109-'Prices&amp;Fuel'!AE109</f>
        <v>0</v>
      </c>
      <c r="R109" s="3">
        <f>('Long Term Deals'!BB109+'Long Term Deals'!BC109+'Long Term Deals'!BD109+'Long Term Deals'!BE109+'Long Term Deals'!BF109+'Long Term Deals'!BG109)*(1-'Prices&amp;Fuel'!F109)</f>
        <v>20999.999999999862</v>
      </c>
      <c r="S109" s="13">
        <f t="shared" si="26"/>
        <v>1.3824319466948509E-10</v>
      </c>
      <c r="T109" s="13">
        <f>((I109+J109+K109)*'Prices&amp;Fuel'!H109*'Prices&amp;Fuel'!L109)+('Prices&amp;Fuel'!N109*'Prices&amp;Fuel'!H109*Transport!L109)+(('Long Term Deals'!BB109+'Long Term Deals'!BC109+'Long Term Deals'!BD109)*'Prices&amp;Fuel'!H109*'Prices&amp;Fuel'!M109)</f>
        <v>426562.79086217581</v>
      </c>
      <c r="U109" s="1">
        <f>S109*B109*'Prices&amp;Fuel'!M109</f>
        <v>3.1490140827372673E-9</v>
      </c>
      <c r="V109" s="1">
        <f>29894-10000</f>
        <v>19894</v>
      </c>
      <c r="W109" s="13">
        <f t="shared" si="27"/>
        <v>1.3824319466948509E-10</v>
      </c>
    </row>
    <row r="110" spans="1:23" x14ac:dyDescent="0.2">
      <c r="A110" s="10">
        <f t="shared" si="33"/>
        <v>38942.749999999745</v>
      </c>
      <c r="B110" s="3">
        <v>31</v>
      </c>
      <c r="C110" s="12">
        <v>-7.9924082934625051E-2</v>
      </c>
      <c r="E110" s="44">
        <v>9.4999999999996199E-3</v>
      </c>
      <c r="F110" s="3">
        <v>8730</v>
      </c>
      <c r="G110" s="3">
        <f>15795-5034</f>
        <v>10761</v>
      </c>
      <c r="H110" s="3">
        <f>20475-4966</f>
        <v>15509</v>
      </c>
      <c r="I110" s="3">
        <v>1880</v>
      </c>
      <c r="J110" s="3">
        <v>2295</v>
      </c>
      <c r="K110" s="3">
        <v>1036</v>
      </c>
      <c r="L110" s="3">
        <v>683</v>
      </c>
      <c r="M110" s="1">
        <f t="shared" si="34"/>
        <v>10610</v>
      </c>
      <c r="N110" s="1">
        <f t="shared" si="35"/>
        <v>13739</v>
      </c>
      <c r="O110" s="1">
        <f t="shared" si="32"/>
        <v>16545</v>
      </c>
      <c r="P110" s="1">
        <f t="shared" si="36"/>
        <v>40894</v>
      </c>
      <c r="Q110" s="1">
        <f>'Index Price Deals'!B110+'Index Price Deals'!C110+'Index Price Deals'!D110-'Prices&amp;Fuel'!AE110</f>
        <v>0</v>
      </c>
      <c r="R110" s="3">
        <f>('Long Term Deals'!BB110+'Long Term Deals'!BC110+'Long Term Deals'!BD110+'Long Term Deals'!BE110+'Long Term Deals'!BF110+'Long Term Deals'!BG110)*(1-'Prices&amp;Fuel'!F110)</f>
        <v>20999.999999999862</v>
      </c>
      <c r="S110" s="13">
        <f t="shared" si="26"/>
        <v>1.3824319466948509E-10</v>
      </c>
      <c r="T110" s="13">
        <f>((I110+J110+K110)*'Prices&amp;Fuel'!H110*'Prices&amp;Fuel'!L110)+('Prices&amp;Fuel'!N110*'Prices&amp;Fuel'!H110*Transport!L110)+(('Long Term Deals'!BB110+'Long Term Deals'!BC110+'Long Term Deals'!BD110)*'Prices&amp;Fuel'!H110*'Prices&amp;Fuel'!M110)</f>
        <v>426562.79086217581</v>
      </c>
      <c r="U110" s="1">
        <f>S110*B110*'Prices&amp;Fuel'!M110</f>
        <v>3.1490140827372673E-9</v>
      </c>
      <c r="V110" s="1">
        <f>29894-10000</f>
        <v>19894</v>
      </c>
      <c r="W110" s="13">
        <f t="shared" si="27"/>
        <v>1.3824319466948509E-10</v>
      </c>
    </row>
    <row r="111" spans="1:23" x14ac:dyDescent="0.2">
      <c r="A111" s="10">
        <f t="shared" si="33"/>
        <v>38973.16666666641</v>
      </c>
      <c r="B111" s="3">
        <v>30</v>
      </c>
      <c r="C111" s="12">
        <v>-7.9930392562160169E-2</v>
      </c>
      <c r="E111" s="44">
        <v>9.4999999999996199E-3</v>
      </c>
      <c r="F111" s="3">
        <v>8730</v>
      </c>
      <c r="G111" s="3">
        <f>15795-5034</f>
        <v>10761</v>
      </c>
      <c r="H111" s="3">
        <f>20475-4966</f>
        <v>15509</v>
      </c>
      <c r="I111" s="3">
        <v>1880</v>
      </c>
      <c r="J111" s="3">
        <v>2295</v>
      </c>
      <c r="K111" s="3">
        <v>1036</v>
      </c>
      <c r="L111" s="3">
        <v>683</v>
      </c>
      <c r="M111" s="1">
        <f t="shared" si="34"/>
        <v>10610</v>
      </c>
      <c r="N111" s="1">
        <f t="shared" si="35"/>
        <v>13739</v>
      </c>
      <c r="O111" s="1">
        <f t="shared" si="32"/>
        <v>16545</v>
      </c>
      <c r="P111" s="1">
        <f t="shared" si="36"/>
        <v>40894</v>
      </c>
      <c r="Q111" s="1">
        <f>'Index Price Deals'!B111+'Index Price Deals'!C111+'Index Price Deals'!D111-'Prices&amp;Fuel'!AE111</f>
        <v>0</v>
      </c>
      <c r="R111" s="3">
        <f>('Long Term Deals'!BB111+'Long Term Deals'!BC111+'Long Term Deals'!BD111+'Long Term Deals'!BE111+'Long Term Deals'!BF111+'Long Term Deals'!BG111)*(1-'Prices&amp;Fuel'!F111)</f>
        <v>20999.999999999862</v>
      </c>
      <c r="S111" s="13">
        <f t="shared" si="26"/>
        <v>1.3824319466948509E-10</v>
      </c>
      <c r="T111" s="13">
        <f>((I111+J111+K111)*'Prices&amp;Fuel'!H111*'Prices&amp;Fuel'!L111)+('Prices&amp;Fuel'!N111*'Prices&amp;Fuel'!H111*Transport!L111)+(('Long Term Deals'!BB111+'Long Term Deals'!BC111+'Long Term Deals'!BD111)*'Prices&amp;Fuel'!H111*'Prices&amp;Fuel'!M111)</f>
        <v>412802.7008343637</v>
      </c>
      <c r="U111" s="1">
        <f>S111*B111*'Prices&amp;Fuel'!M111</f>
        <v>3.0474329832941295E-9</v>
      </c>
      <c r="V111" s="1">
        <f>29894-10000</f>
        <v>19894</v>
      </c>
      <c r="W111" s="13">
        <f t="shared" si="27"/>
        <v>1.3824319466948509E-10</v>
      </c>
    </row>
    <row r="112" spans="1:23" x14ac:dyDescent="0.2">
      <c r="A112" s="10">
        <f t="shared" si="33"/>
        <v>39003.583333333074</v>
      </c>
      <c r="B112" s="3">
        <v>31</v>
      </c>
      <c r="C112" s="12">
        <v>-8.2705235997194926E-2</v>
      </c>
      <c r="E112" s="44">
        <v>1.4499999999999957E-2</v>
      </c>
      <c r="F112" s="3">
        <f>8730-0</f>
        <v>8730</v>
      </c>
      <c r="G112" s="3">
        <f>15795-5434</f>
        <v>10361</v>
      </c>
      <c r="H112" s="3">
        <f>20475-4566</f>
        <v>15909</v>
      </c>
      <c r="I112" s="3">
        <v>2830</v>
      </c>
      <c r="J112" s="3">
        <v>3500</v>
      </c>
      <c r="K112" s="3">
        <v>1521</v>
      </c>
      <c r="L112" s="3">
        <v>1001</v>
      </c>
      <c r="M112" s="1">
        <f t="shared" si="34"/>
        <v>11560</v>
      </c>
      <c r="N112" s="1">
        <f t="shared" si="35"/>
        <v>14862</v>
      </c>
      <c r="O112" s="1">
        <f t="shared" si="32"/>
        <v>17430</v>
      </c>
      <c r="P112" s="1">
        <f t="shared" si="36"/>
        <v>43852</v>
      </c>
      <c r="Q112" s="1">
        <f>'Index Price Deals'!B112+'Index Price Deals'!C112+'Index Price Deals'!D112-'Prices&amp;Fuel'!AE112</f>
        <v>0</v>
      </c>
      <c r="R112" s="3">
        <f>('Long Term Deals'!BB112+'Long Term Deals'!BC112+'Long Term Deals'!BD112+'Long Term Deals'!BE112+'Long Term Deals'!BF112+'Long Term Deals'!BG112)*(1-'Prices&amp;Fuel'!F112)</f>
        <v>20999.999999999807</v>
      </c>
      <c r="S112" s="13">
        <f t="shared" si="26"/>
        <v>1.9281287677586079E-10</v>
      </c>
      <c r="T112" s="13">
        <f>((I112+J112+K112)*'Prices&amp;Fuel'!H112*'Prices&amp;Fuel'!L112)+('Prices&amp;Fuel'!N112*'Prices&amp;Fuel'!H112*Transport!L112)+(('Long Term Deals'!BB112+'Long Term Deals'!BC112+'Long Term Deals'!BD112)*'Prices&amp;Fuel'!H112*'Prices&amp;Fuel'!M112)</f>
        <v>393781.51039092557</v>
      </c>
      <c r="U112" s="1">
        <f>S112*B112*'Prices&amp;Fuel'!M112</f>
        <v>4.3920459575019776E-9</v>
      </c>
      <c r="V112" s="1">
        <f>32852-10000</f>
        <v>22852</v>
      </c>
      <c r="W112" s="13">
        <f t="shared" si="27"/>
        <v>1.9281287677586079E-10</v>
      </c>
    </row>
    <row r="113" spans="1:23" x14ac:dyDescent="0.2">
      <c r="A113" s="10">
        <f t="shared" si="33"/>
        <v>39033.999999999738</v>
      </c>
      <c r="B113" s="3">
        <v>30</v>
      </c>
      <c r="C113" s="12">
        <v>-0.12767745918626217</v>
      </c>
      <c r="E113" s="44">
        <v>1.9499999999999851E-2</v>
      </c>
      <c r="F113" s="3">
        <f>7761-1128-1707</f>
        <v>4926</v>
      </c>
      <c r="G113" s="3">
        <f>14039-666-3474-4167</f>
        <v>5732</v>
      </c>
      <c r="H113" s="3">
        <f>18200-4732-4126</f>
        <v>9342</v>
      </c>
      <c r="I113" s="3">
        <v>2563</v>
      </c>
      <c r="J113" s="3">
        <v>2862</v>
      </c>
      <c r="K113" s="3">
        <v>1685</v>
      </c>
      <c r="L113" s="3">
        <v>683</v>
      </c>
      <c r="M113" s="1">
        <f t="shared" si="34"/>
        <v>7489</v>
      </c>
      <c r="N113" s="1">
        <f t="shared" si="35"/>
        <v>9277</v>
      </c>
      <c r="O113" s="1">
        <f t="shared" si="32"/>
        <v>11027</v>
      </c>
      <c r="P113" s="1">
        <f t="shared" si="36"/>
        <v>27793</v>
      </c>
      <c r="Q113" s="1">
        <f>'Index Price Deals'!B113+'Index Price Deals'!C113+'Index Price Deals'!D113-'Prices&amp;Fuel'!AE113</f>
        <v>0</v>
      </c>
      <c r="R113" s="3">
        <f>('Long Term Deals'!BB113+'Long Term Deals'!BC113+'Long Term Deals'!BD113+'Long Term Deals'!BE113+'Long Term Deals'!BF113+'Long Term Deals'!BG113)*(1-'Prices&amp;Fuel'!F113)</f>
        <v>11999.999999999998</v>
      </c>
      <c r="S113" s="13">
        <f t="shared" si="26"/>
        <v>0</v>
      </c>
      <c r="T113" s="13">
        <f>((I113+J113+K113)*'Prices&amp;Fuel'!H113*'Prices&amp;Fuel'!L113)+('Prices&amp;Fuel'!N113*'Prices&amp;Fuel'!H113*Transport!L113)+(('Long Term Deals'!BB113+'Long Term Deals'!BC113+'Long Term Deals'!BD113)*'Prices&amp;Fuel'!H113*'Prices&amp;Fuel'!M113)</f>
        <v>188430.22494108154</v>
      </c>
      <c r="U113" s="1">
        <f>S113*B113*'Prices&amp;Fuel'!M113</f>
        <v>0</v>
      </c>
      <c r="V113" s="1">
        <f>35793-20000</f>
        <v>15793</v>
      </c>
      <c r="W113" s="13">
        <f t="shared" si="27"/>
        <v>0</v>
      </c>
    </row>
    <row r="114" spans="1:23" x14ac:dyDescent="0.2">
      <c r="A114" s="10">
        <f t="shared" si="33"/>
        <v>39064.416666666402</v>
      </c>
      <c r="B114" s="3">
        <v>31</v>
      </c>
      <c r="C114" s="12">
        <v>-0.16263996049150276</v>
      </c>
      <c r="E114" s="44">
        <v>2.4500000000000188E-2</v>
      </c>
      <c r="F114" s="3">
        <f>7761-1128-1707</f>
        <v>4926</v>
      </c>
      <c r="G114" s="3">
        <f>14039-666-3474-4167</f>
        <v>5732</v>
      </c>
      <c r="H114" s="3">
        <f>18200-4732-4126</f>
        <v>9342</v>
      </c>
      <c r="I114" s="3">
        <v>2563</v>
      </c>
      <c r="J114" s="3">
        <v>2862</v>
      </c>
      <c r="K114" s="3">
        <v>1685</v>
      </c>
      <c r="L114" s="3">
        <v>683</v>
      </c>
      <c r="M114" s="1">
        <f t="shared" si="34"/>
        <v>7489</v>
      </c>
      <c r="N114" s="1">
        <f t="shared" si="35"/>
        <v>9277</v>
      </c>
      <c r="O114" s="1">
        <f t="shared" si="32"/>
        <v>11027</v>
      </c>
      <c r="P114" s="1">
        <f t="shared" si="36"/>
        <v>27793</v>
      </c>
      <c r="Q114" s="1">
        <f>'Index Price Deals'!B114+'Index Price Deals'!C114+'Index Price Deals'!D114-'Prices&amp;Fuel'!AE114</f>
        <v>0</v>
      </c>
      <c r="R114" s="3">
        <f>('Long Term Deals'!BB114+'Long Term Deals'!BC114+'Long Term Deals'!BD114+'Long Term Deals'!BE114+'Long Term Deals'!BF114+'Long Term Deals'!BG114)*(1-'Prices&amp;Fuel'!F114)</f>
        <v>11999.999999999998</v>
      </c>
      <c r="S114" s="13">
        <f t="shared" si="26"/>
        <v>0</v>
      </c>
      <c r="T114" s="13">
        <f>((I114+J114+K114)*'Prices&amp;Fuel'!H114*'Prices&amp;Fuel'!L114)+('Prices&amp;Fuel'!N114*'Prices&amp;Fuel'!H114*Transport!L114)+(('Long Term Deals'!BB114+'Long Term Deals'!BC114+'Long Term Deals'!BD114)*'Prices&amp;Fuel'!H114*'Prices&amp;Fuel'!M114)</f>
        <v>194711.23243911756</v>
      </c>
      <c r="U114" s="1">
        <f>S114*B114*'Prices&amp;Fuel'!M114</f>
        <v>0</v>
      </c>
      <c r="V114" s="1">
        <f>35793-20000</f>
        <v>15793</v>
      </c>
      <c r="W114" s="13">
        <f t="shared" si="27"/>
        <v>0</v>
      </c>
    </row>
    <row r="115" spans="1:23" x14ac:dyDescent="0.2">
      <c r="A115" s="10">
        <f t="shared" si="33"/>
        <v>39094.833333333067</v>
      </c>
      <c r="B115" s="3">
        <v>31</v>
      </c>
      <c r="C115" s="12">
        <v>-0.14759898969537755</v>
      </c>
      <c r="E115" s="44">
        <v>2.4500000000000188E-2</v>
      </c>
      <c r="F115" s="3">
        <f>7761-1128-1707</f>
        <v>4926</v>
      </c>
      <c r="G115" s="3">
        <f>14039-666-3474-4167</f>
        <v>5732</v>
      </c>
      <c r="H115" s="3">
        <f>18200-4732-4126</f>
        <v>9342</v>
      </c>
      <c r="I115" s="3">
        <v>2563</v>
      </c>
      <c r="J115" s="3">
        <v>2862</v>
      </c>
      <c r="K115" s="3">
        <v>1685</v>
      </c>
      <c r="L115" s="3">
        <v>683</v>
      </c>
      <c r="M115" s="1">
        <f t="shared" si="34"/>
        <v>7489</v>
      </c>
      <c r="N115" s="1">
        <f t="shared" si="35"/>
        <v>9277</v>
      </c>
      <c r="O115" s="1">
        <f t="shared" si="32"/>
        <v>11027</v>
      </c>
      <c r="P115" s="1">
        <f t="shared" si="36"/>
        <v>27793</v>
      </c>
      <c r="Q115" s="1">
        <f>'Index Price Deals'!B115+'Index Price Deals'!C115+'Index Price Deals'!D115-'Prices&amp;Fuel'!AE115</f>
        <v>0</v>
      </c>
      <c r="R115" s="3">
        <f>('Long Term Deals'!BB115+'Long Term Deals'!BC115+'Long Term Deals'!BD115+'Long Term Deals'!BE115+'Long Term Deals'!BF115+'Long Term Deals'!BG115)*(1-'Prices&amp;Fuel'!F115)</f>
        <v>11999.999999999998</v>
      </c>
      <c r="S115" s="13">
        <f t="shared" si="26"/>
        <v>0</v>
      </c>
      <c r="T115" s="13">
        <f>((I115+J115+K115)*'Prices&amp;Fuel'!H115*'Prices&amp;Fuel'!L115)+('Prices&amp;Fuel'!N115*'Prices&amp;Fuel'!H115*Transport!L115)+(('Long Term Deals'!BB115+'Long Term Deals'!BC115+'Long Term Deals'!BD115)*'Prices&amp;Fuel'!H115*'Prices&amp;Fuel'!M115)</f>
        <v>194711.23243911756</v>
      </c>
      <c r="U115" s="1">
        <f>S115*B115*'Prices&amp;Fuel'!M115</f>
        <v>0</v>
      </c>
      <c r="V115" s="1">
        <f>35793-20000</f>
        <v>15793</v>
      </c>
      <c r="W115" s="13">
        <f t="shared" si="27"/>
        <v>0</v>
      </c>
    </row>
    <row r="116" spans="1:23" x14ac:dyDescent="0.2">
      <c r="A116" s="10">
        <f t="shared" si="33"/>
        <v>39125.249999999731</v>
      </c>
      <c r="B116" s="3">
        <v>28</v>
      </c>
      <c r="C116" s="12">
        <v>-0.14762676650630979</v>
      </c>
      <c r="E116" s="44">
        <v>2.4500000000000188E-2</v>
      </c>
      <c r="F116" s="3">
        <f>7761-1128-1707</f>
        <v>4926</v>
      </c>
      <c r="G116" s="3">
        <f>14039-666-3474-4167</f>
        <v>5732</v>
      </c>
      <c r="H116" s="3">
        <f>18200-4732-4126</f>
        <v>9342</v>
      </c>
      <c r="I116" s="3">
        <v>2563</v>
      </c>
      <c r="J116" s="3">
        <v>2862</v>
      </c>
      <c r="K116" s="3">
        <v>1685</v>
      </c>
      <c r="L116" s="3">
        <v>683</v>
      </c>
      <c r="M116" s="1">
        <f t="shared" si="34"/>
        <v>7489</v>
      </c>
      <c r="N116" s="1">
        <f t="shared" si="35"/>
        <v>9277</v>
      </c>
      <c r="O116" s="1">
        <f t="shared" si="32"/>
        <v>11027</v>
      </c>
      <c r="P116" s="1">
        <f t="shared" si="36"/>
        <v>27793</v>
      </c>
      <c r="Q116" s="1">
        <f>'Index Price Deals'!B116+'Index Price Deals'!C116+'Index Price Deals'!D116-'Prices&amp;Fuel'!AE116</f>
        <v>0</v>
      </c>
      <c r="R116" s="3">
        <f>('Long Term Deals'!BB116+'Long Term Deals'!BC116+'Long Term Deals'!BD116+'Long Term Deals'!BE116+'Long Term Deals'!BF116+'Long Term Deals'!BG116)*(1-'Prices&amp;Fuel'!F116)</f>
        <v>11999.999999999998</v>
      </c>
      <c r="S116" s="13">
        <f t="shared" si="26"/>
        <v>0</v>
      </c>
      <c r="T116" s="13">
        <f>((I116+J116+K116)*'Prices&amp;Fuel'!H116*'Prices&amp;Fuel'!L116)+('Prices&amp;Fuel'!N116*'Prices&amp;Fuel'!H116*Transport!L116)+(('Long Term Deals'!BB116+'Long Term Deals'!BC116+'Long Term Deals'!BD116)*'Prices&amp;Fuel'!H116*'Prices&amp;Fuel'!M116)</f>
        <v>175868.20994500941</v>
      </c>
      <c r="U116" s="1">
        <f>S116*B116*'Prices&amp;Fuel'!M116</f>
        <v>0</v>
      </c>
      <c r="V116" s="1">
        <f>35793-20000</f>
        <v>15793</v>
      </c>
      <c r="W116" s="13">
        <f t="shared" si="27"/>
        <v>0</v>
      </c>
    </row>
    <row r="117" spans="1:23" x14ac:dyDescent="0.2">
      <c r="A117" s="10">
        <f t="shared" si="33"/>
        <v>39155.666666666395</v>
      </c>
      <c r="B117" s="3">
        <v>31</v>
      </c>
      <c r="C117" s="12">
        <v>-0.12266252915038578</v>
      </c>
      <c r="E117" s="44">
        <v>1.9500000000000295E-2</v>
      </c>
      <c r="F117" s="3">
        <f>7761-1128-1707</f>
        <v>4926</v>
      </c>
      <c r="G117" s="3">
        <f>14039-666-3474-4167</f>
        <v>5732</v>
      </c>
      <c r="H117" s="3">
        <f>18200-4732-4126</f>
        <v>9342</v>
      </c>
      <c r="I117" s="3">
        <v>2563</v>
      </c>
      <c r="J117" s="3">
        <v>2862</v>
      </c>
      <c r="K117" s="3">
        <v>1685</v>
      </c>
      <c r="L117" s="3">
        <v>683</v>
      </c>
      <c r="M117" s="1">
        <f t="shared" si="34"/>
        <v>7489</v>
      </c>
      <c r="N117" s="1">
        <f t="shared" si="35"/>
        <v>9277</v>
      </c>
      <c r="O117" s="1">
        <f t="shared" ref="O117:O132" si="37">H117+K117</f>
        <v>11027</v>
      </c>
      <c r="P117" s="1">
        <f t="shared" si="36"/>
        <v>27793</v>
      </c>
      <c r="Q117" s="1">
        <f>'Index Price Deals'!B117+'Index Price Deals'!C117+'Index Price Deals'!D117-'Prices&amp;Fuel'!AE117</f>
        <v>0</v>
      </c>
      <c r="R117" s="3">
        <f>('Long Term Deals'!BB117+'Long Term Deals'!BC117+'Long Term Deals'!BD117+'Long Term Deals'!BE117+'Long Term Deals'!BF117+'Long Term Deals'!BG117)*(1-'Prices&amp;Fuel'!F117)</f>
        <v>11999.999999999998</v>
      </c>
      <c r="S117" s="13">
        <f t="shared" si="26"/>
        <v>0</v>
      </c>
      <c r="T117" s="13">
        <f>((I117+J117+K117)*'Prices&amp;Fuel'!H117*'Prices&amp;Fuel'!L117)+('Prices&amp;Fuel'!N117*'Prices&amp;Fuel'!H117*Transport!L117)+(('Long Term Deals'!BB117+'Long Term Deals'!BC117+'Long Term Deals'!BD117)*'Prices&amp;Fuel'!H117*'Prices&amp;Fuel'!M117)</f>
        <v>194711.23243911756</v>
      </c>
      <c r="U117" s="1">
        <f>S117*B117*'Prices&amp;Fuel'!M117</f>
        <v>0</v>
      </c>
      <c r="V117" s="1">
        <f>35793-20000</f>
        <v>15793</v>
      </c>
      <c r="W117" s="13">
        <f t="shared" si="27"/>
        <v>0</v>
      </c>
    </row>
    <row r="118" spans="1:23" x14ac:dyDescent="0.2">
      <c r="A118" s="10">
        <f t="shared" si="33"/>
        <v>39186.083333333059</v>
      </c>
      <c r="B118" s="3">
        <v>30</v>
      </c>
      <c r="C118" s="12">
        <v>-7.317954244708158E-2</v>
      </c>
      <c r="E118" s="44">
        <v>5.9999999999997833E-3</v>
      </c>
      <c r="F118" s="3">
        <f>7761-828</f>
        <v>6933</v>
      </c>
      <c r="G118" s="3">
        <f>14039-5241</f>
        <v>8798</v>
      </c>
      <c r="H118" s="3">
        <f>18200-3931</f>
        <v>14269</v>
      </c>
      <c r="I118" s="3">
        <v>1880</v>
      </c>
      <c r="J118" s="3">
        <v>2073</v>
      </c>
      <c r="K118" s="3">
        <v>1258</v>
      </c>
      <c r="L118" s="3">
        <v>683</v>
      </c>
      <c r="M118" s="1">
        <f t="shared" ref="M118:M133" si="38">F118+I118</f>
        <v>8813</v>
      </c>
      <c r="N118" s="1">
        <f t="shared" ref="N118:N133" si="39">G118+J118+L118</f>
        <v>11554</v>
      </c>
      <c r="O118" s="1">
        <f t="shared" si="37"/>
        <v>15527</v>
      </c>
      <c r="P118" s="1">
        <f t="shared" ref="P118:P133" si="40">SUM(M118:O118)</f>
        <v>35894</v>
      </c>
      <c r="Q118" s="1">
        <f>'Index Price Deals'!B118+'Index Price Deals'!C118+'Index Price Deals'!D118-'Prices&amp;Fuel'!AE118</f>
        <v>0</v>
      </c>
      <c r="R118" s="3">
        <f>('Long Term Deals'!BB118+'Long Term Deals'!BC118+'Long Term Deals'!BD118+'Long Term Deals'!BE118+'Long Term Deals'!BF118+'Long Term Deals'!BG118)*(1-'Prices&amp;Fuel'!F118)</f>
        <v>12000</v>
      </c>
      <c r="S118" s="13">
        <f t="shared" si="26"/>
        <v>0</v>
      </c>
      <c r="T118" s="13">
        <f>((I118+J118+K118)*'Prices&amp;Fuel'!H118*'Prices&amp;Fuel'!L118)+('Prices&amp;Fuel'!N118*'Prices&amp;Fuel'!H118*Transport!L118)+(('Long Term Deals'!BB118+'Long Term Deals'!BC118+'Long Term Deals'!BD118)*'Prices&amp;Fuel'!H118*'Prices&amp;Fuel'!M118)</f>
        <v>208796.53116855701</v>
      </c>
      <c r="U118" s="1">
        <f>S118*B118*'Prices&amp;Fuel'!M118</f>
        <v>0</v>
      </c>
      <c r="V118" s="1">
        <f>33894-10000</f>
        <v>23894</v>
      </c>
      <c r="W118" s="13">
        <f t="shared" si="27"/>
        <v>0</v>
      </c>
    </row>
    <row r="119" spans="1:23" x14ac:dyDescent="0.2">
      <c r="A119" s="10">
        <f t="shared" si="33"/>
        <v>39216.499999999724</v>
      </c>
      <c r="B119" s="3">
        <v>31</v>
      </c>
      <c r="C119" s="12">
        <v>-7.5479607656931957E-2</v>
      </c>
      <c r="E119" s="44">
        <v>5.9999999999997833E-3</v>
      </c>
      <c r="F119" s="3">
        <v>8730</v>
      </c>
      <c r="G119" s="3">
        <f>15795-5034</f>
        <v>10761</v>
      </c>
      <c r="H119" s="3">
        <f>20475-4966</f>
        <v>15509</v>
      </c>
      <c r="I119" s="3">
        <v>1880</v>
      </c>
      <c r="J119" s="3">
        <v>2295</v>
      </c>
      <c r="K119" s="3">
        <v>1036</v>
      </c>
      <c r="L119" s="3">
        <v>683</v>
      </c>
      <c r="M119" s="1">
        <f t="shared" si="38"/>
        <v>10610</v>
      </c>
      <c r="N119" s="1">
        <f t="shared" si="39"/>
        <v>13739</v>
      </c>
      <c r="O119" s="1">
        <f t="shared" si="37"/>
        <v>16545</v>
      </c>
      <c r="P119" s="1">
        <f t="shared" si="40"/>
        <v>40894</v>
      </c>
      <c r="Q119" s="1">
        <f>'Index Price Deals'!B119+'Index Price Deals'!C119+'Index Price Deals'!D119-'Prices&amp;Fuel'!AE119</f>
        <v>0</v>
      </c>
      <c r="R119" s="3">
        <f>('Long Term Deals'!BB119+'Long Term Deals'!BC119+'Long Term Deals'!BD119+'Long Term Deals'!BE119+'Long Term Deals'!BF119+'Long Term Deals'!BG119)*(1-'Prices&amp;Fuel'!F119)</f>
        <v>20999.999999999862</v>
      </c>
      <c r="S119" s="13">
        <f t="shared" si="26"/>
        <v>1.3824319466948509E-10</v>
      </c>
      <c r="T119" s="13">
        <f>((I119+J119+K119)*'Prices&amp;Fuel'!H119*'Prices&amp;Fuel'!L119)+('Prices&amp;Fuel'!N119*'Prices&amp;Fuel'!H119*Transport!L119)+(('Long Term Deals'!BB119+'Long Term Deals'!BC119+'Long Term Deals'!BD119)*'Prices&amp;Fuel'!H119*'Prices&amp;Fuel'!M119)</f>
        <v>426562.79086217581</v>
      </c>
      <c r="U119" s="1">
        <f>S119*B119*'Prices&amp;Fuel'!M119</f>
        <v>3.1490140827372673E-9</v>
      </c>
      <c r="V119" s="1">
        <f>29894-10000</f>
        <v>19894</v>
      </c>
      <c r="W119" s="13">
        <f t="shared" si="27"/>
        <v>1.3824319466948509E-10</v>
      </c>
    </row>
    <row r="120" spans="1:23" x14ac:dyDescent="0.2">
      <c r="A120" s="10">
        <f t="shared" si="33"/>
        <v>39246.916666666388</v>
      </c>
      <c r="B120" s="3">
        <v>30</v>
      </c>
      <c r="C120" s="12">
        <v>-7.5482762470699516E-2</v>
      </c>
      <c r="E120" s="44">
        <v>5.9999999999997833E-3</v>
      </c>
      <c r="F120" s="3">
        <v>8730</v>
      </c>
      <c r="G120" s="3">
        <f>15795-5034</f>
        <v>10761</v>
      </c>
      <c r="H120" s="3">
        <f>20475-4966</f>
        <v>15509</v>
      </c>
      <c r="I120" s="3">
        <v>1880</v>
      </c>
      <c r="J120" s="3">
        <v>2295</v>
      </c>
      <c r="K120" s="3">
        <v>1036</v>
      </c>
      <c r="L120" s="3">
        <v>683</v>
      </c>
      <c r="M120" s="1">
        <f t="shared" si="38"/>
        <v>10610</v>
      </c>
      <c r="N120" s="1">
        <f t="shared" si="39"/>
        <v>13739</v>
      </c>
      <c r="O120" s="1">
        <f t="shared" si="37"/>
        <v>16545</v>
      </c>
      <c r="P120" s="1">
        <f t="shared" si="40"/>
        <v>40894</v>
      </c>
      <c r="Q120" s="1">
        <f>'Index Price Deals'!B120+'Index Price Deals'!C120+'Index Price Deals'!D120-'Prices&amp;Fuel'!AE120</f>
        <v>0</v>
      </c>
      <c r="R120" s="3">
        <f>('Long Term Deals'!BB120+'Long Term Deals'!BC120+'Long Term Deals'!BD120+'Long Term Deals'!BE120+'Long Term Deals'!BF120+'Long Term Deals'!BG120)*(1-'Prices&amp;Fuel'!F120)</f>
        <v>20999.999999999862</v>
      </c>
      <c r="S120" s="13">
        <f t="shared" si="26"/>
        <v>1.3824319466948509E-10</v>
      </c>
      <c r="T120" s="13">
        <f>((I120+J120+K120)*'Prices&amp;Fuel'!H120*'Prices&amp;Fuel'!L120)+('Prices&amp;Fuel'!N120*'Prices&amp;Fuel'!H120*Transport!L120)+(('Long Term Deals'!BB120+'Long Term Deals'!BC120+'Long Term Deals'!BD120)*'Prices&amp;Fuel'!H120*'Prices&amp;Fuel'!M120)</f>
        <v>412802.7008343637</v>
      </c>
      <c r="U120" s="1">
        <f>S120*B120*'Prices&amp;Fuel'!M120</f>
        <v>3.0474329832941295E-9</v>
      </c>
      <c r="V120" s="1">
        <f>29894-10000</f>
        <v>19894</v>
      </c>
      <c r="W120" s="13">
        <f t="shared" si="27"/>
        <v>1.3824319466948509E-10</v>
      </c>
    </row>
    <row r="121" spans="1:23" x14ac:dyDescent="0.2">
      <c r="A121" s="10">
        <f t="shared" si="33"/>
        <v>39277.333333333052</v>
      </c>
      <c r="B121" s="3">
        <v>31</v>
      </c>
      <c r="C121" s="12">
        <v>-7.9984655358960044E-2</v>
      </c>
      <c r="E121" s="44">
        <v>9.4999999999998419E-3</v>
      </c>
      <c r="F121" s="3">
        <v>8730</v>
      </c>
      <c r="G121" s="3">
        <f>15795-5034</f>
        <v>10761</v>
      </c>
      <c r="H121" s="3">
        <f>20475-4966</f>
        <v>15509</v>
      </c>
      <c r="I121" s="3">
        <v>1880</v>
      </c>
      <c r="J121" s="3">
        <v>2295</v>
      </c>
      <c r="K121" s="3">
        <v>1036</v>
      </c>
      <c r="L121" s="3">
        <v>683</v>
      </c>
      <c r="M121" s="1">
        <f t="shared" si="38"/>
        <v>10610</v>
      </c>
      <c r="N121" s="1">
        <f t="shared" si="39"/>
        <v>13739</v>
      </c>
      <c r="O121" s="1">
        <f t="shared" si="37"/>
        <v>16545</v>
      </c>
      <c r="P121" s="1">
        <f t="shared" si="40"/>
        <v>40894</v>
      </c>
      <c r="Q121" s="1">
        <f>'Index Price Deals'!B121+'Index Price Deals'!C121+'Index Price Deals'!D121-'Prices&amp;Fuel'!AE121</f>
        <v>0</v>
      </c>
      <c r="R121" s="3">
        <f>('Long Term Deals'!BB121+'Long Term Deals'!BC121+'Long Term Deals'!BD121+'Long Term Deals'!BE121+'Long Term Deals'!BF121+'Long Term Deals'!BG121)*(1-'Prices&amp;Fuel'!F121)</f>
        <v>20999.999999999862</v>
      </c>
      <c r="S121" s="13">
        <f t="shared" si="26"/>
        <v>1.3824319466948509E-10</v>
      </c>
      <c r="T121" s="13">
        <f>((I121+J121+K121)*'Prices&amp;Fuel'!H121*'Prices&amp;Fuel'!L121)+('Prices&amp;Fuel'!N121*'Prices&amp;Fuel'!H121*Transport!L121)+(('Long Term Deals'!BB121+'Long Term Deals'!BC121+'Long Term Deals'!BD121)*'Prices&amp;Fuel'!H121*'Prices&amp;Fuel'!M121)</f>
        <v>426562.79086217581</v>
      </c>
      <c r="U121" s="1">
        <f>S121*B121*'Prices&amp;Fuel'!M121</f>
        <v>3.1490140827372673E-9</v>
      </c>
      <c r="V121" s="1">
        <f>29894-10000</f>
        <v>19894</v>
      </c>
      <c r="W121" s="13">
        <f t="shared" si="27"/>
        <v>1.3824319466948509E-10</v>
      </c>
    </row>
    <row r="122" spans="1:23" x14ac:dyDescent="0.2">
      <c r="A122" s="10">
        <f t="shared" si="33"/>
        <v>39307.749999999716</v>
      </c>
      <c r="B122" s="3">
        <v>31</v>
      </c>
      <c r="C122" s="12">
        <v>-7.9988441135481203E-2</v>
      </c>
      <c r="E122" s="44">
        <v>9.4999999999996199E-3</v>
      </c>
      <c r="F122" s="3">
        <v>8730</v>
      </c>
      <c r="G122" s="3">
        <f>15795-5034</f>
        <v>10761</v>
      </c>
      <c r="H122" s="3">
        <f>20475-4966</f>
        <v>15509</v>
      </c>
      <c r="I122" s="3">
        <v>1880</v>
      </c>
      <c r="J122" s="3">
        <v>2295</v>
      </c>
      <c r="K122" s="3">
        <v>1036</v>
      </c>
      <c r="L122" s="3">
        <v>683</v>
      </c>
      <c r="M122" s="1">
        <f t="shared" si="38"/>
        <v>10610</v>
      </c>
      <c r="N122" s="1">
        <f t="shared" si="39"/>
        <v>13739</v>
      </c>
      <c r="O122" s="1">
        <f t="shared" si="37"/>
        <v>16545</v>
      </c>
      <c r="P122" s="1">
        <f t="shared" si="40"/>
        <v>40894</v>
      </c>
      <c r="Q122" s="1">
        <f>'Index Price Deals'!B122+'Index Price Deals'!C122+'Index Price Deals'!D122-'Prices&amp;Fuel'!AE122</f>
        <v>0</v>
      </c>
      <c r="R122" s="3">
        <f>('Long Term Deals'!BB122+'Long Term Deals'!BC122+'Long Term Deals'!BD122+'Long Term Deals'!BE122+'Long Term Deals'!BF122+'Long Term Deals'!BG122)*(1-'Prices&amp;Fuel'!F122)</f>
        <v>20999.999999999862</v>
      </c>
      <c r="S122" s="13">
        <f t="shared" si="26"/>
        <v>1.3824319466948509E-10</v>
      </c>
      <c r="T122" s="13">
        <f>((I122+J122+K122)*'Prices&amp;Fuel'!H122*'Prices&amp;Fuel'!L122)+('Prices&amp;Fuel'!N122*'Prices&amp;Fuel'!H122*Transport!L122)+(('Long Term Deals'!BB122+'Long Term Deals'!BC122+'Long Term Deals'!BD122)*'Prices&amp;Fuel'!H122*'Prices&amp;Fuel'!M122)</f>
        <v>426562.79086217581</v>
      </c>
      <c r="U122" s="1">
        <f>S122*B122*'Prices&amp;Fuel'!M122</f>
        <v>3.1490140827372673E-9</v>
      </c>
      <c r="V122" s="1">
        <f>29894-10000</f>
        <v>19894</v>
      </c>
      <c r="W122" s="13">
        <f t="shared" si="27"/>
        <v>1.3824319466948509E-10</v>
      </c>
    </row>
    <row r="123" spans="1:23" x14ac:dyDescent="0.2">
      <c r="A123" s="10">
        <f t="shared" si="33"/>
        <v>39338.16666666638</v>
      </c>
      <c r="B123" s="3">
        <v>30</v>
      </c>
      <c r="C123" s="12">
        <v>-7.9994750763015432E-2</v>
      </c>
      <c r="E123" s="44">
        <v>9.4999999999996199E-3</v>
      </c>
      <c r="F123" s="3">
        <v>8730</v>
      </c>
      <c r="G123" s="3">
        <f>15795-5034</f>
        <v>10761</v>
      </c>
      <c r="H123" s="3">
        <f>20475-4966</f>
        <v>15509</v>
      </c>
      <c r="I123" s="3">
        <v>1880</v>
      </c>
      <c r="J123" s="3">
        <v>2295</v>
      </c>
      <c r="K123" s="3">
        <v>1036</v>
      </c>
      <c r="L123" s="3">
        <v>683</v>
      </c>
      <c r="M123" s="1">
        <f t="shared" si="38"/>
        <v>10610</v>
      </c>
      <c r="N123" s="1">
        <f t="shared" si="39"/>
        <v>13739</v>
      </c>
      <c r="O123" s="1">
        <f t="shared" si="37"/>
        <v>16545</v>
      </c>
      <c r="P123" s="1">
        <f t="shared" si="40"/>
        <v>40894</v>
      </c>
      <c r="Q123" s="1">
        <f>'Index Price Deals'!B123+'Index Price Deals'!C123+'Index Price Deals'!D123-'Prices&amp;Fuel'!AE123</f>
        <v>0</v>
      </c>
      <c r="R123" s="3">
        <f>('Long Term Deals'!BB123+'Long Term Deals'!BC123+'Long Term Deals'!BD123+'Long Term Deals'!BE123+'Long Term Deals'!BF123+'Long Term Deals'!BG123)*(1-'Prices&amp;Fuel'!F123)</f>
        <v>20999.999999999862</v>
      </c>
      <c r="S123" s="13">
        <f t="shared" si="26"/>
        <v>1.3824319466948509E-10</v>
      </c>
      <c r="T123" s="13">
        <f>((I123+J123+K123)*'Prices&amp;Fuel'!H123*'Prices&amp;Fuel'!L123)+('Prices&amp;Fuel'!N123*'Prices&amp;Fuel'!H123*Transport!L123)+(('Long Term Deals'!BB123+'Long Term Deals'!BC123+'Long Term Deals'!BD123)*'Prices&amp;Fuel'!H123*'Prices&amp;Fuel'!M123)</f>
        <v>412802.7008343637</v>
      </c>
      <c r="U123" s="1">
        <f>S123*B123*'Prices&amp;Fuel'!M123</f>
        <v>3.0474329832941295E-9</v>
      </c>
      <c r="V123" s="1">
        <f>29894-10000</f>
        <v>19894</v>
      </c>
      <c r="W123" s="13">
        <f t="shared" si="27"/>
        <v>1.3824319466948509E-10</v>
      </c>
    </row>
    <row r="124" spans="1:23" x14ac:dyDescent="0.2">
      <c r="A124" s="10">
        <f t="shared" si="33"/>
        <v>39368.583333333045</v>
      </c>
      <c r="B124" s="3">
        <v>31</v>
      </c>
      <c r="C124" s="12">
        <v>-8.2669820563255225E-2</v>
      </c>
      <c r="E124" s="44">
        <v>1.4499999999999957E-2</v>
      </c>
      <c r="F124" s="3">
        <f>8730-0</f>
        <v>8730</v>
      </c>
      <c r="G124" s="3">
        <f>15795-5434</f>
        <v>10361</v>
      </c>
      <c r="H124" s="3">
        <f>20475-4566</f>
        <v>15909</v>
      </c>
      <c r="I124" s="3">
        <v>2830</v>
      </c>
      <c r="J124" s="3">
        <v>3500</v>
      </c>
      <c r="K124" s="3">
        <v>1521</v>
      </c>
      <c r="L124" s="3">
        <v>1001</v>
      </c>
      <c r="M124" s="1">
        <f t="shared" si="38"/>
        <v>11560</v>
      </c>
      <c r="N124" s="1">
        <f t="shared" si="39"/>
        <v>14862</v>
      </c>
      <c r="O124" s="1">
        <f t="shared" si="37"/>
        <v>17430</v>
      </c>
      <c r="P124" s="1">
        <f t="shared" si="40"/>
        <v>43852</v>
      </c>
      <c r="Q124" s="1">
        <f>'Index Price Deals'!B124+'Index Price Deals'!C124+'Index Price Deals'!D124-'Prices&amp;Fuel'!AE124</f>
        <v>0</v>
      </c>
      <c r="R124" s="3">
        <f>('Long Term Deals'!BB124+'Long Term Deals'!BC124+'Long Term Deals'!BD124+'Long Term Deals'!BE124+'Long Term Deals'!BF124+'Long Term Deals'!BG124)*(1-'Prices&amp;Fuel'!F124)</f>
        <v>20999.999999999807</v>
      </c>
      <c r="S124" s="13">
        <f t="shared" si="26"/>
        <v>1.9281287677586079E-10</v>
      </c>
      <c r="T124" s="13">
        <f>((I124+J124+K124)*'Prices&amp;Fuel'!H124*'Prices&amp;Fuel'!L124)+('Prices&amp;Fuel'!N124*'Prices&amp;Fuel'!H124*Transport!L124)+(('Long Term Deals'!BB124+'Long Term Deals'!BC124+'Long Term Deals'!BD124)*'Prices&amp;Fuel'!H124*'Prices&amp;Fuel'!M124)</f>
        <v>393781.51039092557</v>
      </c>
      <c r="U124" s="1">
        <f>S124*B124*'Prices&amp;Fuel'!M124</f>
        <v>4.3920459575019776E-9</v>
      </c>
      <c r="V124" s="1">
        <f>32852-10000</f>
        <v>22852</v>
      </c>
      <c r="W124" s="13">
        <f t="shared" si="27"/>
        <v>1.9281287677586079E-10</v>
      </c>
    </row>
    <row r="125" spans="1:23" x14ac:dyDescent="0.2">
      <c r="A125" s="10">
        <f t="shared" si="33"/>
        <v>39398.999999999709</v>
      </c>
      <c r="B125" s="3">
        <v>30</v>
      </c>
      <c r="C125" s="12">
        <v>-0.12764204375232246</v>
      </c>
      <c r="E125" s="44">
        <v>1.9499999999999851E-2</v>
      </c>
      <c r="F125" s="3">
        <f>7761-1128-1707</f>
        <v>4926</v>
      </c>
      <c r="G125" s="3">
        <f>14039-666-3474-4167</f>
        <v>5732</v>
      </c>
      <c r="H125" s="3">
        <f>18200-4732-4126</f>
        <v>9342</v>
      </c>
      <c r="I125" s="3">
        <v>2563</v>
      </c>
      <c r="J125" s="3">
        <v>2862</v>
      </c>
      <c r="K125" s="3">
        <v>1685</v>
      </c>
      <c r="L125" s="3">
        <v>683</v>
      </c>
      <c r="M125" s="1">
        <f t="shared" si="38"/>
        <v>7489</v>
      </c>
      <c r="N125" s="1">
        <f t="shared" si="39"/>
        <v>9277</v>
      </c>
      <c r="O125" s="1">
        <f t="shared" si="37"/>
        <v>11027</v>
      </c>
      <c r="P125" s="1">
        <f t="shared" si="40"/>
        <v>27793</v>
      </c>
      <c r="Q125" s="1">
        <f>'Index Price Deals'!B125+'Index Price Deals'!C125+'Index Price Deals'!D125-'Prices&amp;Fuel'!AE125</f>
        <v>0</v>
      </c>
      <c r="R125" s="3">
        <f>('Long Term Deals'!BB125+'Long Term Deals'!BC125+'Long Term Deals'!BD125+'Long Term Deals'!BE125+'Long Term Deals'!BF125+'Long Term Deals'!BG125)*(1-'Prices&amp;Fuel'!F125)</f>
        <v>11999.999999999998</v>
      </c>
      <c r="S125" s="13">
        <f t="shared" si="26"/>
        <v>0</v>
      </c>
      <c r="T125" s="13">
        <f>((I125+J125+K125)*'Prices&amp;Fuel'!H125*'Prices&amp;Fuel'!L125)+('Prices&amp;Fuel'!N125*'Prices&amp;Fuel'!H125*Transport!L125)+(('Long Term Deals'!BB125+'Long Term Deals'!BC125+'Long Term Deals'!BD125)*'Prices&amp;Fuel'!H125*'Prices&amp;Fuel'!M125)</f>
        <v>188430.22494108154</v>
      </c>
      <c r="U125" s="1">
        <f>S125*B125*'Prices&amp;Fuel'!M125</f>
        <v>0</v>
      </c>
      <c r="V125" s="1">
        <f>35793-20000</f>
        <v>15793</v>
      </c>
      <c r="W125" s="13">
        <f t="shared" si="27"/>
        <v>0</v>
      </c>
    </row>
    <row r="126" spans="1:23" x14ac:dyDescent="0.2">
      <c r="A126" s="10">
        <f t="shared" si="33"/>
        <v>39429.416666666373</v>
      </c>
      <c r="B126" s="3">
        <v>31</v>
      </c>
      <c r="C126" s="12">
        <v>-0.16260454505756394</v>
      </c>
      <c r="E126" s="44">
        <v>2.4500000000000188E-2</v>
      </c>
      <c r="F126" s="3">
        <f>7761-1128-1707</f>
        <v>4926</v>
      </c>
      <c r="G126" s="3">
        <f>14039-666-3474-4167</f>
        <v>5732</v>
      </c>
      <c r="H126" s="3">
        <f>18200-4732-4126</f>
        <v>9342</v>
      </c>
      <c r="I126" s="3">
        <v>2563</v>
      </c>
      <c r="J126" s="3">
        <v>2862</v>
      </c>
      <c r="K126" s="3">
        <v>1685</v>
      </c>
      <c r="L126" s="3">
        <v>683</v>
      </c>
      <c r="M126" s="1">
        <f t="shared" si="38"/>
        <v>7489</v>
      </c>
      <c r="N126" s="1">
        <f t="shared" si="39"/>
        <v>9277</v>
      </c>
      <c r="O126" s="1">
        <f t="shared" si="37"/>
        <v>11027</v>
      </c>
      <c r="P126" s="1">
        <f t="shared" si="40"/>
        <v>27793</v>
      </c>
      <c r="Q126" s="1">
        <f>'Index Price Deals'!B126+'Index Price Deals'!C126+'Index Price Deals'!D126-'Prices&amp;Fuel'!AE126</f>
        <v>0</v>
      </c>
      <c r="R126" s="3">
        <f>('Long Term Deals'!BB126+'Long Term Deals'!BC126+'Long Term Deals'!BD126+'Long Term Deals'!BE126+'Long Term Deals'!BF126+'Long Term Deals'!BG126)*(1-'Prices&amp;Fuel'!F126)</f>
        <v>11999.999999999998</v>
      </c>
      <c r="S126" s="13">
        <f t="shared" si="26"/>
        <v>0</v>
      </c>
      <c r="T126" s="13">
        <f>((I126+J126+K126)*'Prices&amp;Fuel'!H126*'Prices&amp;Fuel'!L126)+('Prices&amp;Fuel'!N126*'Prices&amp;Fuel'!H126*Transport!L126)+(('Long Term Deals'!BB126+'Long Term Deals'!BC126+'Long Term Deals'!BD126)*'Prices&amp;Fuel'!H126*'Prices&amp;Fuel'!M126)</f>
        <v>194711.23243911756</v>
      </c>
      <c r="U126" s="1">
        <f>S126*B126*'Prices&amp;Fuel'!M126</f>
        <v>0</v>
      </c>
      <c r="V126" s="1">
        <f>35793-20000</f>
        <v>15793</v>
      </c>
      <c r="W126" s="13">
        <f t="shared" si="27"/>
        <v>0</v>
      </c>
    </row>
    <row r="127" spans="1:23" x14ac:dyDescent="0.2">
      <c r="A127" s="10">
        <f t="shared" si="33"/>
        <v>39459.833333333037</v>
      </c>
      <c r="B127" s="3">
        <v>31</v>
      </c>
      <c r="C127" s="12">
        <v>-0.14755663005870501</v>
      </c>
      <c r="E127" s="44">
        <v>2.4500000000000188E-2</v>
      </c>
      <c r="F127" s="3">
        <f>7761-1128-1707</f>
        <v>4926</v>
      </c>
      <c r="G127" s="3">
        <f>14039-666-3474-4167</f>
        <v>5732</v>
      </c>
      <c r="H127" s="3">
        <f>18200-4732-4126</f>
        <v>9342</v>
      </c>
      <c r="I127" s="3">
        <v>2563</v>
      </c>
      <c r="J127" s="3">
        <v>2862</v>
      </c>
      <c r="K127" s="3">
        <v>1685</v>
      </c>
      <c r="L127" s="3">
        <v>683</v>
      </c>
      <c r="M127" s="1">
        <f t="shared" si="38"/>
        <v>7489</v>
      </c>
      <c r="N127" s="1">
        <f t="shared" si="39"/>
        <v>9277</v>
      </c>
      <c r="O127" s="1">
        <f t="shared" si="37"/>
        <v>11027</v>
      </c>
      <c r="P127" s="1">
        <f t="shared" si="40"/>
        <v>27793</v>
      </c>
      <c r="Q127" s="1">
        <f>'Index Price Deals'!B127+'Index Price Deals'!C127+'Index Price Deals'!D127-'Prices&amp;Fuel'!AE127</f>
        <v>0</v>
      </c>
      <c r="R127" s="3">
        <f>('Long Term Deals'!BB127+'Long Term Deals'!BC127+'Long Term Deals'!BD127+'Long Term Deals'!BE127+'Long Term Deals'!BF127+'Long Term Deals'!BG127)*(1-'Prices&amp;Fuel'!F127)</f>
        <v>11999.999999999998</v>
      </c>
      <c r="S127" s="13">
        <f t="shared" si="26"/>
        <v>0</v>
      </c>
      <c r="T127" s="13">
        <f>((I127+J127+K127)*'Prices&amp;Fuel'!H127*'Prices&amp;Fuel'!L127)+('Prices&amp;Fuel'!N127*'Prices&amp;Fuel'!H127*Transport!L127)+(('Long Term Deals'!BB127+'Long Term Deals'!BC127+'Long Term Deals'!BD127)*'Prices&amp;Fuel'!H127*'Prices&amp;Fuel'!M127)</f>
        <v>194448.47024392168</v>
      </c>
      <c r="U127" s="1">
        <f>S127*B127*'Prices&amp;Fuel'!M127</f>
        <v>0</v>
      </c>
      <c r="V127" s="1">
        <f>35793-20000</f>
        <v>15793</v>
      </c>
      <c r="W127" s="13">
        <f t="shared" si="27"/>
        <v>0</v>
      </c>
    </row>
    <row r="128" spans="1:23" x14ac:dyDescent="0.2">
      <c r="A128" s="10">
        <f t="shared" si="33"/>
        <v>39490.249999999702</v>
      </c>
      <c r="B128" s="3">
        <v>29</v>
      </c>
      <c r="C128" s="12">
        <v>-0.14758440686963725</v>
      </c>
      <c r="E128" s="44">
        <v>2.4500000000000188E-2</v>
      </c>
      <c r="F128" s="3">
        <f>7761-1128-1707</f>
        <v>4926</v>
      </c>
      <c r="G128" s="3">
        <f>14039-666-3474-4167</f>
        <v>5732</v>
      </c>
      <c r="H128" s="3">
        <f>18200-4732-4126</f>
        <v>9342</v>
      </c>
      <c r="I128" s="3">
        <v>2563</v>
      </c>
      <c r="J128" s="3">
        <v>2862</v>
      </c>
      <c r="K128" s="3">
        <v>1685</v>
      </c>
      <c r="L128" s="3">
        <v>683</v>
      </c>
      <c r="M128" s="1">
        <f t="shared" si="38"/>
        <v>7489</v>
      </c>
      <c r="N128" s="1">
        <f t="shared" si="39"/>
        <v>9277</v>
      </c>
      <c r="O128" s="1">
        <f t="shared" si="37"/>
        <v>11027</v>
      </c>
      <c r="P128" s="1">
        <f t="shared" si="40"/>
        <v>27793</v>
      </c>
      <c r="Q128" s="1">
        <f>'Index Price Deals'!B128+'Index Price Deals'!C128+'Index Price Deals'!D128-'Prices&amp;Fuel'!AE128</f>
        <v>0</v>
      </c>
      <c r="R128" s="3">
        <f>('Long Term Deals'!BB128+'Long Term Deals'!BC128+'Long Term Deals'!BD128+'Long Term Deals'!BE128+'Long Term Deals'!BF128+'Long Term Deals'!BG128)*(1-'Prices&amp;Fuel'!F128)</f>
        <v>11999.999999999998</v>
      </c>
      <c r="S128" s="13">
        <f t="shared" si="26"/>
        <v>0</v>
      </c>
      <c r="T128" s="13">
        <f>((I128+J128+K128)*'Prices&amp;Fuel'!H128*'Prices&amp;Fuel'!L128)+('Prices&amp;Fuel'!N128*'Prices&amp;Fuel'!H128*Transport!L128)+(('Long Term Deals'!BB128+'Long Term Deals'!BC128+'Long Term Deals'!BD128)*'Prices&amp;Fuel'!H128*'Prices&amp;Fuel'!M128)</f>
        <v>181903.40764753963</v>
      </c>
      <c r="U128" s="1">
        <f>S128*B128*'Prices&amp;Fuel'!M128</f>
        <v>0</v>
      </c>
      <c r="V128" s="1">
        <f>35793-20000</f>
        <v>15793</v>
      </c>
      <c r="W128" s="13">
        <f t="shared" si="27"/>
        <v>0</v>
      </c>
    </row>
    <row r="129" spans="1:23" x14ac:dyDescent="0.2">
      <c r="A129" s="10">
        <f t="shared" si="33"/>
        <v>39520.666666666366</v>
      </c>
      <c r="B129" s="3">
        <v>31</v>
      </c>
      <c r="C129" s="12">
        <v>-0.12262016951371324</v>
      </c>
      <c r="E129" s="44">
        <v>1.9500000000000295E-2</v>
      </c>
      <c r="F129" s="3">
        <f>7761-1128-1707</f>
        <v>4926</v>
      </c>
      <c r="G129" s="3">
        <f>14039-666-3474-4167</f>
        <v>5732</v>
      </c>
      <c r="H129" s="3">
        <f>18200-4732-4126</f>
        <v>9342</v>
      </c>
      <c r="I129" s="3">
        <v>2563</v>
      </c>
      <c r="J129" s="3">
        <v>2862</v>
      </c>
      <c r="K129" s="3">
        <v>1685</v>
      </c>
      <c r="L129" s="3">
        <v>683</v>
      </c>
      <c r="M129" s="1">
        <f t="shared" si="38"/>
        <v>7489</v>
      </c>
      <c r="N129" s="1">
        <f t="shared" si="39"/>
        <v>9277</v>
      </c>
      <c r="O129" s="1">
        <f t="shared" si="37"/>
        <v>11027</v>
      </c>
      <c r="P129" s="1">
        <f t="shared" si="40"/>
        <v>27793</v>
      </c>
      <c r="Q129" s="1">
        <f>'Index Price Deals'!B129+'Index Price Deals'!C129+'Index Price Deals'!D129-'Prices&amp;Fuel'!AE129</f>
        <v>0</v>
      </c>
      <c r="R129" s="3">
        <f>('Long Term Deals'!BB129+'Long Term Deals'!BC129+'Long Term Deals'!BD129+'Long Term Deals'!BE129+'Long Term Deals'!BF129+'Long Term Deals'!BG129)*(1-'Prices&amp;Fuel'!F129)</f>
        <v>11999.999999999998</v>
      </c>
      <c r="S129" s="13">
        <f t="shared" si="26"/>
        <v>0</v>
      </c>
      <c r="T129" s="13">
        <f>((I129+J129+K129)*'Prices&amp;Fuel'!H129*'Prices&amp;Fuel'!L129)+('Prices&amp;Fuel'!N129*'Prices&amp;Fuel'!H129*Transport!L129)+(('Long Term Deals'!BB129+'Long Term Deals'!BC129+'Long Term Deals'!BD129)*'Prices&amp;Fuel'!H129*'Prices&amp;Fuel'!M129)</f>
        <v>194448.47024392168</v>
      </c>
      <c r="U129" s="1">
        <f>S129*B129*'Prices&amp;Fuel'!M129</f>
        <v>0</v>
      </c>
      <c r="V129" s="1">
        <f>35793-20000</f>
        <v>15793</v>
      </c>
      <c r="W129" s="13">
        <f t="shared" si="27"/>
        <v>0</v>
      </c>
    </row>
    <row r="130" spans="1:23" x14ac:dyDescent="0.2">
      <c r="A130" s="10">
        <f t="shared" si="33"/>
        <v>39551.08333333303</v>
      </c>
      <c r="B130" s="3">
        <v>30</v>
      </c>
      <c r="C130" s="12">
        <v>-7.3137182810409485E-2</v>
      </c>
      <c r="E130" s="44">
        <v>5.9999999999997833E-3</v>
      </c>
      <c r="F130" s="3">
        <f>7761-828</f>
        <v>6933</v>
      </c>
      <c r="G130" s="3">
        <f>14039-5241</f>
        <v>8798</v>
      </c>
      <c r="H130" s="3">
        <f>18200-3931</f>
        <v>14269</v>
      </c>
      <c r="I130" s="3">
        <v>1880</v>
      </c>
      <c r="J130" s="3">
        <v>2073</v>
      </c>
      <c r="K130" s="3">
        <v>1258</v>
      </c>
      <c r="L130" s="3">
        <v>683</v>
      </c>
      <c r="M130" s="1">
        <f t="shared" si="38"/>
        <v>8813</v>
      </c>
      <c r="N130" s="1">
        <f t="shared" si="39"/>
        <v>11554</v>
      </c>
      <c r="O130" s="1">
        <f t="shared" si="37"/>
        <v>15527</v>
      </c>
      <c r="P130" s="1">
        <f t="shared" si="40"/>
        <v>35894</v>
      </c>
      <c r="Q130" s="1">
        <f>'Index Price Deals'!B130+'Index Price Deals'!C130+'Index Price Deals'!D130-'Prices&amp;Fuel'!AE130</f>
        <v>0</v>
      </c>
      <c r="R130" s="3">
        <f>('Long Term Deals'!BB130+'Long Term Deals'!BC130+'Long Term Deals'!BD130+'Long Term Deals'!BE130+'Long Term Deals'!BF130+'Long Term Deals'!BG130)*(1-'Prices&amp;Fuel'!F130)</f>
        <v>12000</v>
      </c>
      <c r="S130" s="13">
        <f t="shared" si="26"/>
        <v>0</v>
      </c>
      <c r="T130" s="13">
        <f>((I130+J130+K130)*'Prices&amp;Fuel'!H130*'Prices&amp;Fuel'!L130)+('Prices&amp;Fuel'!N130*'Prices&amp;Fuel'!H130*Transport!L130)+(('Long Term Deals'!BB130+'Long Term Deals'!BC130+'Long Term Deals'!BD130)*'Prices&amp;Fuel'!H130*'Prices&amp;Fuel'!M130)</f>
        <v>208604.20964198216</v>
      </c>
      <c r="U130" s="1">
        <f>S130*B130*'Prices&amp;Fuel'!M130</f>
        <v>0</v>
      </c>
      <c r="V130" s="1">
        <f>33894-10000</f>
        <v>23894</v>
      </c>
      <c r="W130" s="13">
        <f t="shared" si="27"/>
        <v>0</v>
      </c>
    </row>
    <row r="131" spans="1:23" x14ac:dyDescent="0.2">
      <c r="A131" s="10">
        <f t="shared" si="33"/>
        <v>39581.499999999694</v>
      </c>
      <c r="B131" s="3">
        <v>31</v>
      </c>
      <c r="C131" s="12">
        <v>-7.5556585112858343E-2</v>
      </c>
      <c r="E131" s="44">
        <v>5.9999999999997833E-3</v>
      </c>
      <c r="F131" s="3">
        <v>8730</v>
      </c>
      <c r="G131" s="3">
        <f>15795-5034</f>
        <v>10761</v>
      </c>
      <c r="H131" s="3">
        <f>20475-4966</f>
        <v>15509</v>
      </c>
      <c r="I131" s="3">
        <v>1880</v>
      </c>
      <c r="J131" s="3">
        <v>2295</v>
      </c>
      <c r="K131" s="3">
        <v>1036</v>
      </c>
      <c r="L131" s="3">
        <v>683</v>
      </c>
      <c r="M131" s="1">
        <f t="shared" si="38"/>
        <v>10610</v>
      </c>
      <c r="N131" s="1">
        <f t="shared" si="39"/>
        <v>13739</v>
      </c>
      <c r="O131" s="1">
        <f t="shared" si="37"/>
        <v>16545</v>
      </c>
      <c r="P131" s="1">
        <f t="shared" si="40"/>
        <v>40894</v>
      </c>
      <c r="Q131" s="1">
        <f>'Index Price Deals'!B131+'Index Price Deals'!C131+'Index Price Deals'!D131-'Prices&amp;Fuel'!AE131</f>
        <v>0</v>
      </c>
      <c r="R131" s="3">
        <f>('Long Term Deals'!BB131+'Long Term Deals'!BC131+'Long Term Deals'!BD131+'Long Term Deals'!BE131+'Long Term Deals'!BF131+'Long Term Deals'!BG131)*(1-'Prices&amp;Fuel'!F131)</f>
        <v>20999.999999999862</v>
      </c>
      <c r="S131" s="13">
        <f t="shared" si="26"/>
        <v>1.3824319466948509E-10</v>
      </c>
      <c r="T131" s="13">
        <f>((I131+J131+K131)*'Prices&amp;Fuel'!H131*'Prices&amp;Fuel'!L131)+('Prices&amp;Fuel'!N131*'Prices&amp;Fuel'!H131*Transport!L131)+(('Long Term Deals'!BB131+'Long Term Deals'!BC131+'Long Term Deals'!BD131)*'Prices&amp;Fuel'!H131*'Prices&amp;Fuel'!M131)</f>
        <v>426364.05861804844</v>
      </c>
      <c r="U131" s="1">
        <f>S131*B131*'Prices&amp;Fuel'!M131</f>
        <v>3.1490140827372673E-9</v>
      </c>
      <c r="V131" s="1">
        <f>29894-10000</f>
        <v>19894</v>
      </c>
      <c r="W131" s="13">
        <f t="shared" si="27"/>
        <v>1.3824319466948509E-10</v>
      </c>
    </row>
    <row r="132" spans="1:23" x14ac:dyDescent="0.2">
      <c r="A132" s="10">
        <f t="shared" si="33"/>
        <v>39611.916666666359</v>
      </c>
      <c r="B132" s="3">
        <v>30</v>
      </c>
      <c r="C132" s="12">
        <v>-7.5559739926625458E-2</v>
      </c>
      <c r="E132" s="44">
        <v>5.9999999999997833E-3</v>
      </c>
      <c r="F132" s="3">
        <v>8730</v>
      </c>
      <c r="G132" s="3">
        <f>15795-5034</f>
        <v>10761</v>
      </c>
      <c r="H132" s="3">
        <f>20475-4966</f>
        <v>15509</v>
      </c>
      <c r="I132" s="3">
        <v>1880</v>
      </c>
      <c r="J132" s="3">
        <v>2295</v>
      </c>
      <c r="K132" s="3">
        <v>1036</v>
      </c>
      <c r="L132" s="3">
        <v>683</v>
      </c>
      <c r="M132" s="1">
        <f t="shared" si="38"/>
        <v>10610</v>
      </c>
      <c r="N132" s="1">
        <f t="shared" si="39"/>
        <v>13739</v>
      </c>
      <c r="O132" s="1">
        <f t="shared" si="37"/>
        <v>16545</v>
      </c>
      <c r="P132" s="1">
        <f t="shared" si="40"/>
        <v>40894</v>
      </c>
      <c r="Q132" s="1">
        <f>'Index Price Deals'!B132+'Index Price Deals'!C132+'Index Price Deals'!D132-'Prices&amp;Fuel'!AE132</f>
        <v>0</v>
      </c>
      <c r="R132" s="3">
        <f>('Long Term Deals'!BB132+'Long Term Deals'!BC132+'Long Term Deals'!BD132+'Long Term Deals'!BE132+'Long Term Deals'!BF132+'Long Term Deals'!BG132)*(1-'Prices&amp;Fuel'!F132)</f>
        <v>20999.999999999862</v>
      </c>
      <c r="S132" s="13">
        <f t="shared" si="26"/>
        <v>1.3824319466948509E-10</v>
      </c>
      <c r="T132" s="13">
        <f>((I132+J132+K132)*'Prices&amp;Fuel'!H132*'Prices&amp;Fuel'!L132)+('Prices&amp;Fuel'!N132*'Prices&amp;Fuel'!H132*Transport!L132)+(('Long Term Deals'!BB132+'Long Term Deals'!BC132+'Long Term Deals'!BD132)*'Prices&amp;Fuel'!H132*'Prices&amp;Fuel'!M132)</f>
        <v>412610.37930778885</v>
      </c>
      <c r="U132" s="1">
        <f>S132*B132*'Prices&amp;Fuel'!M132</f>
        <v>3.0474329832941295E-9</v>
      </c>
      <c r="V132" s="1">
        <f>29894-10000</f>
        <v>19894</v>
      </c>
      <c r="W132" s="13">
        <f t="shared" si="27"/>
        <v>1.3824319466948509E-10</v>
      </c>
    </row>
    <row r="133" spans="1:23" x14ac:dyDescent="0.2">
      <c r="A133" s="10">
        <f t="shared" si="33"/>
        <v>39642.333333333023</v>
      </c>
      <c r="B133" s="3">
        <v>31</v>
      </c>
      <c r="C133" s="12">
        <v>-8.0061632814885542E-2</v>
      </c>
      <c r="E133" s="44">
        <v>9.4999999999998419E-3</v>
      </c>
      <c r="F133" s="3">
        <v>8730</v>
      </c>
      <c r="G133" s="3">
        <f>15795-5034</f>
        <v>10761</v>
      </c>
      <c r="H133" s="3">
        <f>20475-4966</f>
        <v>15509</v>
      </c>
      <c r="I133" s="3">
        <v>1880</v>
      </c>
      <c r="J133" s="3">
        <v>2295</v>
      </c>
      <c r="K133" s="3">
        <v>1036</v>
      </c>
      <c r="L133" s="3">
        <v>683</v>
      </c>
      <c r="M133" s="1">
        <f t="shared" si="38"/>
        <v>10610</v>
      </c>
      <c r="N133" s="1">
        <f t="shared" si="39"/>
        <v>13739</v>
      </c>
      <c r="O133" s="1">
        <f t="shared" ref="O133:O148" si="41">H133+K133</f>
        <v>16545</v>
      </c>
      <c r="P133" s="1">
        <f t="shared" si="40"/>
        <v>40894</v>
      </c>
      <c r="Q133" s="1">
        <f>'Index Price Deals'!B133+'Index Price Deals'!C133+'Index Price Deals'!D133-'Prices&amp;Fuel'!AE133</f>
        <v>0</v>
      </c>
      <c r="R133" s="3">
        <f>('Long Term Deals'!BB133+'Long Term Deals'!BC133+'Long Term Deals'!BD133+'Long Term Deals'!BE133+'Long Term Deals'!BF133+'Long Term Deals'!BG133)*(1-'Prices&amp;Fuel'!F133)</f>
        <v>20999.999999999862</v>
      </c>
      <c r="S133" s="13">
        <f t="shared" si="26"/>
        <v>1.3824319466948509E-10</v>
      </c>
      <c r="T133" s="13">
        <f>((I133+J133+K133)*'Prices&amp;Fuel'!H133*'Prices&amp;Fuel'!L133)+('Prices&amp;Fuel'!N133*'Prices&amp;Fuel'!H133*Transport!L133)+(('Long Term Deals'!BB133+'Long Term Deals'!BC133+'Long Term Deals'!BD133)*'Prices&amp;Fuel'!H133*'Prices&amp;Fuel'!M133)</f>
        <v>426364.05861804844</v>
      </c>
      <c r="U133" s="1">
        <f>S133*B133*'Prices&amp;Fuel'!M133</f>
        <v>3.1490140827372673E-9</v>
      </c>
      <c r="V133" s="1">
        <f>29894-10000</f>
        <v>19894</v>
      </c>
      <c r="W133" s="13">
        <f t="shared" si="27"/>
        <v>1.3824319466948509E-10</v>
      </c>
    </row>
    <row r="134" spans="1:23" x14ac:dyDescent="0.2">
      <c r="A134" s="10">
        <f t="shared" ref="A134:A165" si="42">+A133+365/12</f>
        <v>39672.749999999687</v>
      </c>
      <c r="B134" s="3">
        <v>31</v>
      </c>
      <c r="C134" s="12">
        <v>-8.0065418591406701E-2</v>
      </c>
      <c r="E134" s="44">
        <v>9.4999999999996199E-3</v>
      </c>
      <c r="F134" s="3">
        <v>8730</v>
      </c>
      <c r="G134" s="3">
        <f>15795-5034</f>
        <v>10761</v>
      </c>
      <c r="H134" s="3">
        <f>20475-4966</f>
        <v>15509</v>
      </c>
      <c r="I134" s="3">
        <v>1880</v>
      </c>
      <c r="J134" s="3">
        <v>2295</v>
      </c>
      <c r="K134" s="3">
        <v>1036</v>
      </c>
      <c r="L134" s="3">
        <v>683</v>
      </c>
      <c r="M134" s="1">
        <f t="shared" ref="M134:M149" si="43">F134+I134</f>
        <v>10610</v>
      </c>
      <c r="N134" s="1">
        <f t="shared" ref="N134:N149" si="44">G134+J134+L134</f>
        <v>13739</v>
      </c>
      <c r="O134" s="1">
        <f t="shared" si="41"/>
        <v>16545</v>
      </c>
      <c r="P134" s="1">
        <f t="shared" ref="P134:P149" si="45">SUM(M134:O134)</f>
        <v>40894</v>
      </c>
      <c r="Q134" s="1">
        <f>'Index Price Deals'!B134+'Index Price Deals'!C134+'Index Price Deals'!D134-'Prices&amp;Fuel'!AE134</f>
        <v>0</v>
      </c>
      <c r="R134" s="3">
        <f>('Long Term Deals'!BB134+'Long Term Deals'!BC134+'Long Term Deals'!BD134+'Long Term Deals'!BE134+'Long Term Deals'!BF134+'Long Term Deals'!BG134)*(1-'Prices&amp;Fuel'!F134)</f>
        <v>20999.999999999862</v>
      </c>
      <c r="S134" s="13">
        <f t="shared" ref="S134:S197" si="46">P134-Q134-R134-V134</f>
        <v>1.3824319466948509E-10</v>
      </c>
      <c r="T134" s="13">
        <f>((I134+J134+K134)*'Prices&amp;Fuel'!H134*'Prices&amp;Fuel'!L134)+('Prices&amp;Fuel'!N134*'Prices&amp;Fuel'!H134*Transport!L134)+(('Long Term Deals'!BB134+'Long Term Deals'!BC134+'Long Term Deals'!BD134)*'Prices&amp;Fuel'!H134*'Prices&amp;Fuel'!M134)</f>
        <v>426364.05861804844</v>
      </c>
      <c r="U134" s="1">
        <f>S134*B134*'Prices&amp;Fuel'!M134</f>
        <v>3.1490140827372673E-9</v>
      </c>
      <c r="V134" s="1">
        <f>29894-10000</f>
        <v>19894</v>
      </c>
      <c r="W134" s="13">
        <f t="shared" si="27"/>
        <v>1.3824319466948509E-10</v>
      </c>
    </row>
    <row r="135" spans="1:23" x14ac:dyDescent="0.2">
      <c r="A135" s="10">
        <f t="shared" si="42"/>
        <v>39703.166666666351</v>
      </c>
      <c r="B135" s="3">
        <v>30</v>
      </c>
      <c r="C135" s="12">
        <v>-8.0071728218941818E-2</v>
      </c>
      <c r="E135" s="44">
        <v>9.4999999999996199E-3</v>
      </c>
      <c r="F135" s="3">
        <v>8730</v>
      </c>
      <c r="G135" s="3">
        <f>15795-5034</f>
        <v>10761</v>
      </c>
      <c r="H135" s="3">
        <f>20475-4966</f>
        <v>15509</v>
      </c>
      <c r="I135" s="3">
        <v>1880</v>
      </c>
      <c r="J135" s="3">
        <v>2295</v>
      </c>
      <c r="K135" s="3">
        <v>1036</v>
      </c>
      <c r="L135" s="3">
        <v>683</v>
      </c>
      <c r="M135" s="1">
        <f t="shared" si="43"/>
        <v>10610</v>
      </c>
      <c r="N135" s="1">
        <f t="shared" si="44"/>
        <v>13739</v>
      </c>
      <c r="O135" s="1">
        <f t="shared" si="41"/>
        <v>16545</v>
      </c>
      <c r="P135" s="1">
        <f t="shared" si="45"/>
        <v>40894</v>
      </c>
      <c r="Q135" s="1">
        <f>'Index Price Deals'!B135+'Index Price Deals'!C135+'Index Price Deals'!D135-'Prices&amp;Fuel'!AE135</f>
        <v>0</v>
      </c>
      <c r="R135" s="3">
        <f>('Long Term Deals'!BB135+'Long Term Deals'!BC135+'Long Term Deals'!BD135+'Long Term Deals'!BE135+'Long Term Deals'!BF135+'Long Term Deals'!BG135)*(1-'Prices&amp;Fuel'!F135)</f>
        <v>20999.999999999862</v>
      </c>
      <c r="S135" s="13">
        <f t="shared" si="46"/>
        <v>1.3824319466948509E-10</v>
      </c>
      <c r="T135" s="13">
        <f>((I135+J135+K135)*'Prices&amp;Fuel'!H135*'Prices&amp;Fuel'!L135)+('Prices&amp;Fuel'!N135*'Prices&amp;Fuel'!H135*Transport!L135)+(('Long Term Deals'!BB135+'Long Term Deals'!BC135+'Long Term Deals'!BD135)*'Prices&amp;Fuel'!H135*'Prices&amp;Fuel'!M135)</f>
        <v>412610.37930778885</v>
      </c>
      <c r="U135" s="1">
        <f>S135*B135*'Prices&amp;Fuel'!M135</f>
        <v>3.0474329832941295E-9</v>
      </c>
      <c r="V135" s="1">
        <f>29894-10000</f>
        <v>19894</v>
      </c>
      <c r="W135" s="13">
        <f t="shared" si="27"/>
        <v>1.3824319466948509E-10</v>
      </c>
    </row>
    <row r="136" spans="1:23" x14ac:dyDescent="0.2">
      <c r="A136" s="10">
        <f t="shared" si="42"/>
        <v>39733.583333333016</v>
      </c>
      <c r="B136" s="3">
        <v>31</v>
      </c>
      <c r="C136" s="12">
        <v>-8.2627460926583574E-2</v>
      </c>
      <c r="E136" s="44">
        <v>1.4499999999999957E-2</v>
      </c>
      <c r="F136" s="3">
        <f>8730-0</f>
        <v>8730</v>
      </c>
      <c r="G136" s="3">
        <f>15795-5434</f>
        <v>10361</v>
      </c>
      <c r="H136" s="3">
        <f>20475-4566</f>
        <v>15909</v>
      </c>
      <c r="I136" s="3">
        <v>2830</v>
      </c>
      <c r="J136" s="3">
        <v>3500</v>
      </c>
      <c r="K136" s="3">
        <v>1521</v>
      </c>
      <c r="L136" s="3">
        <v>1001</v>
      </c>
      <c r="M136" s="1">
        <f t="shared" si="43"/>
        <v>11560</v>
      </c>
      <c r="N136" s="1">
        <f t="shared" si="44"/>
        <v>14862</v>
      </c>
      <c r="O136" s="1">
        <f t="shared" si="41"/>
        <v>17430</v>
      </c>
      <c r="P136" s="1">
        <f t="shared" si="45"/>
        <v>43852</v>
      </c>
      <c r="Q136" s="1">
        <f>'Index Price Deals'!B136+'Index Price Deals'!C136+'Index Price Deals'!D136-'Prices&amp;Fuel'!AE136</f>
        <v>0</v>
      </c>
      <c r="R136" s="3">
        <f>('Long Term Deals'!BB136+'Long Term Deals'!BC136+'Long Term Deals'!BD136+'Long Term Deals'!BE136+'Long Term Deals'!BF136+'Long Term Deals'!BG136)*(1-'Prices&amp;Fuel'!F136)</f>
        <v>20999.999999999807</v>
      </c>
      <c r="S136" s="13">
        <f t="shared" si="46"/>
        <v>1.9281287677586079E-10</v>
      </c>
      <c r="T136" s="13">
        <f>((I136+J136+K136)*'Prices&amp;Fuel'!H136*'Prices&amp;Fuel'!L136)+('Prices&amp;Fuel'!N136*'Prices&amp;Fuel'!H136*Transport!L136)+(('Long Term Deals'!BB136+'Long Term Deals'!BC136+'Long Term Deals'!BD136)*'Prices&amp;Fuel'!H136*'Prices&amp;Fuel'!M136)</f>
        <v>393483.04112980998</v>
      </c>
      <c r="U136" s="1">
        <f>S136*B136*'Prices&amp;Fuel'!M136</f>
        <v>4.3920459575019776E-9</v>
      </c>
      <c r="V136" s="1">
        <f>32852-10000</f>
        <v>22852</v>
      </c>
      <c r="W136" s="13">
        <f t="shared" si="27"/>
        <v>1.9281287677586079E-10</v>
      </c>
    </row>
    <row r="137" spans="1:23" x14ac:dyDescent="0.2">
      <c r="A137" s="10">
        <f t="shared" si="42"/>
        <v>39763.99999999968</v>
      </c>
      <c r="B137" s="3">
        <v>30</v>
      </c>
      <c r="C137" s="12">
        <v>-0.12759968411565081</v>
      </c>
      <c r="E137" s="44">
        <v>1.9499999999999851E-2</v>
      </c>
      <c r="F137" s="3">
        <f>7761-1128-1707</f>
        <v>4926</v>
      </c>
      <c r="G137" s="3">
        <f>14039-666-3474-4167</f>
        <v>5732</v>
      </c>
      <c r="H137" s="3">
        <f>18200-4732-4126</f>
        <v>9342</v>
      </c>
      <c r="I137" s="3">
        <v>2563</v>
      </c>
      <c r="J137" s="3">
        <v>2862</v>
      </c>
      <c r="K137" s="3">
        <v>1685</v>
      </c>
      <c r="L137" s="3">
        <v>683</v>
      </c>
      <c r="M137" s="1">
        <f t="shared" si="43"/>
        <v>7489</v>
      </c>
      <c r="N137" s="1">
        <f t="shared" si="44"/>
        <v>9277</v>
      </c>
      <c r="O137" s="1">
        <f t="shared" si="41"/>
        <v>11027</v>
      </c>
      <c r="P137" s="1">
        <f t="shared" si="45"/>
        <v>27793</v>
      </c>
      <c r="Q137" s="1">
        <f>'Index Price Deals'!B137+'Index Price Deals'!C137+'Index Price Deals'!D137-'Prices&amp;Fuel'!AE137</f>
        <v>0</v>
      </c>
      <c r="R137" s="3">
        <f>('Long Term Deals'!BB137+'Long Term Deals'!BC137+'Long Term Deals'!BD137+'Long Term Deals'!BE137+'Long Term Deals'!BF137+'Long Term Deals'!BG137)*(1-'Prices&amp;Fuel'!F137)</f>
        <v>11999.999999999998</v>
      </c>
      <c r="S137" s="13">
        <f t="shared" si="46"/>
        <v>0</v>
      </c>
      <c r="T137" s="13">
        <f>((I137+J137+K137)*'Prices&amp;Fuel'!H137*'Prices&amp;Fuel'!L137)+('Prices&amp;Fuel'!N137*'Prices&amp;Fuel'!H137*Transport!L137)+(('Long Term Deals'!BB137+'Long Term Deals'!BC137+'Long Term Deals'!BD137)*'Prices&amp;Fuel'!H137*'Prices&amp;Fuel'!M137)</f>
        <v>188175.93894573068</v>
      </c>
      <c r="U137" s="1">
        <f>S137*B137*'Prices&amp;Fuel'!M137</f>
        <v>0</v>
      </c>
      <c r="V137" s="1">
        <f>35793-20000</f>
        <v>15793</v>
      </c>
      <c r="W137" s="13">
        <f t="shared" si="27"/>
        <v>0</v>
      </c>
    </row>
    <row r="138" spans="1:23" x14ac:dyDescent="0.2">
      <c r="A138" s="10">
        <f t="shared" si="42"/>
        <v>39794.416666666344</v>
      </c>
      <c r="B138" s="3">
        <v>31</v>
      </c>
      <c r="C138" s="12">
        <v>-0.1625621854208914</v>
      </c>
      <c r="E138" s="44">
        <v>2.4500000000000188E-2</v>
      </c>
      <c r="F138" s="3">
        <f>7761-1128-1707</f>
        <v>4926</v>
      </c>
      <c r="G138" s="3">
        <f>14039-666-3474-4167</f>
        <v>5732</v>
      </c>
      <c r="H138" s="3">
        <f>18200-4732-4126</f>
        <v>9342</v>
      </c>
      <c r="I138" s="3">
        <v>2563</v>
      </c>
      <c r="J138" s="3">
        <v>2862</v>
      </c>
      <c r="K138" s="3">
        <v>1685</v>
      </c>
      <c r="L138" s="3">
        <v>683</v>
      </c>
      <c r="M138" s="1">
        <f t="shared" si="43"/>
        <v>7489</v>
      </c>
      <c r="N138" s="1">
        <f t="shared" si="44"/>
        <v>9277</v>
      </c>
      <c r="O138" s="1">
        <f t="shared" si="41"/>
        <v>11027</v>
      </c>
      <c r="P138" s="1">
        <f t="shared" si="45"/>
        <v>27793</v>
      </c>
      <c r="Q138" s="1">
        <f>'Index Price Deals'!B138+'Index Price Deals'!C138+'Index Price Deals'!D138-'Prices&amp;Fuel'!AE138</f>
        <v>0</v>
      </c>
      <c r="R138" s="3">
        <f>('Long Term Deals'!BB138+'Long Term Deals'!BC138+'Long Term Deals'!BD138+'Long Term Deals'!BE138+'Long Term Deals'!BF138+'Long Term Deals'!BG138)*(1-'Prices&amp;Fuel'!F138)</f>
        <v>11999.999999999998</v>
      </c>
      <c r="S138" s="13">
        <f t="shared" si="46"/>
        <v>0</v>
      </c>
      <c r="T138" s="13">
        <f>((I138+J138+K138)*'Prices&amp;Fuel'!H138*'Prices&amp;Fuel'!L138)+('Prices&amp;Fuel'!N138*'Prices&amp;Fuel'!H138*Transport!L138)+(('Long Term Deals'!BB138+'Long Term Deals'!BC138+'Long Term Deals'!BD138)*'Prices&amp;Fuel'!H138*'Prices&amp;Fuel'!M138)</f>
        <v>194448.47024392168</v>
      </c>
      <c r="U138" s="1">
        <f>S138*B138*'Prices&amp;Fuel'!M138</f>
        <v>0</v>
      </c>
      <c r="V138" s="1">
        <f>35793-20000</f>
        <v>15793</v>
      </c>
      <c r="W138" s="13">
        <f t="shared" si="27"/>
        <v>0</v>
      </c>
    </row>
    <row r="139" spans="1:23" x14ac:dyDescent="0.2">
      <c r="A139" s="10">
        <f t="shared" si="42"/>
        <v>39824.833333333008</v>
      </c>
      <c r="B139" s="3">
        <v>31</v>
      </c>
      <c r="C139" s="12">
        <v>-0.14750906226998328</v>
      </c>
      <c r="E139" s="44">
        <v>2.4500000000000188E-2</v>
      </c>
      <c r="F139" s="3">
        <f>7761-1128-1707</f>
        <v>4926</v>
      </c>
      <c r="G139" s="3">
        <f>14039-666-3474-4167</f>
        <v>5732</v>
      </c>
      <c r="H139" s="3">
        <f>18200-4732-4126</f>
        <v>9342</v>
      </c>
      <c r="I139" s="3">
        <v>2563</v>
      </c>
      <c r="J139" s="3">
        <v>2862</v>
      </c>
      <c r="K139" s="3">
        <v>1685</v>
      </c>
      <c r="L139" s="3">
        <v>683</v>
      </c>
      <c r="M139" s="1">
        <f t="shared" si="43"/>
        <v>7489</v>
      </c>
      <c r="N139" s="1">
        <f t="shared" si="44"/>
        <v>9277</v>
      </c>
      <c r="O139" s="1">
        <f t="shared" si="41"/>
        <v>11027</v>
      </c>
      <c r="P139" s="1">
        <f t="shared" si="45"/>
        <v>27793</v>
      </c>
      <c r="Q139" s="1">
        <f>'Index Price Deals'!B139+'Index Price Deals'!C139+'Index Price Deals'!D139-'Prices&amp;Fuel'!AE139</f>
        <v>0</v>
      </c>
      <c r="R139" s="3">
        <f>('Long Term Deals'!BB139+'Long Term Deals'!BC139+'Long Term Deals'!BD139+'Long Term Deals'!BE139+'Long Term Deals'!BF139+'Long Term Deals'!BG139)*(1-'Prices&amp;Fuel'!F139)</f>
        <v>11999.999999999998</v>
      </c>
      <c r="S139" s="13">
        <f t="shared" si="46"/>
        <v>0</v>
      </c>
      <c r="T139" s="13">
        <f>((I139+J139+K139)*'Prices&amp;Fuel'!H139*'Prices&amp;Fuel'!L139)+('Prices&amp;Fuel'!N139*'Prices&amp;Fuel'!H139*Transport!L139)+(('Long Term Deals'!BB139+'Long Term Deals'!BC139+'Long Term Deals'!BD139)*'Prices&amp;Fuel'!H139*'Prices&amp;Fuel'!M139)</f>
        <v>194711.23243911756</v>
      </c>
      <c r="U139" s="1">
        <f>S139*B139*'Prices&amp;Fuel'!M139</f>
        <v>0</v>
      </c>
      <c r="V139" s="1">
        <f>35793-20000</f>
        <v>15793</v>
      </c>
      <c r="W139" s="13">
        <f t="shared" si="27"/>
        <v>0</v>
      </c>
    </row>
    <row r="140" spans="1:23" x14ac:dyDescent="0.2">
      <c r="A140" s="10">
        <f t="shared" si="42"/>
        <v>39855.249999999673</v>
      </c>
      <c r="B140" s="3">
        <v>28</v>
      </c>
      <c r="C140" s="12">
        <v>-0.14753683908091553</v>
      </c>
      <c r="E140" s="44">
        <v>2.4500000000000188E-2</v>
      </c>
      <c r="F140" s="3">
        <f>7761-1128-1707</f>
        <v>4926</v>
      </c>
      <c r="G140" s="3">
        <f>14039-666-3474-4167</f>
        <v>5732</v>
      </c>
      <c r="H140" s="3">
        <f>18200-4732-4126</f>
        <v>9342</v>
      </c>
      <c r="I140" s="3">
        <v>2563</v>
      </c>
      <c r="J140" s="3">
        <v>2862</v>
      </c>
      <c r="K140" s="3">
        <v>1685</v>
      </c>
      <c r="L140" s="3">
        <v>683</v>
      </c>
      <c r="M140" s="1">
        <f t="shared" si="43"/>
        <v>7489</v>
      </c>
      <c r="N140" s="1">
        <f t="shared" si="44"/>
        <v>9277</v>
      </c>
      <c r="O140" s="1">
        <f t="shared" si="41"/>
        <v>11027</v>
      </c>
      <c r="P140" s="1">
        <f t="shared" si="45"/>
        <v>27793</v>
      </c>
      <c r="Q140" s="1">
        <f>'Index Price Deals'!B140+'Index Price Deals'!C140+'Index Price Deals'!D140-'Prices&amp;Fuel'!AE140</f>
        <v>0</v>
      </c>
      <c r="R140" s="3">
        <f>('Long Term Deals'!BB140+'Long Term Deals'!BC140+'Long Term Deals'!BD140+'Long Term Deals'!BE140+'Long Term Deals'!BF140+'Long Term Deals'!BG140)*(1-'Prices&amp;Fuel'!F140)</f>
        <v>11999.999999999998</v>
      </c>
      <c r="S140" s="13">
        <f t="shared" si="46"/>
        <v>0</v>
      </c>
      <c r="T140" s="13">
        <f>((I140+J140+K140)*'Prices&amp;Fuel'!H140*'Prices&amp;Fuel'!L140)+('Prices&amp;Fuel'!N140*'Prices&amp;Fuel'!H140*Transport!L140)+(('Long Term Deals'!BB140+'Long Term Deals'!BC140+'Long Term Deals'!BD140)*'Prices&amp;Fuel'!H140*'Prices&amp;Fuel'!M140)</f>
        <v>175868.20994500941</v>
      </c>
      <c r="U140" s="1">
        <f>S140*B140*'Prices&amp;Fuel'!M140</f>
        <v>0</v>
      </c>
      <c r="V140" s="1">
        <f>35793-20000</f>
        <v>15793</v>
      </c>
      <c r="W140" s="13">
        <f t="shared" si="27"/>
        <v>0</v>
      </c>
    </row>
    <row r="141" spans="1:23" x14ac:dyDescent="0.2">
      <c r="A141" s="10">
        <f t="shared" si="42"/>
        <v>39885.666666666337</v>
      </c>
      <c r="B141" s="3">
        <v>31</v>
      </c>
      <c r="C141" s="12">
        <v>-0.12257260172499196</v>
      </c>
      <c r="E141" s="44">
        <v>1.9500000000000295E-2</v>
      </c>
      <c r="F141" s="3">
        <f>7761-1128-1707</f>
        <v>4926</v>
      </c>
      <c r="G141" s="3">
        <f>14039-666-3474-4167</f>
        <v>5732</v>
      </c>
      <c r="H141" s="3">
        <f>18200-4732-4126</f>
        <v>9342</v>
      </c>
      <c r="I141" s="3">
        <v>2563</v>
      </c>
      <c r="J141" s="3">
        <v>2862</v>
      </c>
      <c r="K141" s="3">
        <v>1685</v>
      </c>
      <c r="L141" s="3">
        <v>683</v>
      </c>
      <c r="M141" s="1">
        <f t="shared" si="43"/>
        <v>7489</v>
      </c>
      <c r="N141" s="1">
        <f t="shared" si="44"/>
        <v>9277</v>
      </c>
      <c r="O141" s="1">
        <f t="shared" si="41"/>
        <v>11027</v>
      </c>
      <c r="P141" s="1">
        <f t="shared" si="45"/>
        <v>27793</v>
      </c>
      <c r="Q141" s="1">
        <f>'Index Price Deals'!B141+'Index Price Deals'!C141+'Index Price Deals'!D141-'Prices&amp;Fuel'!AE141</f>
        <v>0</v>
      </c>
      <c r="R141" s="3">
        <f>('Long Term Deals'!BB141+'Long Term Deals'!BC141+'Long Term Deals'!BD141+'Long Term Deals'!BE141+'Long Term Deals'!BF141+'Long Term Deals'!BG141)*(1-'Prices&amp;Fuel'!F141)</f>
        <v>11999.999999999998</v>
      </c>
      <c r="S141" s="13">
        <f t="shared" si="46"/>
        <v>0</v>
      </c>
      <c r="T141" s="13">
        <f>((I141+J141+K141)*'Prices&amp;Fuel'!H141*'Prices&amp;Fuel'!L141)+('Prices&amp;Fuel'!N141*'Prices&amp;Fuel'!H141*Transport!L141)+(('Long Term Deals'!BB141+'Long Term Deals'!BC141+'Long Term Deals'!BD141)*'Prices&amp;Fuel'!H141*'Prices&amp;Fuel'!M141)</f>
        <v>194711.23243911756</v>
      </c>
      <c r="U141" s="1">
        <f>S141*B141*'Prices&amp;Fuel'!M141</f>
        <v>0</v>
      </c>
      <c r="V141" s="1">
        <f>35793-20000</f>
        <v>15793</v>
      </c>
      <c r="W141" s="13">
        <f t="shared" si="27"/>
        <v>0</v>
      </c>
    </row>
    <row r="142" spans="1:23" x14ac:dyDescent="0.2">
      <c r="A142" s="10">
        <f t="shared" si="42"/>
        <v>39916.083333333001</v>
      </c>
      <c r="B142" s="3">
        <v>30</v>
      </c>
      <c r="C142" s="12">
        <v>-7.3089615021687759E-2</v>
      </c>
      <c r="E142" s="44">
        <v>5.9999999999997833E-3</v>
      </c>
      <c r="F142" s="3">
        <f>7761-828</f>
        <v>6933</v>
      </c>
      <c r="G142" s="3">
        <f>14039-5241</f>
        <v>8798</v>
      </c>
      <c r="H142" s="3">
        <f>18200-3931</f>
        <v>14269</v>
      </c>
      <c r="I142" s="3">
        <v>1880</v>
      </c>
      <c r="J142" s="3">
        <v>2073</v>
      </c>
      <c r="K142" s="3">
        <v>1258</v>
      </c>
      <c r="L142" s="3">
        <v>683</v>
      </c>
      <c r="M142" s="1">
        <f t="shared" si="43"/>
        <v>8813</v>
      </c>
      <c r="N142" s="1">
        <f t="shared" si="44"/>
        <v>11554</v>
      </c>
      <c r="O142" s="1">
        <f t="shared" si="41"/>
        <v>15527</v>
      </c>
      <c r="P142" s="1">
        <f t="shared" si="45"/>
        <v>35894</v>
      </c>
      <c r="Q142" s="1">
        <f>'Index Price Deals'!B142+'Index Price Deals'!C142+'Index Price Deals'!D142-'Prices&amp;Fuel'!AE142</f>
        <v>0</v>
      </c>
      <c r="R142" s="3">
        <f>('Long Term Deals'!BB142+'Long Term Deals'!BC142+'Long Term Deals'!BD142+'Long Term Deals'!BE142+'Long Term Deals'!BF142+'Long Term Deals'!BG142)*(1-'Prices&amp;Fuel'!F142)</f>
        <v>12000</v>
      </c>
      <c r="S142" s="13">
        <f t="shared" si="46"/>
        <v>0</v>
      </c>
      <c r="T142" s="13">
        <f>((I142+J142+K142)*'Prices&amp;Fuel'!H142*'Prices&amp;Fuel'!L142)+('Prices&amp;Fuel'!N142*'Prices&amp;Fuel'!H142*Transport!L142)+(('Long Term Deals'!BB142+'Long Term Deals'!BC142+'Long Term Deals'!BD142)*'Prices&amp;Fuel'!H142*'Prices&amp;Fuel'!M142)</f>
        <v>208796.53116855701</v>
      </c>
      <c r="U142" s="1">
        <f>S142*B142*'Prices&amp;Fuel'!M142</f>
        <v>0</v>
      </c>
      <c r="V142" s="1">
        <f>33894-10000</f>
        <v>23894</v>
      </c>
      <c r="W142" s="13">
        <f t="shared" si="27"/>
        <v>0</v>
      </c>
    </row>
    <row r="143" spans="1:23" x14ac:dyDescent="0.2">
      <c r="A143" s="10">
        <f t="shared" si="42"/>
        <v>39946.499999999665</v>
      </c>
      <c r="B143" s="3">
        <v>31</v>
      </c>
      <c r="C143" s="12">
        <v>-7.5643027010085628E-2</v>
      </c>
      <c r="E143" s="44">
        <v>5.9999999999997833E-3</v>
      </c>
      <c r="F143" s="3">
        <v>8730</v>
      </c>
      <c r="G143" s="3">
        <f>15795-5034</f>
        <v>10761</v>
      </c>
      <c r="H143" s="3">
        <f>20475-4966</f>
        <v>15509</v>
      </c>
      <c r="I143" s="3">
        <v>1880</v>
      </c>
      <c r="J143" s="3">
        <v>2295</v>
      </c>
      <c r="K143" s="3">
        <v>1036</v>
      </c>
      <c r="L143" s="3">
        <v>683</v>
      </c>
      <c r="M143" s="1">
        <f t="shared" si="43"/>
        <v>10610</v>
      </c>
      <c r="N143" s="1">
        <f t="shared" si="44"/>
        <v>13739</v>
      </c>
      <c r="O143" s="1">
        <f t="shared" si="41"/>
        <v>16545</v>
      </c>
      <c r="P143" s="1">
        <f t="shared" si="45"/>
        <v>40894</v>
      </c>
      <c r="Q143" s="1">
        <f>'Index Price Deals'!B143+'Index Price Deals'!C143+'Index Price Deals'!D143-'Prices&amp;Fuel'!AE143</f>
        <v>0</v>
      </c>
      <c r="R143" s="3">
        <f>('Long Term Deals'!BB143+'Long Term Deals'!BC143+'Long Term Deals'!BD143+'Long Term Deals'!BE143+'Long Term Deals'!BF143+'Long Term Deals'!BG143)*(1-'Prices&amp;Fuel'!F143)</f>
        <v>20999.999999999862</v>
      </c>
      <c r="S143" s="13">
        <f t="shared" si="46"/>
        <v>1.3824319466948509E-10</v>
      </c>
      <c r="T143" s="13">
        <f>((I143+J143+K143)*'Prices&amp;Fuel'!H143*'Prices&amp;Fuel'!L143)+('Prices&amp;Fuel'!N143*'Prices&amp;Fuel'!H143*Transport!L143)+(('Long Term Deals'!BB143+'Long Term Deals'!BC143+'Long Term Deals'!BD143)*'Prices&amp;Fuel'!H143*'Prices&amp;Fuel'!M143)</f>
        <v>426562.79086217581</v>
      </c>
      <c r="U143" s="1">
        <f>S143*B143*'Prices&amp;Fuel'!M143</f>
        <v>3.1490140827372673E-9</v>
      </c>
      <c r="V143" s="1">
        <f>29894-10000</f>
        <v>19894</v>
      </c>
      <c r="W143" s="13">
        <f t="shared" si="27"/>
        <v>1.3824319466948509E-10</v>
      </c>
    </row>
    <row r="144" spans="1:23" x14ac:dyDescent="0.2">
      <c r="A144" s="10">
        <f t="shared" si="42"/>
        <v>39976.91666666633</v>
      </c>
      <c r="B144" s="3">
        <v>30</v>
      </c>
      <c r="C144" s="12">
        <v>-7.5646181823853187E-2</v>
      </c>
      <c r="E144" s="44">
        <v>5.9999999999997833E-3</v>
      </c>
      <c r="F144" s="3">
        <v>8730</v>
      </c>
      <c r="G144" s="3">
        <f>15795-5034</f>
        <v>10761</v>
      </c>
      <c r="H144" s="3">
        <f>20475-4966</f>
        <v>15509</v>
      </c>
      <c r="I144" s="3">
        <v>1880</v>
      </c>
      <c r="J144" s="3">
        <v>2295</v>
      </c>
      <c r="K144" s="3">
        <v>1036</v>
      </c>
      <c r="L144" s="3">
        <v>683</v>
      </c>
      <c r="M144" s="1">
        <f t="shared" si="43"/>
        <v>10610</v>
      </c>
      <c r="N144" s="1">
        <f t="shared" si="44"/>
        <v>13739</v>
      </c>
      <c r="O144" s="1">
        <f t="shared" si="41"/>
        <v>16545</v>
      </c>
      <c r="P144" s="1">
        <f t="shared" si="45"/>
        <v>40894</v>
      </c>
      <c r="Q144" s="1">
        <f>'Index Price Deals'!B144+'Index Price Deals'!C144+'Index Price Deals'!D144-'Prices&amp;Fuel'!AE144</f>
        <v>0</v>
      </c>
      <c r="R144" s="3">
        <f>('Long Term Deals'!BB144+'Long Term Deals'!BC144+'Long Term Deals'!BD144+'Long Term Deals'!BE144+'Long Term Deals'!BF144+'Long Term Deals'!BG144)*(1-'Prices&amp;Fuel'!F144)</f>
        <v>20999.999999999862</v>
      </c>
      <c r="S144" s="13">
        <f t="shared" si="46"/>
        <v>1.3824319466948509E-10</v>
      </c>
      <c r="T144" s="13">
        <f>((I144+J144+K144)*'Prices&amp;Fuel'!H144*'Prices&amp;Fuel'!L144)+('Prices&amp;Fuel'!N144*'Prices&amp;Fuel'!H144*Transport!L144)+(('Long Term Deals'!BB144+'Long Term Deals'!BC144+'Long Term Deals'!BD144)*'Prices&amp;Fuel'!H144*'Prices&amp;Fuel'!M144)</f>
        <v>412802.7008343637</v>
      </c>
      <c r="U144" s="1">
        <f>S144*B144*'Prices&amp;Fuel'!M144</f>
        <v>3.0474329832941295E-9</v>
      </c>
      <c r="V144" s="1">
        <f>29894-10000</f>
        <v>19894</v>
      </c>
      <c r="W144" s="13">
        <f t="shared" si="27"/>
        <v>1.3824319466948509E-10</v>
      </c>
    </row>
    <row r="145" spans="1:23" x14ac:dyDescent="0.2">
      <c r="A145" s="10">
        <f t="shared" si="42"/>
        <v>40007.333333332994</v>
      </c>
      <c r="B145" s="3">
        <v>31</v>
      </c>
      <c r="C145" s="12">
        <v>-8.0148074712113715E-2</v>
      </c>
      <c r="E145" s="44">
        <v>9.4999999999998419E-3</v>
      </c>
      <c r="F145" s="3">
        <v>8730</v>
      </c>
      <c r="G145" s="3">
        <f>15795-5034</f>
        <v>10761</v>
      </c>
      <c r="H145" s="3">
        <f>20475-4966</f>
        <v>15509</v>
      </c>
      <c r="I145" s="3">
        <v>1880</v>
      </c>
      <c r="J145" s="3">
        <v>2295</v>
      </c>
      <c r="K145" s="3">
        <v>1036</v>
      </c>
      <c r="L145" s="3">
        <v>683</v>
      </c>
      <c r="M145" s="1">
        <f t="shared" si="43"/>
        <v>10610</v>
      </c>
      <c r="N145" s="1">
        <f t="shared" si="44"/>
        <v>13739</v>
      </c>
      <c r="O145" s="1">
        <f t="shared" si="41"/>
        <v>16545</v>
      </c>
      <c r="P145" s="1">
        <f t="shared" si="45"/>
        <v>40894</v>
      </c>
      <c r="Q145" s="1">
        <f>'Index Price Deals'!B145+'Index Price Deals'!C145+'Index Price Deals'!D145-'Prices&amp;Fuel'!AE145</f>
        <v>0</v>
      </c>
      <c r="R145" s="3">
        <f>('Long Term Deals'!BB145+'Long Term Deals'!BC145+'Long Term Deals'!BD145+'Long Term Deals'!BE145+'Long Term Deals'!BF145+'Long Term Deals'!BG145)*(1-'Prices&amp;Fuel'!F145)</f>
        <v>20999.999999999862</v>
      </c>
      <c r="S145" s="13">
        <f t="shared" si="46"/>
        <v>1.3824319466948509E-10</v>
      </c>
      <c r="T145" s="13">
        <f>((I145+J145+K145)*'Prices&amp;Fuel'!H145*'Prices&amp;Fuel'!L145)+('Prices&amp;Fuel'!N145*'Prices&amp;Fuel'!H145*Transport!L145)+(('Long Term Deals'!BB145+'Long Term Deals'!BC145+'Long Term Deals'!BD145)*'Prices&amp;Fuel'!H145*'Prices&amp;Fuel'!M145)</f>
        <v>426562.79086217581</v>
      </c>
      <c r="U145" s="1">
        <f>S145*B145*'Prices&amp;Fuel'!M145</f>
        <v>3.1490140827372673E-9</v>
      </c>
      <c r="V145" s="1">
        <f>29894-10000</f>
        <v>19894</v>
      </c>
      <c r="W145" s="13">
        <f t="shared" si="27"/>
        <v>1.3824319466948509E-10</v>
      </c>
    </row>
    <row r="146" spans="1:23" x14ac:dyDescent="0.2">
      <c r="A146" s="10">
        <f t="shared" si="42"/>
        <v>40037.749999999658</v>
      </c>
      <c r="B146" s="3">
        <v>31</v>
      </c>
      <c r="C146" s="12">
        <v>-8.015186048863443E-2</v>
      </c>
      <c r="E146" s="44">
        <v>9.4999999999996199E-3</v>
      </c>
      <c r="F146" s="3">
        <v>8730</v>
      </c>
      <c r="G146" s="3">
        <f>15795-5034</f>
        <v>10761</v>
      </c>
      <c r="H146" s="3">
        <f>20475-4966</f>
        <v>15509</v>
      </c>
      <c r="I146" s="3">
        <v>1880</v>
      </c>
      <c r="J146" s="3">
        <v>2295</v>
      </c>
      <c r="K146" s="3">
        <v>1036</v>
      </c>
      <c r="L146" s="3">
        <v>683</v>
      </c>
      <c r="M146" s="1">
        <f t="shared" si="43"/>
        <v>10610</v>
      </c>
      <c r="N146" s="1">
        <f t="shared" si="44"/>
        <v>13739</v>
      </c>
      <c r="O146" s="1">
        <f t="shared" si="41"/>
        <v>16545</v>
      </c>
      <c r="P146" s="1">
        <f t="shared" si="45"/>
        <v>40894</v>
      </c>
      <c r="Q146" s="1">
        <f>'Index Price Deals'!B146+'Index Price Deals'!C146+'Index Price Deals'!D146-'Prices&amp;Fuel'!AE146</f>
        <v>0</v>
      </c>
      <c r="R146" s="3">
        <f>('Long Term Deals'!BB146+'Long Term Deals'!BC146+'Long Term Deals'!BD146+'Long Term Deals'!BE146+'Long Term Deals'!BF146+'Long Term Deals'!BG146)*(1-'Prices&amp;Fuel'!F146)</f>
        <v>20999.999999999862</v>
      </c>
      <c r="S146" s="13">
        <f t="shared" si="46"/>
        <v>1.3824319466948509E-10</v>
      </c>
      <c r="T146" s="13">
        <f>((I146+J146+K146)*'Prices&amp;Fuel'!H146*'Prices&amp;Fuel'!L146)+('Prices&amp;Fuel'!N146*'Prices&amp;Fuel'!H146*Transport!L146)+(('Long Term Deals'!BB146+'Long Term Deals'!BC146+'Long Term Deals'!BD146)*'Prices&amp;Fuel'!H146*'Prices&amp;Fuel'!M146)</f>
        <v>426562.79086217581</v>
      </c>
      <c r="U146" s="1">
        <f>S146*B146*'Prices&amp;Fuel'!M146</f>
        <v>3.1490140827372673E-9</v>
      </c>
      <c r="V146" s="1">
        <f>29894-10000</f>
        <v>19894</v>
      </c>
      <c r="W146" s="13">
        <f t="shared" si="27"/>
        <v>1.3824319466948509E-10</v>
      </c>
    </row>
    <row r="147" spans="1:23" x14ac:dyDescent="0.2">
      <c r="A147" s="10">
        <f t="shared" si="42"/>
        <v>40068.166666666322</v>
      </c>
      <c r="B147" s="3">
        <v>30</v>
      </c>
      <c r="C147" s="12">
        <v>-8.0158170116169991E-2</v>
      </c>
      <c r="E147" s="44">
        <v>9.4999999999996199E-3</v>
      </c>
      <c r="F147" s="3">
        <v>8730</v>
      </c>
      <c r="G147" s="3">
        <f>15795-5034</f>
        <v>10761</v>
      </c>
      <c r="H147" s="3">
        <f>20475-4966</f>
        <v>15509</v>
      </c>
      <c r="I147" s="3">
        <v>1880</v>
      </c>
      <c r="J147" s="3">
        <v>2295</v>
      </c>
      <c r="K147" s="3">
        <v>1036</v>
      </c>
      <c r="L147" s="3">
        <v>683</v>
      </c>
      <c r="M147" s="1">
        <f t="shared" si="43"/>
        <v>10610</v>
      </c>
      <c r="N147" s="1">
        <f t="shared" si="44"/>
        <v>13739</v>
      </c>
      <c r="O147" s="1">
        <f t="shared" si="41"/>
        <v>16545</v>
      </c>
      <c r="P147" s="1">
        <f t="shared" si="45"/>
        <v>40894</v>
      </c>
      <c r="Q147" s="1">
        <f>'Index Price Deals'!B147+'Index Price Deals'!C147+'Index Price Deals'!D147-'Prices&amp;Fuel'!AE147</f>
        <v>0</v>
      </c>
      <c r="R147" s="3">
        <f>('Long Term Deals'!BB147+'Long Term Deals'!BC147+'Long Term Deals'!BD147+'Long Term Deals'!BE147+'Long Term Deals'!BF147+'Long Term Deals'!BG147)*(1-'Prices&amp;Fuel'!F147)</f>
        <v>20999.999999999862</v>
      </c>
      <c r="S147" s="13">
        <f t="shared" si="46"/>
        <v>1.3824319466948509E-10</v>
      </c>
      <c r="T147" s="13">
        <f>((I147+J147+K147)*'Prices&amp;Fuel'!H147*'Prices&amp;Fuel'!L147)+('Prices&amp;Fuel'!N147*'Prices&amp;Fuel'!H147*Transport!L147)+(('Long Term Deals'!BB147+'Long Term Deals'!BC147+'Long Term Deals'!BD147)*'Prices&amp;Fuel'!H147*'Prices&amp;Fuel'!M147)</f>
        <v>412802.7008343637</v>
      </c>
      <c r="U147" s="1">
        <f>S147*B147*'Prices&amp;Fuel'!M147</f>
        <v>3.0474329832941295E-9</v>
      </c>
      <c r="V147" s="1">
        <f>29894-10000</f>
        <v>19894</v>
      </c>
      <c r="W147" s="13">
        <f t="shared" si="27"/>
        <v>1.3824319466948509E-10</v>
      </c>
    </row>
    <row r="148" spans="1:23" x14ac:dyDescent="0.2">
      <c r="A148" s="10">
        <f t="shared" si="42"/>
        <v>40098.583333332987</v>
      </c>
      <c r="B148" s="3">
        <v>31</v>
      </c>
      <c r="C148" s="12">
        <v>-8.2579893137861404E-2</v>
      </c>
      <c r="E148" s="44">
        <v>1.4499999999999957E-2</v>
      </c>
      <c r="F148" s="3">
        <f>8730-0</f>
        <v>8730</v>
      </c>
      <c r="G148" s="3">
        <f>15795-5434</f>
        <v>10361</v>
      </c>
      <c r="H148" s="3">
        <f>20475-4566</f>
        <v>15909</v>
      </c>
      <c r="I148" s="3">
        <v>2830</v>
      </c>
      <c r="J148" s="3">
        <v>3500</v>
      </c>
      <c r="K148" s="3">
        <v>1521</v>
      </c>
      <c r="L148" s="3">
        <v>1001</v>
      </c>
      <c r="M148" s="1">
        <f t="shared" si="43"/>
        <v>11560</v>
      </c>
      <c r="N148" s="1">
        <f t="shared" si="44"/>
        <v>14862</v>
      </c>
      <c r="O148" s="1">
        <f t="shared" si="41"/>
        <v>17430</v>
      </c>
      <c r="P148" s="1">
        <f t="shared" si="45"/>
        <v>43852</v>
      </c>
      <c r="Q148" s="1">
        <f>'Index Price Deals'!B148+'Index Price Deals'!C148+'Index Price Deals'!D148-'Prices&amp;Fuel'!AE148</f>
        <v>0</v>
      </c>
      <c r="R148" s="3">
        <f>('Long Term Deals'!BB148+'Long Term Deals'!BC148+'Long Term Deals'!BD148+'Long Term Deals'!BE148+'Long Term Deals'!BF148+'Long Term Deals'!BG148)*(1-'Prices&amp;Fuel'!F148)</f>
        <v>20999.999999999807</v>
      </c>
      <c r="S148" s="13">
        <f t="shared" si="46"/>
        <v>1.9281287677586079E-10</v>
      </c>
      <c r="T148" s="13">
        <f>((I148+J148+K148)*'Prices&amp;Fuel'!H148*'Prices&amp;Fuel'!L148)+('Prices&amp;Fuel'!N148*'Prices&amp;Fuel'!H148*Transport!L148)+(('Long Term Deals'!BB148+'Long Term Deals'!BC148+'Long Term Deals'!BD148)*'Prices&amp;Fuel'!H148*'Prices&amp;Fuel'!M148)</f>
        <v>393781.51039092557</v>
      </c>
      <c r="U148" s="1">
        <f>S148*B148*'Prices&amp;Fuel'!M148</f>
        <v>4.3920459575019776E-9</v>
      </c>
      <c r="V148" s="1">
        <f>32852-10000</f>
        <v>22852</v>
      </c>
      <c r="W148" s="13">
        <f t="shared" ref="W148:W211" si="47">P148-R148-V148</f>
        <v>1.9281287677586079E-10</v>
      </c>
    </row>
    <row r="149" spans="1:23" x14ac:dyDescent="0.2">
      <c r="A149" s="10">
        <f t="shared" si="42"/>
        <v>40128.999999999651</v>
      </c>
      <c r="B149" s="3">
        <v>30</v>
      </c>
      <c r="C149" s="12">
        <v>-0.1275521163269282</v>
      </c>
      <c r="E149" s="44">
        <v>1.9499999999999851E-2</v>
      </c>
      <c r="F149" s="3">
        <f>7761-1128-1707</f>
        <v>4926</v>
      </c>
      <c r="G149" s="3">
        <f>14039-666-3474-4167</f>
        <v>5732</v>
      </c>
      <c r="H149" s="3">
        <f>18200-4732-4126</f>
        <v>9342</v>
      </c>
      <c r="I149" s="3">
        <v>2563</v>
      </c>
      <c r="J149" s="3">
        <v>2862</v>
      </c>
      <c r="K149" s="3">
        <v>1685</v>
      </c>
      <c r="L149" s="3">
        <v>683</v>
      </c>
      <c r="M149" s="1">
        <f t="shared" si="43"/>
        <v>7489</v>
      </c>
      <c r="N149" s="1">
        <f t="shared" si="44"/>
        <v>9277</v>
      </c>
      <c r="O149" s="1">
        <f t="shared" ref="O149:O164" si="48">H149+K149</f>
        <v>11027</v>
      </c>
      <c r="P149" s="1">
        <f t="shared" si="45"/>
        <v>27793</v>
      </c>
      <c r="Q149" s="1">
        <f>'Index Price Deals'!B149+'Index Price Deals'!C149+'Index Price Deals'!D149-'Prices&amp;Fuel'!AE149</f>
        <v>0</v>
      </c>
      <c r="R149" s="3">
        <f>('Long Term Deals'!BB149+'Long Term Deals'!BC149+'Long Term Deals'!BD149+'Long Term Deals'!BE149+'Long Term Deals'!BF149+'Long Term Deals'!BG149)*(1-'Prices&amp;Fuel'!F149)</f>
        <v>11999.999999999998</v>
      </c>
      <c r="S149" s="13">
        <f t="shared" si="46"/>
        <v>0</v>
      </c>
      <c r="T149" s="13">
        <f>((I149+J149+K149)*'Prices&amp;Fuel'!H149*'Prices&amp;Fuel'!L149)+('Prices&amp;Fuel'!N149*'Prices&amp;Fuel'!H149*Transport!L149)+(('Long Term Deals'!BB149+'Long Term Deals'!BC149+'Long Term Deals'!BD149)*'Prices&amp;Fuel'!H149*'Prices&amp;Fuel'!M149)</f>
        <v>188430.22494108154</v>
      </c>
      <c r="U149" s="1">
        <f>S149*B149*'Prices&amp;Fuel'!M149</f>
        <v>0</v>
      </c>
      <c r="V149" s="1">
        <f>35793-20000</f>
        <v>15793</v>
      </c>
      <c r="W149" s="13">
        <f t="shared" si="47"/>
        <v>0</v>
      </c>
    </row>
    <row r="150" spans="1:23" x14ac:dyDescent="0.2">
      <c r="A150" s="10">
        <f t="shared" si="42"/>
        <v>40159.416666666315</v>
      </c>
      <c r="B150" s="3">
        <v>31</v>
      </c>
      <c r="C150" s="12">
        <v>-0.16251461763216968</v>
      </c>
      <c r="E150" s="44">
        <v>2.4500000000000188E-2</v>
      </c>
      <c r="F150" s="3">
        <f>7761-1128-1707</f>
        <v>4926</v>
      </c>
      <c r="G150" s="3">
        <f>14039-666-3474-4167</f>
        <v>5732</v>
      </c>
      <c r="H150" s="3">
        <f>18200-4732-4126</f>
        <v>9342</v>
      </c>
      <c r="I150" s="3">
        <v>2563</v>
      </c>
      <c r="J150" s="3">
        <v>2862</v>
      </c>
      <c r="K150" s="3">
        <v>1685</v>
      </c>
      <c r="L150" s="3">
        <v>683</v>
      </c>
      <c r="M150" s="1">
        <f t="shared" ref="M150:M165" si="49">F150+I150</f>
        <v>7489</v>
      </c>
      <c r="N150" s="1">
        <f t="shared" ref="N150:N165" si="50">G150+J150+L150</f>
        <v>9277</v>
      </c>
      <c r="O150" s="1">
        <f t="shared" si="48"/>
        <v>11027</v>
      </c>
      <c r="P150" s="1">
        <f t="shared" ref="P150:P165" si="51">SUM(M150:O150)</f>
        <v>27793</v>
      </c>
      <c r="Q150" s="1">
        <f>'Index Price Deals'!B150+'Index Price Deals'!C150+'Index Price Deals'!D150-'Prices&amp;Fuel'!AE150</f>
        <v>0</v>
      </c>
      <c r="R150" s="3">
        <f>('Long Term Deals'!BB150+'Long Term Deals'!BC150+'Long Term Deals'!BD150+'Long Term Deals'!BE150+'Long Term Deals'!BF150+'Long Term Deals'!BG150)*(1-'Prices&amp;Fuel'!F150)</f>
        <v>11999.999999999998</v>
      </c>
      <c r="S150" s="13">
        <f t="shared" si="46"/>
        <v>0</v>
      </c>
      <c r="T150" s="13">
        <f>((I150+J150+K150)*'Prices&amp;Fuel'!H150*'Prices&amp;Fuel'!L150)+('Prices&amp;Fuel'!N150*'Prices&amp;Fuel'!H150*Transport!L150)+(('Long Term Deals'!BB150+'Long Term Deals'!BC150+'Long Term Deals'!BD150)*'Prices&amp;Fuel'!H150*'Prices&amp;Fuel'!M150)</f>
        <v>194711.23243911756</v>
      </c>
      <c r="U150" s="1">
        <f>S150*B150*'Prices&amp;Fuel'!M150</f>
        <v>0</v>
      </c>
      <c r="V150" s="1">
        <f>35793-20000</f>
        <v>15793</v>
      </c>
      <c r="W150" s="13">
        <f t="shared" si="47"/>
        <v>0</v>
      </c>
    </row>
    <row r="151" spans="1:23" x14ac:dyDescent="0.2">
      <c r="A151" s="10">
        <f t="shared" si="42"/>
        <v>40189.833333332979</v>
      </c>
      <c r="B151" s="3">
        <v>31</v>
      </c>
      <c r="C151" s="12">
        <v>-0.14750906226998328</v>
      </c>
      <c r="E151" s="44">
        <v>2.4500000000000188E-2</v>
      </c>
      <c r="F151" s="3">
        <f>7761-1128-1707</f>
        <v>4926</v>
      </c>
      <c r="G151" s="3">
        <f>14039-666-3474-4167</f>
        <v>5732</v>
      </c>
      <c r="H151" s="3">
        <f>18200-4732-4126</f>
        <v>9342</v>
      </c>
      <c r="I151" s="3">
        <v>2563</v>
      </c>
      <c r="J151" s="3">
        <v>2862</v>
      </c>
      <c r="K151" s="3">
        <v>1685</v>
      </c>
      <c r="L151" s="3">
        <v>683</v>
      </c>
      <c r="M151" s="1">
        <f t="shared" si="49"/>
        <v>7489</v>
      </c>
      <c r="N151" s="1">
        <f t="shared" si="50"/>
        <v>9277</v>
      </c>
      <c r="O151" s="1">
        <f t="shared" si="48"/>
        <v>11027</v>
      </c>
      <c r="P151" s="1">
        <f t="shared" si="51"/>
        <v>27793</v>
      </c>
      <c r="Q151" s="1">
        <f>'Index Price Deals'!B151+'Index Price Deals'!C151+'Index Price Deals'!D151-'Prices&amp;Fuel'!AE151</f>
        <v>0</v>
      </c>
      <c r="R151" s="3">
        <f>('Long Term Deals'!BB151+'Long Term Deals'!BC151+'Long Term Deals'!BD151+'Long Term Deals'!BE151+'Long Term Deals'!BF151+'Long Term Deals'!BG151)*(1-'Prices&amp;Fuel'!F151)</f>
        <v>11999.999999999998</v>
      </c>
      <c r="S151" s="13">
        <f t="shared" si="46"/>
        <v>0</v>
      </c>
      <c r="T151" s="13">
        <f>((I151+J151+K151)*'Prices&amp;Fuel'!H151*'Prices&amp;Fuel'!L151)+('Prices&amp;Fuel'!N151*'Prices&amp;Fuel'!H151*Transport!L151)+(('Long Term Deals'!BB151+'Long Term Deals'!BC151+'Long Term Deals'!BD151)*'Prices&amp;Fuel'!H151*'Prices&amp;Fuel'!M151)</f>
        <v>194711.23243911756</v>
      </c>
      <c r="U151" s="1">
        <f>S151*B151*'Prices&amp;Fuel'!M151</f>
        <v>0</v>
      </c>
      <c r="V151" s="1">
        <f>35793-20000</f>
        <v>15793</v>
      </c>
      <c r="W151" s="13">
        <f t="shared" si="47"/>
        <v>0</v>
      </c>
    </row>
    <row r="152" spans="1:23" x14ac:dyDescent="0.2">
      <c r="A152" s="10">
        <f t="shared" si="42"/>
        <v>40220.249999999643</v>
      </c>
      <c r="B152" s="3">
        <v>28</v>
      </c>
      <c r="C152" s="12">
        <v>-0.14753683908091553</v>
      </c>
      <c r="E152" s="44">
        <v>2.4500000000000188E-2</v>
      </c>
      <c r="F152" s="3">
        <f>7761-1128-1707</f>
        <v>4926</v>
      </c>
      <c r="G152" s="3">
        <f>14039-666-3474-4167</f>
        <v>5732</v>
      </c>
      <c r="H152" s="3">
        <f>18200-4732-4126</f>
        <v>9342</v>
      </c>
      <c r="I152" s="3">
        <v>2563</v>
      </c>
      <c r="J152" s="3">
        <v>2862</v>
      </c>
      <c r="K152" s="3">
        <v>1685</v>
      </c>
      <c r="L152" s="3">
        <v>683</v>
      </c>
      <c r="M152" s="1">
        <f t="shared" si="49"/>
        <v>7489</v>
      </c>
      <c r="N152" s="1">
        <f t="shared" si="50"/>
        <v>9277</v>
      </c>
      <c r="O152" s="1">
        <f t="shared" si="48"/>
        <v>11027</v>
      </c>
      <c r="P152" s="1">
        <f t="shared" si="51"/>
        <v>27793</v>
      </c>
      <c r="Q152" s="1">
        <f>'Index Price Deals'!B152+'Index Price Deals'!C152+'Index Price Deals'!D152-'Prices&amp;Fuel'!AE152</f>
        <v>0</v>
      </c>
      <c r="R152" s="3">
        <f>('Long Term Deals'!BB152+'Long Term Deals'!BC152+'Long Term Deals'!BD152+'Long Term Deals'!BE152+'Long Term Deals'!BF152+'Long Term Deals'!BG152)*(1-'Prices&amp;Fuel'!F152)</f>
        <v>11999.999999999998</v>
      </c>
      <c r="S152" s="13">
        <f t="shared" si="46"/>
        <v>0</v>
      </c>
      <c r="T152" s="13">
        <f>((I152+J152+K152)*'Prices&amp;Fuel'!H152*'Prices&amp;Fuel'!L152)+('Prices&amp;Fuel'!N152*'Prices&amp;Fuel'!H152*Transport!L152)+(('Long Term Deals'!BB152+'Long Term Deals'!BC152+'Long Term Deals'!BD152)*'Prices&amp;Fuel'!H152*'Prices&amp;Fuel'!M152)</f>
        <v>175868.20994500941</v>
      </c>
      <c r="U152" s="1">
        <f>S152*B152*'Prices&amp;Fuel'!M152</f>
        <v>0</v>
      </c>
      <c r="V152" s="1">
        <f>35793-20000</f>
        <v>15793</v>
      </c>
      <c r="W152" s="13">
        <f t="shared" si="47"/>
        <v>0</v>
      </c>
    </row>
    <row r="153" spans="1:23" x14ac:dyDescent="0.2">
      <c r="A153" s="10">
        <f t="shared" si="42"/>
        <v>40250.666666666308</v>
      </c>
      <c r="B153" s="3">
        <v>31</v>
      </c>
      <c r="C153" s="12">
        <v>-0.12257260172499196</v>
      </c>
      <c r="E153" s="44">
        <v>1.9500000000000295E-2</v>
      </c>
      <c r="F153" s="3">
        <f>7761-1128-1707</f>
        <v>4926</v>
      </c>
      <c r="G153" s="3">
        <f>14039-666-3474-4167</f>
        <v>5732</v>
      </c>
      <c r="H153" s="3">
        <f>18200-4732-4126</f>
        <v>9342</v>
      </c>
      <c r="I153" s="3">
        <v>2563</v>
      </c>
      <c r="J153" s="3">
        <v>2862</v>
      </c>
      <c r="K153" s="3">
        <v>1685</v>
      </c>
      <c r="L153" s="3">
        <v>683</v>
      </c>
      <c r="M153" s="1">
        <f t="shared" si="49"/>
        <v>7489</v>
      </c>
      <c r="N153" s="1">
        <f t="shared" si="50"/>
        <v>9277</v>
      </c>
      <c r="O153" s="1">
        <f t="shared" si="48"/>
        <v>11027</v>
      </c>
      <c r="P153" s="1">
        <f t="shared" si="51"/>
        <v>27793</v>
      </c>
      <c r="Q153" s="1">
        <f>'Index Price Deals'!B153+'Index Price Deals'!C153+'Index Price Deals'!D153-'Prices&amp;Fuel'!AE153</f>
        <v>0</v>
      </c>
      <c r="R153" s="3">
        <f>('Long Term Deals'!BB153+'Long Term Deals'!BC153+'Long Term Deals'!BD153+'Long Term Deals'!BE153+'Long Term Deals'!BF153+'Long Term Deals'!BG153)*(1-'Prices&amp;Fuel'!F153)</f>
        <v>11999.999999999998</v>
      </c>
      <c r="S153" s="13">
        <f t="shared" si="46"/>
        <v>0</v>
      </c>
      <c r="T153" s="13">
        <f>((I153+J153+K153)*'Prices&amp;Fuel'!H153*'Prices&amp;Fuel'!L153)+('Prices&amp;Fuel'!N153*'Prices&amp;Fuel'!H153*Transport!L153)+(('Long Term Deals'!BB153+'Long Term Deals'!BC153+'Long Term Deals'!BD153)*'Prices&amp;Fuel'!H153*'Prices&amp;Fuel'!M153)</f>
        <v>194711.23243911756</v>
      </c>
      <c r="U153" s="1">
        <f>S153*B153*'Prices&amp;Fuel'!M153</f>
        <v>0</v>
      </c>
      <c r="V153" s="1">
        <f>35793-20000</f>
        <v>15793</v>
      </c>
      <c r="W153" s="13">
        <f t="shared" si="47"/>
        <v>0</v>
      </c>
    </row>
    <row r="154" spans="1:23" x14ac:dyDescent="0.2">
      <c r="A154" s="10">
        <f t="shared" si="42"/>
        <v>40281.083333332972</v>
      </c>
      <c r="B154" s="3">
        <v>30</v>
      </c>
      <c r="C154" s="12">
        <v>-7.3089615021687759E-2</v>
      </c>
      <c r="E154" s="44">
        <v>5.9999999999997833E-3</v>
      </c>
      <c r="F154" s="3">
        <f>7761-828</f>
        <v>6933</v>
      </c>
      <c r="G154" s="3">
        <f>14039-5241</f>
        <v>8798</v>
      </c>
      <c r="H154" s="3">
        <f>18200-3931</f>
        <v>14269</v>
      </c>
      <c r="I154" s="3">
        <v>1880</v>
      </c>
      <c r="J154" s="3">
        <v>2073</v>
      </c>
      <c r="K154" s="3">
        <v>1258</v>
      </c>
      <c r="L154" s="3">
        <v>683</v>
      </c>
      <c r="M154" s="1">
        <f t="shared" si="49"/>
        <v>8813</v>
      </c>
      <c r="N154" s="1">
        <f t="shared" si="50"/>
        <v>11554</v>
      </c>
      <c r="O154" s="1">
        <f t="shared" si="48"/>
        <v>15527</v>
      </c>
      <c r="P154" s="1">
        <f t="shared" si="51"/>
        <v>35894</v>
      </c>
      <c r="Q154" s="1">
        <f>'Index Price Deals'!B154+'Index Price Deals'!C154+'Index Price Deals'!D154-'Prices&amp;Fuel'!AE154</f>
        <v>0</v>
      </c>
      <c r="R154" s="3">
        <f>('Long Term Deals'!BB154+'Long Term Deals'!BC154+'Long Term Deals'!BD154+'Long Term Deals'!BE154+'Long Term Deals'!BF154+'Long Term Deals'!BG154)*(1-'Prices&amp;Fuel'!F154)</f>
        <v>12000</v>
      </c>
      <c r="S154" s="13">
        <f t="shared" si="46"/>
        <v>0</v>
      </c>
      <c r="T154" s="13">
        <f>((I154+J154+K154)*'Prices&amp;Fuel'!H154*'Prices&amp;Fuel'!L154)+('Prices&amp;Fuel'!N154*'Prices&amp;Fuel'!H154*Transport!L154)+(('Long Term Deals'!BB154+'Long Term Deals'!BC154+'Long Term Deals'!BD154)*'Prices&amp;Fuel'!H154*'Prices&amp;Fuel'!M154)</f>
        <v>208796.53116855701</v>
      </c>
      <c r="U154" s="1">
        <f>S154*B154*'Prices&amp;Fuel'!M154</f>
        <v>0</v>
      </c>
      <c r="V154" s="1">
        <f>33894-10000</f>
        <v>23894</v>
      </c>
      <c r="W154" s="13">
        <f t="shared" si="47"/>
        <v>0</v>
      </c>
    </row>
    <row r="155" spans="1:23" x14ac:dyDescent="0.2">
      <c r="A155" s="10">
        <f t="shared" si="42"/>
        <v>40311.499999999636</v>
      </c>
      <c r="B155" s="3">
        <v>31</v>
      </c>
      <c r="C155" s="12">
        <v>-7.5643027010085628E-2</v>
      </c>
      <c r="E155" s="44">
        <v>5.9999999999997833E-3</v>
      </c>
      <c r="F155" s="3">
        <v>8730</v>
      </c>
      <c r="G155" s="3">
        <f>15795-5034</f>
        <v>10761</v>
      </c>
      <c r="H155" s="3">
        <f>20475-4966</f>
        <v>15509</v>
      </c>
      <c r="I155" s="3">
        <v>1880</v>
      </c>
      <c r="J155" s="3">
        <v>2295</v>
      </c>
      <c r="K155" s="3">
        <v>1036</v>
      </c>
      <c r="L155" s="3">
        <v>683</v>
      </c>
      <c r="M155" s="1">
        <f t="shared" si="49"/>
        <v>10610</v>
      </c>
      <c r="N155" s="1">
        <f t="shared" si="50"/>
        <v>13739</v>
      </c>
      <c r="O155" s="1">
        <f t="shared" si="48"/>
        <v>16545</v>
      </c>
      <c r="P155" s="1">
        <f t="shared" si="51"/>
        <v>40894</v>
      </c>
      <c r="Q155" s="1">
        <f>'Index Price Deals'!B155+'Index Price Deals'!C155+'Index Price Deals'!D155-'Prices&amp;Fuel'!AE155</f>
        <v>0</v>
      </c>
      <c r="R155" s="3">
        <f>('Long Term Deals'!BB155+'Long Term Deals'!BC155+'Long Term Deals'!BD155+'Long Term Deals'!BE155+'Long Term Deals'!BF155+'Long Term Deals'!BG155)*(1-'Prices&amp;Fuel'!F155)</f>
        <v>20999.999999999862</v>
      </c>
      <c r="S155" s="13">
        <f t="shared" si="46"/>
        <v>1.3824319466948509E-10</v>
      </c>
      <c r="T155" s="13">
        <f>((I155+J155+K155)*'Prices&amp;Fuel'!H155*'Prices&amp;Fuel'!L155)+('Prices&amp;Fuel'!N155*'Prices&amp;Fuel'!H155*Transport!L155)+(('Long Term Deals'!BB155+'Long Term Deals'!BC155+'Long Term Deals'!BD155)*'Prices&amp;Fuel'!H155*'Prices&amp;Fuel'!M155)</f>
        <v>426562.79086217581</v>
      </c>
      <c r="U155" s="1">
        <f>S155*B155*'Prices&amp;Fuel'!M155</f>
        <v>3.1490140827372673E-9</v>
      </c>
      <c r="V155" s="1">
        <f>29894-10000</f>
        <v>19894</v>
      </c>
      <c r="W155" s="13">
        <f t="shared" si="47"/>
        <v>1.3824319466948509E-10</v>
      </c>
    </row>
    <row r="156" spans="1:23" x14ac:dyDescent="0.2">
      <c r="A156" s="10">
        <f t="shared" si="42"/>
        <v>40341.9166666663</v>
      </c>
      <c r="B156" s="3">
        <v>30</v>
      </c>
      <c r="C156" s="12">
        <v>-7.5646181823853187E-2</v>
      </c>
      <c r="E156" s="44">
        <v>5.9999999999997833E-3</v>
      </c>
      <c r="F156" s="3">
        <v>8730</v>
      </c>
      <c r="G156" s="3">
        <f>15795-5034</f>
        <v>10761</v>
      </c>
      <c r="H156" s="3">
        <f>20475-4966</f>
        <v>15509</v>
      </c>
      <c r="I156" s="3">
        <v>1880</v>
      </c>
      <c r="J156" s="3">
        <v>2295</v>
      </c>
      <c r="K156" s="3">
        <v>1036</v>
      </c>
      <c r="L156" s="3">
        <v>683</v>
      </c>
      <c r="M156" s="1">
        <f t="shared" si="49"/>
        <v>10610</v>
      </c>
      <c r="N156" s="1">
        <f t="shared" si="50"/>
        <v>13739</v>
      </c>
      <c r="O156" s="1">
        <f t="shared" si="48"/>
        <v>16545</v>
      </c>
      <c r="P156" s="1">
        <f t="shared" si="51"/>
        <v>40894</v>
      </c>
      <c r="Q156" s="1">
        <f>'Index Price Deals'!B156+'Index Price Deals'!C156+'Index Price Deals'!D156-'Prices&amp;Fuel'!AE156</f>
        <v>0</v>
      </c>
      <c r="R156" s="3">
        <f>('Long Term Deals'!BB156+'Long Term Deals'!BC156+'Long Term Deals'!BD156+'Long Term Deals'!BE156+'Long Term Deals'!BF156+'Long Term Deals'!BG156)*(1-'Prices&amp;Fuel'!F156)</f>
        <v>20999.999999999862</v>
      </c>
      <c r="S156" s="13">
        <f t="shared" si="46"/>
        <v>1.3824319466948509E-10</v>
      </c>
      <c r="T156" s="13">
        <f>((I156+J156+K156)*'Prices&amp;Fuel'!H156*'Prices&amp;Fuel'!L156)+('Prices&amp;Fuel'!N156*'Prices&amp;Fuel'!H156*Transport!L156)+(('Long Term Deals'!BB156+'Long Term Deals'!BC156+'Long Term Deals'!BD156)*'Prices&amp;Fuel'!H156*'Prices&amp;Fuel'!M156)</f>
        <v>412802.7008343637</v>
      </c>
      <c r="U156" s="1">
        <f>S156*B156*'Prices&amp;Fuel'!M156</f>
        <v>3.0474329832941295E-9</v>
      </c>
      <c r="V156" s="1">
        <f>29894-10000</f>
        <v>19894</v>
      </c>
      <c r="W156" s="13">
        <f t="shared" si="47"/>
        <v>1.3824319466948509E-10</v>
      </c>
    </row>
    <row r="157" spans="1:23" x14ac:dyDescent="0.2">
      <c r="A157" s="10">
        <f t="shared" si="42"/>
        <v>40372.333333332965</v>
      </c>
      <c r="B157" s="3">
        <v>31</v>
      </c>
      <c r="C157" s="12">
        <v>-8.0148074712113715E-2</v>
      </c>
      <c r="E157" s="44">
        <v>9.4999999999998419E-3</v>
      </c>
      <c r="F157" s="3">
        <v>8730</v>
      </c>
      <c r="G157" s="3">
        <f>15795-5034</f>
        <v>10761</v>
      </c>
      <c r="H157" s="3">
        <f>20475-4966</f>
        <v>15509</v>
      </c>
      <c r="I157" s="3">
        <v>1880</v>
      </c>
      <c r="J157" s="3">
        <v>2295</v>
      </c>
      <c r="K157" s="3">
        <v>1036</v>
      </c>
      <c r="L157" s="3">
        <v>683</v>
      </c>
      <c r="M157" s="1">
        <f t="shared" si="49"/>
        <v>10610</v>
      </c>
      <c r="N157" s="1">
        <f t="shared" si="50"/>
        <v>13739</v>
      </c>
      <c r="O157" s="1">
        <f t="shared" si="48"/>
        <v>16545</v>
      </c>
      <c r="P157" s="1">
        <f t="shared" si="51"/>
        <v>40894</v>
      </c>
      <c r="Q157" s="1">
        <f>'Index Price Deals'!B157+'Index Price Deals'!C157+'Index Price Deals'!D157-'Prices&amp;Fuel'!AE157</f>
        <v>0</v>
      </c>
      <c r="R157" s="3">
        <f>('Long Term Deals'!BB157+'Long Term Deals'!BC157+'Long Term Deals'!BD157+'Long Term Deals'!BE157+'Long Term Deals'!BF157+'Long Term Deals'!BG157)*(1-'Prices&amp;Fuel'!F157)</f>
        <v>20999.999999999862</v>
      </c>
      <c r="S157" s="13">
        <f t="shared" si="46"/>
        <v>1.3824319466948509E-10</v>
      </c>
      <c r="T157" s="13">
        <f>((I157+J157+K157)*'Prices&amp;Fuel'!H157*'Prices&amp;Fuel'!L157)+('Prices&amp;Fuel'!N157*'Prices&amp;Fuel'!H157*Transport!L157)+(('Long Term Deals'!BB157+'Long Term Deals'!BC157+'Long Term Deals'!BD157)*'Prices&amp;Fuel'!H157*'Prices&amp;Fuel'!M157)</f>
        <v>426562.79086217581</v>
      </c>
      <c r="U157" s="1">
        <f>S157*B157*'Prices&amp;Fuel'!M157</f>
        <v>3.1490140827372673E-9</v>
      </c>
      <c r="V157" s="1">
        <f>29894-10000</f>
        <v>19894</v>
      </c>
      <c r="W157" s="13">
        <f t="shared" si="47"/>
        <v>1.3824319466948509E-10</v>
      </c>
    </row>
    <row r="158" spans="1:23" x14ac:dyDescent="0.2">
      <c r="A158" s="10">
        <f t="shared" si="42"/>
        <v>40402.749999999629</v>
      </c>
      <c r="B158" s="3">
        <v>31</v>
      </c>
      <c r="C158" s="12">
        <v>-8.015186048863443E-2</v>
      </c>
      <c r="E158" s="44">
        <v>9.4999999999996199E-3</v>
      </c>
      <c r="F158" s="3">
        <v>8730</v>
      </c>
      <c r="G158" s="3">
        <f>15795-5034</f>
        <v>10761</v>
      </c>
      <c r="H158" s="3">
        <f>20475-4966</f>
        <v>15509</v>
      </c>
      <c r="I158" s="3">
        <v>1880</v>
      </c>
      <c r="J158" s="3">
        <v>2295</v>
      </c>
      <c r="K158" s="3">
        <v>1036</v>
      </c>
      <c r="L158" s="3">
        <v>683</v>
      </c>
      <c r="M158" s="1">
        <f t="shared" si="49"/>
        <v>10610</v>
      </c>
      <c r="N158" s="1">
        <f t="shared" si="50"/>
        <v>13739</v>
      </c>
      <c r="O158" s="1">
        <f t="shared" si="48"/>
        <v>16545</v>
      </c>
      <c r="P158" s="1">
        <f t="shared" si="51"/>
        <v>40894</v>
      </c>
      <c r="Q158" s="1">
        <f>'Index Price Deals'!B158+'Index Price Deals'!C158+'Index Price Deals'!D158-'Prices&amp;Fuel'!AE158</f>
        <v>0</v>
      </c>
      <c r="R158" s="3">
        <f>('Long Term Deals'!BB158+'Long Term Deals'!BC158+'Long Term Deals'!BD158+'Long Term Deals'!BE158+'Long Term Deals'!BF158+'Long Term Deals'!BG158)*(1-'Prices&amp;Fuel'!F158)</f>
        <v>20999.999999999862</v>
      </c>
      <c r="S158" s="13">
        <f t="shared" si="46"/>
        <v>1.3824319466948509E-10</v>
      </c>
      <c r="T158" s="13">
        <f>((I158+J158+K158)*'Prices&amp;Fuel'!H158*'Prices&amp;Fuel'!L158)+('Prices&amp;Fuel'!N158*'Prices&amp;Fuel'!H158*Transport!L158)+(('Long Term Deals'!BB158+'Long Term Deals'!BC158+'Long Term Deals'!BD158)*'Prices&amp;Fuel'!H158*'Prices&amp;Fuel'!M158)</f>
        <v>426562.79086217581</v>
      </c>
      <c r="U158" s="1">
        <f>S158*B158*'Prices&amp;Fuel'!M158</f>
        <v>3.1490140827372673E-9</v>
      </c>
      <c r="V158" s="1">
        <f>29894-10000</f>
        <v>19894</v>
      </c>
      <c r="W158" s="13">
        <f t="shared" si="47"/>
        <v>1.3824319466948509E-10</v>
      </c>
    </row>
    <row r="159" spans="1:23" x14ac:dyDescent="0.2">
      <c r="A159" s="10">
        <f t="shared" si="42"/>
        <v>40433.166666666293</v>
      </c>
      <c r="B159" s="3">
        <v>30</v>
      </c>
      <c r="C159" s="12">
        <v>-8.0158170116169991E-2</v>
      </c>
      <c r="E159" s="44">
        <v>9.4999999999996199E-3</v>
      </c>
      <c r="F159" s="3">
        <v>8730</v>
      </c>
      <c r="G159" s="3">
        <f>15795-5034</f>
        <v>10761</v>
      </c>
      <c r="H159" s="3">
        <f>20475-4966</f>
        <v>15509</v>
      </c>
      <c r="I159" s="3">
        <v>1880</v>
      </c>
      <c r="J159" s="3">
        <v>2295</v>
      </c>
      <c r="K159" s="3">
        <v>1036</v>
      </c>
      <c r="L159" s="3">
        <v>683</v>
      </c>
      <c r="M159" s="1">
        <f t="shared" si="49"/>
        <v>10610</v>
      </c>
      <c r="N159" s="1">
        <f t="shared" si="50"/>
        <v>13739</v>
      </c>
      <c r="O159" s="1">
        <f t="shared" si="48"/>
        <v>16545</v>
      </c>
      <c r="P159" s="1">
        <f t="shared" si="51"/>
        <v>40894</v>
      </c>
      <c r="Q159" s="1">
        <f>'Index Price Deals'!B159+'Index Price Deals'!C159+'Index Price Deals'!D159-'Prices&amp;Fuel'!AE159</f>
        <v>0</v>
      </c>
      <c r="R159" s="3">
        <f>('Long Term Deals'!BB159+'Long Term Deals'!BC159+'Long Term Deals'!BD159+'Long Term Deals'!BE159+'Long Term Deals'!BF159+'Long Term Deals'!BG159)*(1-'Prices&amp;Fuel'!F159)</f>
        <v>20999.999999999862</v>
      </c>
      <c r="S159" s="13">
        <f t="shared" si="46"/>
        <v>1.3824319466948509E-10</v>
      </c>
      <c r="T159" s="13">
        <f>((I159+J159+K159)*'Prices&amp;Fuel'!H159*'Prices&amp;Fuel'!L159)+('Prices&amp;Fuel'!N159*'Prices&amp;Fuel'!H159*Transport!L159)+(('Long Term Deals'!BB159+'Long Term Deals'!BC159+'Long Term Deals'!BD159)*'Prices&amp;Fuel'!H159*'Prices&amp;Fuel'!M159)</f>
        <v>412802.7008343637</v>
      </c>
      <c r="U159" s="1">
        <f>S159*B159*'Prices&amp;Fuel'!M159</f>
        <v>3.0474329832941295E-9</v>
      </c>
      <c r="V159" s="1">
        <f>29894-10000</f>
        <v>19894</v>
      </c>
      <c r="W159" s="13">
        <f t="shared" si="47"/>
        <v>1.3824319466948509E-10</v>
      </c>
    </row>
    <row r="160" spans="1:23" x14ac:dyDescent="0.2">
      <c r="A160" s="10">
        <f t="shared" si="42"/>
        <v>40463.583333332957</v>
      </c>
      <c r="B160" s="3">
        <v>31</v>
      </c>
      <c r="C160" s="12">
        <v>-8.2579893137861404E-2</v>
      </c>
      <c r="E160" s="44">
        <v>1.4499999999999957E-2</v>
      </c>
      <c r="F160" s="3">
        <f>8730-0</f>
        <v>8730</v>
      </c>
      <c r="G160" s="3">
        <f>15795-5434</f>
        <v>10361</v>
      </c>
      <c r="H160" s="3">
        <f>20475-4566</f>
        <v>15909</v>
      </c>
      <c r="I160" s="3">
        <v>2830</v>
      </c>
      <c r="J160" s="3">
        <v>3500</v>
      </c>
      <c r="K160" s="3">
        <v>1521</v>
      </c>
      <c r="L160" s="3">
        <v>1001</v>
      </c>
      <c r="M160" s="1">
        <f t="shared" si="49"/>
        <v>11560</v>
      </c>
      <c r="N160" s="1">
        <f t="shared" si="50"/>
        <v>14862</v>
      </c>
      <c r="O160" s="1">
        <f t="shared" si="48"/>
        <v>17430</v>
      </c>
      <c r="P160" s="1">
        <f t="shared" si="51"/>
        <v>43852</v>
      </c>
      <c r="Q160" s="1">
        <f>'Index Price Deals'!B160+'Index Price Deals'!C160+'Index Price Deals'!D160-'Prices&amp;Fuel'!AE160</f>
        <v>0</v>
      </c>
      <c r="R160" s="3">
        <f>('Long Term Deals'!BB160+'Long Term Deals'!BC160+'Long Term Deals'!BD160+'Long Term Deals'!BE160+'Long Term Deals'!BF160+'Long Term Deals'!BG160)*(1-'Prices&amp;Fuel'!F160)</f>
        <v>20999.999999999807</v>
      </c>
      <c r="S160" s="13">
        <f t="shared" si="46"/>
        <v>1.9281287677586079E-10</v>
      </c>
      <c r="T160" s="13">
        <f>((I160+J160+K160)*'Prices&amp;Fuel'!H160*'Prices&amp;Fuel'!L160)+('Prices&amp;Fuel'!N160*'Prices&amp;Fuel'!H160*Transport!L160)+(('Long Term Deals'!BB160+'Long Term Deals'!BC160+'Long Term Deals'!BD160)*'Prices&amp;Fuel'!H160*'Prices&amp;Fuel'!M160)</f>
        <v>393781.51039092557</v>
      </c>
      <c r="U160" s="1">
        <f>S160*B160*'Prices&amp;Fuel'!M160</f>
        <v>4.3920459575019776E-9</v>
      </c>
      <c r="V160" s="1">
        <f>32852-10000</f>
        <v>22852</v>
      </c>
      <c r="W160" s="13">
        <f t="shared" si="47"/>
        <v>1.9281287677586079E-10</v>
      </c>
    </row>
    <row r="161" spans="1:23" x14ac:dyDescent="0.2">
      <c r="A161" s="10">
        <f t="shared" si="42"/>
        <v>40493.999999999622</v>
      </c>
      <c r="B161" s="3">
        <v>30</v>
      </c>
      <c r="C161" s="12">
        <v>-0.1275521163269282</v>
      </c>
      <c r="E161" s="44">
        <v>1.9499999999999851E-2</v>
      </c>
      <c r="F161" s="3">
        <f>7761-1128-1707</f>
        <v>4926</v>
      </c>
      <c r="G161" s="3">
        <f>14039-666-3474-4167</f>
        <v>5732</v>
      </c>
      <c r="H161" s="3">
        <f>18200-4732-4126</f>
        <v>9342</v>
      </c>
      <c r="I161" s="3">
        <v>2563</v>
      </c>
      <c r="J161" s="3">
        <v>2862</v>
      </c>
      <c r="K161" s="3">
        <v>1685</v>
      </c>
      <c r="L161" s="3">
        <v>683</v>
      </c>
      <c r="M161" s="1">
        <f t="shared" si="49"/>
        <v>7489</v>
      </c>
      <c r="N161" s="1">
        <f t="shared" si="50"/>
        <v>9277</v>
      </c>
      <c r="O161" s="1">
        <f t="shared" si="48"/>
        <v>11027</v>
      </c>
      <c r="P161" s="1">
        <f t="shared" si="51"/>
        <v>27793</v>
      </c>
      <c r="Q161" s="1">
        <f>'Index Price Deals'!B161+'Index Price Deals'!C161+'Index Price Deals'!D161-'Prices&amp;Fuel'!AE161</f>
        <v>0</v>
      </c>
      <c r="R161" s="3">
        <f>('Long Term Deals'!BB161+'Long Term Deals'!BC161+'Long Term Deals'!BD161+'Long Term Deals'!BE161+'Long Term Deals'!BF161+'Long Term Deals'!BG161)*(1-'Prices&amp;Fuel'!F161)</f>
        <v>11999.999999999998</v>
      </c>
      <c r="S161" s="13">
        <f t="shared" si="46"/>
        <v>0</v>
      </c>
      <c r="T161" s="13">
        <f>((I161+J161+K161)*'Prices&amp;Fuel'!H161*'Prices&amp;Fuel'!L161)+('Prices&amp;Fuel'!N161*'Prices&amp;Fuel'!H161*Transport!L161)+(('Long Term Deals'!BB161+'Long Term Deals'!BC161+'Long Term Deals'!BD161)*'Prices&amp;Fuel'!H161*'Prices&amp;Fuel'!M161)</f>
        <v>188430.22494108154</v>
      </c>
      <c r="U161" s="1">
        <f>S161*B161*'Prices&amp;Fuel'!M161</f>
        <v>0</v>
      </c>
      <c r="V161" s="1">
        <f>35793-20000</f>
        <v>15793</v>
      </c>
      <c r="W161" s="13">
        <f t="shared" si="47"/>
        <v>0</v>
      </c>
    </row>
    <row r="162" spans="1:23" x14ac:dyDescent="0.2">
      <c r="A162" s="10">
        <f t="shared" si="42"/>
        <v>40524.416666666286</v>
      </c>
      <c r="B162" s="3">
        <v>31</v>
      </c>
      <c r="C162" s="12">
        <v>-0.16251461763216968</v>
      </c>
      <c r="E162" s="44">
        <v>2.4500000000000188E-2</v>
      </c>
      <c r="F162" s="3">
        <f>7761-1128-1707</f>
        <v>4926</v>
      </c>
      <c r="G162" s="3">
        <f>14039-666-3474-4167</f>
        <v>5732</v>
      </c>
      <c r="H162" s="3">
        <f>18200-4732-4126</f>
        <v>9342</v>
      </c>
      <c r="I162" s="3">
        <v>2563</v>
      </c>
      <c r="J162" s="3">
        <v>2862</v>
      </c>
      <c r="K162" s="3">
        <v>1685</v>
      </c>
      <c r="L162" s="3">
        <v>683</v>
      </c>
      <c r="M162" s="1">
        <f t="shared" si="49"/>
        <v>7489</v>
      </c>
      <c r="N162" s="1">
        <f t="shared" si="50"/>
        <v>9277</v>
      </c>
      <c r="O162" s="1">
        <f t="shared" si="48"/>
        <v>11027</v>
      </c>
      <c r="P162" s="1">
        <f t="shared" si="51"/>
        <v>27793</v>
      </c>
      <c r="Q162" s="1">
        <f>'Index Price Deals'!B162+'Index Price Deals'!C162+'Index Price Deals'!D162-'Prices&amp;Fuel'!AE162</f>
        <v>0</v>
      </c>
      <c r="R162" s="3">
        <f>('Long Term Deals'!BB162+'Long Term Deals'!BC162+'Long Term Deals'!BD162+'Long Term Deals'!BE162+'Long Term Deals'!BF162+'Long Term Deals'!BG162)*(1-'Prices&amp;Fuel'!F162)</f>
        <v>11999.999999999998</v>
      </c>
      <c r="S162" s="13">
        <f t="shared" si="46"/>
        <v>0</v>
      </c>
      <c r="T162" s="13">
        <f>((I162+J162+K162)*'Prices&amp;Fuel'!H162*'Prices&amp;Fuel'!L162)+('Prices&amp;Fuel'!N162*'Prices&amp;Fuel'!H162*Transport!L162)+(('Long Term Deals'!BB162+'Long Term Deals'!BC162+'Long Term Deals'!BD162)*'Prices&amp;Fuel'!H162*'Prices&amp;Fuel'!M162)</f>
        <v>194711.23243911756</v>
      </c>
      <c r="U162" s="1">
        <f>S162*B162*'Prices&amp;Fuel'!M162</f>
        <v>0</v>
      </c>
      <c r="V162" s="1">
        <f>35793-20000</f>
        <v>15793</v>
      </c>
      <c r="W162" s="13">
        <f t="shared" si="47"/>
        <v>0</v>
      </c>
    </row>
    <row r="163" spans="1:23" x14ac:dyDescent="0.2">
      <c r="A163" s="10">
        <f t="shared" si="42"/>
        <v>40554.83333333295</v>
      </c>
      <c r="B163" s="3">
        <v>31</v>
      </c>
      <c r="C163" s="12">
        <v>-0.14750906226998328</v>
      </c>
      <c r="E163" s="44">
        <v>2.4500000000000188E-2</v>
      </c>
      <c r="F163" s="3">
        <f>7761-1128-1707</f>
        <v>4926</v>
      </c>
      <c r="G163" s="3">
        <f>14039-666-3474-4167</f>
        <v>5732</v>
      </c>
      <c r="H163" s="3">
        <f>18200-4732-4126</f>
        <v>9342</v>
      </c>
      <c r="I163" s="3">
        <v>2563</v>
      </c>
      <c r="J163" s="3">
        <v>2862</v>
      </c>
      <c r="K163" s="3">
        <v>1685</v>
      </c>
      <c r="L163" s="3">
        <v>683</v>
      </c>
      <c r="M163" s="1">
        <f t="shared" si="49"/>
        <v>7489</v>
      </c>
      <c r="N163" s="1">
        <f t="shared" si="50"/>
        <v>9277</v>
      </c>
      <c r="O163" s="1">
        <f t="shared" si="48"/>
        <v>11027</v>
      </c>
      <c r="P163" s="1">
        <f t="shared" si="51"/>
        <v>27793</v>
      </c>
      <c r="Q163" s="1">
        <f>'Index Price Deals'!B163+'Index Price Deals'!C163+'Index Price Deals'!D163-'Prices&amp;Fuel'!AE163</f>
        <v>0</v>
      </c>
      <c r="R163" s="3">
        <f>('Long Term Deals'!BB163+'Long Term Deals'!BC163+'Long Term Deals'!BD163+'Long Term Deals'!BE163+'Long Term Deals'!BF163+'Long Term Deals'!BG163)*(1-'Prices&amp;Fuel'!F163)</f>
        <v>11999.999999999998</v>
      </c>
      <c r="S163" s="13">
        <f t="shared" si="46"/>
        <v>0</v>
      </c>
      <c r="T163" s="13">
        <f>((I163+J163+K163)*'Prices&amp;Fuel'!H163*'Prices&amp;Fuel'!L163)+('Prices&amp;Fuel'!N163*'Prices&amp;Fuel'!H163*Transport!L163)+(('Long Term Deals'!BB163+'Long Term Deals'!BC163+'Long Term Deals'!BD163)*'Prices&amp;Fuel'!H163*'Prices&amp;Fuel'!M163)</f>
        <v>194711.23243911756</v>
      </c>
      <c r="U163" s="1">
        <f>S163*B163*'Prices&amp;Fuel'!M163</f>
        <v>0</v>
      </c>
      <c r="V163" s="1">
        <f>35793-20000</f>
        <v>15793</v>
      </c>
      <c r="W163" s="13">
        <f t="shared" si="47"/>
        <v>0</v>
      </c>
    </row>
    <row r="164" spans="1:23" x14ac:dyDescent="0.2">
      <c r="A164" s="10">
        <f t="shared" si="42"/>
        <v>40585.249999999614</v>
      </c>
      <c r="B164" s="3">
        <v>28</v>
      </c>
      <c r="C164" s="12">
        <v>-0.14753683908091553</v>
      </c>
      <c r="E164" s="44">
        <v>2.4500000000000188E-2</v>
      </c>
      <c r="F164" s="3">
        <f>7761-1128-1707</f>
        <v>4926</v>
      </c>
      <c r="G164" s="3">
        <f>14039-666-3474-4167</f>
        <v>5732</v>
      </c>
      <c r="H164" s="3">
        <f>18200-4732-4126</f>
        <v>9342</v>
      </c>
      <c r="I164" s="3">
        <v>2563</v>
      </c>
      <c r="J164" s="3">
        <v>2862</v>
      </c>
      <c r="K164" s="3">
        <v>1685</v>
      </c>
      <c r="L164" s="3">
        <v>683</v>
      </c>
      <c r="M164" s="1">
        <f t="shared" si="49"/>
        <v>7489</v>
      </c>
      <c r="N164" s="1">
        <f t="shared" si="50"/>
        <v>9277</v>
      </c>
      <c r="O164" s="1">
        <f t="shared" si="48"/>
        <v>11027</v>
      </c>
      <c r="P164" s="1">
        <f t="shared" si="51"/>
        <v>27793</v>
      </c>
      <c r="Q164" s="1">
        <f>'Index Price Deals'!B164+'Index Price Deals'!C164+'Index Price Deals'!D164-'Prices&amp;Fuel'!AE164</f>
        <v>0</v>
      </c>
      <c r="R164" s="3">
        <f>('Long Term Deals'!BB164+'Long Term Deals'!BC164+'Long Term Deals'!BD164+'Long Term Deals'!BE164+'Long Term Deals'!BF164+'Long Term Deals'!BG164)*(1-'Prices&amp;Fuel'!F164)</f>
        <v>11999.999999999998</v>
      </c>
      <c r="S164" s="13">
        <f t="shared" si="46"/>
        <v>0</v>
      </c>
      <c r="T164" s="13">
        <f>((I164+J164+K164)*'Prices&amp;Fuel'!H164*'Prices&amp;Fuel'!L164)+('Prices&amp;Fuel'!N164*'Prices&amp;Fuel'!H164*Transport!L164)+(('Long Term Deals'!BB164+'Long Term Deals'!BC164+'Long Term Deals'!BD164)*'Prices&amp;Fuel'!H164*'Prices&amp;Fuel'!M164)</f>
        <v>175868.20994500941</v>
      </c>
      <c r="U164" s="1">
        <f>S164*B164*'Prices&amp;Fuel'!M164</f>
        <v>0</v>
      </c>
      <c r="V164" s="1">
        <f>35793-20000</f>
        <v>15793</v>
      </c>
      <c r="W164" s="13">
        <f t="shared" si="47"/>
        <v>0</v>
      </c>
    </row>
    <row r="165" spans="1:23" x14ac:dyDescent="0.2">
      <c r="A165" s="10">
        <f t="shared" si="42"/>
        <v>40615.666666666279</v>
      </c>
      <c r="B165" s="3">
        <v>31</v>
      </c>
      <c r="C165" s="12">
        <v>-0.12257260172499196</v>
      </c>
      <c r="E165" s="44">
        <v>1.9500000000000295E-2</v>
      </c>
      <c r="F165" s="3">
        <f>7761-1128-1707</f>
        <v>4926</v>
      </c>
      <c r="G165" s="3">
        <f>14039-666-3474-4167</f>
        <v>5732</v>
      </c>
      <c r="H165" s="3">
        <f>18200-4732-4126</f>
        <v>9342</v>
      </c>
      <c r="I165" s="3">
        <v>2563</v>
      </c>
      <c r="J165" s="3">
        <v>2862</v>
      </c>
      <c r="K165" s="3">
        <v>1685</v>
      </c>
      <c r="L165" s="3">
        <v>683</v>
      </c>
      <c r="M165" s="1">
        <f t="shared" si="49"/>
        <v>7489</v>
      </c>
      <c r="N165" s="1">
        <f t="shared" si="50"/>
        <v>9277</v>
      </c>
      <c r="O165" s="1">
        <f t="shared" ref="O165:O180" si="52">H165+K165</f>
        <v>11027</v>
      </c>
      <c r="P165" s="1">
        <f t="shared" si="51"/>
        <v>27793</v>
      </c>
      <c r="Q165" s="1">
        <f>'Index Price Deals'!B165+'Index Price Deals'!C165+'Index Price Deals'!D165-'Prices&amp;Fuel'!AE165</f>
        <v>0</v>
      </c>
      <c r="R165" s="3">
        <f>('Long Term Deals'!BB165+'Long Term Deals'!BC165+'Long Term Deals'!BD165+'Long Term Deals'!BE165+'Long Term Deals'!BF165+'Long Term Deals'!BG165)*(1-'Prices&amp;Fuel'!F165)</f>
        <v>11999.999999999998</v>
      </c>
      <c r="S165" s="13">
        <f t="shared" si="46"/>
        <v>0</v>
      </c>
      <c r="T165" s="13">
        <f>((I165+J165+K165)*'Prices&amp;Fuel'!H165*'Prices&amp;Fuel'!L165)+('Prices&amp;Fuel'!N165*'Prices&amp;Fuel'!H165*Transport!L165)+(('Long Term Deals'!BB165+'Long Term Deals'!BC165+'Long Term Deals'!BD165)*'Prices&amp;Fuel'!H165*'Prices&amp;Fuel'!M165)</f>
        <v>194711.23243911756</v>
      </c>
      <c r="U165" s="1">
        <f>S165*B165*'Prices&amp;Fuel'!M165</f>
        <v>0</v>
      </c>
      <c r="V165" s="1">
        <f>35793-20000</f>
        <v>15793</v>
      </c>
      <c r="W165" s="13">
        <f t="shared" si="47"/>
        <v>0</v>
      </c>
    </row>
    <row r="166" spans="1:23" x14ac:dyDescent="0.2">
      <c r="A166" s="10">
        <f t="shared" ref="A166:A212" si="53">+A165+365/12</f>
        <v>40646.083333332943</v>
      </c>
      <c r="B166" s="3">
        <v>30</v>
      </c>
      <c r="C166" s="12">
        <v>-7.3089615021687759E-2</v>
      </c>
      <c r="E166" s="44">
        <v>5.9999999999997833E-3</v>
      </c>
      <c r="F166" s="3">
        <f>7761-828</f>
        <v>6933</v>
      </c>
      <c r="G166" s="3">
        <f>14039-5241</f>
        <v>8798</v>
      </c>
      <c r="H166" s="3">
        <f>18200-3931</f>
        <v>14269</v>
      </c>
      <c r="I166" s="3">
        <v>1880</v>
      </c>
      <c r="J166" s="3">
        <v>2073</v>
      </c>
      <c r="K166" s="3">
        <v>1258</v>
      </c>
      <c r="L166" s="3">
        <v>683</v>
      </c>
      <c r="M166" s="1">
        <f t="shared" ref="M166:M181" si="54">F166+I166</f>
        <v>8813</v>
      </c>
      <c r="N166" s="1">
        <f t="shared" ref="N166:N181" si="55">G166+J166+L166</f>
        <v>11554</v>
      </c>
      <c r="O166" s="1">
        <f t="shared" si="52"/>
        <v>15527</v>
      </c>
      <c r="P166" s="1">
        <f t="shared" ref="P166:P181" si="56">SUM(M166:O166)</f>
        <v>35894</v>
      </c>
      <c r="Q166" s="1">
        <f>'Index Price Deals'!B166+'Index Price Deals'!C166+'Index Price Deals'!D166-'Prices&amp;Fuel'!AE166</f>
        <v>0</v>
      </c>
      <c r="R166" s="3">
        <f>('Long Term Deals'!BB166+'Long Term Deals'!BC166+'Long Term Deals'!BD166+'Long Term Deals'!BE166+'Long Term Deals'!BF166+'Long Term Deals'!BG166)*(1-'Prices&amp;Fuel'!F166)</f>
        <v>12000</v>
      </c>
      <c r="S166" s="13">
        <f t="shared" si="46"/>
        <v>0</v>
      </c>
      <c r="T166" s="13">
        <f>((I166+J166+K166)*'Prices&amp;Fuel'!H166*'Prices&amp;Fuel'!L166)+('Prices&amp;Fuel'!N166*'Prices&amp;Fuel'!H166*Transport!L166)+(('Long Term Deals'!BB166+'Long Term Deals'!BC166+'Long Term Deals'!BD166)*'Prices&amp;Fuel'!H166*'Prices&amp;Fuel'!M166)</f>
        <v>208796.53116855701</v>
      </c>
      <c r="U166" s="1">
        <f>S166*B166*'Prices&amp;Fuel'!M166</f>
        <v>0</v>
      </c>
      <c r="V166" s="1">
        <f>33894-10000</f>
        <v>23894</v>
      </c>
      <c r="W166" s="13">
        <f t="shared" si="47"/>
        <v>0</v>
      </c>
    </row>
    <row r="167" spans="1:23" x14ac:dyDescent="0.2">
      <c r="A167" s="10">
        <f t="shared" si="53"/>
        <v>40676.499999999607</v>
      </c>
      <c r="B167" s="3">
        <v>31</v>
      </c>
      <c r="C167" s="12">
        <v>-7.5643027010085628E-2</v>
      </c>
      <c r="E167" s="44">
        <v>5.9999999999997833E-3</v>
      </c>
      <c r="F167" s="3">
        <v>8730</v>
      </c>
      <c r="G167" s="3">
        <f>15795-5034</f>
        <v>10761</v>
      </c>
      <c r="H167" s="3">
        <f>20475-4966</f>
        <v>15509</v>
      </c>
      <c r="I167" s="3">
        <v>1880</v>
      </c>
      <c r="J167" s="3">
        <v>2295</v>
      </c>
      <c r="K167" s="3">
        <v>1036</v>
      </c>
      <c r="L167" s="3">
        <v>683</v>
      </c>
      <c r="M167" s="1">
        <f t="shared" si="54"/>
        <v>10610</v>
      </c>
      <c r="N167" s="1">
        <f t="shared" si="55"/>
        <v>13739</v>
      </c>
      <c r="O167" s="1">
        <f t="shared" si="52"/>
        <v>16545</v>
      </c>
      <c r="P167" s="1">
        <f t="shared" si="56"/>
        <v>40894</v>
      </c>
      <c r="Q167" s="1">
        <f>'Index Price Deals'!B167+'Index Price Deals'!C167+'Index Price Deals'!D167-'Prices&amp;Fuel'!AE167</f>
        <v>0</v>
      </c>
      <c r="R167" s="3">
        <f>('Long Term Deals'!BB167+'Long Term Deals'!BC167+'Long Term Deals'!BD167+'Long Term Deals'!BE167+'Long Term Deals'!BF167+'Long Term Deals'!BG167)*(1-'Prices&amp;Fuel'!F167)</f>
        <v>20999.999999999862</v>
      </c>
      <c r="S167" s="13">
        <f t="shared" si="46"/>
        <v>1.3824319466948509E-10</v>
      </c>
      <c r="T167" s="13">
        <f>((I167+J167+K167)*'Prices&amp;Fuel'!H167*'Prices&amp;Fuel'!L167)+('Prices&amp;Fuel'!N167*'Prices&amp;Fuel'!H167*Transport!L167)+(('Long Term Deals'!BB167+'Long Term Deals'!BC167+'Long Term Deals'!BD167)*'Prices&amp;Fuel'!H167*'Prices&amp;Fuel'!M167)</f>
        <v>426562.79086217581</v>
      </c>
      <c r="U167" s="1">
        <f>S167*B167*'Prices&amp;Fuel'!M167</f>
        <v>3.1490140827372673E-9</v>
      </c>
      <c r="V167" s="1">
        <f>29894-10000</f>
        <v>19894</v>
      </c>
      <c r="W167" s="13">
        <f t="shared" si="47"/>
        <v>1.3824319466948509E-10</v>
      </c>
    </row>
    <row r="168" spans="1:23" x14ac:dyDescent="0.2">
      <c r="A168" s="10">
        <f t="shared" si="53"/>
        <v>40706.916666666271</v>
      </c>
      <c r="B168" s="3">
        <v>30</v>
      </c>
      <c r="C168" s="12">
        <v>-7.5646181823853187E-2</v>
      </c>
      <c r="E168" s="44">
        <v>5.9999999999997833E-3</v>
      </c>
      <c r="F168" s="3">
        <v>8730</v>
      </c>
      <c r="G168" s="3">
        <f>15795-5034</f>
        <v>10761</v>
      </c>
      <c r="H168" s="3">
        <f>20475-4966</f>
        <v>15509</v>
      </c>
      <c r="I168" s="3">
        <v>1880</v>
      </c>
      <c r="J168" s="3">
        <v>2295</v>
      </c>
      <c r="K168" s="3">
        <v>1036</v>
      </c>
      <c r="L168" s="3">
        <v>683</v>
      </c>
      <c r="M168" s="1">
        <f t="shared" si="54"/>
        <v>10610</v>
      </c>
      <c r="N168" s="1">
        <f t="shared" si="55"/>
        <v>13739</v>
      </c>
      <c r="O168" s="1">
        <f t="shared" si="52"/>
        <v>16545</v>
      </c>
      <c r="P168" s="1">
        <f t="shared" si="56"/>
        <v>40894</v>
      </c>
      <c r="Q168" s="1">
        <f>'Index Price Deals'!B168+'Index Price Deals'!C168+'Index Price Deals'!D168-'Prices&amp;Fuel'!AE168</f>
        <v>0</v>
      </c>
      <c r="R168" s="3">
        <f>('Long Term Deals'!BB168+'Long Term Deals'!BC168+'Long Term Deals'!BD168+'Long Term Deals'!BE168+'Long Term Deals'!BF168+'Long Term Deals'!BG168)*(1-'Prices&amp;Fuel'!F168)</f>
        <v>20999.999999999862</v>
      </c>
      <c r="S168" s="13">
        <f t="shared" si="46"/>
        <v>1.3824319466948509E-10</v>
      </c>
      <c r="T168" s="13">
        <f>((I168+J168+K168)*'Prices&amp;Fuel'!H168*'Prices&amp;Fuel'!L168)+('Prices&amp;Fuel'!N168*'Prices&amp;Fuel'!H168*Transport!L168)+(('Long Term Deals'!BB168+'Long Term Deals'!BC168+'Long Term Deals'!BD168)*'Prices&amp;Fuel'!H168*'Prices&amp;Fuel'!M168)</f>
        <v>412802.7008343637</v>
      </c>
      <c r="U168" s="1">
        <f>S168*B168*'Prices&amp;Fuel'!M168</f>
        <v>3.0474329832941295E-9</v>
      </c>
      <c r="V168" s="1">
        <f>29894-10000</f>
        <v>19894</v>
      </c>
      <c r="W168" s="13">
        <f t="shared" si="47"/>
        <v>1.3824319466948509E-10</v>
      </c>
    </row>
    <row r="169" spans="1:23" x14ac:dyDescent="0.2">
      <c r="A169" s="10">
        <f t="shared" si="53"/>
        <v>40737.333333332936</v>
      </c>
      <c r="B169" s="3">
        <v>31</v>
      </c>
      <c r="C169" s="12">
        <v>-8.0148074712113715E-2</v>
      </c>
      <c r="E169" s="44">
        <v>9.4999999999998419E-3</v>
      </c>
      <c r="F169" s="3">
        <v>8730</v>
      </c>
      <c r="G169" s="3">
        <f>15795-5034</f>
        <v>10761</v>
      </c>
      <c r="H169" s="3">
        <f>20475-4966</f>
        <v>15509</v>
      </c>
      <c r="I169" s="3">
        <v>1880</v>
      </c>
      <c r="J169" s="3">
        <v>2295</v>
      </c>
      <c r="K169" s="3">
        <v>1036</v>
      </c>
      <c r="L169" s="3">
        <v>683</v>
      </c>
      <c r="M169" s="1">
        <f t="shared" si="54"/>
        <v>10610</v>
      </c>
      <c r="N169" s="1">
        <f t="shared" si="55"/>
        <v>13739</v>
      </c>
      <c r="O169" s="1">
        <f t="shared" si="52"/>
        <v>16545</v>
      </c>
      <c r="P169" s="1">
        <f t="shared" si="56"/>
        <v>40894</v>
      </c>
      <c r="Q169" s="1">
        <f>'Index Price Deals'!B169+'Index Price Deals'!C169+'Index Price Deals'!D169-'Prices&amp;Fuel'!AE169</f>
        <v>0</v>
      </c>
      <c r="R169" s="3">
        <f>('Long Term Deals'!BB169+'Long Term Deals'!BC169+'Long Term Deals'!BD169+'Long Term Deals'!BE169+'Long Term Deals'!BF169+'Long Term Deals'!BG169)*(1-'Prices&amp;Fuel'!F169)</f>
        <v>20999.999999999862</v>
      </c>
      <c r="S169" s="13">
        <f t="shared" si="46"/>
        <v>1.3824319466948509E-10</v>
      </c>
      <c r="T169" s="13">
        <f>((I169+J169+K169)*'Prices&amp;Fuel'!H169*'Prices&amp;Fuel'!L169)+('Prices&amp;Fuel'!N169*'Prices&amp;Fuel'!H169*Transport!L169)+(('Long Term Deals'!BB169+'Long Term Deals'!BC169+'Long Term Deals'!BD169)*'Prices&amp;Fuel'!H169*'Prices&amp;Fuel'!M169)</f>
        <v>426562.79086217581</v>
      </c>
      <c r="U169" s="1">
        <f>S169*B169*'Prices&amp;Fuel'!M169</f>
        <v>3.1490140827372673E-9</v>
      </c>
      <c r="V169" s="1">
        <f>29894-10000</f>
        <v>19894</v>
      </c>
      <c r="W169" s="13">
        <f t="shared" si="47"/>
        <v>1.3824319466948509E-10</v>
      </c>
    </row>
    <row r="170" spans="1:23" x14ac:dyDescent="0.2">
      <c r="A170" s="10">
        <f t="shared" si="53"/>
        <v>40767.7499999996</v>
      </c>
      <c r="B170" s="3">
        <v>31</v>
      </c>
      <c r="C170" s="12">
        <v>-8.015186048863443E-2</v>
      </c>
      <c r="E170" s="44">
        <v>9.4999999999996199E-3</v>
      </c>
      <c r="F170" s="3">
        <v>8730</v>
      </c>
      <c r="G170" s="3">
        <f>15795-5034</f>
        <v>10761</v>
      </c>
      <c r="H170" s="3">
        <f>20475-4966</f>
        <v>15509</v>
      </c>
      <c r="I170" s="3">
        <v>1880</v>
      </c>
      <c r="J170" s="3">
        <v>2295</v>
      </c>
      <c r="K170" s="3">
        <v>1036</v>
      </c>
      <c r="L170" s="3">
        <v>683</v>
      </c>
      <c r="M170" s="1">
        <f t="shared" si="54"/>
        <v>10610</v>
      </c>
      <c r="N170" s="1">
        <f t="shared" si="55"/>
        <v>13739</v>
      </c>
      <c r="O170" s="1">
        <f t="shared" si="52"/>
        <v>16545</v>
      </c>
      <c r="P170" s="1">
        <f t="shared" si="56"/>
        <v>40894</v>
      </c>
      <c r="Q170" s="1">
        <f>'Index Price Deals'!B170+'Index Price Deals'!C170+'Index Price Deals'!D170-'Prices&amp;Fuel'!AE170</f>
        <v>0</v>
      </c>
      <c r="R170" s="3">
        <f>('Long Term Deals'!BB170+'Long Term Deals'!BC170+'Long Term Deals'!BD170+'Long Term Deals'!BE170+'Long Term Deals'!BF170+'Long Term Deals'!BG170)*(1-'Prices&amp;Fuel'!F170)</f>
        <v>20999.999999999862</v>
      </c>
      <c r="S170" s="13">
        <f t="shared" si="46"/>
        <v>1.3824319466948509E-10</v>
      </c>
      <c r="T170" s="13">
        <f>((I170+J170+K170)*'Prices&amp;Fuel'!H170*'Prices&amp;Fuel'!L170)+('Prices&amp;Fuel'!N170*'Prices&amp;Fuel'!H170*Transport!L170)+(('Long Term Deals'!BB170+'Long Term Deals'!BC170+'Long Term Deals'!BD170)*'Prices&amp;Fuel'!H170*'Prices&amp;Fuel'!M170)</f>
        <v>426562.79086217581</v>
      </c>
      <c r="U170" s="1">
        <f>S170*B170*'Prices&amp;Fuel'!M170</f>
        <v>3.1490140827372673E-9</v>
      </c>
      <c r="V170" s="1">
        <f>29894-10000</f>
        <v>19894</v>
      </c>
      <c r="W170" s="13">
        <f t="shared" si="47"/>
        <v>1.3824319466948509E-10</v>
      </c>
    </row>
    <row r="171" spans="1:23" x14ac:dyDescent="0.2">
      <c r="A171" s="10">
        <f t="shared" si="53"/>
        <v>40798.166666666264</v>
      </c>
      <c r="B171" s="3">
        <v>30</v>
      </c>
      <c r="C171" s="12">
        <v>-8.0158170116169991E-2</v>
      </c>
      <c r="E171" s="44">
        <v>9.4999999999996199E-3</v>
      </c>
      <c r="F171" s="3">
        <v>8730</v>
      </c>
      <c r="G171" s="3">
        <f>15795-5034</f>
        <v>10761</v>
      </c>
      <c r="H171" s="3">
        <f>20475-4966</f>
        <v>15509</v>
      </c>
      <c r="I171" s="3">
        <v>1880</v>
      </c>
      <c r="J171" s="3">
        <v>2295</v>
      </c>
      <c r="K171" s="3">
        <v>1036</v>
      </c>
      <c r="L171" s="3">
        <v>683</v>
      </c>
      <c r="M171" s="1">
        <f t="shared" si="54"/>
        <v>10610</v>
      </c>
      <c r="N171" s="1">
        <f t="shared" si="55"/>
        <v>13739</v>
      </c>
      <c r="O171" s="1">
        <f t="shared" si="52"/>
        <v>16545</v>
      </c>
      <c r="P171" s="1">
        <f t="shared" si="56"/>
        <v>40894</v>
      </c>
      <c r="Q171" s="1">
        <f>'Index Price Deals'!B171+'Index Price Deals'!C171+'Index Price Deals'!D171-'Prices&amp;Fuel'!AE171</f>
        <v>0</v>
      </c>
      <c r="R171" s="3">
        <f>('Long Term Deals'!BB171+'Long Term Deals'!BC171+'Long Term Deals'!BD171+'Long Term Deals'!BE171+'Long Term Deals'!BF171+'Long Term Deals'!BG171)*(1-'Prices&amp;Fuel'!F171)</f>
        <v>20999.999999999862</v>
      </c>
      <c r="S171" s="13">
        <f t="shared" si="46"/>
        <v>1.3824319466948509E-10</v>
      </c>
      <c r="T171" s="13">
        <f>((I171+J171+K171)*'Prices&amp;Fuel'!H171*'Prices&amp;Fuel'!L171)+('Prices&amp;Fuel'!N171*'Prices&amp;Fuel'!H171*Transport!L171)+(('Long Term Deals'!BB171+'Long Term Deals'!BC171+'Long Term Deals'!BD171)*'Prices&amp;Fuel'!H171*'Prices&amp;Fuel'!M171)</f>
        <v>412802.7008343637</v>
      </c>
      <c r="U171" s="1">
        <f>S171*B171*'Prices&amp;Fuel'!M171</f>
        <v>3.0474329832941295E-9</v>
      </c>
      <c r="V171" s="1">
        <f>29894-10000</f>
        <v>19894</v>
      </c>
      <c r="W171" s="13">
        <f t="shared" si="47"/>
        <v>1.3824319466948509E-10</v>
      </c>
    </row>
    <row r="172" spans="1:23" x14ac:dyDescent="0.2">
      <c r="A172" s="10">
        <f t="shared" si="53"/>
        <v>40828.583333332928</v>
      </c>
      <c r="B172" s="3">
        <v>31</v>
      </c>
      <c r="C172" s="12">
        <v>-8.2579893137861404E-2</v>
      </c>
      <c r="E172" s="44">
        <v>1.4499999999999957E-2</v>
      </c>
      <c r="F172" s="3">
        <f>8730-0</f>
        <v>8730</v>
      </c>
      <c r="G172" s="3">
        <f>15795-5434</f>
        <v>10361</v>
      </c>
      <c r="H172" s="3">
        <f>20475-4566</f>
        <v>15909</v>
      </c>
      <c r="I172" s="3">
        <v>2830</v>
      </c>
      <c r="J172" s="3">
        <v>3500</v>
      </c>
      <c r="K172" s="3">
        <v>1521</v>
      </c>
      <c r="L172" s="3">
        <v>1001</v>
      </c>
      <c r="M172" s="1">
        <f t="shared" si="54"/>
        <v>11560</v>
      </c>
      <c r="N172" s="1">
        <f t="shared" si="55"/>
        <v>14862</v>
      </c>
      <c r="O172" s="1">
        <f t="shared" si="52"/>
        <v>17430</v>
      </c>
      <c r="P172" s="1">
        <f t="shared" si="56"/>
        <v>43852</v>
      </c>
      <c r="Q172" s="1">
        <f>'Index Price Deals'!B172+'Index Price Deals'!C172+'Index Price Deals'!D172-'Prices&amp;Fuel'!AE172</f>
        <v>0</v>
      </c>
      <c r="R172" s="3">
        <f>('Long Term Deals'!BB172+'Long Term Deals'!BC172+'Long Term Deals'!BD172+'Long Term Deals'!BE172+'Long Term Deals'!BF172+'Long Term Deals'!BG172)*(1-'Prices&amp;Fuel'!F172)</f>
        <v>20999.999999999807</v>
      </c>
      <c r="S172" s="13">
        <f t="shared" si="46"/>
        <v>1.9281287677586079E-10</v>
      </c>
      <c r="T172" s="13">
        <f>((I172+J172+K172)*'Prices&amp;Fuel'!H172*'Prices&amp;Fuel'!L172)+('Prices&amp;Fuel'!N172*'Prices&amp;Fuel'!H172*Transport!L172)+(('Long Term Deals'!BB172+'Long Term Deals'!BC172+'Long Term Deals'!BD172)*'Prices&amp;Fuel'!H172*'Prices&amp;Fuel'!M172)</f>
        <v>393781.51039092557</v>
      </c>
      <c r="U172" s="1">
        <f>S172*B172*'Prices&amp;Fuel'!M172</f>
        <v>4.3920459575019776E-9</v>
      </c>
      <c r="V172" s="1">
        <f>32852-10000</f>
        <v>22852</v>
      </c>
      <c r="W172" s="13">
        <f t="shared" si="47"/>
        <v>1.9281287677586079E-10</v>
      </c>
    </row>
    <row r="173" spans="1:23" x14ac:dyDescent="0.2">
      <c r="A173" s="10">
        <f t="shared" si="53"/>
        <v>40858.999999999593</v>
      </c>
      <c r="B173" s="3">
        <v>30</v>
      </c>
      <c r="C173" s="12">
        <v>-0.1275521163269282</v>
      </c>
      <c r="E173" s="44">
        <v>1.9499999999999851E-2</v>
      </c>
      <c r="F173" s="3">
        <f>7761-1128-1707</f>
        <v>4926</v>
      </c>
      <c r="G173" s="3">
        <f>14039-666-3474-4167</f>
        <v>5732</v>
      </c>
      <c r="H173" s="3">
        <f>18200-4732-4126</f>
        <v>9342</v>
      </c>
      <c r="I173" s="3">
        <v>2563</v>
      </c>
      <c r="J173" s="3">
        <v>2862</v>
      </c>
      <c r="K173" s="3">
        <v>1685</v>
      </c>
      <c r="L173" s="3">
        <v>683</v>
      </c>
      <c r="M173" s="1">
        <f t="shared" si="54"/>
        <v>7489</v>
      </c>
      <c r="N173" s="1">
        <f t="shared" si="55"/>
        <v>9277</v>
      </c>
      <c r="O173" s="1">
        <f t="shared" si="52"/>
        <v>11027</v>
      </c>
      <c r="P173" s="1">
        <f t="shared" si="56"/>
        <v>27793</v>
      </c>
      <c r="Q173" s="1">
        <f>'Index Price Deals'!B173+'Index Price Deals'!C173+'Index Price Deals'!D173-'Prices&amp;Fuel'!AE173</f>
        <v>0</v>
      </c>
      <c r="R173" s="3">
        <f>('Long Term Deals'!BB173+'Long Term Deals'!BC173+'Long Term Deals'!BD173+'Long Term Deals'!BE173+'Long Term Deals'!BF173+'Long Term Deals'!BG173)*(1-'Prices&amp;Fuel'!F173)</f>
        <v>11999.999999999998</v>
      </c>
      <c r="S173" s="13">
        <f t="shared" si="46"/>
        <v>0</v>
      </c>
      <c r="T173" s="13">
        <f>((I173+J173+K173)*'Prices&amp;Fuel'!H173*'Prices&amp;Fuel'!L173)+('Prices&amp;Fuel'!N173*'Prices&amp;Fuel'!H173*Transport!L173)+(('Long Term Deals'!BB173+'Long Term Deals'!BC173+'Long Term Deals'!BD173)*'Prices&amp;Fuel'!H173*'Prices&amp;Fuel'!M173)</f>
        <v>188430.22494108154</v>
      </c>
      <c r="U173" s="1">
        <f>S173*B173*'Prices&amp;Fuel'!M173</f>
        <v>0</v>
      </c>
      <c r="V173" s="1">
        <f>35793-20000</f>
        <v>15793</v>
      </c>
      <c r="W173" s="13">
        <f t="shared" si="47"/>
        <v>0</v>
      </c>
    </row>
    <row r="174" spans="1:23" x14ac:dyDescent="0.2">
      <c r="A174" s="10">
        <f t="shared" si="53"/>
        <v>40889.416666666257</v>
      </c>
      <c r="B174" s="3">
        <v>31</v>
      </c>
      <c r="C174" s="12">
        <v>-0.16251461763216968</v>
      </c>
      <c r="E174" s="44">
        <v>2.4500000000000188E-2</v>
      </c>
      <c r="F174" s="3">
        <f>7761-1128-1707</f>
        <v>4926</v>
      </c>
      <c r="G174" s="3">
        <f>14039-666-3474-4167</f>
        <v>5732</v>
      </c>
      <c r="H174" s="3">
        <f>18200-4732-4126</f>
        <v>9342</v>
      </c>
      <c r="I174" s="3">
        <v>2563</v>
      </c>
      <c r="J174" s="3">
        <v>2862</v>
      </c>
      <c r="K174" s="3">
        <v>1685</v>
      </c>
      <c r="L174" s="3">
        <v>683</v>
      </c>
      <c r="M174" s="1">
        <f t="shared" si="54"/>
        <v>7489</v>
      </c>
      <c r="N174" s="1">
        <f t="shared" si="55"/>
        <v>9277</v>
      </c>
      <c r="O174" s="1">
        <f t="shared" si="52"/>
        <v>11027</v>
      </c>
      <c r="P174" s="1">
        <f t="shared" si="56"/>
        <v>27793</v>
      </c>
      <c r="Q174" s="1">
        <f>'Index Price Deals'!B174+'Index Price Deals'!C174+'Index Price Deals'!D174-'Prices&amp;Fuel'!AE174</f>
        <v>0</v>
      </c>
      <c r="R174" s="3">
        <f>('Long Term Deals'!BB174+'Long Term Deals'!BC174+'Long Term Deals'!BD174+'Long Term Deals'!BE174+'Long Term Deals'!BF174+'Long Term Deals'!BG174)*(1-'Prices&amp;Fuel'!F174)</f>
        <v>11999.999999999998</v>
      </c>
      <c r="S174" s="13">
        <f t="shared" si="46"/>
        <v>0</v>
      </c>
      <c r="T174" s="13">
        <f>((I174+J174+K174)*'Prices&amp;Fuel'!H174*'Prices&amp;Fuel'!L174)+('Prices&amp;Fuel'!N174*'Prices&amp;Fuel'!H174*Transport!L174)+(('Long Term Deals'!BB174+'Long Term Deals'!BC174+'Long Term Deals'!BD174)*'Prices&amp;Fuel'!H174*'Prices&amp;Fuel'!M174)</f>
        <v>194711.23243911756</v>
      </c>
      <c r="U174" s="1">
        <f>S174*B174*'Prices&amp;Fuel'!M174</f>
        <v>0</v>
      </c>
      <c r="V174" s="1">
        <f>35793-20000</f>
        <v>15793</v>
      </c>
      <c r="W174" s="13">
        <f t="shared" si="47"/>
        <v>0</v>
      </c>
    </row>
    <row r="175" spans="1:23" x14ac:dyDescent="0.2">
      <c r="A175" s="10">
        <f t="shared" si="53"/>
        <v>40919.833333332921</v>
      </c>
      <c r="B175" s="3">
        <v>31</v>
      </c>
      <c r="C175" s="12">
        <v>-0.14750906226998328</v>
      </c>
      <c r="E175" s="44">
        <v>2.4500000000000188E-2</v>
      </c>
      <c r="F175" s="3">
        <f>7761-1128-1707</f>
        <v>4926</v>
      </c>
      <c r="G175" s="3">
        <f>14039-666-3474-4167</f>
        <v>5732</v>
      </c>
      <c r="H175" s="3">
        <f>18200-4732-4126</f>
        <v>9342</v>
      </c>
      <c r="I175" s="3">
        <v>2563</v>
      </c>
      <c r="J175" s="3">
        <v>2862</v>
      </c>
      <c r="K175" s="3">
        <v>1685</v>
      </c>
      <c r="L175" s="3">
        <v>683</v>
      </c>
      <c r="M175" s="1">
        <f t="shared" si="54"/>
        <v>7489</v>
      </c>
      <c r="N175" s="1">
        <f t="shared" si="55"/>
        <v>9277</v>
      </c>
      <c r="O175" s="1">
        <f t="shared" si="52"/>
        <v>11027</v>
      </c>
      <c r="P175" s="1">
        <f t="shared" si="56"/>
        <v>27793</v>
      </c>
      <c r="Q175" s="1">
        <f>'Index Price Deals'!B175+'Index Price Deals'!C175+'Index Price Deals'!D175-'Prices&amp;Fuel'!AE175</f>
        <v>0</v>
      </c>
      <c r="R175" s="3">
        <f>('Long Term Deals'!BB175+'Long Term Deals'!BC175+'Long Term Deals'!BD175+'Long Term Deals'!BE175+'Long Term Deals'!BF175+'Long Term Deals'!BG175)*(1-'Prices&amp;Fuel'!F175)</f>
        <v>11999.999999999998</v>
      </c>
      <c r="S175" s="13">
        <f t="shared" si="46"/>
        <v>0</v>
      </c>
      <c r="T175" s="13">
        <f>((I175+J175+K175)*'Prices&amp;Fuel'!H175*'Prices&amp;Fuel'!L175)+('Prices&amp;Fuel'!N175*'Prices&amp;Fuel'!H175*Transport!L175)+(('Long Term Deals'!BB175+'Long Term Deals'!BC175+'Long Term Deals'!BD175)*'Prices&amp;Fuel'!H175*'Prices&amp;Fuel'!M175)</f>
        <v>194448.47024392168</v>
      </c>
      <c r="U175" s="1">
        <f>S175*B175*'Prices&amp;Fuel'!M175</f>
        <v>0</v>
      </c>
      <c r="V175" s="1">
        <f>35793-20000</f>
        <v>15793</v>
      </c>
      <c r="W175" s="13">
        <f t="shared" si="47"/>
        <v>0</v>
      </c>
    </row>
    <row r="176" spans="1:23" x14ac:dyDescent="0.2">
      <c r="A176" s="10">
        <f t="shared" si="53"/>
        <v>40950.249999999585</v>
      </c>
      <c r="B176" s="3">
        <v>29</v>
      </c>
      <c r="C176" s="12">
        <v>-0.14753683908091553</v>
      </c>
      <c r="E176" s="44">
        <v>2.4500000000000188E-2</v>
      </c>
      <c r="F176" s="3">
        <f>7761-1128-1707</f>
        <v>4926</v>
      </c>
      <c r="G176" s="3">
        <f>14039-666-3474-4167</f>
        <v>5732</v>
      </c>
      <c r="H176" s="3">
        <f>18200-4732-4126</f>
        <v>9342</v>
      </c>
      <c r="I176" s="3">
        <v>2563</v>
      </c>
      <c r="J176" s="3">
        <v>2862</v>
      </c>
      <c r="K176" s="3">
        <v>1685</v>
      </c>
      <c r="L176" s="3">
        <v>683</v>
      </c>
      <c r="M176" s="1">
        <f t="shared" si="54"/>
        <v>7489</v>
      </c>
      <c r="N176" s="1">
        <f t="shared" si="55"/>
        <v>9277</v>
      </c>
      <c r="O176" s="1">
        <f t="shared" si="52"/>
        <v>11027</v>
      </c>
      <c r="P176" s="1">
        <f t="shared" si="56"/>
        <v>27793</v>
      </c>
      <c r="Q176" s="1">
        <f>'Index Price Deals'!B176+'Index Price Deals'!C176+'Index Price Deals'!D176-'Prices&amp;Fuel'!AE176</f>
        <v>0</v>
      </c>
      <c r="R176" s="3">
        <f>('Long Term Deals'!BB176+'Long Term Deals'!BC176+'Long Term Deals'!BD176+'Long Term Deals'!BE176+'Long Term Deals'!BF176+'Long Term Deals'!BG176)*(1-'Prices&amp;Fuel'!F176)</f>
        <v>11999.999999999998</v>
      </c>
      <c r="S176" s="13">
        <f t="shared" si="46"/>
        <v>0</v>
      </c>
      <c r="T176" s="13">
        <f>((I176+J176+K176)*'Prices&amp;Fuel'!H176*'Prices&amp;Fuel'!L176)+('Prices&amp;Fuel'!N176*'Prices&amp;Fuel'!H176*Transport!L176)+(('Long Term Deals'!BB176+'Long Term Deals'!BC176+'Long Term Deals'!BD176)*'Prices&amp;Fuel'!H176*'Prices&amp;Fuel'!M176)</f>
        <v>181903.40764753963</v>
      </c>
      <c r="U176" s="1">
        <f>S176*B176*'Prices&amp;Fuel'!M176</f>
        <v>0</v>
      </c>
      <c r="V176" s="1">
        <f>35793-20000</f>
        <v>15793</v>
      </c>
      <c r="W176" s="13">
        <f t="shared" si="47"/>
        <v>0</v>
      </c>
    </row>
    <row r="177" spans="1:23" x14ac:dyDescent="0.2">
      <c r="A177" s="10">
        <f t="shared" si="53"/>
        <v>40980.66666666625</v>
      </c>
      <c r="B177" s="3">
        <v>31</v>
      </c>
      <c r="C177" s="12">
        <v>-0.12257260172499196</v>
      </c>
      <c r="E177" s="44">
        <v>1.9500000000000295E-2</v>
      </c>
      <c r="F177" s="3">
        <f>7761-1128-1707</f>
        <v>4926</v>
      </c>
      <c r="G177" s="3">
        <f>14039-666-3474-4167</f>
        <v>5732</v>
      </c>
      <c r="H177" s="3">
        <f>18200-4732-4126</f>
        <v>9342</v>
      </c>
      <c r="I177" s="3">
        <v>2563</v>
      </c>
      <c r="J177" s="3">
        <v>2862</v>
      </c>
      <c r="K177" s="3">
        <v>1685</v>
      </c>
      <c r="L177" s="3">
        <v>683</v>
      </c>
      <c r="M177" s="1">
        <f t="shared" si="54"/>
        <v>7489</v>
      </c>
      <c r="N177" s="1">
        <f t="shared" si="55"/>
        <v>9277</v>
      </c>
      <c r="O177" s="1">
        <f t="shared" si="52"/>
        <v>11027</v>
      </c>
      <c r="P177" s="1">
        <f t="shared" si="56"/>
        <v>27793</v>
      </c>
      <c r="Q177" s="1">
        <f>'Index Price Deals'!B177+'Index Price Deals'!C177+'Index Price Deals'!D177-'Prices&amp;Fuel'!AE177</f>
        <v>0</v>
      </c>
      <c r="R177" s="3">
        <f>('Long Term Deals'!BB177+'Long Term Deals'!BC177+'Long Term Deals'!BD177+'Long Term Deals'!BE177+'Long Term Deals'!BF177+'Long Term Deals'!BG177)*(1-'Prices&amp;Fuel'!F177)</f>
        <v>11999.999999999998</v>
      </c>
      <c r="S177" s="13">
        <f t="shared" si="46"/>
        <v>0</v>
      </c>
      <c r="T177" s="13">
        <f>((I177+J177+K177)*'Prices&amp;Fuel'!H177*'Prices&amp;Fuel'!L177)+('Prices&amp;Fuel'!N177*'Prices&amp;Fuel'!H177*Transport!L177)+(('Long Term Deals'!BB177+'Long Term Deals'!BC177+'Long Term Deals'!BD177)*'Prices&amp;Fuel'!H177*'Prices&amp;Fuel'!M177)</f>
        <v>194448.47024392168</v>
      </c>
      <c r="U177" s="1">
        <f>S177*B177*'Prices&amp;Fuel'!M177</f>
        <v>0</v>
      </c>
      <c r="V177" s="1">
        <f>35793-20000</f>
        <v>15793</v>
      </c>
      <c r="W177" s="13">
        <f t="shared" si="47"/>
        <v>0</v>
      </c>
    </row>
    <row r="178" spans="1:23" x14ac:dyDescent="0.2">
      <c r="A178" s="10">
        <f t="shared" si="53"/>
        <v>41011.083333332914</v>
      </c>
      <c r="B178" s="3">
        <v>30</v>
      </c>
      <c r="C178" s="12">
        <v>-7.3089615021687759E-2</v>
      </c>
      <c r="E178" s="44">
        <v>5.9999999999997833E-3</v>
      </c>
      <c r="F178" s="3">
        <f>7761-828</f>
        <v>6933</v>
      </c>
      <c r="G178" s="3">
        <f>14039-5241</f>
        <v>8798</v>
      </c>
      <c r="H178" s="3">
        <f>18200-3931</f>
        <v>14269</v>
      </c>
      <c r="I178" s="3">
        <v>1880</v>
      </c>
      <c r="J178" s="3">
        <v>2073</v>
      </c>
      <c r="K178" s="3">
        <v>1258</v>
      </c>
      <c r="L178" s="3">
        <v>683</v>
      </c>
      <c r="M178" s="1">
        <f t="shared" si="54"/>
        <v>8813</v>
      </c>
      <c r="N178" s="1">
        <f t="shared" si="55"/>
        <v>11554</v>
      </c>
      <c r="O178" s="1">
        <f t="shared" si="52"/>
        <v>15527</v>
      </c>
      <c r="P178" s="1">
        <f t="shared" si="56"/>
        <v>35894</v>
      </c>
      <c r="Q178" s="1">
        <f>'Index Price Deals'!B178+'Index Price Deals'!C178+'Index Price Deals'!D178-'Prices&amp;Fuel'!AE178</f>
        <v>0</v>
      </c>
      <c r="R178" s="3">
        <f>('Long Term Deals'!BB178+'Long Term Deals'!BC178+'Long Term Deals'!BD178+'Long Term Deals'!BE178+'Long Term Deals'!BF178+'Long Term Deals'!BG178)*(1-'Prices&amp;Fuel'!F178)</f>
        <v>12000</v>
      </c>
      <c r="S178" s="13">
        <f t="shared" si="46"/>
        <v>0</v>
      </c>
      <c r="T178" s="13">
        <f>((I178+J178+K178)*'Prices&amp;Fuel'!H178*'Prices&amp;Fuel'!L178)+('Prices&amp;Fuel'!N178*'Prices&amp;Fuel'!H178*Transport!L178)+(('Long Term Deals'!BB178+'Long Term Deals'!BC178+'Long Term Deals'!BD178)*'Prices&amp;Fuel'!H178*'Prices&amp;Fuel'!M178)</f>
        <v>208604.20964198216</v>
      </c>
      <c r="U178" s="1">
        <f>S178*B178*'Prices&amp;Fuel'!M178</f>
        <v>0</v>
      </c>
      <c r="V178" s="1">
        <f>33894-10000</f>
        <v>23894</v>
      </c>
      <c r="W178" s="13">
        <f t="shared" si="47"/>
        <v>0</v>
      </c>
    </row>
    <row r="179" spans="1:23" x14ac:dyDescent="0.2">
      <c r="A179" s="10">
        <f t="shared" si="53"/>
        <v>41041.499999999578</v>
      </c>
      <c r="B179" s="3">
        <v>31</v>
      </c>
      <c r="C179" s="12">
        <v>-7.5643027010085628E-2</v>
      </c>
      <c r="E179" s="44">
        <v>5.9999999999997833E-3</v>
      </c>
      <c r="F179" s="3">
        <v>8730</v>
      </c>
      <c r="G179" s="3">
        <f>15795-5034</f>
        <v>10761</v>
      </c>
      <c r="H179" s="3">
        <f>20475-4966</f>
        <v>15509</v>
      </c>
      <c r="I179" s="3">
        <v>1880</v>
      </c>
      <c r="J179" s="3">
        <v>2295</v>
      </c>
      <c r="K179" s="3">
        <v>1036</v>
      </c>
      <c r="L179" s="3">
        <v>683</v>
      </c>
      <c r="M179" s="1">
        <f t="shared" si="54"/>
        <v>10610</v>
      </c>
      <c r="N179" s="1">
        <f t="shared" si="55"/>
        <v>13739</v>
      </c>
      <c r="O179" s="1">
        <f t="shared" si="52"/>
        <v>16545</v>
      </c>
      <c r="P179" s="1">
        <f t="shared" si="56"/>
        <v>40894</v>
      </c>
      <c r="Q179" s="1">
        <f>'Index Price Deals'!B179+'Index Price Deals'!C179+'Index Price Deals'!D179-'Prices&amp;Fuel'!AE179</f>
        <v>0</v>
      </c>
      <c r="R179" s="3">
        <f>('Long Term Deals'!BB179+'Long Term Deals'!BC179+'Long Term Deals'!BD179+'Long Term Deals'!BE179+'Long Term Deals'!BF179+'Long Term Deals'!BG179)*(1-'Prices&amp;Fuel'!F179)</f>
        <v>20999.999999999862</v>
      </c>
      <c r="S179" s="13">
        <f t="shared" si="46"/>
        <v>1.3824319466948509E-10</v>
      </c>
      <c r="T179" s="13">
        <f>((I179+J179+K179)*'Prices&amp;Fuel'!H179*'Prices&amp;Fuel'!L179)+('Prices&amp;Fuel'!N179*'Prices&amp;Fuel'!H179*Transport!L179)+(('Long Term Deals'!BB179+'Long Term Deals'!BC179+'Long Term Deals'!BD179)*'Prices&amp;Fuel'!H179*'Prices&amp;Fuel'!M179)</f>
        <v>426364.05861804844</v>
      </c>
      <c r="U179" s="1">
        <f>S179*B179*'Prices&amp;Fuel'!M179</f>
        <v>3.1490140827372673E-9</v>
      </c>
      <c r="V179" s="1">
        <f>29894-10000</f>
        <v>19894</v>
      </c>
      <c r="W179" s="13">
        <f t="shared" si="47"/>
        <v>1.3824319466948509E-10</v>
      </c>
    </row>
    <row r="180" spans="1:23" x14ac:dyDescent="0.2">
      <c r="A180" s="10">
        <f t="shared" si="53"/>
        <v>41071.916666666242</v>
      </c>
      <c r="B180" s="3">
        <v>30</v>
      </c>
      <c r="C180" s="12">
        <v>-7.5646181823853187E-2</v>
      </c>
      <c r="E180" s="44">
        <v>5.9999999999997833E-3</v>
      </c>
      <c r="F180" s="3">
        <v>8730</v>
      </c>
      <c r="G180" s="3">
        <f>15795-5034</f>
        <v>10761</v>
      </c>
      <c r="H180" s="3">
        <f>20475-4966</f>
        <v>15509</v>
      </c>
      <c r="I180" s="3">
        <v>1880</v>
      </c>
      <c r="J180" s="3">
        <v>2295</v>
      </c>
      <c r="K180" s="3">
        <v>1036</v>
      </c>
      <c r="L180" s="3">
        <v>683</v>
      </c>
      <c r="M180" s="1">
        <f t="shared" si="54"/>
        <v>10610</v>
      </c>
      <c r="N180" s="1">
        <f t="shared" si="55"/>
        <v>13739</v>
      </c>
      <c r="O180" s="1">
        <f t="shared" si="52"/>
        <v>16545</v>
      </c>
      <c r="P180" s="1">
        <f t="shared" si="56"/>
        <v>40894</v>
      </c>
      <c r="Q180" s="1">
        <f>'Index Price Deals'!B180+'Index Price Deals'!C180+'Index Price Deals'!D180-'Prices&amp;Fuel'!AE180</f>
        <v>0</v>
      </c>
      <c r="R180" s="3">
        <f>('Long Term Deals'!BB180+'Long Term Deals'!BC180+'Long Term Deals'!BD180+'Long Term Deals'!BE180+'Long Term Deals'!BF180+'Long Term Deals'!BG180)*(1-'Prices&amp;Fuel'!F180)</f>
        <v>20999.999999999862</v>
      </c>
      <c r="S180" s="13">
        <f t="shared" si="46"/>
        <v>1.3824319466948509E-10</v>
      </c>
      <c r="T180" s="13">
        <f>((I180+J180+K180)*'Prices&amp;Fuel'!H180*'Prices&amp;Fuel'!L180)+('Prices&amp;Fuel'!N180*'Prices&amp;Fuel'!H180*Transport!L180)+(('Long Term Deals'!BB180+'Long Term Deals'!BC180+'Long Term Deals'!BD180)*'Prices&amp;Fuel'!H180*'Prices&amp;Fuel'!M180)</f>
        <v>412610.37930778885</v>
      </c>
      <c r="U180" s="1">
        <f>S180*B180*'Prices&amp;Fuel'!M180</f>
        <v>3.0474329832941295E-9</v>
      </c>
      <c r="V180" s="1">
        <f>29894-10000</f>
        <v>19894</v>
      </c>
      <c r="W180" s="13">
        <f t="shared" si="47"/>
        <v>1.3824319466948509E-10</v>
      </c>
    </row>
    <row r="181" spans="1:23" x14ac:dyDescent="0.2">
      <c r="A181" s="10">
        <f t="shared" si="53"/>
        <v>41102.333333332906</v>
      </c>
      <c r="B181" s="3">
        <v>31</v>
      </c>
      <c r="C181" s="12">
        <v>-8.0148074712113715E-2</v>
      </c>
      <c r="E181" s="44">
        <v>9.4999999999998419E-3</v>
      </c>
      <c r="F181" s="3">
        <v>8730</v>
      </c>
      <c r="G181" s="3">
        <f>15795-5034</f>
        <v>10761</v>
      </c>
      <c r="H181" s="3">
        <f>20475-4966</f>
        <v>15509</v>
      </c>
      <c r="I181" s="3">
        <v>1880</v>
      </c>
      <c r="J181" s="3">
        <v>2295</v>
      </c>
      <c r="K181" s="3">
        <v>1036</v>
      </c>
      <c r="L181" s="3">
        <v>683</v>
      </c>
      <c r="M181" s="1">
        <f t="shared" si="54"/>
        <v>10610</v>
      </c>
      <c r="N181" s="1">
        <f t="shared" si="55"/>
        <v>13739</v>
      </c>
      <c r="O181" s="1">
        <f t="shared" ref="O181:O195" si="57">H181+K181</f>
        <v>16545</v>
      </c>
      <c r="P181" s="1">
        <f t="shared" si="56"/>
        <v>40894</v>
      </c>
      <c r="Q181" s="1">
        <f>'Index Price Deals'!B181+'Index Price Deals'!C181+'Index Price Deals'!D181-'Prices&amp;Fuel'!AE181</f>
        <v>0</v>
      </c>
      <c r="R181" s="3">
        <f>('Long Term Deals'!BB181+'Long Term Deals'!BC181+'Long Term Deals'!BD181+'Long Term Deals'!BE181+'Long Term Deals'!BF181+'Long Term Deals'!BG181)*(1-'Prices&amp;Fuel'!F181)</f>
        <v>20999.999999999862</v>
      </c>
      <c r="S181" s="13">
        <f t="shared" si="46"/>
        <v>1.3824319466948509E-10</v>
      </c>
      <c r="T181" s="13">
        <f>((I181+J181+K181)*'Prices&amp;Fuel'!H181*'Prices&amp;Fuel'!L181)+('Prices&amp;Fuel'!N181*'Prices&amp;Fuel'!H181*Transport!L181)+(('Long Term Deals'!BB181+'Long Term Deals'!BC181+'Long Term Deals'!BD181)*'Prices&amp;Fuel'!H181*'Prices&amp;Fuel'!M181)</f>
        <v>426364.05861804844</v>
      </c>
      <c r="U181" s="1">
        <f>S181*B181*'Prices&amp;Fuel'!M181</f>
        <v>3.1490140827372673E-9</v>
      </c>
      <c r="V181" s="1">
        <f>29894-10000</f>
        <v>19894</v>
      </c>
      <c r="W181" s="13">
        <f t="shared" si="47"/>
        <v>1.3824319466948509E-10</v>
      </c>
    </row>
    <row r="182" spans="1:23" x14ac:dyDescent="0.2">
      <c r="A182" s="10">
        <f t="shared" si="53"/>
        <v>41132.749999999571</v>
      </c>
      <c r="B182" s="3">
        <v>31</v>
      </c>
      <c r="C182" s="12">
        <v>-8.015186048863443E-2</v>
      </c>
      <c r="E182" s="44">
        <v>9.4999999999996199E-3</v>
      </c>
      <c r="F182" s="3">
        <v>8730</v>
      </c>
      <c r="G182" s="3">
        <f>15795-5034</f>
        <v>10761</v>
      </c>
      <c r="H182" s="3">
        <f>20475-4966</f>
        <v>15509</v>
      </c>
      <c r="I182" s="3">
        <v>1880</v>
      </c>
      <c r="J182" s="3">
        <v>2295</v>
      </c>
      <c r="K182" s="3">
        <v>1036</v>
      </c>
      <c r="L182" s="3">
        <v>683</v>
      </c>
      <c r="M182" s="1">
        <f t="shared" ref="M182:M195" si="58">F182+I182</f>
        <v>10610</v>
      </c>
      <c r="N182" s="1">
        <f t="shared" ref="N182:N195" si="59">G182+J182+L182</f>
        <v>13739</v>
      </c>
      <c r="O182" s="1">
        <f t="shared" si="57"/>
        <v>16545</v>
      </c>
      <c r="P182" s="1">
        <f t="shared" ref="P182:P195" si="60">SUM(M182:O182)</f>
        <v>40894</v>
      </c>
      <c r="Q182" s="1">
        <f>'Index Price Deals'!B182+'Index Price Deals'!C182+'Index Price Deals'!D182-'Prices&amp;Fuel'!AE182</f>
        <v>0</v>
      </c>
      <c r="R182" s="3">
        <f>('Long Term Deals'!BB182+'Long Term Deals'!BC182+'Long Term Deals'!BD182+'Long Term Deals'!BE182+'Long Term Deals'!BF182+'Long Term Deals'!BG182)*(1-'Prices&amp;Fuel'!F182)</f>
        <v>20999.999999999862</v>
      </c>
      <c r="S182" s="13">
        <f t="shared" si="46"/>
        <v>1.3824319466948509E-10</v>
      </c>
      <c r="T182" s="13">
        <f>((I182+J182+K182)*'Prices&amp;Fuel'!H182*'Prices&amp;Fuel'!L182)+('Prices&amp;Fuel'!N182*'Prices&amp;Fuel'!H182*Transport!L182)+(('Long Term Deals'!BB182+'Long Term Deals'!BC182+'Long Term Deals'!BD182)*'Prices&amp;Fuel'!H182*'Prices&amp;Fuel'!M182)</f>
        <v>426364.05861804844</v>
      </c>
      <c r="U182" s="1">
        <f>S182*B182*'Prices&amp;Fuel'!M182</f>
        <v>3.1490140827372673E-9</v>
      </c>
      <c r="V182" s="1">
        <f>29894-10000</f>
        <v>19894</v>
      </c>
      <c r="W182" s="13">
        <f t="shared" si="47"/>
        <v>1.3824319466948509E-10</v>
      </c>
    </row>
    <row r="183" spans="1:23" x14ac:dyDescent="0.2">
      <c r="A183" s="10">
        <f t="shared" si="53"/>
        <v>41163.166666666235</v>
      </c>
      <c r="B183" s="3">
        <v>30</v>
      </c>
      <c r="C183" s="12">
        <v>-8.0158170116169991E-2</v>
      </c>
      <c r="E183" s="44">
        <v>9.4999999999996199E-3</v>
      </c>
      <c r="F183" s="3">
        <v>8730</v>
      </c>
      <c r="G183" s="3">
        <f>15795-5034</f>
        <v>10761</v>
      </c>
      <c r="H183" s="3">
        <f>20475-4966</f>
        <v>15509</v>
      </c>
      <c r="I183" s="3">
        <v>1880</v>
      </c>
      <c r="J183" s="3">
        <v>2295</v>
      </c>
      <c r="K183" s="3">
        <v>1036</v>
      </c>
      <c r="L183" s="3">
        <v>683</v>
      </c>
      <c r="M183" s="1">
        <f t="shared" si="58"/>
        <v>10610</v>
      </c>
      <c r="N183" s="1">
        <f t="shared" si="59"/>
        <v>13739</v>
      </c>
      <c r="O183" s="1">
        <f t="shared" si="57"/>
        <v>16545</v>
      </c>
      <c r="P183" s="1">
        <f t="shared" si="60"/>
        <v>40894</v>
      </c>
      <c r="Q183" s="1">
        <f>'Index Price Deals'!B183+'Index Price Deals'!C183+'Index Price Deals'!D183-'Prices&amp;Fuel'!AE183</f>
        <v>0</v>
      </c>
      <c r="R183" s="3">
        <f>('Long Term Deals'!BB183+'Long Term Deals'!BC183+'Long Term Deals'!BD183+'Long Term Deals'!BE183+'Long Term Deals'!BF183+'Long Term Deals'!BG183)*(1-'Prices&amp;Fuel'!F183)</f>
        <v>20999.999999999862</v>
      </c>
      <c r="S183" s="13">
        <f t="shared" si="46"/>
        <v>1.3824319466948509E-10</v>
      </c>
      <c r="T183" s="13">
        <f>((I183+J183+K183)*'Prices&amp;Fuel'!H183*'Prices&amp;Fuel'!L183)+('Prices&amp;Fuel'!N183*'Prices&amp;Fuel'!H183*Transport!L183)+(('Long Term Deals'!BB183+'Long Term Deals'!BC183+'Long Term Deals'!BD183)*'Prices&amp;Fuel'!H183*'Prices&amp;Fuel'!M183)</f>
        <v>412610.37930778885</v>
      </c>
      <c r="U183" s="1">
        <f>S183*B183*'Prices&amp;Fuel'!M183</f>
        <v>3.0474329832941295E-9</v>
      </c>
      <c r="V183" s="1">
        <f>29894-10000</f>
        <v>19894</v>
      </c>
      <c r="W183" s="13">
        <f t="shared" si="47"/>
        <v>1.3824319466948509E-10</v>
      </c>
    </row>
    <row r="184" spans="1:23" x14ac:dyDescent="0.2">
      <c r="A184" s="10">
        <f t="shared" si="53"/>
        <v>41193.583333332899</v>
      </c>
      <c r="B184" s="3">
        <v>31</v>
      </c>
      <c r="C184" s="12">
        <v>-8.2579893137861404E-2</v>
      </c>
      <c r="E184" s="44">
        <v>1.4499999999999957E-2</v>
      </c>
      <c r="F184" s="3">
        <f>8730-0</f>
        <v>8730</v>
      </c>
      <c r="G184" s="3">
        <f>15795-5434</f>
        <v>10361</v>
      </c>
      <c r="H184" s="3">
        <f>20475-4566</f>
        <v>15909</v>
      </c>
      <c r="I184" s="3">
        <v>2830</v>
      </c>
      <c r="J184" s="3">
        <v>3500</v>
      </c>
      <c r="K184" s="3">
        <v>1521</v>
      </c>
      <c r="L184" s="3">
        <v>1001</v>
      </c>
      <c r="M184" s="1">
        <f t="shared" si="58"/>
        <v>11560</v>
      </c>
      <c r="N184" s="1">
        <f t="shared" si="59"/>
        <v>14862</v>
      </c>
      <c r="O184" s="1">
        <f t="shared" si="57"/>
        <v>17430</v>
      </c>
      <c r="P184" s="1">
        <f t="shared" si="60"/>
        <v>43852</v>
      </c>
      <c r="Q184" s="1">
        <f>'Index Price Deals'!B184+'Index Price Deals'!C184+'Index Price Deals'!D184-'Prices&amp;Fuel'!AE184</f>
        <v>0</v>
      </c>
      <c r="R184" s="3">
        <f>('Long Term Deals'!BB184+'Long Term Deals'!BC184+'Long Term Deals'!BD184+'Long Term Deals'!BE184+'Long Term Deals'!BF184+'Long Term Deals'!BG184)*(1-'Prices&amp;Fuel'!F184)</f>
        <v>20999.999999999807</v>
      </c>
      <c r="S184" s="13">
        <f t="shared" si="46"/>
        <v>1.9281287677586079E-10</v>
      </c>
      <c r="T184" s="13">
        <f>((I184+J184+K184)*'Prices&amp;Fuel'!H184*'Prices&amp;Fuel'!L184)+('Prices&amp;Fuel'!N184*'Prices&amp;Fuel'!H184*Transport!L184)+(('Long Term Deals'!BB184+'Long Term Deals'!BC184+'Long Term Deals'!BD184)*'Prices&amp;Fuel'!H184*'Prices&amp;Fuel'!M184)</f>
        <v>393483.04112980998</v>
      </c>
      <c r="U184" s="1">
        <f>S184*B184*'Prices&amp;Fuel'!M184</f>
        <v>4.3920459575019776E-9</v>
      </c>
      <c r="V184" s="1">
        <f>32852-10000</f>
        <v>22852</v>
      </c>
      <c r="W184" s="13">
        <f t="shared" si="47"/>
        <v>1.9281287677586079E-10</v>
      </c>
    </row>
    <row r="185" spans="1:23" x14ac:dyDescent="0.2">
      <c r="A185" s="10">
        <f t="shared" si="53"/>
        <v>41223.999999999563</v>
      </c>
      <c r="B185" s="3">
        <v>30</v>
      </c>
      <c r="C185" s="12">
        <v>-0.1275521163269282</v>
      </c>
      <c r="E185" s="44">
        <v>1.9499999999999851E-2</v>
      </c>
      <c r="F185" s="3">
        <f>7761-1128-1707</f>
        <v>4926</v>
      </c>
      <c r="G185" s="3">
        <f>14039-666-3474-4167</f>
        <v>5732</v>
      </c>
      <c r="H185" s="3">
        <f>18200-4732-4126</f>
        <v>9342</v>
      </c>
      <c r="I185" s="3">
        <v>2563</v>
      </c>
      <c r="J185" s="3">
        <v>2862</v>
      </c>
      <c r="K185" s="3">
        <v>1685</v>
      </c>
      <c r="L185" s="3">
        <v>683</v>
      </c>
      <c r="M185" s="1">
        <f t="shared" si="58"/>
        <v>7489</v>
      </c>
      <c r="N185" s="1">
        <f t="shared" si="59"/>
        <v>9277</v>
      </c>
      <c r="O185" s="1">
        <f t="shared" si="57"/>
        <v>11027</v>
      </c>
      <c r="P185" s="1">
        <f t="shared" si="60"/>
        <v>27793</v>
      </c>
      <c r="Q185" s="1">
        <f>'Index Price Deals'!B185+'Index Price Deals'!C185+'Index Price Deals'!D185-'Prices&amp;Fuel'!AE185</f>
        <v>0</v>
      </c>
      <c r="R185" s="3">
        <f>('Long Term Deals'!BB185+'Long Term Deals'!BC185+'Long Term Deals'!BD185+'Long Term Deals'!BE185+'Long Term Deals'!BF185+'Long Term Deals'!BG185)*(1-'Prices&amp;Fuel'!F185)</f>
        <v>11999.999999999998</v>
      </c>
      <c r="S185" s="13">
        <f t="shared" si="46"/>
        <v>0</v>
      </c>
      <c r="T185" s="13">
        <f>((I185+J185+K185)*'Prices&amp;Fuel'!H185*'Prices&amp;Fuel'!L185)+('Prices&amp;Fuel'!N185*'Prices&amp;Fuel'!H185*Transport!L185)+(('Long Term Deals'!BB185+'Long Term Deals'!BC185+'Long Term Deals'!BD185)*'Prices&amp;Fuel'!H185*'Prices&amp;Fuel'!M185)</f>
        <v>188175.93894573068</v>
      </c>
      <c r="U185" s="1">
        <f>S185*B185*'Prices&amp;Fuel'!M185</f>
        <v>0</v>
      </c>
      <c r="V185" s="1">
        <f>35793-20000</f>
        <v>15793</v>
      </c>
      <c r="W185" s="13">
        <f t="shared" si="47"/>
        <v>0</v>
      </c>
    </row>
    <row r="186" spans="1:23" x14ac:dyDescent="0.2">
      <c r="A186" s="10">
        <f t="shared" si="53"/>
        <v>41254.416666666228</v>
      </c>
      <c r="B186" s="3">
        <v>31</v>
      </c>
      <c r="C186" s="12">
        <v>-0.16251461763216968</v>
      </c>
      <c r="E186" s="44">
        <v>2.4500000000000188E-2</v>
      </c>
      <c r="F186" s="3">
        <f>7761-1128-1707</f>
        <v>4926</v>
      </c>
      <c r="G186" s="3">
        <f>14039-666-3474-4167</f>
        <v>5732</v>
      </c>
      <c r="H186" s="3">
        <f>18200-4732-4126</f>
        <v>9342</v>
      </c>
      <c r="I186" s="3">
        <v>2563</v>
      </c>
      <c r="J186" s="3">
        <v>2862</v>
      </c>
      <c r="K186" s="3">
        <v>1685</v>
      </c>
      <c r="L186" s="3">
        <v>683</v>
      </c>
      <c r="M186" s="1">
        <f t="shared" si="58"/>
        <v>7489</v>
      </c>
      <c r="N186" s="1">
        <f t="shared" si="59"/>
        <v>9277</v>
      </c>
      <c r="O186" s="1">
        <f t="shared" si="57"/>
        <v>11027</v>
      </c>
      <c r="P186" s="1">
        <f t="shared" si="60"/>
        <v>27793</v>
      </c>
      <c r="Q186" s="1">
        <f>'Index Price Deals'!B186+'Index Price Deals'!C186+'Index Price Deals'!D186-'Prices&amp;Fuel'!AE186</f>
        <v>0</v>
      </c>
      <c r="R186" s="3">
        <f>('Long Term Deals'!BB186+'Long Term Deals'!BC186+'Long Term Deals'!BD186+'Long Term Deals'!BE186+'Long Term Deals'!BF186+'Long Term Deals'!BG186)*(1-'Prices&amp;Fuel'!F186)</f>
        <v>11999.999999999998</v>
      </c>
      <c r="S186" s="13">
        <f t="shared" si="46"/>
        <v>0</v>
      </c>
      <c r="T186" s="13">
        <f>((I186+J186+K186)*'Prices&amp;Fuel'!H186*'Prices&amp;Fuel'!L186)+('Prices&amp;Fuel'!N186*'Prices&amp;Fuel'!H186*Transport!L186)+(('Long Term Deals'!BB186+'Long Term Deals'!BC186+'Long Term Deals'!BD186)*'Prices&amp;Fuel'!H186*'Prices&amp;Fuel'!M186)</f>
        <v>194448.47024392168</v>
      </c>
      <c r="U186" s="1">
        <f>S186*B186*'Prices&amp;Fuel'!M186</f>
        <v>0</v>
      </c>
      <c r="V186" s="1">
        <f>35793-20000</f>
        <v>15793</v>
      </c>
      <c r="W186" s="13">
        <f t="shared" si="47"/>
        <v>0</v>
      </c>
    </row>
    <row r="187" spans="1:23" x14ac:dyDescent="0.2">
      <c r="A187" s="10">
        <f t="shared" si="53"/>
        <v>41284.833333332892</v>
      </c>
      <c r="B187" s="3">
        <v>31</v>
      </c>
      <c r="C187" s="12">
        <v>-0.14750906226998328</v>
      </c>
      <c r="E187" s="44">
        <v>2.4500000000000188E-2</v>
      </c>
      <c r="F187" s="3">
        <f>7761-1128-1707</f>
        <v>4926</v>
      </c>
      <c r="G187" s="3">
        <f>14039-666-3474-4167</f>
        <v>5732</v>
      </c>
      <c r="H187" s="3">
        <f>18200-4732-4126</f>
        <v>9342</v>
      </c>
      <c r="I187" s="3">
        <v>2563</v>
      </c>
      <c r="J187" s="3">
        <v>2862</v>
      </c>
      <c r="K187" s="3">
        <v>1685</v>
      </c>
      <c r="L187" s="3">
        <v>683</v>
      </c>
      <c r="M187" s="1">
        <f t="shared" si="58"/>
        <v>7489</v>
      </c>
      <c r="N187" s="1">
        <f t="shared" si="59"/>
        <v>9277</v>
      </c>
      <c r="O187" s="1">
        <f t="shared" si="57"/>
        <v>11027</v>
      </c>
      <c r="P187" s="1">
        <f t="shared" si="60"/>
        <v>27793</v>
      </c>
      <c r="Q187" s="1">
        <f>'Index Price Deals'!B187+'Index Price Deals'!C187+'Index Price Deals'!D187-'Prices&amp;Fuel'!AE187</f>
        <v>0</v>
      </c>
      <c r="R187" s="3">
        <f>('Long Term Deals'!BB187+'Long Term Deals'!BC187+'Long Term Deals'!BD187+'Long Term Deals'!BE187+'Long Term Deals'!BF187+'Long Term Deals'!BG187)*(1-'Prices&amp;Fuel'!F187)</f>
        <v>11999.999999999998</v>
      </c>
      <c r="S187" s="13">
        <f t="shared" si="46"/>
        <v>0</v>
      </c>
      <c r="T187" s="13">
        <f>((I187+J187+K187)*'Prices&amp;Fuel'!H187*'Prices&amp;Fuel'!L187)+('Prices&amp;Fuel'!N187*'Prices&amp;Fuel'!H187*Transport!L187)+(('Long Term Deals'!BB187+'Long Term Deals'!BC187+'Long Term Deals'!BD187)*'Prices&amp;Fuel'!H187*'Prices&amp;Fuel'!M187)</f>
        <v>194711.23243911756</v>
      </c>
      <c r="U187" s="1">
        <f>S187*B187*'Prices&amp;Fuel'!M187</f>
        <v>0</v>
      </c>
      <c r="V187" s="1">
        <f>35793-20000</f>
        <v>15793</v>
      </c>
      <c r="W187" s="13">
        <f t="shared" si="47"/>
        <v>0</v>
      </c>
    </row>
    <row r="188" spans="1:23" x14ac:dyDescent="0.2">
      <c r="A188" s="10">
        <f t="shared" si="53"/>
        <v>41315.249999999556</v>
      </c>
      <c r="B188" s="3">
        <v>28</v>
      </c>
      <c r="C188" s="12">
        <v>-0.14753683908091553</v>
      </c>
      <c r="E188" s="44">
        <v>2.4500000000000188E-2</v>
      </c>
      <c r="F188" s="3">
        <f>7761-1128-1707</f>
        <v>4926</v>
      </c>
      <c r="G188" s="3">
        <f>14039-666-3474-4167</f>
        <v>5732</v>
      </c>
      <c r="H188" s="3">
        <f>18200-4732-4126</f>
        <v>9342</v>
      </c>
      <c r="I188" s="3">
        <v>2563</v>
      </c>
      <c r="J188" s="3">
        <v>2862</v>
      </c>
      <c r="K188" s="3">
        <v>1685</v>
      </c>
      <c r="L188" s="3">
        <v>683</v>
      </c>
      <c r="M188" s="1">
        <f t="shared" si="58"/>
        <v>7489</v>
      </c>
      <c r="N188" s="1">
        <f t="shared" si="59"/>
        <v>9277</v>
      </c>
      <c r="O188" s="1">
        <f t="shared" si="57"/>
        <v>11027</v>
      </c>
      <c r="P188" s="1">
        <f t="shared" si="60"/>
        <v>27793</v>
      </c>
      <c r="Q188" s="1">
        <f>'Index Price Deals'!B188+'Index Price Deals'!C188+'Index Price Deals'!D188-'Prices&amp;Fuel'!AE188</f>
        <v>0</v>
      </c>
      <c r="R188" s="3">
        <f>('Long Term Deals'!BB188+'Long Term Deals'!BC188+'Long Term Deals'!BD188+'Long Term Deals'!BE188+'Long Term Deals'!BF188+'Long Term Deals'!BG188)*(1-'Prices&amp;Fuel'!F188)</f>
        <v>11999.999999999998</v>
      </c>
      <c r="S188" s="13">
        <f t="shared" si="46"/>
        <v>0</v>
      </c>
      <c r="T188" s="13">
        <f>((I188+J188+K188)*'Prices&amp;Fuel'!H188*'Prices&amp;Fuel'!L188)+('Prices&amp;Fuel'!N188*'Prices&amp;Fuel'!H188*Transport!L188)+(('Long Term Deals'!BB188+'Long Term Deals'!BC188+'Long Term Deals'!BD188)*'Prices&amp;Fuel'!H188*'Prices&amp;Fuel'!M188)</f>
        <v>175868.20994500941</v>
      </c>
      <c r="U188" s="1">
        <f>S188*B188*'Prices&amp;Fuel'!M188</f>
        <v>0</v>
      </c>
      <c r="V188" s="1">
        <f>35793-20000</f>
        <v>15793</v>
      </c>
      <c r="W188" s="13">
        <f t="shared" si="47"/>
        <v>0</v>
      </c>
    </row>
    <row r="189" spans="1:23" x14ac:dyDescent="0.2">
      <c r="A189" s="10">
        <f t="shared" si="53"/>
        <v>41345.66666666622</v>
      </c>
      <c r="B189" s="3">
        <v>31</v>
      </c>
      <c r="C189" s="12">
        <v>-0.12257260172499196</v>
      </c>
      <c r="E189" s="44">
        <v>1.9500000000000295E-2</v>
      </c>
      <c r="F189" s="3">
        <f>7761-1128-1707</f>
        <v>4926</v>
      </c>
      <c r="G189" s="3">
        <f>14039-666-3474-4167</f>
        <v>5732</v>
      </c>
      <c r="H189" s="3">
        <f>18200-4732-4126</f>
        <v>9342</v>
      </c>
      <c r="I189" s="3">
        <v>2563</v>
      </c>
      <c r="J189" s="3">
        <v>2862</v>
      </c>
      <c r="K189" s="3">
        <v>1685</v>
      </c>
      <c r="L189" s="3">
        <v>683</v>
      </c>
      <c r="M189" s="1">
        <f t="shared" si="58"/>
        <v>7489</v>
      </c>
      <c r="N189" s="1">
        <f t="shared" si="59"/>
        <v>9277</v>
      </c>
      <c r="O189" s="1">
        <f t="shared" si="57"/>
        <v>11027</v>
      </c>
      <c r="P189" s="1">
        <f t="shared" si="60"/>
        <v>27793</v>
      </c>
      <c r="Q189" s="1">
        <f>'Index Price Deals'!B189+'Index Price Deals'!C189+'Index Price Deals'!D189-'Prices&amp;Fuel'!AE189</f>
        <v>0</v>
      </c>
      <c r="R189" s="3">
        <f>('Long Term Deals'!BB189+'Long Term Deals'!BC189+'Long Term Deals'!BD189+'Long Term Deals'!BE189+'Long Term Deals'!BF189+'Long Term Deals'!BG189)*(1-'Prices&amp;Fuel'!F189)</f>
        <v>11999.999999999998</v>
      </c>
      <c r="S189" s="13">
        <f t="shared" si="46"/>
        <v>0</v>
      </c>
      <c r="T189" s="13">
        <f>((I189+J189+K189)*'Prices&amp;Fuel'!H189*'Prices&amp;Fuel'!L189)+('Prices&amp;Fuel'!N189*'Prices&amp;Fuel'!H189*Transport!L189)+(('Long Term Deals'!BB189+'Long Term Deals'!BC189+'Long Term Deals'!BD189)*'Prices&amp;Fuel'!H189*'Prices&amp;Fuel'!M189)</f>
        <v>194711.23243911756</v>
      </c>
      <c r="U189" s="1">
        <f>S189*B189*'Prices&amp;Fuel'!M189</f>
        <v>0</v>
      </c>
      <c r="V189" s="1">
        <f>35793-20000</f>
        <v>15793</v>
      </c>
      <c r="W189" s="13">
        <f t="shared" si="47"/>
        <v>0</v>
      </c>
    </row>
    <row r="190" spans="1:23" x14ac:dyDescent="0.2">
      <c r="A190" s="10">
        <f t="shared" si="53"/>
        <v>41376.083333332885</v>
      </c>
      <c r="B190" s="3">
        <v>30</v>
      </c>
      <c r="C190" s="12">
        <v>-7.3089615021687759E-2</v>
      </c>
      <c r="E190" s="44">
        <v>5.9999999999997833E-3</v>
      </c>
      <c r="F190" s="3">
        <f>7761-828</f>
        <v>6933</v>
      </c>
      <c r="G190" s="3">
        <f>14039-5241</f>
        <v>8798</v>
      </c>
      <c r="H190" s="3">
        <f>18200-3931</f>
        <v>14269</v>
      </c>
      <c r="I190" s="3">
        <v>1880</v>
      </c>
      <c r="J190" s="3">
        <v>2073</v>
      </c>
      <c r="K190" s="3">
        <v>1258</v>
      </c>
      <c r="L190" s="3">
        <v>683</v>
      </c>
      <c r="M190" s="1">
        <f t="shared" si="58"/>
        <v>8813</v>
      </c>
      <c r="N190" s="1">
        <f t="shared" si="59"/>
        <v>11554</v>
      </c>
      <c r="O190" s="1">
        <f t="shared" si="57"/>
        <v>15527</v>
      </c>
      <c r="P190" s="1">
        <f t="shared" si="60"/>
        <v>35894</v>
      </c>
      <c r="Q190" s="1">
        <f>'Index Price Deals'!B190+'Index Price Deals'!C190+'Index Price Deals'!D190-'Prices&amp;Fuel'!AE190</f>
        <v>0</v>
      </c>
      <c r="R190" s="3">
        <f>('Long Term Deals'!BB190+'Long Term Deals'!BC190+'Long Term Deals'!BD190+'Long Term Deals'!BE190+'Long Term Deals'!BF190+'Long Term Deals'!BG190)*(1-'Prices&amp;Fuel'!F190)</f>
        <v>12000</v>
      </c>
      <c r="S190" s="13">
        <f t="shared" si="46"/>
        <v>0</v>
      </c>
      <c r="T190" s="13">
        <f>((I190+J190+K190)*'Prices&amp;Fuel'!H190*'Prices&amp;Fuel'!L190)+('Prices&amp;Fuel'!N190*'Prices&amp;Fuel'!H190*Transport!L190)+(('Long Term Deals'!BB190+'Long Term Deals'!BC190+'Long Term Deals'!BD190)*'Prices&amp;Fuel'!H190*'Prices&amp;Fuel'!M190)</f>
        <v>208796.53116855701</v>
      </c>
      <c r="U190" s="1">
        <f>S190*B190*'Prices&amp;Fuel'!M190</f>
        <v>0</v>
      </c>
      <c r="V190" s="1">
        <f>33894-10000</f>
        <v>23894</v>
      </c>
      <c r="W190" s="13">
        <f t="shared" si="47"/>
        <v>0</v>
      </c>
    </row>
    <row r="191" spans="1:23" x14ac:dyDescent="0.2">
      <c r="A191" s="10">
        <f t="shared" si="53"/>
        <v>41406.499999999549</v>
      </c>
      <c r="B191" s="3">
        <v>31</v>
      </c>
      <c r="C191" s="12">
        <v>-7.5643027010085628E-2</v>
      </c>
      <c r="E191" s="44">
        <v>5.9999999999997833E-3</v>
      </c>
      <c r="F191" s="3">
        <v>8730</v>
      </c>
      <c r="G191" s="3">
        <f>15795-5034</f>
        <v>10761</v>
      </c>
      <c r="H191" s="3">
        <f>20475-4966</f>
        <v>15509</v>
      </c>
      <c r="I191" s="3">
        <v>1880</v>
      </c>
      <c r="J191" s="3">
        <v>2295</v>
      </c>
      <c r="K191" s="3">
        <v>1036</v>
      </c>
      <c r="L191" s="3">
        <v>683</v>
      </c>
      <c r="M191" s="1">
        <f t="shared" si="58"/>
        <v>10610</v>
      </c>
      <c r="N191" s="1">
        <f t="shared" si="59"/>
        <v>13739</v>
      </c>
      <c r="O191" s="1">
        <f t="shared" si="57"/>
        <v>16545</v>
      </c>
      <c r="P191" s="1">
        <f t="shared" si="60"/>
        <v>40894</v>
      </c>
      <c r="Q191" s="1">
        <f>'Index Price Deals'!B191+'Index Price Deals'!C191+'Index Price Deals'!D191-'Prices&amp;Fuel'!AE191</f>
        <v>0</v>
      </c>
      <c r="R191" s="3">
        <f>('Long Term Deals'!BB191+'Long Term Deals'!BC191+'Long Term Deals'!BD191+'Long Term Deals'!BE191+'Long Term Deals'!BF191+'Long Term Deals'!BG191)*(1-'Prices&amp;Fuel'!F191)</f>
        <v>20999.999999999862</v>
      </c>
      <c r="S191" s="13">
        <f t="shared" si="46"/>
        <v>1.3824319466948509E-10</v>
      </c>
      <c r="T191" s="13">
        <f>((I191+J191+K191)*'Prices&amp;Fuel'!H191*'Prices&amp;Fuel'!L191)+('Prices&amp;Fuel'!N191*'Prices&amp;Fuel'!H191*Transport!L191)+(('Long Term Deals'!BB191+'Long Term Deals'!BC191+'Long Term Deals'!BD191)*'Prices&amp;Fuel'!H191*'Prices&amp;Fuel'!M191)</f>
        <v>426562.79086217581</v>
      </c>
      <c r="U191" s="1">
        <f>S191*B191*'Prices&amp;Fuel'!M191</f>
        <v>3.1490140827372673E-9</v>
      </c>
      <c r="V191" s="1">
        <f>29894-10000</f>
        <v>19894</v>
      </c>
      <c r="W191" s="13">
        <f t="shared" si="47"/>
        <v>1.3824319466948509E-10</v>
      </c>
    </row>
    <row r="192" spans="1:23" x14ac:dyDescent="0.2">
      <c r="A192" s="10">
        <f t="shared" si="53"/>
        <v>41436.916666666213</v>
      </c>
      <c r="B192" s="3">
        <v>30</v>
      </c>
      <c r="C192" s="12">
        <v>-7.5646181823853187E-2</v>
      </c>
      <c r="E192" s="44">
        <v>5.9999999999997833E-3</v>
      </c>
      <c r="F192" s="3">
        <v>8730</v>
      </c>
      <c r="G192" s="3">
        <f>15795-5034</f>
        <v>10761</v>
      </c>
      <c r="H192" s="3">
        <f>20475-4966</f>
        <v>15509</v>
      </c>
      <c r="I192" s="3">
        <v>1880</v>
      </c>
      <c r="J192" s="3">
        <v>2295</v>
      </c>
      <c r="K192" s="3">
        <v>1036</v>
      </c>
      <c r="L192" s="3">
        <v>683</v>
      </c>
      <c r="M192" s="1">
        <f t="shared" si="58"/>
        <v>10610</v>
      </c>
      <c r="N192" s="1">
        <f t="shared" si="59"/>
        <v>13739</v>
      </c>
      <c r="O192" s="1">
        <f t="shared" si="57"/>
        <v>16545</v>
      </c>
      <c r="P192" s="1">
        <f t="shared" si="60"/>
        <v>40894</v>
      </c>
      <c r="Q192" s="1">
        <f>'Index Price Deals'!B192+'Index Price Deals'!C192+'Index Price Deals'!D192-'Prices&amp;Fuel'!AE192</f>
        <v>0</v>
      </c>
      <c r="R192" s="3">
        <f>('Long Term Deals'!BB192+'Long Term Deals'!BC192+'Long Term Deals'!BD192+'Long Term Deals'!BE192+'Long Term Deals'!BF192+'Long Term Deals'!BG192)*(1-'Prices&amp;Fuel'!F192)</f>
        <v>20999.999999999862</v>
      </c>
      <c r="S192" s="13">
        <f t="shared" si="46"/>
        <v>1.3824319466948509E-10</v>
      </c>
      <c r="T192" s="13">
        <f>((I192+J192+K192)*'Prices&amp;Fuel'!H192*'Prices&amp;Fuel'!L192)+('Prices&amp;Fuel'!N192*'Prices&amp;Fuel'!H192*Transport!L192)+(('Long Term Deals'!BB192+'Long Term Deals'!BC192+'Long Term Deals'!BD192)*'Prices&amp;Fuel'!H192*'Prices&amp;Fuel'!M192)</f>
        <v>412802.7008343637</v>
      </c>
      <c r="U192" s="1">
        <f>S192*B192*'Prices&amp;Fuel'!M192</f>
        <v>3.0474329832941295E-9</v>
      </c>
      <c r="V192" s="1">
        <f>29894-10000</f>
        <v>19894</v>
      </c>
      <c r="W192" s="13">
        <f t="shared" si="47"/>
        <v>1.3824319466948509E-10</v>
      </c>
    </row>
    <row r="193" spans="1:23" x14ac:dyDescent="0.2">
      <c r="A193" s="10">
        <f t="shared" si="53"/>
        <v>41467.333333332877</v>
      </c>
      <c r="B193" s="3">
        <v>31</v>
      </c>
      <c r="C193" s="12">
        <v>-8.0148074712113715E-2</v>
      </c>
      <c r="E193" s="44">
        <v>9.4999999999998419E-3</v>
      </c>
      <c r="F193" s="3">
        <v>8730</v>
      </c>
      <c r="G193" s="3">
        <f>15795-5034</f>
        <v>10761</v>
      </c>
      <c r="H193" s="3">
        <f>20475-4966</f>
        <v>15509</v>
      </c>
      <c r="I193" s="3">
        <v>1880</v>
      </c>
      <c r="J193" s="3">
        <v>2295</v>
      </c>
      <c r="K193" s="3">
        <v>1036</v>
      </c>
      <c r="L193" s="3">
        <v>683</v>
      </c>
      <c r="M193" s="1">
        <f t="shared" si="58"/>
        <v>10610</v>
      </c>
      <c r="N193" s="1">
        <f t="shared" si="59"/>
        <v>13739</v>
      </c>
      <c r="O193" s="1">
        <f t="shared" si="57"/>
        <v>16545</v>
      </c>
      <c r="P193" s="1">
        <f t="shared" si="60"/>
        <v>40894</v>
      </c>
      <c r="Q193" s="1">
        <f>'Index Price Deals'!B193+'Index Price Deals'!C193+'Index Price Deals'!D193-'Prices&amp;Fuel'!AE193</f>
        <v>0</v>
      </c>
      <c r="R193" s="3">
        <f>('Long Term Deals'!BB193+'Long Term Deals'!BC193+'Long Term Deals'!BD193+'Long Term Deals'!BE193+'Long Term Deals'!BF193+'Long Term Deals'!BG193)*(1-'Prices&amp;Fuel'!F193)</f>
        <v>20999.999999999862</v>
      </c>
      <c r="S193" s="13">
        <f t="shared" si="46"/>
        <v>1.3824319466948509E-10</v>
      </c>
      <c r="T193" s="13">
        <f>((I193+J193+K193)*'Prices&amp;Fuel'!H193*'Prices&amp;Fuel'!L193)+('Prices&amp;Fuel'!N193*'Prices&amp;Fuel'!H193*Transport!L193)+(('Long Term Deals'!BB193+'Long Term Deals'!BC193+'Long Term Deals'!BD193)*'Prices&amp;Fuel'!H193*'Prices&amp;Fuel'!M193)</f>
        <v>426562.79086217581</v>
      </c>
      <c r="U193" s="1">
        <f>S193*B193*'Prices&amp;Fuel'!M193</f>
        <v>3.1490140827372673E-9</v>
      </c>
      <c r="V193" s="1">
        <f>29894-10000</f>
        <v>19894</v>
      </c>
      <c r="W193" s="13">
        <f t="shared" si="47"/>
        <v>1.3824319466948509E-10</v>
      </c>
    </row>
    <row r="194" spans="1:23" x14ac:dyDescent="0.2">
      <c r="A194" s="10">
        <f t="shared" si="53"/>
        <v>41497.749999999542</v>
      </c>
      <c r="B194" s="3">
        <v>31</v>
      </c>
      <c r="C194" s="12">
        <v>-8.015186048863443E-2</v>
      </c>
      <c r="E194" s="44">
        <v>9.4999999999996199E-3</v>
      </c>
      <c r="F194" s="3">
        <v>8730</v>
      </c>
      <c r="G194" s="3">
        <f>15795-5034</f>
        <v>10761</v>
      </c>
      <c r="H194" s="3">
        <f>20475-4966</f>
        <v>15509</v>
      </c>
      <c r="I194" s="3">
        <v>1880</v>
      </c>
      <c r="J194" s="3">
        <v>2295</v>
      </c>
      <c r="K194" s="3">
        <v>1036</v>
      </c>
      <c r="L194" s="3">
        <v>683</v>
      </c>
      <c r="M194" s="1">
        <f t="shared" si="58"/>
        <v>10610</v>
      </c>
      <c r="N194" s="1">
        <f t="shared" si="59"/>
        <v>13739</v>
      </c>
      <c r="O194" s="1">
        <f t="shared" si="57"/>
        <v>16545</v>
      </c>
      <c r="P194" s="1">
        <f t="shared" si="60"/>
        <v>40894</v>
      </c>
      <c r="Q194" s="1">
        <f>'Index Price Deals'!B194+'Index Price Deals'!C194+'Index Price Deals'!D194-'Prices&amp;Fuel'!AE194</f>
        <v>0</v>
      </c>
      <c r="R194" s="3">
        <f>('Long Term Deals'!BB194+'Long Term Deals'!BC194+'Long Term Deals'!BD194+'Long Term Deals'!BE194+'Long Term Deals'!BF194+'Long Term Deals'!BG194)*(1-'Prices&amp;Fuel'!F194)</f>
        <v>20999.999999999862</v>
      </c>
      <c r="S194" s="13">
        <f t="shared" si="46"/>
        <v>1.3824319466948509E-10</v>
      </c>
      <c r="T194" s="13">
        <f>((I194+J194+K194)*'Prices&amp;Fuel'!H194*'Prices&amp;Fuel'!L194)+('Prices&amp;Fuel'!N194*'Prices&amp;Fuel'!H194*Transport!L194)+(('Long Term Deals'!BB194+'Long Term Deals'!BC194+'Long Term Deals'!BD194)*'Prices&amp;Fuel'!H194*'Prices&amp;Fuel'!M194)</f>
        <v>426562.79086217581</v>
      </c>
      <c r="U194" s="1">
        <f>S194*B194*'Prices&amp;Fuel'!M194</f>
        <v>3.1490140827372673E-9</v>
      </c>
      <c r="V194" s="1">
        <f>29894-10000</f>
        <v>19894</v>
      </c>
      <c r="W194" s="13">
        <f t="shared" si="47"/>
        <v>1.3824319466948509E-10</v>
      </c>
    </row>
    <row r="195" spans="1:23" x14ac:dyDescent="0.2">
      <c r="A195" s="10">
        <f t="shared" si="53"/>
        <v>41528.166666666206</v>
      </c>
      <c r="B195" s="3">
        <v>30</v>
      </c>
      <c r="C195" s="12">
        <v>-8.0158170116169991E-2</v>
      </c>
      <c r="E195" s="44">
        <v>9.4999999999996199E-3</v>
      </c>
      <c r="F195" s="3">
        <v>8730</v>
      </c>
      <c r="G195" s="3">
        <f>15795-5034</f>
        <v>10761</v>
      </c>
      <c r="H195" s="3">
        <f>20475-4966</f>
        <v>15509</v>
      </c>
      <c r="I195" s="3">
        <v>1880</v>
      </c>
      <c r="J195" s="3">
        <v>2295</v>
      </c>
      <c r="K195" s="3">
        <v>1036</v>
      </c>
      <c r="L195" s="3">
        <v>683</v>
      </c>
      <c r="M195" s="1">
        <f t="shared" si="58"/>
        <v>10610</v>
      </c>
      <c r="N195" s="1">
        <f t="shared" si="59"/>
        <v>13739</v>
      </c>
      <c r="O195" s="1">
        <f t="shared" si="57"/>
        <v>16545</v>
      </c>
      <c r="P195" s="1">
        <f t="shared" si="60"/>
        <v>40894</v>
      </c>
      <c r="Q195" s="1">
        <f>'Index Price Deals'!B195+'Index Price Deals'!C195+'Index Price Deals'!D195-'Prices&amp;Fuel'!AE195</f>
        <v>0</v>
      </c>
      <c r="R195" s="3">
        <f>('Long Term Deals'!BB195+'Long Term Deals'!BC195+'Long Term Deals'!BD195+'Long Term Deals'!BE195+'Long Term Deals'!BF195+'Long Term Deals'!BG195)*(1-'Prices&amp;Fuel'!F195)</f>
        <v>20999.999999999862</v>
      </c>
      <c r="S195" s="13">
        <f t="shared" si="46"/>
        <v>1.3824319466948509E-10</v>
      </c>
      <c r="T195" s="13">
        <f>((I195+J195+K195)*'Prices&amp;Fuel'!H195*'Prices&amp;Fuel'!L195)+('Prices&amp;Fuel'!N195*'Prices&amp;Fuel'!H195*Transport!L195)+(('Long Term Deals'!BB195+'Long Term Deals'!BC195+'Long Term Deals'!BD195)*'Prices&amp;Fuel'!H195*'Prices&amp;Fuel'!M195)</f>
        <v>412802.7008343637</v>
      </c>
      <c r="U195" s="1">
        <f>S195*B195*'Prices&amp;Fuel'!M195</f>
        <v>3.0474329832941295E-9</v>
      </c>
      <c r="V195" s="1">
        <f>29894-10000</f>
        <v>19894</v>
      </c>
      <c r="W195" s="13">
        <f t="shared" si="47"/>
        <v>1.3824319466948509E-10</v>
      </c>
    </row>
    <row r="196" spans="1:23" x14ac:dyDescent="0.2">
      <c r="A196" s="10">
        <f t="shared" si="53"/>
        <v>41558.58333333287</v>
      </c>
      <c r="B196" s="3">
        <v>31</v>
      </c>
      <c r="C196" s="12"/>
      <c r="E196" s="44"/>
      <c r="F196" s="3">
        <f>8730-0</f>
        <v>8730</v>
      </c>
      <c r="G196" s="3">
        <f>15795-5434</f>
        <v>10361</v>
      </c>
      <c r="H196" s="3">
        <f>20475-4566</f>
        <v>15909</v>
      </c>
      <c r="I196" s="3">
        <v>2830</v>
      </c>
      <c r="J196" s="3">
        <v>3500</v>
      </c>
      <c r="K196" s="3">
        <v>1521</v>
      </c>
      <c r="L196" s="3">
        <v>1001</v>
      </c>
      <c r="M196" s="1">
        <f t="shared" ref="M196:M212" si="61">F196+I196</f>
        <v>11560</v>
      </c>
      <c r="N196" s="1">
        <f t="shared" ref="N196:N212" si="62">G196+J196+L196</f>
        <v>14862</v>
      </c>
      <c r="O196" s="1">
        <f t="shared" ref="O196:O212" si="63">H196+K196</f>
        <v>17430</v>
      </c>
      <c r="P196" s="1">
        <f t="shared" ref="P196:P212" si="64">SUM(M196:O196)</f>
        <v>43852</v>
      </c>
      <c r="Q196" s="1"/>
      <c r="R196" s="3">
        <f>('Long Term Deals'!BB196+'Long Term Deals'!BC196+'Long Term Deals'!BD196+'Long Term Deals'!BE196+'Long Term Deals'!BF196+'Long Term Deals'!BG196)*(1-'Prices&amp;Fuel'!F196)</f>
        <v>20999.999999999807</v>
      </c>
      <c r="S196" s="13">
        <f t="shared" si="46"/>
        <v>1.9281287677586079E-10</v>
      </c>
      <c r="T196" s="13">
        <f>((I196+J196+K196)*'Prices&amp;Fuel'!H196*'Prices&amp;Fuel'!L196)+('Prices&amp;Fuel'!N196*'Prices&amp;Fuel'!H196*Transport!L196)+(('Long Term Deals'!BB196+'Long Term Deals'!BC196+'Long Term Deals'!BD196)*'Prices&amp;Fuel'!H196*'Prices&amp;Fuel'!M196)</f>
        <v>393781.51039092557</v>
      </c>
      <c r="U196" s="1">
        <f>S196*B196*'Prices&amp;Fuel'!M196</f>
        <v>4.3920459575019776E-9</v>
      </c>
      <c r="V196" s="1">
        <f>32852-10000</f>
        <v>22852</v>
      </c>
      <c r="W196" s="13">
        <f t="shared" si="47"/>
        <v>1.9281287677586079E-10</v>
      </c>
    </row>
    <row r="197" spans="1:23" x14ac:dyDescent="0.2">
      <c r="A197" s="10">
        <f t="shared" si="53"/>
        <v>41588.999999999534</v>
      </c>
      <c r="B197" s="3">
        <v>30</v>
      </c>
      <c r="C197" s="12"/>
      <c r="E197" s="44"/>
      <c r="F197" s="3">
        <f>7761-1128-1707</f>
        <v>4926</v>
      </c>
      <c r="G197" s="3">
        <f>14039-666-3474-4167</f>
        <v>5732</v>
      </c>
      <c r="H197" s="3">
        <f>18200-4732-4126</f>
        <v>9342</v>
      </c>
      <c r="M197" s="1">
        <f t="shared" si="61"/>
        <v>4926</v>
      </c>
      <c r="N197" s="1">
        <f t="shared" si="62"/>
        <v>5732</v>
      </c>
      <c r="O197" s="1">
        <f t="shared" si="63"/>
        <v>9342</v>
      </c>
      <c r="P197" s="1">
        <f t="shared" si="64"/>
        <v>20000</v>
      </c>
      <c r="S197" s="13">
        <f t="shared" si="46"/>
        <v>4207</v>
      </c>
      <c r="T197" s="13">
        <f>((I197+J197+K197)*'Prices&amp;Fuel'!H197*'Prices&amp;Fuel'!L197)+('Prices&amp;Fuel'!N197*'Prices&amp;Fuel'!H197*Transport!L197)+(('Long Term Deals'!BB197+'Long Term Deals'!BC197+'Long Term Deals'!BD197)*'Prices&amp;Fuel'!H197*'Prices&amp;Fuel'!M197)</f>
        <v>0</v>
      </c>
      <c r="U197" s="1">
        <f>S197*B197*'Prices&amp;Fuel'!M197</f>
        <v>92739.108000000007</v>
      </c>
      <c r="V197" s="1">
        <f>35793-20000</f>
        <v>15793</v>
      </c>
      <c r="W197" s="13">
        <f t="shared" si="47"/>
        <v>4207</v>
      </c>
    </row>
    <row r="198" spans="1:23" x14ac:dyDescent="0.2">
      <c r="A198" s="10">
        <f t="shared" si="53"/>
        <v>41619.416666666199</v>
      </c>
      <c r="B198" s="3">
        <v>31</v>
      </c>
      <c r="C198" s="12"/>
      <c r="E198" s="44"/>
      <c r="F198" s="3">
        <f>7761-1128-1707</f>
        <v>4926</v>
      </c>
      <c r="G198" s="3">
        <f>14039-666-3474-4167</f>
        <v>5732</v>
      </c>
      <c r="H198" s="3">
        <f>18200-4732-4126</f>
        <v>9342</v>
      </c>
      <c r="M198" s="1">
        <f t="shared" si="61"/>
        <v>4926</v>
      </c>
      <c r="N198" s="1">
        <f t="shared" si="62"/>
        <v>5732</v>
      </c>
      <c r="O198" s="1">
        <f t="shared" si="63"/>
        <v>9342</v>
      </c>
      <c r="P198" s="1">
        <f t="shared" si="64"/>
        <v>20000</v>
      </c>
      <c r="S198" s="13">
        <f t="shared" ref="S198:S212" si="65">P198-Q198-R198-V198</f>
        <v>4207</v>
      </c>
      <c r="T198" s="13">
        <f>((I198+J198+K198)*'Prices&amp;Fuel'!H198*'Prices&amp;Fuel'!L198)+('Prices&amp;Fuel'!N198*'Prices&amp;Fuel'!H198*Transport!L198)+(('Long Term Deals'!BB198+'Long Term Deals'!BC198+'Long Term Deals'!BD198)*'Prices&amp;Fuel'!H198*'Prices&amp;Fuel'!M198)</f>
        <v>0</v>
      </c>
      <c r="U198" s="1">
        <f>S198*B198*'Prices&amp;Fuel'!M198</f>
        <v>95830.411600000007</v>
      </c>
      <c r="V198" s="1">
        <f>35793-20000</f>
        <v>15793</v>
      </c>
      <c r="W198" s="13">
        <f t="shared" si="47"/>
        <v>4207</v>
      </c>
    </row>
    <row r="199" spans="1:23" x14ac:dyDescent="0.2">
      <c r="A199" s="10">
        <f t="shared" si="53"/>
        <v>41649.833333332863</v>
      </c>
      <c r="B199" s="3">
        <v>31</v>
      </c>
      <c r="F199" s="3">
        <f>7761-1128-1707</f>
        <v>4926</v>
      </c>
      <c r="G199" s="3">
        <f>14039-666-3474-4167</f>
        <v>5732</v>
      </c>
      <c r="H199" s="3">
        <f>18200-4732-4126</f>
        <v>9342</v>
      </c>
      <c r="M199" s="1">
        <f t="shared" si="61"/>
        <v>4926</v>
      </c>
      <c r="N199" s="1">
        <f t="shared" si="62"/>
        <v>5732</v>
      </c>
      <c r="O199" s="1">
        <f t="shared" si="63"/>
        <v>9342</v>
      </c>
      <c r="P199" s="1">
        <f t="shared" si="64"/>
        <v>20000</v>
      </c>
      <c r="S199" s="13">
        <f t="shared" si="65"/>
        <v>4207</v>
      </c>
      <c r="T199" s="13">
        <f>((I199+J199+K199)*'Prices&amp;Fuel'!H199*'Prices&amp;Fuel'!L199)+('Prices&amp;Fuel'!N199*'Prices&amp;Fuel'!H199*Transport!L199)+(('Long Term Deals'!BB199+'Long Term Deals'!BC199+'Long Term Deals'!BD199)*'Prices&amp;Fuel'!H199*'Prices&amp;Fuel'!M199)</f>
        <v>0</v>
      </c>
      <c r="U199" s="1">
        <f>S199*B199*'Prices&amp;Fuel'!M199</f>
        <v>95830.411600000007</v>
      </c>
      <c r="V199" s="1">
        <f>35793-20000</f>
        <v>15793</v>
      </c>
      <c r="W199" s="13">
        <f t="shared" si="47"/>
        <v>4207</v>
      </c>
    </row>
    <row r="200" spans="1:23" x14ac:dyDescent="0.2">
      <c r="A200" s="10">
        <f t="shared" si="53"/>
        <v>41680.249999999527</v>
      </c>
      <c r="B200" s="3">
        <v>28</v>
      </c>
      <c r="F200" s="3">
        <f>7761-1128-1707</f>
        <v>4926</v>
      </c>
      <c r="G200" s="3">
        <f>14039-666-3474-4167</f>
        <v>5732</v>
      </c>
      <c r="H200" s="3">
        <f>18200-4732-4126</f>
        <v>9342</v>
      </c>
      <c r="M200" s="1">
        <f t="shared" si="61"/>
        <v>4926</v>
      </c>
      <c r="N200" s="1">
        <f t="shared" si="62"/>
        <v>5732</v>
      </c>
      <c r="O200" s="1">
        <f t="shared" si="63"/>
        <v>9342</v>
      </c>
      <c r="P200" s="1">
        <f t="shared" si="64"/>
        <v>20000</v>
      </c>
      <c r="S200" s="13">
        <f t="shared" si="65"/>
        <v>4207</v>
      </c>
      <c r="T200" s="13">
        <f>((I200+J200+K200)*'Prices&amp;Fuel'!H200*'Prices&amp;Fuel'!L200)+('Prices&amp;Fuel'!N200*'Prices&amp;Fuel'!H200*Transport!L200)+(('Long Term Deals'!BB200+'Long Term Deals'!BC200+'Long Term Deals'!BD200)*'Prices&amp;Fuel'!H200*'Prices&amp;Fuel'!M200)</f>
        <v>0</v>
      </c>
      <c r="U200" s="1">
        <f>S200*B200*'Prices&amp;Fuel'!M200</f>
        <v>86556.500799999994</v>
      </c>
      <c r="V200" s="1">
        <f>35793-20000</f>
        <v>15793</v>
      </c>
      <c r="W200" s="13">
        <f t="shared" si="47"/>
        <v>4207</v>
      </c>
    </row>
    <row r="201" spans="1:23" x14ac:dyDescent="0.2">
      <c r="A201" s="10">
        <f t="shared" si="53"/>
        <v>41710.666666666191</v>
      </c>
      <c r="B201" s="3">
        <v>31</v>
      </c>
      <c r="F201" s="3">
        <f>7761-1128-1707</f>
        <v>4926</v>
      </c>
      <c r="G201" s="3">
        <f>14039-666-3474-4167</f>
        <v>5732</v>
      </c>
      <c r="H201" s="3">
        <f>18200-4732-4126</f>
        <v>9342</v>
      </c>
      <c r="M201" s="1">
        <f t="shared" si="61"/>
        <v>4926</v>
      </c>
      <c r="N201" s="1">
        <f t="shared" si="62"/>
        <v>5732</v>
      </c>
      <c r="O201" s="1">
        <f t="shared" si="63"/>
        <v>9342</v>
      </c>
      <c r="P201" s="1">
        <f t="shared" si="64"/>
        <v>20000</v>
      </c>
      <c r="S201" s="13">
        <f t="shared" si="65"/>
        <v>4207</v>
      </c>
      <c r="T201" s="13">
        <f>((I201+J201+K201)*'Prices&amp;Fuel'!H201*'Prices&amp;Fuel'!L201)+('Prices&amp;Fuel'!N201*'Prices&amp;Fuel'!H201*Transport!L201)+(('Long Term Deals'!BB201+'Long Term Deals'!BC201+'Long Term Deals'!BD201)*'Prices&amp;Fuel'!H201*'Prices&amp;Fuel'!M201)</f>
        <v>0</v>
      </c>
      <c r="U201" s="1">
        <f>S201*B201*'Prices&amp;Fuel'!M201</f>
        <v>95830.411600000007</v>
      </c>
      <c r="V201" s="1">
        <f>35793-20000</f>
        <v>15793</v>
      </c>
      <c r="W201" s="13">
        <f t="shared" si="47"/>
        <v>4207</v>
      </c>
    </row>
    <row r="202" spans="1:23" x14ac:dyDescent="0.2">
      <c r="A202" s="10">
        <f t="shared" si="53"/>
        <v>41741.083333332856</v>
      </c>
      <c r="B202" s="3">
        <v>30</v>
      </c>
      <c r="F202" s="3">
        <f>7761-828</f>
        <v>6933</v>
      </c>
      <c r="G202" s="3">
        <f>14039-5241</f>
        <v>8798</v>
      </c>
      <c r="H202" s="3">
        <f>18200-3931</f>
        <v>14269</v>
      </c>
      <c r="M202" s="1">
        <f t="shared" si="61"/>
        <v>6933</v>
      </c>
      <c r="N202" s="1">
        <f t="shared" si="62"/>
        <v>8798</v>
      </c>
      <c r="O202" s="1">
        <f t="shared" si="63"/>
        <v>14269</v>
      </c>
      <c r="P202" s="1">
        <f t="shared" si="64"/>
        <v>30000</v>
      </c>
      <c r="S202" s="13">
        <f t="shared" si="65"/>
        <v>6106</v>
      </c>
      <c r="T202" s="13">
        <f>((I202+J202+K202)*'Prices&amp;Fuel'!H202*'Prices&amp;Fuel'!L202)+('Prices&amp;Fuel'!N202*'Prices&amp;Fuel'!H202*Transport!L202)+(('Long Term Deals'!BB202+'Long Term Deals'!BC202+'Long Term Deals'!BD202)*'Prices&amp;Fuel'!H202*'Prices&amp;Fuel'!M202)</f>
        <v>0</v>
      </c>
      <c r="U202" s="1">
        <f>S202*B202*'Prices&amp;Fuel'!M202</f>
        <v>134600.66399999999</v>
      </c>
      <c r="V202" s="1">
        <f>33894-10000</f>
        <v>23894</v>
      </c>
      <c r="W202" s="13">
        <f t="shared" si="47"/>
        <v>6106</v>
      </c>
    </row>
    <row r="203" spans="1:23" x14ac:dyDescent="0.2">
      <c r="A203" s="10">
        <f t="shared" si="53"/>
        <v>41771.49999999952</v>
      </c>
      <c r="B203" s="3">
        <v>31</v>
      </c>
      <c r="F203" s="3">
        <v>8730</v>
      </c>
      <c r="G203" s="3">
        <f>15795-5034</f>
        <v>10761</v>
      </c>
      <c r="H203" s="3">
        <f>20475-4966</f>
        <v>15509</v>
      </c>
      <c r="M203" s="1">
        <f t="shared" si="61"/>
        <v>8730</v>
      </c>
      <c r="N203" s="1">
        <f t="shared" si="62"/>
        <v>10761</v>
      </c>
      <c r="O203" s="1">
        <f t="shared" si="63"/>
        <v>15509</v>
      </c>
      <c r="P203" s="1">
        <f t="shared" si="64"/>
        <v>35000</v>
      </c>
      <c r="S203" s="13">
        <f t="shared" si="65"/>
        <v>15106</v>
      </c>
      <c r="T203" s="13">
        <f>((I203+J203+K203)*'Prices&amp;Fuel'!H203*'Prices&amp;Fuel'!L203)+('Prices&amp;Fuel'!N203*'Prices&amp;Fuel'!H203*Transport!L203)+(('Long Term Deals'!BB203+'Long Term Deals'!BC203+'Long Term Deals'!BD203)*'Prices&amp;Fuel'!H203*'Prices&amp;Fuel'!M203)</f>
        <v>0</v>
      </c>
      <c r="U203" s="1">
        <f>S203*B203*'Prices&amp;Fuel'!M203</f>
        <v>344096.5528</v>
      </c>
      <c r="V203" s="1">
        <f>29894-10000</f>
        <v>19894</v>
      </c>
      <c r="W203" s="13">
        <f t="shared" si="47"/>
        <v>15106</v>
      </c>
    </row>
    <row r="204" spans="1:23" x14ac:dyDescent="0.2">
      <c r="A204" s="10">
        <f t="shared" si="53"/>
        <v>41801.916666666184</v>
      </c>
      <c r="B204" s="3">
        <v>30</v>
      </c>
      <c r="F204" s="3">
        <v>8730</v>
      </c>
      <c r="G204" s="3">
        <f>15795-5034</f>
        <v>10761</v>
      </c>
      <c r="H204" s="3">
        <f>20475-4966</f>
        <v>15509</v>
      </c>
      <c r="M204" s="1">
        <f t="shared" si="61"/>
        <v>8730</v>
      </c>
      <c r="N204" s="1">
        <f t="shared" si="62"/>
        <v>10761</v>
      </c>
      <c r="O204" s="1">
        <f t="shared" si="63"/>
        <v>15509</v>
      </c>
      <c r="P204" s="1">
        <f t="shared" si="64"/>
        <v>35000</v>
      </c>
      <c r="S204" s="13">
        <f t="shared" si="65"/>
        <v>15106</v>
      </c>
      <c r="T204" s="13">
        <f>((I204+J204+K204)*'Prices&amp;Fuel'!H204*'Prices&amp;Fuel'!L204)+('Prices&amp;Fuel'!N204*'Prices&amp;Fuel'!H204*Transport!L204)+(('Long Term Deals'!BB204+'Long Term Deals'!BC204+'Long Term Deals'!BD204)*'Prices&amp;Fuel'!H204*'Prices&amp;Fuel'!M204)</f>
        <v>0</v>
      </c>
      <c r="U204" s="1">
        <f>S204*B204*'Prices&amp;Fuel'!M204</f>
        <v>332996.66399999999</v>
      </c>
      <c r="V204" s="1">
        <f>29894-10000</f>
        <v>19894</v>
      </c>
      <c r="W204" s="13">
        <f t="shared" si="47"/>
        <v>15106</v>
      </c>
    </row>
    <row r="205" spans="1:23" x14ac:dyDescent="0.2">
      <c r="A205" s="10">
        <f t="shared" si="53"/>
        <v>41832.333333332848</v>
      </c>
      <c r="B205" s="3">
        <v>31</v>
      </c>
      <c r="F205" s="3">
        <v>8730</v>
      </c>
      <c r="G205" s="3">
        <f>15795-5034</f>
        <v>10761</v>
      </c>
      <c r="H205" s="3">
        <f>20475-4966</f>
        <v>15509</v>
      </c>
      <c r="M205" s="1">
        <f t="shared" si="61"/>
        <v>8730</v>
      </c>
      <c r="N205" s="1">
        <f t="shared" si="62"/>
        <v>10761</v>
      </c>
      <c r="O205" s="1">
        <f t="shared" si="63"/>
        <v>15509</v>
      </c>
      <c r="P205" s="1">
        <f t="shared" si="64"/>
        <v>35000</v>
      </c>
      <c r="S205" s="13">
        <f t="shared" si="65"/>
        <v>15106</v>
      </c>
      <c r="T205" s="13">
        <f>((I205+J205+K205)*'Prices&amp;Fuel'!H205*'Prices&amp;Fuel'!L205)+('Prices&amp;Fuel'!N205*'Prices&amp;Fuel'!H205*Transport!L205)+(('Long Term Deals'!BB205+'Long Term Deals'!BC205+'Long Term Deals'!BD205)*'Prices&amp;Fuel'!H205*'Prices&amp;Fuel'!M205)</f>
        <v>0</v>
      </c>
      <c r="U205" s="1">
        <f>S205*B205*'Prices&amp;Fuel'!M205</f>
        <v>344096.5528</v>
      </c>
      <c r="V205" s="1">
        <f>29894-10000</f>
        <v>19894</v>
      </c>
      <c r="W205" s="13">
        <f t="shared" si="47"/>
        <v>15106</v>
      </c>
    </row>
    <row r="206" spans="1:23" x14ac:dyDescent="0.2">
      <c r="A206" s="10">
        <f t="shared" si="53"/>
        <v>41862.749999999513</v>
      </c>
      <c r="B206" s="3">
        <v>31</v>
      </c>
      <c r="F206" s="3">
        <v>8730</v>
      </c>
      <c r="G206" s="3">
        <f>15795-5034</f>
        <v>10761</v>
      </c>
      <c r="H206" s="3">
        <f>20475-4966</f>
        <v>15509</v>
      </c>
      <c r="M206" s="1">
        <f t="shared" si="61"/>
        <v>8730</v>
      </c>
      <c r="N206" s="1">
        <f t="shared" si="62"/>
        <v>10761</v>
      </c>
      <c r="O206" s="1">
        <f t="shared" si="63"/>
        <v>15509</v>
      </c>
      <c r="P206" s="1">
        <f t="shared" si="64"/>
        <v>35000</v>
      </c>
      <c r="S206" s="13">
        <f t="shared" si="65"/>
        <v>15106</v>
      </c>
      <c r="T206" s="13">
        <f>((I206+J206+K206)*'Prices&amp;Fuel'!H206*'Prices&amp;Fuel'!L206)+('Prices&amp;Fuel'!N206*'Prices&amp;Fuel'!H206*Transport!L206)+(('Long Term Deals'!BB206+'Long Term Deals'!BC206+'Long Term Deals'!BD206)*'Prices&amp;Fuel'!H206*'Prices&amp;Fuel'!M206)</f>
        <v>0</v>
      </c>
      <c r="U206" s="1">
        <f>S206*B206*'Prices&amp;Fuel'!M206</f>
        <v>344096.5528</v>
      </c>
      <c r="V206" s="1">
        <f>29894-10000</f>
        <v>19894</v>
      </c>
      <c r="W206" s="13">
        <f t="shared" si="47"/>
        <v>15106</v>
      </c>
    </row>
    <row r="207" spans="1:23" x14ac:dyDescent="0.2">
      <c r="A207" s="10">
        <f t="shared" si="53"/>
        <v>41893.166666666177</v>
      </c>
      <c r="B207" s="3">
        <v>30</v>
      </c>
      <c r="F207" s="3">
        <v>8730</v>
      </c>
      <c r="G207" s="3">
        <f>15795-5034</f>
        <v>10761</v>
      </c>
      <c r="H207" s="3">
        <f>20475-4966</f>
        <v>15509</v>
      </c>
      <c r="M207" s="1">
        <f t="shared" si="61"/>
        <v>8730</v>
      </c>
      <c r="N207" s="1">
        <f t="shared" si="62"/>
        <v>10761</v>
      </c>
      <c r="O207" s="1">
        <f t="shared" si="63"/>
        <v>15509</v>
      </c>
      <c r="P207" s="1">
        <f t="shared" si="64"/>
        <v>35000</v>
      </c>
      <c r="S207" s="13">
        <f t="shared" si="65"/>
        <v>15106</v>
      </c>
      <c r="T207" s="13">
        <f>((I207+J207+K207)*'Prices&amp;Fuel'!H207*'Prices&amp;Fuel'!L207)+('Prices&amp;Fuel'!N207*'Prices&amp;Fuel'!H207*Transport!L207)+(('Long Term Deals'!BB207+'Long Term Deals'!BC207+'Long Term Deals'!BD207)*'Prices&amp;Fuel'!H207*'Prices&amp;Fuel'!M207)</f>
        <v>0</v>
      </c>
      <c r="U207" s="1">
        <f>S207*B207*'Prices&amp;Fuel'!M207</f>
        <v>332996.66399999999</v>
      </c>
      <c r="V207" s="1">
        <f>29894-10000</f>
        <v>19894</v>
      </c>
      <c r="W207" s="13">
        <f t="shared" si="47"/>
        <v>15106</v>
      </c>
    </row>
    <row r="208" spans="1:23" x14ac:dyDescent="0.2">
      <c r="A208" s="10">
        <f t="shared" si="53"/>
        <v>41923.583333332841</v>
      </c>
      <c r="B208" s="3">
        <v>31</v>
      </c>
      <c r="F208" s="3">
        <f>8730-0</f>
        <v>8730</v>
      </c>
      <c r="G208" s="3">
        <f>15795-5434</f>
        <v>10361</v>
      </c>
      <c r="H208" s="3">
        <f>20475-4566</f>
        <v>15909</v>
      </c>
      <c r="M208" s="1">
        <f t="shared" si="61"/>
        <v>8730</v>
      </c>
      <c r="N208" s="1">
        <f t="shared" si="62"/>
        <v>10361</v>
      </c>
      <c r="O208" s="1">
        <f t="shared" si="63"/>
        <v>15909</v>
      </c>
      <c r="P208" s="1">
        <f t="shared" si="64"/>
        <v>35000</v>
      </c>
      <c r="S208" s="13">
        <f t="shared" si="65"/>
        <v>12148</v>
      </c>
      <c r="T208" s="13">
        <f>((I208+J208+K208)*'Prices&amp;Fuel'!H208*'Prices&amp;Fuel'!L208)+('Prices&amp;Fuel'!N208*'Prices&amp;Fuel'!H208*Transport!L208)+(('Long Term Deals'!BB208+'Long Term Deals'!BC208+'Long Term Deals'!BD208)*'Prices&amp;Fuel'!H208*'Prices&amp;Fuel'!M208)</f>
        <v>0</v>
      </c>
      <c r="U208" s="1">
        <f>S208*B208*'Prices&amp;Fuel'!M208</f>
        <v>276716.86239999998</v>
      </c>
      <c r="V208" s="1">
        <f>32852-10000</f>
        <v>22852</v>
      </c>
      <c r="W208" s="13">
        <f t="shared" si="47"/>
        <v>12148</v>
      </c>
    </row>
    <row r="209" spans="1:23" x14ac:dyDescent="0.2">
      <c r="A209" s="10">
        <f t="shared" si="53"/>
        <v>41953.999999999505</v>
      </c>
      <c r="B209" s="3">
        <v>30</v>
      </c>
      <c r="F209" s="3">
        <f>7761-1128-1707</f>
        <v>4926</v>
      </c>
      <c r="G209" s="3">
        <f>14039-666-3474-4167</f>
        <v>5732</v>
      </c>
      <c r="H209" s="3">
        <f>18200-4732-4126</f>
        <v>9342</v>
      </c>
      <c r="M209" s="1">
        <f t="shared" si="61"/>
        <v>4926</v>
      </c>
      <c r="N209" s="1">
        <f t="shared" si="62"/>
        <v>5732</v>
      </c>
      <c r="O209" s="1">
        <f t="shared" si="63"/>
        <v>9342</v>
      </c>
      <c r="P209" s="1">
        <f t="shared" si="64"/>
        <v>20000</v>
      </c>
      <c r="S209" s="13">
        <f t="shared" si="65"/>
        <v>4207</v>
      </c>
      <c r="T209" s="13">
        <f>((I209+J209+K209)*'Prices&amp;Fuel'!H209*'Prices&amp;Fuel'!L209)+('Prices&amp;Fuel'!N209*'Prices&amp;Fuel'!H209*Transport!L209)+(('Long Term Deals'!BB209+'Long Term Deals'!BC209+'Long Term Deals'!BD209)*'Prices&amp;Fuel'!H209*'Prices&amp;Fuel'!M209)</f>
        <v>0</v>
      </c>
      <c r="U209" s="1">
        <f>S209*B209*'Prices&amp;Fuel'!M209</f>
        <v>92739.108000000007</v>
      </c>
      <c r="V209" s="1">
        <f>35793-20000</f>
        <v>15793</v>
      </c>
      <c r="W209" s="13">
        <f t="shared" si="47"/>
        <v>4207</v>
      </c>
    </row>
    <row r="210" spans="1:23" x14ac:dyDescent="0.2">
      <c r="A210" s="10">
        <f t="shared" si="53"/>
        <v>41984.416666666169</v>
      </c>
      <c r="B210" s="3">
        <v>31</v>
      </c>
      <c r="F210" s="3">
        <f>7761-1128-1707</f>
        <v>4926</v>
      </c>
      <c r="G210" s="3">
        <f>14039-666-3474-4167</f>
        <v>5732</v>
      </c>
      <c r="H210" s="3">
        <f>18200-4732-4126</f>
        <v>9342</v>
      </c>
      <c r="M210" s="1">
        <f t="shared" si="61"/>
        <v>4926</v>
      </c>
      <c r="N210" s="1">
        <f t="shared" si="62"/>
        <v>5732</v>
      </c>
      <c r="O210" s="1">
        <f t="shared" si="63"/>
        <v>9342</v>
      </c>
      <c r="P210" s="1">
        <f t="shared" si="64"/>
        <v>20000</v>
      </c>
      <c r="S210" s="13">
        <f t="shared" si="65"/>
        <v>4207</v>
      </c>
      <c r="T210" s="13">
        <f>((I210+J210+K210)*'Prices&amp;Fuel'!H210*'Prices&amp;Fuel'!L210)+('Prices&amp;Fuel'!N210*'Prices&amp;Fuel'!H210*Transport!L210)+(('Long Term Deals'!BB210+'Long Term Deals'!BC210+'Long Term Deals'!BD210)*'Prices&amp;Fuel'!H210*'Prices&amp;Fuel'!M210)</f>
        <v>0</v>
      </c>
      <c r="U210" s="1">
        <f>S210*B210*'Prices&amp;Fuel'!M210</f>
        <v>95830.411600000007</v>
      </c>
      <c r="V210" s="1">
        <f>35793-20000</f>
        <v>15793</v>
      </c>
      <c r="W210" s="13">
        <f t="shared" si="47"/>
        <v>4207</v>
      </c>
    </row>
    <row r="211" spans="1:23" x14ac:dyDescent="0.2">
      <c r="A211" s="10">
        <f t="shared" si="53"/>
        <v>42014.833333332834</v>
      </c>
      <c r="B211" s="3">
        <v>31</v>
      </c>
      <c r="F211" s="3">
        <f>7761-1128-1707</f>
        <v>4926</v>
      </c>
      <c r="G211" s="3">
        <f>14039-666-3474-4167</f>
        <v>5732</v>
      </c>
      <c r="H211" s="3">
        <f>18200-4732-4126</f>
        <v>9342</v>
      </c>
      <c r="M211" s="1">
        <f t="shared" si="61"/>
        <v>4926</v>
      </c>
      <c r="N211" s="1">
        <f t="shared" si="62"/>
        <v>5732</v>
      </c>
      <c r="O211" s="1">
        <f t="shared" si="63"/>
        <v>9342</v>
      </c>
      <c r="P211" s="1">
        <f t="shared" si="64"/>
        <v>20000</v>
      </c>
      <c r="S211" s="13">
        <f t="shared" si="65"/>
        <v>4207</v>
      </c>
      <c r="T211" s="13">
        <f>((I211+J211+K211)*'Prices&amp;Fuel'!H211*'Prices&amp;Fuel'!L211)+('Prices&amp;Fuel'!N211*'Prices&amp;Fuel'!H211*Transport!L211)+(('Long Term Deals'!BB211+'Long Term Deals'!BC211+'Long Term Deals'!BD211)*'Prices&amp;Fuel'!H211*'Prices&amp;Fuel'!M211)</f>
        <v>0</v>
      </c>
      <c r="U211" s="1">
        <f>S211*B211*'Prices&amp;Fuel'!M211</f>
        <v>95830.411600000007</v>
      </c>
      <c r="V211" s="1">
        <f>35793-20000</f>
        <v>15793</v>
      </c>
      <c r="W211" s="13">
        <f t="shared" si="47"/>
        <v>4207</v>
      </c>
    </row>
    <row r="212" spans="1:23" x14ac:dyDescent="0.2">
      <c r="A212" s="10">
        <f t="shared" si="53"/>
        <v>42045.249999999498</v>
      </c>
      <c r="B212" s="3">
        <v>28</v>
      </c>
      <c r="F212" s="3">
        <f>7761-1128-1707</f>
        <v>4926</v>
      </c>
      <c r="G212" s="3">
        <f>14039-666-3474-4167</f>
        <v>5732</v>
      </c>
      <c r="H212" s="3">
        <f>18200-4732-4126</f>
        <v>9342</v>
      </c>
      <c r="M212" s="1">
        <f t="shared" si="61"/>
        <v>4926</v>
      </c>
      <c r="N212" s="1">
        <f t="shared" si="62"/>
        <v>5732</v>
      </c>
      <c r="O212" s="1">
        <f t="shared" si="63"/>
        <v>9342</v>
      </c>
      <c r="P212" s="1">
        <f t="shared" si="64"/>
        <v>20000</v>
      </c>
      <c r="S212" s="13">
        <f t="shared" si="65"/>
        <v>4207</v>
      </c>
      <c r="T212" s="13">
        <f>((I212+J212+K212)*'Prices&amp;Fuel'!H212*'Prices&amp;Fuel'!L212)+('Prices&amp;Fuel'!N212*'Prices&amp;Fuel'!H212*Transport!L212)+(('Long Term Deals'!BB212+'Long Term Deals'!BC212+'Long Term Deals'!BD212)*'Prices&amp;Fuel'!H212*'Prices&amp;Fuel'!M212)</f>
        <v>0</v>
      </c>
      <c r="U212" s="1">
        <f>S212*B212*'Prices&amp;Fuel'!M212</f>
        <v>86556.500799999994</v>
      </c>
      <c r="V212" s="1">
        <f>35793-20000</f>
        <v>15793</v>
      </c>
      <c r="W212" s="13">
        <f>P212-R212-V212</f>
        <v>4207</v>
      </c>
    </row>
    <row r="213" spans="1:23" x14ac:dyDescent="0.2">
      <c r="A213" s="3"/>
      <c r="U213" s="1"/>
      <c r="V213" s="1"/>
      <c r="W213" s="13"/>
    </row>
    <row r="214" spans="1:23" x14ac:dyDescent="0.2">
      <c r="A214" s="3"/>
      <c r="U214" s="1"/>
      <c r="V214" s="1"/>
      <c r="W214" s="13"/>
    </row>
    <row r="215" spans="1:23" x14ac:dyDescent="0.2">
      <c r="A215" s="3"/>
      <c r="U215" s="1"/>
      <c r="V215" s="1"/>
      <c r="W215" s="13"/>
    </row>
    <row r="216" spans="1:23" x14ac:dyDescent="0.2">
      <c r="A216" s="3"/>
      <c r="U216" s="1"/>
      <c r="V216" s="1"/>
      <c r="W216" s="13"/>
    </row>
    <row r="217" spans="1:23" x14ac:dyDescent="0.2">
      <c r="A217" s="3"/>
      <c r="U217" s="1"/>
      <c r="V217" s="1"/>
      <c r="W217" s="13"/>
    </row>
    <row r="218" spans="1:23" x14ac:dyDescent="0.2">
      <c r="A218" s="3"/>
      <c r="U218" s="1"/>
      <c r="V218" s="1"/>
      <c r="W218" s="13"/>
    </row>
    <row r="219" spans="1:23" x14ac:dyDescent="0.2">
      <c r="A219" s="3"/>
      <c r="U219" s="1"/>
      <c r="V219" s="1"/>
      <c r="W219" s="13"/>
    </row>
    <row r="220" spans="1:23" x14ac:dyDescent="0.2">
      <c r="A220" s="3"/>
      <c r="W220" s="13"/>
    </row>
    <row r="221" spans="1:23" x14ac:dyDescent="0.2">
      <c r="A221" s="3"/>
      <c r="W221" s="13"/>
    </row>
    <row r="222" spans="1:23" x14ac:dyDescent="0.2">
      <c r="A222" s="3"/>
      <c r="W222" s="13"/>
    </row>
    <row r="223" spans="1:23" x14ac:dyDescent="0.2">
      <c r="A223" s="3"/>
      <c r="W223" s="13"/>
    </row>
    <row r="224" spans="1:23" x14ac:dyDescent="0.2">
      <c r="A224" s="3"/>
      <c r="W224" s="13"/>
    </row>
    <row r="225" spans="1:23" x14ac:dyDescent="0.2">
      <c r="A225" s="3"/>
      <c r="W225" s="13"/>
    </row>
    <row r="226" spans="1:23" x14ac:dyDescent="0.2">
      <c r="A226" s="3"/>
      <c r="W226" s="13"/>
    </row>
    <row r="227" spans="1:23" x14ac:dyDescent="0.2">
      <c r="A227" s="3"/>
      <c r="W227" s="13"/>
    </row>
    <row r="228" spans="1:23" x14ac:dyDescent="0.2">
      <c r="A228" s="3"/>
      <c r="W228" s="13"/>
    </row>
    <row r="229" spans="1:23" x14ac:dyDescent="0.2">
      <c r="A229" s="3"/>
      <c r="W229" s="13"/>
    </row>
    <row r="230" spans="1:23" x14ac:dyDescent="0.2">
      <c r="A230" s="3"/>
      <c r="W230" s="13"/>
    </row>
    <row r="231" spans="1:23" x14ac:dyDescent="0.2">
      <c r="A231" s="3"/>
      <c r="W231" s="13"/>
    </row>
    <row r="232" spans="1:23" x14ac:dyDescent="0.2">
      <c r="A232" s="3"/>
      <c r="W232" s="13"/>
    </row>
    <row r="233" spans="1:23" x14ac:dyDescent="0.2">
      <c r="A233" s="3"/>
      <c r="W233" s="13"/>
    </row>
    <row r="234" spans="1:23" x14ac:dyDescent="0.2">
      <c r="A234" s="3"/>
      <c r="W234" s="13"/>
    </row>
    <row r="235" spans="1:23" x14ac:dyDescent="0.2">
      <c r="A235" s="3"/>
      <c r="W235" s="13"/>
    </row>
    <row r="236" spans="1:23" x14ac:dyDescent="0.2">
      <c r="A236" s="3"/>
      <c r="W236" s="13"/>
    </row>
    <row r="237" spans="1:23" x14ac:dyDescent="0.2">
      <c r="A237" s="3"/>
      <c r="W237" s="13"/>
    </row>
    <row r="238" spans="1:23" x14ac:dyDescent="0.2">
      <c r="A238" s="3"/>
      <c r="W238" s="13"/>
    </row>
    <row r="239" spans="1:23" x14ac:dyDescent="0.2">
      <c r="A239" s="3"/>
      <c r="W239" s="13"/>
    </row>
    <row r="240" spans="1:23" x14ac:dyDescent="0.2">
      <c r="A240" s="3"/>
      <c r="W240" s="13"/>
    </row>
    <row r="241" spans="1:23" x14ac:dyDescent="0.2">
      <c r="A241" s="3"/>
      <c r="W241" s="13"/>
    </row>
    <row r="242" spans="1:23" x14ac:dyDescent="0.2">
      <c r="A242" s="3"/>
      <c r="W242" s="13"/>
    </row>
    <row r="243" spans="1:23" x14ac:dyDescent="0.2">
      <c r="A243" s="3"/>
      <c r="W243" s="13"/>
    </row>
    <row r="244" spans="1:23" x14ac:dyDescent="0.2">
      <c r="A244" s="3"/>
      <c r="W244" s="13"/>
    </row>
    <row r="245" spans="1:23" x14ac:dyDescent="0.2">
      <c r="A245" s="3"/>
      <c r="W245" s="13"/>
    </row>
    <row r="246" spans="1:23" x14ac:dyDescent="0.2">
      <c r="A246" s="3"/>
      <c r="W246" s="13"/>
    </row>
    <row r="247" spans="1:23" x14ac:dyDescent="0.2">
      <c r="A247" s="3"/>
      <c r="W247" s="13"/>
    </row>
    <row r="248" spans="1:23" x14ac:dyDescent="0.2">
      <c r="A248" s="3"/>
      <c r="W248" s="13"/>
    </row>
    <row r="249" spans="1:23" x14ac:dyDescent="0.2">
      <c r="A249" s="3"/>
      <c r="W249" s="13"/>
    </row>
    <row r="250" spans="1:23" x14ac:dyDescent="0.2">
      <c r="A250" s="3"/>
      <c r="W250" s="13"/>
    </row>
    <row r="251" spans="1:23" x14ac:dyDescent="0.2">
      <c r="A251" s="3"/>
      <c r="W251" s="13"/>
    </row>
    <row r="252" spans="1:23" x14ac:dyDescent="0.2">
      <c r="A252" s="3"/>
      <c r="W252" s="13"/>
    </row>
    <row r="253" spans="1:23" x14ac:dyDescent="0.2">
      <c r="A253" s="3"/>
      <c r="W253" s="13"/>
    </row>
    <row r="254" spans="1:23" x14ac:dyDescent="0.2">
      <c r="A254" s="3"/>
      <c r="W254" s="13"/>
    </row>
    <row r="255" spans="1:23" x14ac:dyDescent="0.2">
      <c r="A255" s="3"/>
      <c r="W255" s="13"/>
    </row>
    <row r="256" spans="1:23" x14ac:dyDescent="0.2">
      <c r="A256" s="3"/>
      <c r="W256" s="13"/>
    </row>
    <row r="257" spans="1:23" x14ac:dyDescent="0.2">
      <c r="A257" s="3"/>
      <c r="W257" s="13"/>
    </row>
    <row r="258" spans="1:23" x14ac:dyDescent="0.2">
      <c r="A258" s="3"/>
      <c r="W258" s="13"/>
    </row>
    <row r="259" spans="1:23" x14ac:dyDescent="0.2">
      <c r="A259" s="3"/>
      <c r="W259" s="13"/>
    </row>
    <row r="260" spans="1:23" x14ac:dyDescent="0.2">
      <c r="A260" s="3"/>
      <c r="W260" s="13"/>
    </row>
    <row r="261" spans="1:23" x14ac:dyDescent="0.2">
      <c r="A261" s="3"/>
      <c r="W261" s="13"/>
    </row>
    <row r="262" spans="1:23" x14ac:dyDescent="0.2">
      <c r="A262" s="3"/>
      <c r="W262" s="13"/>
    </row>
    <row r="263" spans="1:23" x14ac:dyDescent="0.2">
      <c r="A263" s="3"/>
      <c r="W263" s="13"/>
    </row>
    <row r="264" spans="1:23" x14ac:dyDescent="0.2">
      <c r="A264" s="3"/>
      <c r="W264" s="13"/>
    </row>
    <row r="265" spans="1:23" x14ac:dyDescent="0.2">
      <c r="A265" s="3"/>
      <c r="W265" s="13"/>
    </row>
    <row r="266" spans="1:23" x14ac:dyDescent="0.2">
      <c r="A266" s="3"/>
      <c r="W266" s="13"/>
    </row>
    <row r="267" spans="1:23" x14ac:dyDescent="0.2">
      <c r="A267" s="3"/>
      <c r="W267" s="13"/>
    </row>
    <row r="268" spans="1:23" x14ac:dyDescent="0.2">
      <c r="A268" s="3"/>
      <c r="W268" s="13"/>
    </row>
    <row r="269" spans="1:23" x14ac:dyDescent="0.2">
      <c r="W269" s="13"/>
    </row>
    <row r="270" spans="1:23" x14ac:dyDescent="0.2">
      <c r="W270" s="13"/>
    </row>
    <row r="271" spans="1:23" x14ac:dyDescent="0.2">
      <c r="W271" s="13"/>
    </row>
    <row r="272" spans="1:23" x14ac:dyDescent="0.2">
      <c r="W272" s="13"/>
    </row>
    <row r="273" spans="23:23" x14ac:dyDescent="0.2">
      <c r="W273" s="13"/>
    </row>
    <row r="274" spans="23:23" x14ac:dyDescent="0.2">
      <c r="W274" s="13"/>
    </row>
    <row r="275" spans="23:23" x14ac:dyDescent="0.2">
      <c r="W275" s="13"/>
    </row>
    <row r="276" spans="23:23" x14ac:dyDescent="0.2">
      <c r="W276" s="13"/>
    </row>
    <row r="277" spans="23:23" x14ac:dyDescent="0.2">
      <c r="W277" s="13"/>
    </row>
    <row r="278" spans="23:23" x14ac:dyDescent="0.2">
      <c r="W278" s="13"/>
    </row>
    <row r="279" spans="23:23" x14ac:dyDescent="0.2">
      <c r="W279" s="13"/>
    </row>
  </sheetData>
  <printOptions gridLines="1" gridLinesSet="0"/>
  <pageMargins left="0.75" right="0.75" top="1" bottom="1" header="0.5" footer="0.5"/>
  <pageSetup orientation="landscape" horizontalDpi="300" verticalDpi="30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8"/>
  <sheetViews>
    <sheetView workbookViewId="0">
      <pane xSplit="1" ySplit="2" topLeftCell="B37" activePane="bottomRight" state="frozen"/>
      <selection activeCell="BD42" sqref="BD42"/>
      <selection pane="topRight" activeCell="BD42" sqref="BD42"/>
      <selection pane="bottomLeft" activeCell="BD42" sqref="BD42"/>
      <selection pane="bottomRight" activeCell="F41" sqref="F41"/>
    </sheetView>
  </sheetViews>
  <sheetFormatPr defaultColWidth="9.109375" defaultRowHeight="10.199999999999999" x14ac:dyDescent="0.2"/>
  <cols>
    <col min="1" max="1" width="9.109375" style="10"/>
    <col min="2" max="4" width="9.109375" style="19"/>
    <col min="5" max="5" width="9.109375" style="29"/>
    <col min="6" max="6" width="9.109375" style="2"/>
    <col min="7" max="7" width="9.109375" style="3"/>
    <col min="8" max="8" width="2.6640625" style="3" customWidth="1"/>
    <col min="9" max="11" width="0" style="3" hidden="1" customWidth="1"/>
    <col min="12" max="12" width="10" style="76" bestFit="1" customWidth="1"/>
    <col min="13" max="13" width="9.109375" style="8"/>
    <col min="14" max="14" width="7.44140625" style="11" customWidth="1"/>
    <col min="15" max="15" width="7.33203125" style="3" customWidth="1"/>
    <col min="16" max="16" width="7" style="3" customWidth="1"/>
    <col min="17" max="17" width="9.109375" style="3"/>
    <col min="18" max="23" width="6.6640625" style="3" customWidth="1"/>
    <col min="24" max="24" width="7.44140625" style="3" customWidth="1"/>
    <col min="25" max="31" width="0" style="3" hidden="1" customWidth="1"/>
    <col min="32" max="16384" width="9.109375" style="3"/>
  </cols>
  <sheetData>
    <row r="1" spans="1:32" ht="31.2" x14ac:dyDescent="0.25">
      <c r="A1" s="11"/>
      <c r="B1" s="62" t="s">
        <v>83</v>
      </c>
      <c r="C1" s="62"/>
      <c r="D1" s="62"/>
      <c r="E1" s="35" t="s">
        <v>84</v>
      </c>
      <c r="F1" s="38" t="s">
        <v>85</v>
      </c>
      <c r="G1" s="5"/>
      <c r="L1" s="76" t="s">
        <v>86</v>
      </c>
      <c r="M1" s="8" t="s">
        <v>87</v>
      </c>
      <c r="N1" s="76" t="s">
        <v>88</v>
      </c>
      <c r="O1" s="8" t="s">
        <v>89</v>
      </c>
      <c r="P1" s="8" t="s">
        <v>90</v>
      </c>
      <c r="Q1" s="8" t="s">
        <v>91</v>
      </c>
      <c r="R1" s="5" t="s">
        <v>73</v>
      </c>
      <c r="S1" s="5"/>
      <c r="T1" s="5"/>
      <c r="U1" s="5" t="s">
        <v>74</v>
      </c>
      <c r="V1" s="5"/>
      <c r="W1" s="5"/>
      <c r="X1" s="39" t="s">
        <v>75</v>
      </c>
      <c r="Y1" s="5" t="s">
        <v>92</v>
      </c>
      <c r="Z1" s="5"/>
      <c r="AA1" s="5"/>
      <c r="AB1" s="5" t="s">
        <v>93</v>
      </c>
      <c r="AC1" s="5"/>
      <c r="AD1" s="5"/>
      <c r="AF1" s="32"/>
    </row>
    <row r="2" spans="1:32" s="32" customFormat="1" x14ac:dyDescent="0.2">
      <c r="A2" s="40"/>
      <c r="B2" s="63" t="s">
        <v>29</v>
      </c>
      <c r="C2" s="63" t="s">
        <v>30</v>
      </c>
      <c r="D2" s="63" t="s">
        <v>31</v>
      </c>
      <c r="E2" s="33"/>
      <c r="F2" s="41" t="s">
        <v>94</v>
      </c>
      <c r="G2" s="42" t="s">
        <v>95</v>
      </c>
      <c r="L2" s="76"/>
      <c r="M2" s="8"/>
      <c r="N2" s="86"/>
      <c r="R2" s="33" t="s">
        <v>29</v>
      </c>
      <c r="S2" s="33" t="s">
        <v>30</v>
      </c>
      <c r="T2" s="33" t="s">
        <v>31</v>
      </c>
      <c r="U2" s="33" t="s">
        <v>29</v>
      </c>
      <c r="V2" s="33" t="s">
        <v>30</v>
      </c>
      <c r="W2" s="33" t="s">
        <v>31</v>
      </c>
      <c r="X2" s="33" t="s">
        <v>30</v>
      </c>
      <c r="Y2" s="33" t="s">
        <v>29</v>
      </c>
      <c r="Z2" s="33" t="s">
        <v>30</v>
      </c>
      <c r="AA2" s="33" t="s">
        <v>31</v>
      </c>
      <c r="AB2" s="33" t="s">
        <v>29</v>
      </c>
      <c r="AC2" s="33" t="s">
        <v>30</v>
      </c>
      <c r="AD2" s="33" t="s">
        <v>31</v>
      </c>
    </row>
    <row r="3" spans="1:32" x14ac:dyDescent="0.2">
      <c r="A3" s="43"/>
      <c r="C3" s="63"/>
      <c r="F3" s="41"/>
      <c r="G3" s="42"/>
    </row>
    <row r="4" spans="1:32" x14ac:dyDescent="0.2">
      <c r="A4" s="43"/>
      <c r="C4" s="63"/>
      <c r="F4" s="41"/>
      <c r="G4" s="42"/>
    </row>
    <row r="5" spans="1:32" x14ac:dyDescent="0.2">
      <c r="A5" s="10">
        <v>35749</v>
      </c>
      <c r="B5" s="19">
        <v>3.2</v>
      </c>
      <c r="C5" s="19">
        <v>3.26</v>
      </c>
      <c r="D5" s="19">
        <v>3.2</v>
      </c>
      <c r="E5" s="19">
        <f>(3.785+3.467+3.266)/3</f>
        <v>3.5060000000000002</v>
      </c>
      <c r="F5" s="2">
        <v>3.0499999999999999E-2</v>
      </c>
      <c r="G5" s="15">
        <v>3.0499999999999999E-2</v>
      </c>
      <c r="H5" s="3">
        <v>30</v>
      </c>
      <c r="I5" s="12">
        <v>-0.13465814091953598</v>
      </c>
      <c r="K5" s="44">
        <v>1.7500000000000071E-2</v>
      </c>
      <c r="L5" s="76">
        <v>0.37719999999999998</v>
      </c>
      <c r="M5" s="8">
        <v>0.81569999999999998</v>
      </c>
      <c r="O5" s="3">
        <v>4.0300000000000002E-2</v>
      </c>
      <c r="P5" s="3">
        <v>2.35E-2</v>
      </c>
      <c r="Q5" s="3">
        <f>1520779.74/479340</f>
        <v>3.1726535235949429</v>
      </c>
      <c r="R5" s="3">
        <f>Transport!F5</f>
        <v>7761</v>
      </c>
      <c r="S5" s="3">
        <f>Transport!G5</f>
        <v>14039</v>
      </c>
      <c r="T5" s="3">
        <f>Transport!H5</f>
        <v>18200</v>
      </c>
      <c r="U5" s="3">
        <f>Transport!I5</f>
        <v>2563</v>
      </c>
      <c r="V5" s="3">
        <f>Transport!J5</f>
        <v>2862</v>
      </c>
      <c r="W5" s="3">
        <f>Transport!K5</f>
        <v>1685</v>
      </c>
      <c r="X5" s="3">
        <f>Transport!L5</f>
        <v>0</v>
      </c>
      <c r="Y5" s="3">
        <v>538</v>
      </c>
      <c r="Z5" s="3">
        <v>643</v>
      </c>
      <c r="AA5" s="3">
        <v>314</v>
      </c>
      <c r="AD5" s="3">
        <v>718</v>
      </c>
      <c r="AE5" s="3">
        <f>Y5+Z5+AA5+AD5</f>
        <v>2213</v>
      </c>
    </row>
    <row r="6" spans="1:32" x14ac:dyDescent="0.2">
      <c r="A6" s="10">
        <f t="shared" ref="A6:A16" si="0">+A5+365/12</f>
        <v>35779.416666666664</v>
      </c>
      <c r="B6" s="19">
        <v>2.4500000000000002</v>
      </c>
      <c r="C6" s="19">
        <v>2.5499999999999998</v>
      </c>
      <c r="D6" s="19">
        <v>2.4900000000000002</v>
      </c>
      <c r="E6" s="19">
        <v>2.6823000000000001</v>
      </c>
      <c r="F6" s="2">
        <f t="shared" ref="F6:F21" si="1">+F5</f>
        <v>3.0499999999999999E-2</v>
      </c>
      <c r="G6" s="15">
        <f>G5</f>
        <v>3.0499999999999999E-2</v>
      </c>
      <c r="H6" s="3">
        <v>31</v>
      </c>
      <c r="I6" s="12">
        <v>-0.15463966205032165</v>
      </c>
      <c r="K6" s="44">
        <v>2.2499999999999999E-2</v>
      </c>
      <c r="L6" s="76">
        <f t="shared" ref="L6:L20" si="2">L5</f>
        <v>0.37719999999999998</v>
      </c>
      <c r="M6" s="8">
        <f t="shared" ref="M6:M20" si="3">M5</f>
        <v>0.81569999999999998</v>
      </c>
      <c r="O6" s="3">
        <f t="shared" ref="O6:O20" si="4">O5</f>
        <v>4.0300000000000002E-2</v>
      </c>
      <c r="P6" s="3">
        <f t="shared" ref="P6:P20" si="5">P5</f>
        <v>2.35E-2</v>
      </c>
      <c r="Q6" s="3">
        <f>708259.67/286051</f>
        <v>2.4759908897364458</v>
      </c>
      <c r="R6" s="3">
        <f>Transport!F6</f>
        <v>7761</v>
      </c>
      <c r="S6" s="3">
        <f>Transport!G6</f>
        <v>14039</v>
      </c>
      <c r="T6" s="3">
        <f>Transport!H6</f>
        <v>18200</v>
      </c>
      <c r="U6" s="3">
        <f>Transport!I6</f>
        <v>2563</v>
      </c>
      <c r="V6" s="3">
        <f>Transport!J6</f>
        <v>2862</v>
      </c>
      <c r="W6" s="3">
        <f>Transport!K6</f>
        <v>1685</v>
      </c>
      <c r="X6" s="3">
        <f>Transport!L6</f>
        <v>0</v>
      </c>
      <c r="Y6" s="3">
        <v>538</v>
      </c>
      <c r="Z6" s="3">
        <v>643</v>
      </c>
      <c r="AA6" s="3">
        <v>314</v>
      </c>
      <c r="AD6" s="3">
        <v>718</v>
      </c>
      <c r="AE6" s="3">
        <f t="shared" ref="AE6:AE16" si="6">Y6+Z6+AA6+AD6</f>
        <v>2213</v>
      </c>
    </row>
    <row r="7" spans="1:32" x14ac:dyDescent="0.2">
      <c r="A7" s="10">
        <f t="shared" si="0"/>
        <v>35809.833333333328</v>
      </c>
      <c r="B7" s="19">
        <v>2.21</v>
      </c>
      <c r="C7" s="64">
        <v>2.2799999999999998</v>
      </c>
      <c r="D7" s="19">
        <v>2.23</v>
      </c>
      <c r="E7" s="19">
        <v>2.2690000000000001</v>
      </c>
      <c r="F7" s="2">
        <f t="shared" si="1"/>
        <v>3.0499999999999999E-2</v>
      </c>
      <c r="G7" s="15">
        <f>G6</f>
        <v>3.0499999999999999E-2</v>
      </c>
      <c r="H7" s="3">
        <v>31</v>
      </c>
      <c r="I7" s="12">
        <v>-0.16463378241011828</v>
      </c>
      <c r="K7" s="44">
        <v>2.2499999999999999E-2</v>
      </c>
      <c r="L7" s="76">
        <f t="shared" si="2"/>
        <v>0.37719999999999998</v>
      </c>
      <c r="M7" s="8">
        <f t="shared" si="3"/>
        <v>0.81569999999999998</v>
      </c>
      <c r="N7" s="11">
        <v>0.2</v>
      </c>
      <c r="O7" s="3">
        <f t="shared" si="4"/>
        <v>4.0300000000000002E-2</v>
      </c>
      <c r="P7" s="3">
        <f t="shared" si="5"/>
        <v>2.35E-2</v>
      </c>
      <c r="Q7" s="3">
        <f>606016.25/272893</f>
        <v>2.2207101318099034</v>
      </c>
      <c r="R7" s="3">
        <f>Transport!F7</f>
        <v>7761</v>
      </c>
      <c r="S7" s="3">
        <f>Transport!G7</f>
        <v>14039</v>
      </c>
      <c r="T7" s="3">
        <f>Transport!H7</f>
        <v>18200</v>
      </c>
      <c r="U7" s="3">
        <f>Transport!I7</f>
        <v>2563</v>
      </c>
      <c r="V7" s="3">
        <f>Transport!J7</f>
        <v>2862</v>
      </c>
      <c r="W7" s="3">
        <f>Transport!K7</f>
        <v>1685</v>
      </c>
      <c r="X7" s="3">
        <f>Transport!L7</f>
        <v>683</v>
      </c>
      <c r="Y7" s="3">
        <v>538</v>
      </c>
      <c r="Z7" s="3">
        <v>643</v>
      </c>
      <c r="AA7" s="3">
        <v>314</v>
      </c>
      <c r="AD7" s="3">
        <v>718</v>
      </c>
      <c r="AE7" s="3">
        <f t="shared" si="6"/>
        <v>2213</v>
      </c>
    </row>
    <row r="8" spans="1:32" x14ac:dyDescent="0.2">
      <c r="A8" s="10">
        <f t="shared" si="0"/>
        <v>35840.249999999993</v>
      </c>
      <c r="B8" s="19">
        <v>1.94</v>
      </c>
      <c r="C8" s="64">
        <v>2.02</v>
      </c>
      <c r="D8" s="19">
        <v>1.96</v>
      </c>
      <c r="E8" s="19">
        <f>(2.001+2.042+2.064)/3</f>
        <v>2.0356666666666663</v>
      </c>
      <c r="F8" s="2">
        <v>2.75E-2</v>
      </c>
      <c r="G8" s="15">
        <v>2.75E-2</v>
      </c>
      <c r="H8" s="3">
        <v>28</v>
      </c>
      <c r="I8" s="12">
        <v>-0.14964184591668372</v>
      </c>
      <c r="K8" s="44">
        <v>2.2499999999999999E-2</v>
      </c>
      <c r="L8" s="76">
        <f t="shared" si="2"/>
        <v>0.37719999999999998</v>
      </c>
      <c r="M8" s="8">
        <f t="shared" si="3"/>
        <v>0.81569999999999998</v>
      </c>
      <c r="N8" s="11">
        <v>0.2</v>
      </c>
      <c r="O8" s="3">
        <f t="shared" si="4"/>
        <v>4.0300000000000002E-2</v>
      </c>
      <c r="P8" s="3">
        <f t="shared" si="5"/>
        <v>2.35E-2</v>
      </c>
      <c r="Q8" s="3">
        <f>263528.7/134680</f>
        <v>1.9567025542025542</v>
      </c>
      <c r="R8" s="3">
        <f>Transport!F8</f>
        <v>7761</v>
      </c>
      <c r="S8" s="3">
        <f>Transport!G8</f>
        <v>14039</v>
      </c>
      <c r="T8" s="3">
        <f>Transport!H8</f>
        <v>18200</v>
      </c>
      <c r="U8" s="3">
        <f>Transport!I8</f>
        <v>2563</v>
      </c>
      <c r="V8" s="3">
        <f>Transport!J8</f>
        <v>2862</v>
      </c>
      <c r="W8" s="3">
        <f>Transport!K8</f>
        <v>1685</v>
      </c>
      <c r="X8" s="3">
        <f>Transport!L8</f>
        <v>683</v>
      </c>
      <c r="Y8" s="3">
        <v>538</v>
      </c>
      <c r="Z8" s="3">
        <v>643</v>
      </c>
      <c r="AA8" s="3">
        <v>314</v>
      </c>
      <c r="AD8" s="3">
        <v>718</v>
      </c>
      <c r="AE8" s="3">
        <f t="shared" si="6"/>
        <v>2213</v>
      </c>
    </row>
    <row r="9" spans="1:32" x14ac:dyDescent="0.2">
      <c r="A9" s="10">
        <f t="shared" si="0"/>
        <v>35870.666666666657</v>
      </c>
      <c r="B9" s="19">
        <v>2.19</v>
      </c>
      <c r="C9" s="64">
        <v>2.25</v>
      </c>
      <c r="D9" s="19">
        <v>2.19</v>
      </c>
      <c r="E9" s="19">
        <v>2.2269999999999999</v>
      </c>
      <c r="F9" s="2">
        <v>2.75E-2</v>
      </c>
      <c r="G9" s="15">
        <v>2.75E-2</v>
      </c>
      <c r="H9" s="3">
        <v>31</v>
      </c>
      <c r="I9" s="12">
        <v>-0.12465478112513395</v>
      </c>
      <c r="K9" s="44">
        <v>1.7499999999999627E-2</v>
      </c>
      <c r="L9" s="76">
        <f t="shared" si="2"/>
        <v>0.37719999999999998</v>
      </c>
      <c r="M9" s="8">
        <f t="shared" si="3"/>
        <v>0.81569999999999998</v>
      </c>
      <c r="N9" s="11">
        <v>0.2</v>
      </c>
      <c r="O9" s="3">
        <f t="shared" si="4"/>
        <v>4.0300000000000002E-2</v>
      </c>
      <c r="P9" s="3">
        <f t="shared" si="5"/>
        <v>2.35E-2</v>
      </c>
      <c r="R9" s="3">
        <f>Transport!F9</f>
        <v>7761</v>
      </c>
      <c r="S9" s="3">
        <f>Transport!G9</f>
        <v>14039</v>
      </c>
      <c r="T9" s="3">
        <f>Transport!H9</f>
        <v>18200</v>
      </c>
      <c r="U9" s="3">
        <f>Transport!I9</f>
        <v>2563</v>
      </c>
      <c r="V9" s="3">
        <f>Transport!J9</f>
        <v>2862</v>
      </c>
      <c r="W9" s="3">
        <f>Transport!K9</f>
        <v>1685</v>
      </c>
      <c r="X9" s="3">
        <f>Transport!L9</f>
        <v>683</v>
      </c>
      <c r="Y9" s="3">
        <v>538</v>
      </c>
      <c r="Z9" s="3">
        <v>643</v>
      </c>
      <c r="AA9" s="3">
        <v>314</v>
      </c>
      <c r="AD9" s="3">
        <v>718</v>
      </c>
      <c r="AE9" s="3">
        <f t="shared" si="6"/>
        <v>2213</v>
      </c>
    </row>
    <row r="10" spans="1:32" x14ac:dyDescent="0.2">
      <c r="A10" s="10">
        <f t="shared" si="0"/>
        <v>35901.083333333321</v>
      </c>
      <c r="B10" s="19">
        <v>2.25</v>
      </c>
      <c r="C10" s="64">
        <v>2.29</v>
      </c>
      <c r="D10" s="19">
        <v>2.27</v>
      </c>
      <c r="E10" s="19">
        <v>2.3342999999999998</v>
      </c>
      <c r="F10" s="2">
        <v>3.4599999999999999E-2</v>
      </c>
      <c r="G10" s="15">
        <v>3.4599999999999999E-2</v>
      </c>
      <c r="H10" s="3">
        <v>30</v>
      </c>
      <c r="I10" s="12">
        <v>-6.4687600198348072E-2</v>
      </c>
      <c r="K10" s="44">
        <v>4.9999999999998934E-3</v>
      </c>
      <c r="L10" s="76">
        <f t="shared" si="2"/>
        <v>0.37719999999999998</v>
      </c>
      <c r="M10" s="8">
        <f t="shared" si="3"/>
        <v>0.81569999999999998</v>
      </c>
      <c r="N10" s="11">
        <v>0.2</v>
      </c>
      <c r="O10" s="3">
        <v>5.6099999999999997E-2</v>
      </c>
      <c r="P10" s="3">
        <v>3.9300000000000002E-2</v>
      </c>
      <c r="R10" s="3">
        <f>Transport!F10</f>
        <v>7761</v>
      </c>
      <c r="S10" s="3">
        <f>Transport!G10</f>
        <v>14039</v>
      </c>
      <c r="T10" s="3">
        <f>Transport!H10</f>
        <v>18200</v>
      </c>
      <c r="U10" s="3">
        <f>Transport!I10</f>
        <v>1880</v>
      </c>
      <c r="V10" s="3">
        <f>Transport!J10</f>
        <v>2073</v>
      </c>
      <c r="W10" s="3">
        <f>Transport!K10</f>
        <v>1258</v>
      </c>
      <c r="X10" s="3">
        <f>Transport!L10</f>
        <v>683</v>
      </c>
      <c r="Y10" s="3">
        <v>538</v>
      </c>
      <c r="Z10" s="3">
        <v>643</v>
      </c>
      <c r="AA10" s="3">
        <v>314</v>
      </c>
      <c r="AD10" s="3">
        <v>718</v>
      </c>
      <c r="AE10" s="3">
        <f t="shared" si="6"/>
        <v>2213</v>
      </c>
    </row>
    <row r="11" spans="1:32" x14ac:dyDescent="0.2">
      <c r="A11" s="10">
        <f t="shared" si="0"/>
        <v>35931.499999999985</v>
      </c>
      <c r="B11" s="19">
        <v>2.2000000000000002</v>
      </c>
      <c r="C11" s="19">
        <v>2.25</v>
      </c>
      <c r="D11" s="19">
        <v>2.2200000000000002</v>
      </c>
      <c r="E11" s="19">
        <v>2.2906666666666702</v>
      </c>
      <c r="F11" s="2">
        <v>2.9600000000000001E-2</v>
      </c>
      <c r="G11" s="15">
        <f>F11</f>
        <v>2.9600000000000001E-2</v>
      </c>
      <c r="H11" s="3">
        <v>31</v>
      </c>
      <c r="I11" s="12">
        <v>-6.4784856162124482E-2</v>
      </c>
      <c r="K11" s="44">
        <v>4.9999999999998934E-3</v>
      </c>
      <c r="L11" s="76">
        <f t="shared" si="2"/>
        <v>0.37719999999999998</v>
      </c>
      <c r="M11" s="8">
        <f t="shared" si="3"/>
        <v>0.81569999999999998</v>
      </c>
      <c r="N11" s="11">
        <v>0.2</v>
      </c>
      <c r="O11" s="3">
        <f t="shared" si="4"/>
        <v>5.6099999999999997E-2</v>
      </c>
      <c r="P11" s="3">
        <f t="shared" si="5"/>
        <v>3.9300000000000002E-2</v>
      </c>
      <c r="R11" s="3">
        <f>Transport!F11</f>
        <v>8730</v>
      </c>
      <c r="S11" s="3">
        <f>Transport!G11</f>
        <v>15795</v>
      </c>
      <c r="T11" s="3">
        <f>Transport!H11</f>
        <v>20475</v>
      </c>
      <c r="U11" s="3">
        <f>Transport!I11</f>
        <v>1880</v>
      </c>
      <c r="V11" s="3">
        <f>Transport!J11</f>
        <v>2295</v>
      </c>
      <c r="W11" s="3">
        <f>Transport!K11</f>
        <v>1036</v>
      </c>
      <c r="X11" s="3">
        <f>Transport!L11</f>
        <v>683</v>
      </c>
      <c r="Y11" s="3">
        <v>538</v>
      </c>
      <c r="Z11" s="3">
        <v>643</v>
      </c>
      <c r="AA11" s="3">
        <v>314</v>
      </c>
      <c r="AD11" s="3">
        <v>718</v>
      </c>
      <c r="AE11" s="3">
        <f t="shared" si="6"/>
        <v>2213</v>
      </c>
    </row>
    <row r="12" spans="1:32" x14ac:dyDescent="0.2">
      <c r="A12" s="10">
        <f t="shared" si="0"/>
        <v>35961.91666666665</v>
      </c>
      <c r="B12" s="19">
        <v>1.98</v>
      </c>
      <c r="C12" s="64">
        <v>2.0299999999999998</v>
      </c>
      <c r="D12" s="19">
        <v>1.98</v>
      </c>
      <c r="E12" s="19">
        <v>2.0686666666666702</v>
      </c>
      <c r="F12" s="2">
        <f t="shared" si="1"/>
        <v>2.9600000000000001E-2</v>
      </c>
      <c r="G12" s="15">
        <f t="shared" ref="G12:G75" si="7">F12</f>
        <v>2.9600000000000001E-2</v>
      </c>
      <c r="H12" s="3">
        <v>30</v>
      </c>
      <c r="I12" s="12">
        <v>-6.4787839666809566E-2</v>
      </c>
      <c r="K12" s="44">
        <v>4.9999999999998934E-3</v>
      </c>
      <c r="L12" s="76">
        <f t="shared" si="2"/>
        <v>0.37719999999999998</v>
      </c>
      <c r="M12" s="8">
        <f t="shared" si="3"/>
        <v>0.81569999999999998</v>
      </c>
      <c r="N12" s="11">
        <v>0.2</v>
      </c>
      <c r="O12" s="3">
        <f t="shared" si="4"/>
        <v>5.6099999999999997E-2</v>
      </c>
      <c r="P12" s="3">
        <f t="shared" si="5"/>
        <v>3.9300000000000002E-2</v>
      </c>
      <c r="R12" s="3">
        <f>Transport!F12</f>
        <v>8730</v>
      </c>
      <c r="S12" s="3">
        <f>Transport!G12</f>
        <v>15795</v>
      </c>
      <c r="T12" s="3">
        <f>Transport!H12</f>
        <v>20475</v>
      </c>
      <c r="U12" s="3">
        <f>Transport!I12</f>
        <v>1880</v>
      </c>
      <c r="V12" s="3">
        <f>Transport!J12</f>
        <v>2295</v>
      </c>
      <c r="W12" s="3">
        <f>Transport!K12</f>
        <v>1036</v>
      </c>
      <c r="X12" s="3">
        <f>Transport!L12</f>
        <v>683</v>
      </c>
      <c r="Y12" s="3">
        <v>538</v>
      </c>
      <c r="Z12" s="3">
        <v>643</v>
      </c>
      <c r="AA12" s="3">
        <v>314</v>
      </c>
      <c r="AD12" s="3">
        <v>718</v>
      </c>
      <c r="AE12" s="3">
        <f t="shared" si="6"/>
        <v>2213</v>
      </c>
    </row>
    <row r="13" spans="1:32" x14ac:dyDescent="0.2">
      <c r="A13" s="10">
        <f t="shared" si="0"/>
        <v>35992.333333333314</v>
      </c>
      <c r="B13" s="19">
        <v>2.31</v>
      </c>
      <c r="C13" s="64">
        <v>2.36</v>
      </c>
      <c r="D13" s="19">
        <v>2.29</v>
      </c>
      <c r="E13" s="19">
        <v>2.35266666666667</v>
      </c>
      <c r="F13" s="2">
        <f t="shared" si="1"/>
        <v>2.9600000000000001E-2</v>
      </c>
      <c r="G13" s="15">
        <f t="shared" si="7"/>
        <v>2.9600000000000001E-2</v>
      </c>
      <c r="H13" s="3">
        <v>31</v>
      </c>
      <c r="I13" s="12">
        <v>-6.4787508166288976E-2</v>
      </c>
      <c r="K13" s="44">
        <v>9.4999999999998419E-3</v>
      </c>
      <c r="L13" s="76">
        <f t="shared" si="2"/>
        <v>0.37719999999999998</v>
      </c>
      <c r="M13" s="8">
        <f t="shared" si="3"/>
        <v>0.81569999999999998</v>
      </c>
      <c r="N13" s="11">
        <v>0.2</v>
      </c>
      <c r="O13" s="3">
        <f t="shared" si="4"/>
        <v>5.6099999999999997E-2</v>
      </c>
      <c r="P13" s="3">
        <f t="shared" si="5"/>
        <v>3.9300000000000002E-2</v>
      </c>
      <c r="R13" s="3">
        <f>Transport!F13</f>
        <v>8730</v>
      </c>
      <c r="S13" s="3">
        <f>Transport!G13</f>
        <v>15795</v>
      </c>
      <c r="T13" s="3">
        <f>Transport!H13</f>
        <v>20475</v>
      </c>
      <c r="U13" s="3">
        <f>Transport!I13</f>
        <v>1880</v>
      </c>
      <c r="V13" s="3">
        <f>Transport!J13</f>
        <v>2295</v>
      </c>
      <c r="W13" s="3">
        <f>Transport!K13</f>
        <v>1036</v>
      </c>
      <c r="X13" s="3">
        <f>Transport!L13</f>
        <v>683</v>
      </c>
      <c r="Y13" s="3">
        <v>538</v>
      </c>
      <c r="Z13" s="3">
        <v>643</v>
      </c>
      <c r="AA13" s="3">
        <v>314</v>
      </c>
      <c r="AD13" s="3">
        <v>718</v>
      </c>
      <c r="AE13" s="3">
        <f t="shared" si="6"/>
        <v>2213</v>
      </c>
    </row>
    <row r="14" spans="1:32" x14ac:dyDescent="0.2">
      <c r="A14" s="10">
        <f t="shared" si="0"/>
        <v>36022.749999999978</v>
      </c>
      <c r="B14" s="19">
        <v>1.86</v>
      </c>
      <c r="C14" s="64">
        <v>1.92</v>
      </c>
      <c r="D14" s="19">
        <v>1.86</v>
      </c>
      <c r="E14" s="19">
        <v>1.9530000000000001</v>
      </c>
      <c r="F14" s="2">
        <f t="shared" si="1"/>
        <v>2.9600000000000001E-2</v>
      </c>
      <c r="G14" s="15">
        <f t="shared" si="7"/>
        <v>2.9600000000000001E-2</v>
      </c>
      <c r="H14" s="3">
        <v>31</v>
      </c>
      <c r="I14" s="12">
        <v>-6.4786734665074341E-2</v>
      </c>
      <c r="K14" s="44">
        <v>9.4999999999996199E-3</v>
      </c>
      <c r="L14" s="76">
        <f t="shared" si="2"/>
        <v>0.37719999999999998</v>
      </c>
      <c r="M14" s="8">
        <f t="shared" si="3"/>
        <v>0.81569999999999998</v>
      </c>
      <c r="N14" s="11">
        <v>0.2</v>
      </c>
      <c r="O14" s="3">
        <f t="shared" si="4"/>
        <v>5.6099999999999997E-2</v>
      </c>
      <c r="P14" s="3">
        <f t="shared" si="5"/>
        <v>3.9300000000000002E-2</v>
      </c>
      <c r="R14" s="3">
        <f>Transport!F14</f>
        <v>8730</v>
      </c>
      <c r="S14" s="3">
        <f>Transport!G14</f>
        <v>15795</v>
      </c>
      <c r="T14" s="3">
        <f>Transport!H14</f>
        <v>20475</v>
      </c>
      <c r="U14" s="3">
        <f>Transport!I14</f>
        <v>1880</v>
      </c>
      <c r="V14" s="3">
        <f>Transport!J14</f>
        <v>2295</v>
      </c>
      <c r="W14" s="3">
        <f>Transport!K14</f>
        <v>1036</v>
      </c>
      <c r="X14" s="3">
        <f>Transport!L14</f>
        <v>683</v>
      </c>
      <c r="Y14" s="3">
        <v>538</v>
      </c>
      <c r="Z14" s="3">
        <v>643</v>
      </c>
      <c r="AA14" s="3">
        <v>314</v>
      </c>
      <c r="AD14" s="3">
        <v>718</v>
      </c>
      <c r="AE14" s="3">
        <f t="shared" si="6"/>
        <v>2213</v>
      </c>
    </row>
    <row r="15" spans="1:32" x14ac:dyDescent="0.2">
      <c r="A15" s="10">
        <f t="shared" si="0"/>
        <v>36053.166666666642</v>
      </c>
      <c r="B15" s="19">
        <v>1.57</v>
      </c>
      <c r="C15" s="64">
        <v>1.61</v>
      </c>
      <c r="D15" s="19">
        <v>1.57</v>
      </c>
      <c r="E15" s="19">
        <v>1.754</v>
      </c>
      <c r="F15" s="2">
        <f t="shared" si="1"/>
        <v>2.9600000000000001E-2</v>
      </c>
      <c r="G15" s="15">
        <f t="shared" si="7"/>
        <v>2.9600000000000001E-2</v>
      </c>
      <c r="H15" s="3">
        <v>30</v>
      </c>
      <c r="I15" s="12">
        <v>-6.4786734665074341E-2</v>
      </c>
      <c r="K15" s="44">
        <v>9.4999999999996199E-3</v>
      </c>
      <c r="L15" s="76">
        <f t="shared" si="2"/>
        <v>0.37719999999999998</v>
      </c>
      <c r="M15" s="8">
        <f t="shared" si="3"/>
        <v>0.81569999999999998</v>
      </c>
      <c r="N15" s="11">
        <v>0.2</v>
      </c>
      <c r="O15" s="3">
        <f t="shared" si="4"/>
        <v>5.6099999999999997E-2</v>
      </c>
      <c r="P15" s="3">
        <f t="shared" si="5"/>
        <v>3.9300000000000002E-2</v>
      </c>
      <c r="R15" s="3">
        <f>Transport!F15</f>
        <v>8730</v>
      </c>
      <c r="S15" s="3">
        <f>Transport!G15</f>
        <v>15795</v>
      </c>
      <c r="T15" s="3">
        <f>Transport!H15</f>
        <v>20475</v>
      </c>
      <c r="U15" s="3">
        <f>Transport!I15</f>
        <v>1880</v>
      </c>
      <c r="V15" s="3">
        <f>Transport!J15</f>
        <v>2295</v>
      </c>
      <c r="W15" s="3">
        <f>Transport!K15</f>
        <v>1036</v>
      </c>
      <c r="X15" s="3">
        <f>Transport!L15</f>
        <v>683</v>
      </c>
      <c r="Y15" s="3">
        <v>538</v>
      </c>
      <c r="Z15" s="3">
        <v>643</v>
      </c>
      <c r="AA15" s="3">
        <v>314</v>
      </c>
      <c r="AD15" s="3">
        <v>718</v>
      </c>
      <c r="AE15" s="3">
        <f t="shared" si="6"/>
        <v>2213</v>
      </c>
    </row>
    <row r="16" spans="1:32" x14ac:dyDescent="0.2">
      <c r="A16" s="10">
        <f t="shared" si="0"/>
        <v>36083.583333333307</v>
      </c>
      <c r="B16" s="19">
        <v>1.98</v>
      </c>
      <c r="C16" s="64">
        <v>2.0299999999999998</v>
      </c>
      <c r="D16" s="19">
        <v>1.97</v>
      </c>
      <c r="E16" s="19">
        <v>2.1303000000000001</v>
      </c>
      <c r="F16" s="2">
        <v>2.8400000000000002E-2</v>
      </c>
      <c r="G16" s="15">
        <v>2.8400000000000002E-2</v>
      </c>
      <c r="H16" s="3">
        <v>31</v>
      </c>
      <c r="I16" s="12">
        <v>-6.469438022076246E-2</v>
      </c>
      <c r="K16" s="44">
        <v>1.4499999999999957E-2</v>
      </c>
      <c r="L16" s="76">
        <f t="shared" si="2"/>
        <v>0.37719999999999998</v>
      </c>
      <c r="M16" s="8">
        <f t="shared" si="3"/>
        <v>0.81569999999999998</v>
      </c>
      <c r="N16" s="11">
        <v>0.2</v>
      </c>
      <c r="O16" s="3">
        <v>3.04E-2</v>
      </c>
      <c r="P16" s="3">
        <v>1.3599999999999999E-2</v>
      </c>
      <c r="Q16" s="3">
        <f>(173700.03+556310.8)/(279400+86504)</f>
        <v>1.9950884111679568</v>
      </c>
      <c r="R16" s="3">
        <f>Transport!F16</f>
        <v>8730</v>
      </c>
      <c r="S16" s="3">
        <f>Transport!G16</f>
        <v>15795</v>
      </c>
      <c r="T16" s="3">
        <f>Transport!H16</f>
        <v>20475</v>
      </c>
      <c r="U16" s="3">
        <f>Transport!I16</f>
        <v>2830</v>
      </c>
      <c r="V16" s="3">
        <f>Transport!J16</f>
        <v>3500</v>
      </c>
      <c r="W16" s="3">
        <f>Transport!K16</f>
        <v>1521</v>
      </c>
      <c r="X16" s="3">
        <f>Transport!L16</f>
        <v>1001</v>
      </c>
      <c r="Y16" s="3">
        <v>789</v>
      </c>
      <c r="Z16" s="3">
        <v>943</v>
      </c>
      <c r="AA16" s="3">
        <v>460</v>
      </c>
      <c r="AD16" s="3">
        <v>718</v>
      </c>
      <c r="AE16" s="3">
        <f t="shared" si="6"/>
        <v>2910</v>
      </c>
    </row>
    <row r="17" spans="1:24" x14ac:dyDescent="0.2">
      <c r="A17" s="10">
        <f t="shared" ref="A17:A32" si="8">+A16+365/12</f>
        <v>36113.999999999971</v>
      </c>
      <c r="B17" s="19">
        <v>1.92</v>
      </c>
      <c r="C17" s="64">
        <v>1.99</v>
      </c>
      <c r="D17" s="19">
        <v>1.91</v>
      </c>
      <c r="E17" s="19">
        <v>2.1259999999999999</v>
      </c>
      <c r="F17" s="2">
        <f t="shared" si="1"/>
        <v>2.8400000000000002E-2</v>
      </c>
      <c r="G17" s="15">
        <f t="shared" si="7"/>
        <v>2.8400000000000002E-2</v>
      </c>
      <c r="H17" s="3">
        <v>30</v>
      </c>
      <c r="I17" s="12">
        <v>-0.10466150071393931</v>
      </c>
      <c r="K17" s="44">
        <v>1.9499999999999851E-2</v>
      </c>
      <c r="L17" s="76">
        <f t="shared" si="2"/>
        <v>0.37719999999999998</v>
      </c>
      <c r="M17" s="8">
        <f t="shared" si="3"/>
        <v>0.81569999999999998</v>
      </c>
      <c r="N17" s="11">
        <v>0.2</v>
      </c>
      <c r="O17" s="3">
        <f t="shared" si="4"/>
        <v>3.04E-2</v>
      </c>
      <c r="P17" s="3">
        <f t="shared" si="5"/>
        <v>1.3599999999999999E-2</v>
      </c>
      <c r="Q17" s="3">
        <f>(541791.18+174699.9)/(280615+89820)</f>
        <v>1.9341884001241785</v>
      </c>
      <c r="R17" s="3">
        <f>Transport!F17</f>
        <v>6633</v>
      </c>
      <c r="S17" s="3">
        <f>Transport!G17</f>
        <v>9899</v>
      </c>
      <c r="T17" s="3">
        <f>Transport!H17</f>
        <v>13468</v>
      </c>
      <c r="U17" s="3">
        <f>Transport!I17</f>
        <v>2563</v>
      </c>
      <c r="V17" s="3">
        <f>Transport!J17</f>
        <v>2862</v>
      </c>
      <c r="W17" s="3">
        <f>Transport!K17</f>
        <v>1685</v>
      </c>
      <c r="X17" s="3">
        <f>Transport!L17</f>
        <v>683</v>
      </c>
    </row>
    <row r="18" spans="1:24" x14ac:dyDescent="0.2">
      <c r="A18" s="10">
        <f t="shared" si="8"/>
        <v>36144.416666666635</v>
      </c>
      <c r="B18" s="19">
        <v>2.0699999999999998</v>
      </c>
      <c r="C18" s="64">
        <v>2.12</v>
      </c>
      <c r="D18" s="19">
        <v>2.0699999999999998</v>
      </c>
      <c r="E18" s="19">
        <v>2.1362999999999999</v>
      </c>
      <c r="F18" s="2">
        <f t="shared" si="1"/>
        <v>2.8400000000000002E-2</v>
      </c>
      <c r="G18" s="15">
        <f t="shared" si="7"/>
        <v>2.8400000000000002E-2</v>
      </c>
      <c r="H18" s="3">
        <v>31</v>
      </c>
      <c r="I18" s="12">
        <v>-0.13464806153632791</v>
      </c>
      <c r="K18" s="44">
        <v>2.4500000000000188E-2</v>
      </c>
      <c r="L18" s="76">
        <f t="shared" si="2"/>
        <v>0.37719999999999998</v>
      </c>
      <c r="M18" s="8">
        <f t="shared" si="3"/>
        <v>0.81569999999999998</v>
      </c>
      <c r="N18" s="11">
        <v>0.2</v>
      </c>
      <c r="O18" s="3">
        <f t="shared" si="4"/>
        <v>3.04E-2</v>
      </c>
      <c r="P18" s="3">
        <f t="shared" si="5"/>
        <v>1.3599999999999999E-2</v>
      </c>
      <c r="Q18" s="75">
        <f>(524326.75+190475.53)/(255502+91884)</f>
        <v>2.0576600093268009</v>
      </c>
      <c r="R18" s="3">
        <f>Transport!F18</f>
        <v>6633</v>
      </c>
      <c r="S18" s="3">
        <f>Transport!G18</f>
        <v>9899</v>
      </c>
      <c r="T18" s="3">
        <f>Transport!H18</f>
        <v>13468</v>
      </c>
      <c r="U18" s="3">
        <f>Transport!I18</f>
        <v>2563</v>
      </c>
      <c r="V18" s="3">
        <f>Transport!J18</f>
        <v>2862</v>
      </c>
      <c r="W18" s="3">
        <f>Transport!K18</f>
        <v>1685</v>
      </c>
      <c r="X18" s="3">
        <f>Transport!L18</f>
        <v>683</v>
      </c>
    </row>
    <row r="19" spans="1:24" x14ac:dyDescent="0.2">
      <c r="A19" s="10">
        <f t="shared" si="8"/>
        <v>36174.833333333299</v>
      </c>
      <c r="B19" s="19">
        <v>1.73</v>
      </c>
      <c r="C19" s="64">
        <v>1.78</v>
      </c>
      <c r="D19" s="19">
        <v>1.73</v>
      </c>
      <c r="E19" s="19">
        <v>1.8113333333333299</v>
      </c>
      <c r="F19" s="2">
        <v>2.5000000000000001E-2</v>
      </c>
      <c r="G19" s="15">
        <v>2.5000000000000001E-2</v>
      </c>
      <c r="H19" s="3">
        <v>31</v>
      </c>
      <c r="I19" s="12">
        <v>-0.11963899009144097</v>
      </c>
      <c r="K19" s="44">
        <v>2.4500000000000188E-2</v>
      </c>
      <c r="L19" s="76">
        <v>0.37630000000000002</v>
      </c>
      <c r="M19" s="8">
        <v>0.81479999999999997</v>
      </c>
      <c r="N19" s="11">
        <v>0.2</v>
      </c>
      <c r="O19" s="3">
        <v>2.9100000000000001E-2</v>
      </c>
      <c r="P19" s="3">
        <v>1.23E-2</v>
      </c>
      <c r="Q19" s="3">
        <f>(481145.26+145825.15)/(278112+83904)</f>
        <v>1.7318859111199505</v>
      </c>
      <c r="R19" s="3">
        <f>Transport!F19</f>
        <v>6633</v>
      </c>
      <c r="S19" s="3">
        <f>Transport!G19</f>
        <v>9899</v>
      </c>
      <c r="T19" s="3">
        <f>Transport!H19</f>
        <v>13468</v>
      </c>
      <c r="U19" s="3">
        <f>Transport!I19</f>
        <v>2563</v>
      </c>
      <c r="V19" s="3">
        <f>Transport!J19</f>
        <v>2862</v>
      </c>
      <c r="W19" s="3">
        <f>Transport!K19</f>
        <v>1685</v>
      </c>
      <c r="X19" s="3">
        <f>Transport!L19</f>
        <v>683</v>
      </c>
    </row>
    <row r="20" spans="1:24" x14ac:dyDescent="0.2">
      <c r="A20" s="10">
        <f t="shared" si="8"/>
        <v>36205.249999999964</v>
      </c>
      <c r="B20" s="19">
        <v>1.74</v>
      </c>
      <c r="C20" s="64">
        <v>1.77</v>
      </c>
      <c r="D20" s="19">
        <v>1.74</v>
      </c>
      <c r="E20" s="19">
        <v>1.746</v>
      </c>
      <c r="F20" s="2">
        <f t="shared" si="1"/>
        <v>2.5000000000000001E-2</v>
      </c>
      <c r="G20" s="15">
        <f t="shared" si="7"/>
        <v>2.5000000000000001E-2</v>
      </c>
      <c r="H20" s="3">
        <v>28</v>
      </c>
      <c r="I20" s="12">
        <v>-0.11964940545408886</v>
      </c>
      <c r="K20" s="44">
        <v>2.4500000000000188E-2</v>
      </c>
      <c r="L20" s="76">
        <f t="shared" si="2"/>
        <v>0.37630000000000002</v>
      </c>
      <c r="M20" s="8">
        <f t="shared" si="3"/>
        <v>0.81479999999999997</v>
      </c>
      <c r="N20" s="11">
        <v>0.2</v>
      </c>
      <c r="O20" s="3">
        <f t="shared" si="4"/>
        <v>2.9100000000000001E-2</v>
      </c>
      <c r="P20" s="3">
        <f t="shared" si="5"/>
        <v>1.23E-2</v>
      </c>
      <c r="Q20" s="3">
        <f>(516781.87+127403)/(294055+72183)</f>
        <v>1.758924169529104</v>
      </c>
      <c r="R20" s="3">
        <f>Transport!F20</f>
        <v>6633</v>
      </c>
      <c r="S20" s="3">
        <f>Transport!G20</f>
        <v>9899</v>
      </c>
      <c r="T20" s="3">
        <f>Transport!H20</f>
        <v>13468</v>
      </c>
      <c r="U20" s="3">
        <f>Transport!I20</f>
        <v>2563</v>
      </c>
      <c r="V20" s="3">
        <f>Transport!J20</f>
        <v>2862</v>
      </c>
      <c r="W20" s="3">
        <f>Transport!K20</f>
        <v>1685</v>
      </c>
      <c r="X20" s="3">
        <f>Transport!L20</f>
        <v>683</v>
      </c>
    </row>
    <row r="21" spans="1:24" x14ac:dyDescent="0.2">
      <c r="A21" s="10">
        <f t="shared" si="8"/>
        <v>36235.666666666628</v>
      </c>
      <c r="B21" s="19">
        <v>1.59</v>
      </c>
      <c r="C21" s="64">
        <v>1.63</v>
      </c>
      <c r="D21" s="19">
        <v>1.6</v>
      </c>
      <c r="E21" s="19">
        <f>1.6933</f>
        <v>1.6933</v>
      </c>
      <c r="F21" s="2">
        <f t="shared" si="1"/>
        <v>2.5000000000000001E-2</v>
      </c>
      <c r="G21" s="15">
        <f t="shared" si="7"/>
        <v>2.5000000000000001E-2</v>
      </c>
      <c r="H21" s="3">
        <v>31</v>
      </c>
      <c r="I21" s="12">
        <v>-9.9662004683099159E-2</v>
      </c>
      <c r="K21" s="44">
        <v>1.9500000000000295E-2</v>
      </c>
      <c r="L21" s="76">
        <f t="shared" ref="L21:L52" si="9">L20</f>
        <v>0.37630000000000002</v>
      </c>
      <c r="M21" s="8">
        <f>0.7719+0.0076</f>
        <v>0.77950000000000008</v>
      </c>
      <c r="N21" s="11">
        <v>0.2</v>
      </c>
      <c r="O21" s="3">
        <f t="shared" ref="O21:O52" si="10">O20</f>
        <v>2.9100000000000001E-2</v>
      </c>
      <c r="P21" s="3">
        <v>1.2E-2</v>
      </c>
      <c r="Q21" s="3">
        <f>(424623+110763.2)/(265966+69227)</f>
        <v>1.5972475558857135</v>
      </c>
      <c r="R21" s="3">
        <f>Transport!F21</f>
        <v>6633</v>
      </c>
      <c r="S21" s="3">
        <f>Transport!G21</f>
        <v>9899</v>
      </c>
      <c r="T21" s="3">
        <f>Transport!H21</f>
        <v>13468</v>
      </c>
      <c r="U21" s="3">
        <f>Transport!I21</f>
        <v>2563</v>
      </c>
      <c r="V21" s="3">
        <f>Transport!J21</f>
        <v>2862</v>
      </c>
      <c r="W21" s="3">
        <f>Transport!K21</f>
        <v>1685</v>
      </c>
      <c r="X21" s="3">
        <f>Transport!L21</f>
        <v>683</v>
      </c>
    </row>
    <row r="22" spans="1:24" x14ac:dyDescent="0.2">
      <c r="A22" s="10">
        <f t="shared" si="8"/>
        <v>36266.083333333292</v>
      </c>
      <c r="B22" s="19">
        <v>1.84</v>
      </c>
      <c r="C22" s="64">
        <v>1.88</v>
      </c>
      <c r="D22" s="19">
        <v>1.85</v>
      </c>
      <c r="E22" s="19">
        <v>1.8152999999999999</v>
      </c>
      <c r="F22" s="2">
        <f t="shared" ref="F22:F37" si="11">+F21</f>
        <v>2.5000000000000001E-2</v>
      </c>
      <c r="G22" s="15">
        <f t="shared" si="7"/>
        <v>2.5000000000000001E-2</v>
      </c>
      <c r="H22" s="3">
        <v>30</v>
      </c>
      <c r="I22" s="12">
        <v>-6.5696191192893494E-2</v>
      </c>
      <c r="K22" s="44">
        <v>5.9999999999997833E-3</v>
      </c>
      <c r="L22" s="76">
        <f t="shared" si="9"/>
        <v>0.37630000000000002</v>
      </c>
      <c r="M22" s="8">
        <f t="shared" ref="M22:M32" si="12">M21</f>
        <v>0.77950000000000008</v>
      </c>
      <c r="N22" s="11">
        <v>0.2</v>
      </c>
      <c r="O22" s="3">
        <v>3.5900000000000001E-2</v>
      </c>
      <c r="P22" s="3">
        <v>1.8800000000000001E-2</v>
      </c>
      <c r="Q22" s="3">
        <f>(476121.66+120742.64)/(260184+65621)</f>
        <v>1.8319678949064622</v>
      </c>
      <c r="R22" s="3">
        <f>Transport!F22</f>
        <v>6933</v>
      </c>
      <c r="S22" s="3">
        <f>Transport!G22</f>
        <v>8798</v>
      </c>
      <c r="T22" s="3">
        <f>Transport!H22</f>
        <v>14269</v>
      </c>
      <c r="U22" s="3">
        <f>Transport!I22</f>
        <v>1880</v>
      </c>
      <c r="V22" s="3">
        <f>Transport!J22</f>
        <v>2073</v>
      </c>
      <c r="W22" s="3">
        <f>Transport!K22</f>
        <v>1258</v>
      </c>
      <c r="X22" s="3">
        <f>Transport!L22</f>
        <v>683</v>
      </c>
    </row>
    <row r="23" spans="1:24" x14ac:dyDescent="0.2">
      <c r="A23" s="10">
        <f t="shared" si="8"/>
        <v>36296.499999999956</v>
      </c>
      <c r="B23" s="19">
        <v>2.2999999999999998</v>
      </c>
      <c r="C23" s="64">
        <v>2.35</v>
      </c>
      <c r="D23" s="19">
        <v>2.2999999999999998</v>
      </c>
      <c r="E23" s="19">
        <v>2.3260000000000001</v>
      </c>
      <c r="F23" s="2">
        <v>0.03</v>
      </c>
      <c r="G23" s="15">
        <f t="shared" si="7"/>
        <v>0.03</v>
      </c>
      <c r="H23" s="3">
        <v>31</v>
      </c>
      <c r="I23" s="12">
        <v>-6.5786071664033274E-2</v>
      </c>
      <c r="K23" s="44">
        <v>5.9999999999997833E-3</v>
      </c>
      <c r="L23" s="76">
        <f t="shared" si="9"/>
        <v>0.37630000000000002</v>
      </c>
      <c r="M23" s="8">
        <f t="shared" si="12"/>
        <v>0.77950000000000008</v>
      </c>
      <c r="N23" s="11">
        <v>0.2</v>
      </c>
      <c r="O23" s="3">
        <f t="shared" si="10"/>
        <v>3.5900000000000001E-2</v>
      </c>
      <c r="P23" s="3">
        <f t="shared" ref="P23:P32" si="13">P22</f>
        <v>1.8800000000000001E-2</v>
      </c>
      <c r="Q23" s="3">
        <f>(675585.81+142712.81)/(294589+61647)</f>
        <v>2.2970688532321275</v>
      </c>
      <c r="R23" s="3">
        <f>Transport!F23</f>
        <v>8730</v>
      </c>
      <c r="S23" s="3">
        <f>Transport!G23</f>
        <v>10761</v>
      </c>
      <c r="T23" s="3">
        <f>Transport!H23</f>
        <v>15509</v>
      </c>
      <c r="U23" s="3">
        <f>Transport!I23</f>
        <v>1880</v>
      </c>
      <c r="V23" s="3">
        <f>Transport!J23</f>
        <v>2295</v>
      </c>
      <c r="W23" s="3">
        <f>Transport!K23</f>
        <v>1036</v>
      </c>
      <c r="X23" s="3">
        <f>Transport!L23</f>
        <v>683</v>
      </c>
    </row>
    <row r="24" spans="1:24" x14ac:dyDescent="0.2">
      <c r="A24" s="10">
        <f t="shared" si="8"/>
        <v>36326.916666666621</v>
      </c>
      <c r="B24" s="19">
        <v>2.2000000000000002</v>
      </c>
      <c r="C24" s="64">
        <v>2.23</v>
      </c>
      <c r="D24" s="19">
        <v>2.21</v>
      </c>
      <c r="E24" s="19">
        <v>2.2006999999999999</v>
      </c>
      <c r="F24" s="2">
        <f t="shared" si="11"/>
        <v>0.03</v>
      </c>
      <c r="G24" s="15">
        <f t="shared" si="7"/>
        <v>0.03</v>
      </c>
      <c r="H24" s="3">
        <v>30</v>
      </c>
      <c r="I24" s="12">
        <v>-6.5785519163165773E-2</v>
      </c>
      <c r="K24" s="44">
        <v>5.9999999999997833E-3</v>
      </c>
      <c r="L24" s="76">
        <f t="shared" si="9"/>
        <v>0.37630000000000002</v>
      </c>
      <c r="M24" s="8">
        <f t="shared" si="12"/>
        <v>0.77950000000000008</v>
      </c>
      <c r="N24" s="11">
        <v>0.2</v>
      </c>
      <c r="O24" s="3">
        <f t="shared" si="10"/>
        <v>3.5900000000000001E-2</v>
      </c>
      <c r="P24" s="3">
        <f t="shared" si="13"/>
        <v>1.8800000000000001E-2</v>
      </c>
      <c r="Q24" s="3">
        <f>(615097.28+156904.76)/(282846+71548)</f>
        <v>2.1783722072044109</v>
      </c>
      <c r="R24" s="3">
        <f>Transport!F24</f>
        <v>8730</v>
      </c>
      <c r="S24" s="3">
        <f>Transport!G24</f>
        <v>10761</v>
      </c>
      <c r="T24" s="3">
        <f>Transport!H24</f>
        <v>15509</v>
      </c>
      <c r="U24" s="3">
        <f>Transport!I24</f>
        <v>1880</v>
      </c>
      <c r="V24" s="3">
        <f>Transport!J24</f>
        <v>2295</v>
      </c>
      <c r="W24" s="3">
        <f>Transport!K24</f>
        <v>1036</v>
      </c>
      <c r="X24" s="3">
        <f>Transport!L24</f>
        <v>683</v>
      </c>
    </row>
    <row r="25" spans="1:24" x14ac:dyDescent="0.2">
      <c r="A25" s="10">
        <f t="shared" si="8"/>
        <v>36357.333333333285</v>
      </c>
      <c r="B25" s="19">
        <v>2.2400000000000002</v>
      </c>
      <c r="C25" s="64">
        <v>2.27</v>
      </c>
      <c r="D25" s="19">
        <v>2.2400000000000002</v>
      </c>
      <c r="E25" s="19">
        <v>2.2717000000000001</v>
      </c>
      <c r="F25" s="2">
        <f t="shared" si="11"/>
        <v>0.03</v>
      </c>
      <c r="G25" s="15">
        <f t="shared" si="7"/>
        <v>0.03</v>
      </c>
      <c r="H25" s="3">
        <v>31</v>
      </c>
      <c r="I25" s="12">
        <v>-7.6243665582616416E-2</v>
      </c>
      <c r="K25" s="44">
        <v>9.4999999999998419E-3</v>
      </c>
      <c r="L25" s="76">
        <f t="shared" si="9"/>
        <v>0.37630000000000002</v>
      </c>
      <c r="M25" s="8">
        <f t="shared" si="12"/>
        <v>0.77950000000000008</v>
      </c>
      <c r="N25" s="11">
        <v>0.2</v>
      </c>
      <c r="O25" s="3">
        <f t="shared" si="10"/>
        <v>3.5900000000000001E-2</v>
      </c>
      <c r="P25" s="3">
        <f t="shared" si="13"/>
        <v>1.8800000000000001E-2</v>
      </c>
      <c r="Q25" s="3">
        <f>(675527.24+157803.88)/(70669+9255+294840)</f>
        <v>2.2236157154902818</v>
      </c>
      <c r="R25" s="3">
        <f>Transport!F25</f>
        <v>8730</v>
      </c>
      <c r="S25" s="3">
        <f>Transport!G25</f>
        <v>10761</v>
      </c>
      <c r="T25" s="3">
        <f>Transport!H25</f>
        <v>15509</v>
      </c>
      <c r="U25" s="3">
        <f>Transport!I25</f>
        <v>1880</v>
      </c>
      <c r="V25" s="3">
        <f>Transport!J25</f>
        <v>2295</v>
      </c>
      <c r="W25" s="3">
        <f>Transport!K25</f>
        <v>1036</v>
      </c>
      <c r="X25" s="3">
        <f>Transport!L25</f>
        <v>683</v>
      </c>
    </row>
    <row r="26" spans="1:24" x14ac:dyDescent="0.2">
      <c r="A26" s="10">
        <f t="shared" si="8"/>
        <v>36387.749999999949</v>
      </c>
      <c r="B26" s="19">
        <v>2.57</v>
      </c>
      <c r="C26" s="64">
        <v>2.61</v>
      </c>
      <c r="D26" s="19">
        <v>2.57</v>
      </c>
      <c r="E26" s="19">
        <v>2.5527000000000002</v>
      </c>
      <c r="F26" s="2">
        <f t="shared" si="11"/>
        <v>0.03</v>
      </c>
      <c r="G26" s="15">
        <f t="shared" si="7"/>
        <v>0.03</v>
      </c>
      <c r="H26" s="3">
        <v>31</v>
      </c>
      <c r="I26" s="12">
        <v>-7.6242874427006502E-2</v>
      </c>
      <c r="K26" s="44">
        <v>9.4999999999996199E-3</v>
      </c>
      <c r="L26" s="76">
        <f t="shared" si="9"/>
        <v>0.37630000000000002</v>
      </c>
      <c r="M26" s="8">
        <f t="shared" si="12"/>
        <v>0.77950000000000008</v>
      </c>
      <c r="N26" s="11">
        <v>0.2</v>
      </c>
      <c r="O26" s="3">
        <f t="shared" si="10"/>
        <v>3.5900000000000001E-2</v>
      </c>
      <c r="P26" s="3">
        <f t="shared" si="13"/>
        <v>1.8800000000000001E-2</v>
      </c>
      <c r="Q26" s="3">
        <f>(550394.91+171326.48)/(215493+66664)</f>
        <v>2.5578716459276221</v>
      </c>
      <c r="R26" s="3">
        <f>Transport!F26</f>
        <v>8730</v>
      </c>
      <c r="S26" s="3">
        <f>Transport!G26</f>
        <v>10761</v>
      </c>
      <c r="T26" s="3">
        <f>Transport!H26</f>
        <v>15509</v>
      </c>
      <c r="U26" s="3">
        <f>Transport!I26</f>
        <v>1880</v>
      </c>
      <c r="V26" s="3">
        <f>Transport!J26</f>
        <v>2295</v>
      </c>
      <c r="W26" s="3">
        <f>Transport!K26</f>
        <v>1036</v>
      </c>
      <c r="X26" s="3">
        <f>Transport!L26</f>
        <v>683</v>
      </c>
    </row>
    <row r="27" spans="1:24" x14ac:dyDescent="0.2">
      <c r="A27" s="10">
        <f t="shared" si="8"/>
        <v>36418.166666666613</v>
      </c>
      <c r="B27" s="19">
        <v>2.86</v>
      </c>
      <c r="C27" s="64">
        <v>2.9</v>
      </c>
      <c r="D27" s="19">
        <v>2.86</v>
      </c>
      <c r="E27" s="19">
        <v>2.9632999999999998</v>
      </c>
      <c r="F27" s="2">
        <f t="shared" si="11"/>
        <v>0.03</v>
      </c>
      <c r="G27" s="15">
        <f t="shared" si="7"/>
        <v>0.03</v>
      </c>
      <c r="H27" s="3">
        <v>30</v>
      </c>
      <c r="I27" s="12">
        <v>-7.6241555834325014E-2</v>
      </c>
      <c r="K27" s="44">
        <v>9.4999999999996199E-3</v>
      </c>
      <c r="L27" s="76">
        <f t="shared" si="9"/>
        <v>0.37630000000000002</v>
      </c>
      <c r="M27" s="8">
        <f t="shared" si="12"/>
        <v>0.77950000000000008</v>
      </c>
      <c r="N27" s="11">
        <v>0.2</v>
      </c>
      <c r="O27" s="3">
        <f t="shared" si="10"/>
        <v>3.5900000000000001E-2</v>
      </c>
      <c r="P27" s="3">
        <f t="shared" si="13"/>
        <v>1.8800000000000001E-2</v>
      </c>
      <c r="Q27" s="3">
        <f>(613117.4+159197.4)/(216868+55800)</f>
        <v>2.8324365162028551</v>
      </c>
      <c r="R27" s="3">
        <f>Transport!F27</f>
        <v>8730</v>
      </c>
      <c r="S27" s="3">
        <f>Transport!G27</f>
        <v>10761</v>
      </c>
      <c r="T27" s="3">
        <f>Transport!H27</f>
        <v>15509</v>
      </c>
      <c r="U27" s="3">
        <f>Transport!I27</f>
        <v>1880</v>
      </c>
      <c r="V27" s="3">
        <f>Transport!J27</f>
        <v>2295</v>
      </c>
      <c r="W27" s="3">
        <f>Transport!K27</f>
        <v>1036</v>
      </c>
      <c r="X27" s="3">
        <f>Transport!L27</f>
        <v>683</v>
      </c>
    </row>
    <row r="28" spans="1:24" x14ac:dyDescent="0.2">
      <c r="A28" s="10">
        <f t="shared" si="8"/>
        <v>36448.583333333278</v>
      </c>
      <c r="B28" s="19">
        <v>2.4900000000000002</v>
      </c>
      <c r="C28" s="64">
        <v>2.5299999999999998</v>
      </c>
      <c r="D28" s="19">
        <v>2.4900000000000002</v>
      </c>
      <c r="E28" s="19">
        <v>2.6073</v>
      </c>
      <c r="F28" s="2">
        <v>2.75E-2</v>
      </c>
      <c r="G28" s="15">
        <v>2.75E-2</v>
      </c>
      <c r="H28" s="3">
        <v>31</v>
      </c>
      <c r="I28" s="12">
        <v>-8.0811829509147337E-2</v>
      </c>
      <c r="K28" s="44">
        <v>1.4499999999999957E-2</v>
      </c>
      <c r="L28" s="76">
        <f t="shared" si="9"/>
        <v>0.37630000000000002</v>
      </c>
      <c r="M28" s="8">
        <f t="shared" si="12"/>
        <v>0.77950000000000008</v>
      </c>
      <c r="N28" s="11">
        <v>0.2</v>
      </c>
      <c r="O28" s="3">
        <v>4.3700000000000003E-2</v>
      </c>
      <c r="P28" s="3">
        <v>2.6599999999999999E-2</v>
      </c>
      <c r="Q28" s="3">
        <f>(138059.12+21483+628344.4)/(55490+9300+252550)</f>
        <v>2.4827835129514084</v>
      </c>
      <c r="R28" s="3">
        <f>Transport!F28</f>
        <v>8730</v>
      </c>
      <c r="S28" s="3">
        <f>Transport!G28</f>
        <v>10361</v>
      </c>
      <c r="T28" s="3">
        <f>Transport!H28</f>
        <v>15909</v>
      </c>
      <c r="U28" s="3">
        <f>Transport!I28</f>
        <v>2830</v>
      </c>
      <c r="V28" s="3">
        <f>Transport!J28</f>
        <v>3500</v>
      </c>
      <c r="W28" s="3">
        <f>Transport!K28</f>
        <v>1521</v>
      </c>
      <c r="X28" s="3">
        <f>Transport!L28</f>
        <v>1001</v>
      </c>
    </row>
    <row r="29" spans="1:24" x14ac:dyDescent="0.2">
      <c r="A29" s="10">
        <f t="shared" si="8"/>
        <v>36478.999999999942</v>
      </c>
      <c r="B29" s="19">
        <v>2.98</v>
      </c>
      <c r="C29" s="64">
        <v>3.02</v>
      </c>
      <c r="D29" s="19">
        <v>2.98</v>
      </c>
      <c r="E29" s="19">
        <v>3.0396999999999998</v>
      </c>
      <c r="F29" s="2">
        <f t="shared" si="11"/>
        <v>2.75E-2</v>
      </c>
      <c r="G29" s="15">
        <f t="shared" si="7"/>
        <v>2.75E-2</v>
      </c>
      <c r="H29" s="3">
        <v>30</v>
      </c>
      <c r="I29" s="12">
        <v>-0.12578405269821502</v>
      </c>
      <c r="K29" s="44">
        <v>1.9499999999999851E-2</v>
      </c>
      <c r="L29" s="76">
        <f t="shared" si="9"/>
        <v>0.37630000000000002</v>
      </c>
      <c r="M29" s="8">
        <f t="shared" si="12"/>
        <v>0.77950000000000008</v>
      </c>
      <c r="N29" s="11">
        <v>0.2</v>
      </c>
      <c r="O29" s="3">
        <f t="shared" si="10"/>
        <v>4.3700000000000003E-2</v>
      </c>
      <c r="P29" s="3">
        <f t="shared" si="13"/>
        <v>2.6599999999999999E-2</v>
      </c>
      <c r="Q29" s="3">
        <f>(792885.5+177317.09)/(268304+59353)</f>
        <v>2.9610311697903597</v>
      </c>
      <c r="R29" s="3">
        <f>Transport!F29</f>
        <v>4926</v>
      </c>
      <c r="S29" s="3">
        <f>Transport!G29</f>
        <v>5732</v>
      </c>
      <c r="T29" s="3">
        <f>Transport!H29</f>
        <v>9342</v>
      </c>
      <c r="U29" s="3">
        <f>Transport!I29</f>
        <v>2563</v>
      </c>
      <c r="V29" s="3">
        <f>Transport!J29</f>
        <v>2862</v>
      </c>
      <c r="W29" s="3">
        <f>Transport!K29</f>
        <v>1685</v>
      </c>
      <c r="X29" s="3">
        <f>Transport!L29</f>
        <v>683</v>
      </c>
    </row>
    <row r="30" spans="1:24" x14ac:dyDescent="0.2">
      <c r="A30" s="10">
        <f t="shared" si="8"/>
        <v>36509.416666666606</v>
      </c>
      <c r="B30" s="19">
        <v>2.1</v>
      </c>
      <c r="C30" s="64">
        <v>2.14</v>
      </c>
      <c r="D30" s="19">
        <v>2.1</v>
      </c>
      <c r="E30" s="19">
        <v>2.1686999999999999</v>
      </c>
      <c r="F30" s="2">
        <f t="shared" si="11"/>
        <v>2.75E-2</v>
      </c>
      <c r="G30" s="15">
        <f t="shared" si="7"/>
        <v>2.75E-2</v>
      </c>
      <c r="H30" s="3">
        <v>31</v>
      </c>
      <c r="I30" s="12">
        <v>-0.16074655400345561</v>
      </c>
      <c r="K30" s="44">
        <v>2.4500000000000188E-2</v>
      </c>
      <c r="L30" s="76">
        <f t="shared" si="9"/>
        <v>0.37630000000000002</v>
      </c>
      <c r="M30" s="8">
        <f t="shared" si="12"/>
        <v>0.77950000000000008</v>
      </c>
      <c r="N30" s="11">
        <v>0.2</v>
      </c>
      <c r="O30" s="3">
        <f t="shared" si="10"/>
        <v>4.3700000000000003E-2</v>
      </c>
      <c r="P30" s="3">
        <f t="shared" si="13"/>
        <v>2.6599999999999999E-2</v>
      </c>
      <c r="Q30" s="3">
        <f>(19885.26+129713.9)/(9300+60665)</f>
        <v>2.1381999571214179</v>
      </c>
      <c r="R30" s="3">
        <f>Transport!F30</f>
        <v>4926</v>
      </c>
      <c r="S30" s="3">
        <f>Transport!G30</f>
        <v>5732</v>
      </c>
      <c r="T30" s="3">
        <f>Transport!H30</f>
        <v>9342</v>
      </c>
      <c r="U30" s="3">
        <f>Transport!I30</f>
        <v>2563</v>
      </c>
      <c r="V30" s="3">
        <f>Transport!J30</f>
        <v>2862</v>
      </c>
      <c r="W30" s="3">
        <f>Transport!K30</f>
        <v>1685</v>
      </c>
      <c r="X30" s="3">
        <f>Transport!L30</f>
        <v>683</v>
      </c>
    </row>
    <row r="31" spans="1:24" x14ac:dyDescent="0.2">
      <c r="A31" s="10">
        <f t="shared" si="8"/>
        <v>36539.83333333327</v>
      </c>
      <c r="B31" s="19">
        <v>2.31</v>
      </c>
      <c r="C31" s="64">
        <v>2.35</v>
      </c>
      <c r="D31" s="19">
        <v>2.31</v>
      </c>
      <c r="E31" s="19">
        <v>2.3380000000000001</v>
      </c>
      <c r="F31" s="2">
        <f t="shared" si="11"/>
        <v>2.75E-2</v>
      </c>
      <c r="G31" s="15">
        <f t="shared" si="7"/>
        <v>2.75E-2</v>
      </c>
      <c r="H31" s="3">
        <v>31</v>
      </c>
      <c r="I31" s="12">
        <v>-0.14572641581552981</v>
      </c>
      <c r="K31" s="44">
        <v>2.4500000000000188E-2</v>
      </c>
      <c r="L31" s="76">
        <v>0.37530000000000002</v>
      </c>
      <c r="M31" s="8">
        <v>0.77849999999999997</v>
      </c>
      <c r="N31" s="11">
        <f t="shared" ref="N31:N62" si="14">L31</f>
        <v>0.37530000000000002</v>
      </c>
      <c r="O31" s="3">
        <v>4.3400000000000001E-2</v>
      </c>
      <c r="P31" s="3">
        <v>2.63E-2</v>
      </c>
      <c r="Q31" s="3">
        <f>(21022.61+142787.63)/(9277+61746)</f>
        <v>2.3064393224730018</v>
      </c>
      <c r="R31" s="3">
        <f>Transport!F31</f>
        <v>4926</v>
      </c>
      <c r="S31" s="3">
        <f>Transport!G31</f>
        <v>5732</v>
      </c>
      <c r="T31" s="3">
        <f>Transport!H31</f>
        <v>9342</v>
      </c>
      <c r="U31" s="3">
        <f>Transport!I31</f>
        <v>2563</v>
      </c>
      <c r="V31" s="3">
        <f>Transport!J31</f>
        <v>2862</v>
      </c>
      <c r="W31" s="3">
        <f>Transport!K31</f>
        <v>1685</v>
      </c>
      <c r="X31" s="3">
        <f>Transport!L31</f>
        <v>683</v>
      </c>
    </row>
    <row r="32" spans="1:24" x14ac:dyDescent="0.2">
      <c r="A32" s="10">
        <f t="shared" si="8"/>
        <v>36570.249999999935</v>
      </c>
      <c r="B32" s="19">
        <v>2.58</v>
      </c>
      <c r="C32" s="64">
        <v>2.62</v>
      </c>
      <c r="D32" s="19">
        <v>2.58</v>
      </c>
      <c r="E32" s="19">
        <v>2.5830000000000002</v>
      </c>
      <c r="F32" s="2">
        <v>0.03</v>
      </c>
      <c r="G32" s="15">
        <v>0.03</v>
      </c>
      <c r="H32" s="3">
        <v>29</v>
      </c>
      <c r="I32" s="12">
        <v>-0.14575419262646205</v>
      </c>
      <c r="K32" s="44">
        <v>2.4500000000000188E-2</v>
      </c>
      <c r="L32" s="76">
        <f t="shared" si="9"/>
        <v>0.37530000000000002</v>
      </c>
      <c r="M32" s="8">
        <f t="shared" si="12"/>
        <v>0.77849999999999997</v>
      </c>
      <c r="N32" s="11">
        <f t="shared" si="14"/>
        <v>0.37530000000000002</v>
      </c>
      <c r="O32" s="3">
        <f t="shared" si="10"/>
        <v>4.3400000000000001E-2</v>
      </c>
      <c r="P32" s="3">
        <f t="shared" si="13"/>
        <v>2.63E-2</v>
      </c>
      <c r="Q32" s="3">
        <f>(19751.04+156540.82)/(7776+60616)</f>
        <v>2.5776678558895778</v>
      </c>
      <c r="R32" s="3">
        <f>Transport!F32</f>
        <v>4926</v>
      </c>
      <c r="S32" s="3">
        <f>Transport!G32</f>
        <v>5732</v>
      </c>
      <c r="T32" s="3">
        <f>Transport!H32</f>
        <v>9342</v>
      </c>
      <c r="U32" s="3">
        <f>Transport!I32</f>
        <v>2563</v>
      </c>
      <c r="V32" s="3">
        <f>Transport!J32</f>
        <v>2862</v>
      </c>
      <c r="W32" s="3">
        <f>Transport!K32</f>
        <v>1685</v>
      </c>
      <c r="X32" s="3">
        <f>Transport!L32</f>
        <v>683</v>
      </c>
    </row>
    <row r="33" spans="1:24" x14ac:dyDescent="0.2">
      <c r="A33" s="10">
        <f t="shared" ref="A33:A48" si="15">+A32+365/12</f>
        <v>36600.666666666599</v>
      </c>
      <c r="B33" s="19">
        <v>2.58</v>
      </c>
      <c r="C33" s="64">
        <v>2.62</v>
      </c>
      <c r="D33" s="19">
        <v>2.57</v>
      </c>
      <c r="E33" s="19">
        <v>2.5607000000000002</v>
      </c>
      <c r="F33" s="2">
        <f t="shared" si="11"/>
        <v>0.03</v>
      </c>
      <c r="G33" s="15">
        <f t="shared" si="7"/>
        <v>0.03</v>
      </c>
      <c r="H33" s="3">
        <v>31</v>
      </c>
      <c r="I33" s="12">
        <v>-0.12078995527053848</v>
      </c>
      <c r="K33" s="44">
        <v>1.9500000000000295E-2</v>
      </c>
      <c r="L33" s="76">
        <f t="shared" si="9"/>
        <v>0.37530000000000002</v>
      </c>
      <c r="M33" s="8">
        <f>0.7618+0.0066</f>
        <v>0.76840000000000008</v>
      </c>
      <c r="N33" s="11">
        <f t="shared" si="14"/>
        <v>0.37530000000000002</v>
      </c>
      <c r="O33" s="3">
        <f t="shared" si="10"/>
        <v>4.3400000000000001E-2</v>
      </c>
      <c r="P33" s="3">
        <v>2.64E-2</v>
      </c>
      <c r="Q33" s="3">
        <f>(22967.28+172850.05)/(8370+62992)</f>
        <v>2.7440000280261203</v>
      </c>
      <c r="R33" s="3">
        <f>Transport!F33</f>
        <v>4926</v>
      </c>
      <c r="S33" s="3">
        <f>Transport!G33</f>
        <v>5732</v>
      </c>
      <c r="T33" s="3">
        <f>Transport!H33</f>
        <v>9342</v>
      </c>
      <c r="U33" s="3">
        <f>Transport!I33</f>
        <v>2563</v>
      </c>
      <c r="V33" s="3">
        <f>Transport!J33</f>
        <v>2862</v>
      </c>
      <c r="W33" s="3">
        <f>Transport!K33</f>
        <v>1685</v>
      </c>
      <c r="X33" s="3">
        <f>Transport!L33</f>
        <v>683</v>
      </c>
    </row>
    <row r="34" spans="1:24" x14ac:dyDescent="0.2">
      <c r="A34" s="10">
        <f t="shared" si="15"/>
        <v>36631.083333333263</v>
      </c>
      <c r="B34" s="19">
        <v>2.85</v>
      </c>
      <c r="C34" s="64">
        <v>2.89</v>
      </c>
      <c r="D34" s="19">
        <v>2.84</v>
      </c>
      <c r="E34" s="19">
        <v>2.9257</v>
      </c>
      <c r="F34" s="2">
        <v>2.9899999999999999E-2</v>
      </c>
      <c r="G34" s="15">
        <v>2.9899999999999999E-2</v>
      </c>
      <c r="H34" s="3">
        <v>30</v>
      </c>
      <c r="I34" s="12">
        <v>-7.3307662987507571E-2</v>
      </c>
      <c r="K34" s="44">
        <v>5.9999999999997833E-3</v>
      </c>
      <c r="L34" s="76">
        <f t="shared" si="9"/>
        <v>0.37530000000000002</v>
      </c>
      <c r="M34" s="8">
        <f t="shared" ref="M34:M56" si="16">M33</f>
        <v>0.76840000000000008</v>
      </c>
      <c r="N34" s="11">
        <f t="shared" si="14"/>
        <v>0.37530000000000002</v>
      </c>
      <c r="O34" s="3">
        <v>4.2500000000000003E-2</v>
      </c>
      <c r="P34" s="3">
        <v>2.5499999999999998E-2</v>
      </c>
      <c r="Q34" s="3">
        <f>(21463.38+148853.25)/(8100+52321)</f>
        <v>2.8188316975885868</v>
      </c>
      <c r="R34" s="3">
        <f>Transport!F34</f>
        <v>6933</v>
      </c>
      <c r="S34" s="3">
        <f>Transport!G34</f>
        <v>8798</v>
      </c>
      <c r="T34" s="3">
        <f>Transport!H34</f>
        <v>14269</v>
      </c>
      <c r="U34" s="3">
        <f>Transport!I34</f>
        <v>1880</v>
      </c>
      <c r="V34" s="3">
        <f>Transport!J34</f>
        <v>2073</v>
      </c>
      <c r="W34" s="3">
        <f>Transport!K34</f>
        <v>1258</v>
      </c>
      <c r="X34" s="3">
        <f>Transport!L34</f>
        <v>683</v>
      </c>
    </row>
    <row r="35" spans="1:24" x14ac:dyDescent="0.2">
      <c r="A35" s="10">
        <f t="shared" si="15"/>
        <v>36661.499999999927</v>
      </c>
      <c r="B35" s="19">
        <v>3.04</v>
      </c>
      <c r="C35" s="64">
        <v>3.08</v>
      </c>
      <c r="D35" s="19">
        <v>3.05</v>
      </c>
      <c r="E35" s="19">
        <v>3.1120000000000001</v>
      </c>
      <c r="F35" s="2">
        <v>0.03</v>
      </c>
      <c r="G35" s="15">
        <f t="shared" si="7"/>
        <v>0.03</v>
      </c>
      <c r="H35" s="3">
        <v>31</v>
      </c>
      <c r="I35" s="12">
        <v>-7.3739446086033444E-2</v>
      </c>
      <c r="K35" s="44">
        <v>5.9999999999997833E-3</v>
      </c>
      <c r="L35" s="76">
        <f t="shared" si="9"/>
        <v>0.37530000000000002</v>
      </c>
      <c r="M35" s="8">
        <f t="shared" si="16"/>
        <v>0.76840000000000008</v>
      </c>
      <c r="N35" s="11">
        <f t="shared" si="14"/>
        <v>0.37530000000000002</v>
      </c>
      <c r="O35" s="3">
        <f t="shared" si="10"/>
        <v>4.2500000000000003E-2</v>
      </c>
      <c r="P35" s="3">
        <f t="shared" ref="P35:P65" si="17">P34</f>
        <v>2.5499999999999998E-2</v>
      </c>
      <c r="Q35" s="3">
        <f>(24769.28+145850.3)/(8368+47859)</f>
        <v>3.0344777420100661</v>
      </c>
      <c r="R35" s="3">
        <f>Transport!F35</f>
        <v>8730</v>
      </c>
      <c r="S35" s="3">
        <f>Transport!G35</f>
        <v>10761</v>
      </c>
      <c r="T35" s="3">
        <f>Transport!H35</f>
        <v>15509</v>
      </c>
      <c r="U35" s="3">
        <f>Transport!I35</f>
        <v>1880</v>
      </c>
      <c r="V35" s="3">
        <f>Transport!J35</f>
        <v>2295</v>
      </c>
      <c r="W35" s="3">
        <f>Transport!K35</f>
        <v>1036</v>
      </c>
      <c r="X35" s="3">
        <f>Transport!L35</f>
        <v>683</v>
      </c>
    </row>
    <row r="36" spans="1:24" x14ac:dyDescent="0.2">
      <c r="A36" s="10">
        <f t="shared" si="15"/>
        <v>36691.916666666591</v>
      </c>
      <c r="B36" s="19">
        <v>4.3499999999999996</v>
      </c>
      <c r="C36" s="64">
        <v>4.3899999999999997</v>
      </c>
      <c r="D36" s="19">
        <v>4.34</v>
      </c>
      <c r="E36" s="19">
        <v>4.2382999999999997</v>
      </c>
      <c r="F36" s="2">
        <v>2.9899999999999999E-2</v>
      </c>
      <c r="G36" s="15">
        <f t="shared" si="7"/>
        <v>2.9899999999999999E-2</v>
      </c>
      <c r="H36" s="3">
        <v>30</v>
      </c>
      <c r="I36" s="12">
        <v>-7.3738786789692368E-2</v>
      </c>
      <c r="K36" s="44">
        <v>5.9999999999997833E-3</v>
      </c>
      <c r="L36" s="76">
        <f t="shared" si="9"/>
        <v>0.37530000000000002</v>
      </c>
      <c r="M36" s="8">
        <f t="shared" si="16"/>
        <v>0.76840000000000008</v>
      </c>
      <c r="N36" s="11">
        <f t="shared" si="14"/>
        <v>0.37530000000000002</v>
      </c>
      <c r="O36" s="3">
        <f t="shared" si="10"/>
        <v>4.2500000000000003E-2</v>
      </c>
      <c r="P36" s="3">
        <f t="shared" si="17"/>
        <v>2.5499999999999998E-2</v>
      </c>
      <c r="Q36" s="3">
        <f>(24577.5+225836.16)/(7500+52096)</f>
        <v>4.2018534800993352</v>
      </c>
      <c r="R36" s="3">
        <f>Transport!F36</f>
        <v>8730</v>
      </c>
      <c r="S36" s="3">
        <f>Transport!G36</f>
        <v>10761</v>
      </c>
      <c r="T36" s="3">
        <f>Transport!H36</f>
        <v>15509</v>
      </c>
      <c r="U36" s="3">
        <f>Transport!I36</f>
        <v>1880</v>
      </c>
      <c r="V36" s="3">
        <f>Transport!J36</f>
        <v>2295</v>
      </c>
      <c r="W36" s="3">
        <f>Transport!K36</f>
        <v>1036</v>
      </c>
      <c r="X36" s="3">
        <f>Transport!L36</f>
        <v>683</v>
      </c>
    </row>
    <row r="37" spans="1:24" x14ac:dyDescent="0.2">
      <c r="A37" s="10">
        <f t="shared" si="15"/>
        <v>36722.333333333256</v>
      </c>
      <c r="B37" s="19">
        <v>4.34</v>
      </c>
      <c r="C37" s="64">
        <v>4.38</v>
      </c>
      <c r="D37" s="19">
        <v>4.33</v>
      </c>
      <c r="E37" s="19">
        <v>4.5382999999999996</v>
      </c>
      <c r="F37" s="2">
        <f t="shared" si="11"/>
        <v>2.9899999999999999E-2</v>
      </c>
      <c r="G37" s="15">
        <f t="shared" si="7"/>
        <v>2.9899999999999999E-2</v>
      </c>
      <c r="H37" s="3">
        <v>31</v>
      </c>
      <c r="I37" s="12">
        <v>-7.8238391211888025E-2</v>
      </c>
      <c r="K37" s="44">
        <v>9.4999999999998419E-3</v>
      </c>
      <c r="L37" s="76">
        <f t="shared" si="9"/>
        <v>0.37530000000000002</v>
      </c>
      <c r="M37" s="8">
        <f t="shared" si="16"/>
        <v>0.76840000000000008</v>
      </c>
      <c r="N37" s="11">
        <f t="shared" si="14"/>
        <v>0.37530000000000002</v>
      </c>
      <c r="O37" s="3">
        <f t="shared" si="10"/>
        <v>4.2500000000000003E-2</v>
      </c>
      <c r="P37" s="3">
        <f t="shared" si="17"/>
        <v>2.5499999999999998E-2</v>
      </c>
      <c r="Q37" s="3">
        <f>(24615.4+183893.76)/(7748+42568)</f>
        <v>4.1439931632085223</v>
      </c>
      <c r="R37" s="3">
        <f>Transport!F37</f>
        <v>8730</v>
      </c>
      <c r="S37" s="3">
        <f>Transport!G37</f>
        <v>10761</v>
      </c>
      <c r="T37" s="3">
        <f>Transport!H37</f>
        <v>15509</v>
      </c>
      <c r="U37" s="3">
        <f>Transport!I37</f>
        <v>1880</v>
      </c>
      <c r="V37" s="3">
        <f>Transport!J37</f>
        <v>2295</v>
      </c>
      <c r="W37" s="3">
        <f>Transport!K37</f>
        <v>1036</v>
      </c>
      <c r="X37" s="3">
        <f>Transport!L37</f>
        <v>683</v>
      </c>
    </row>
    <row r="38" spans="1:24" x14ac:dyDescent="0.2">
      <c r="A38" s="10">
        <f t="shared" si="15"/>
        <v>36752.74999999992</v>
      </c>
      <c r="B38" s="19">
        <v>3.8</v>
      </c>
      <c r="C38" s="64">
        <v>3.84</v>
      </c>
      <c r="D38" s="19">
        <v>3.79</v>
      </c>
      <c r="E38" s="19">
        <v>3.7477</v>
      </c>
      <c r="F38" s="2">
        <f t="shared" ref="F38:F53" si="18">+F37</f>
        <v>2.9899999999999999E-2</v>
      </c>
      <c r="G38" s="15">
        <f t="shared" si="7"/>
        <v>2.9899999999999999E-2</v>
      </c>
      <c r="H38" s="3">
        <v>31</v>
      </c>
      <c r="I38" s="12">
        <v>-7.8237600056278556E-2</v>
      </c>
      <c r="K38" s="44">
        <v>9.4999999999996199E-3</v>
      </c>
      <c r="L38" s="76">
        <f t="shared" si="9"/>
        <v>0.37530000000000002</v>
      </c>
      <c r="M38" s="8">
        <f t="shared" si="16"/>
        <v>0.76840000000000008</v>
      </c>
      <c r="N38" s="11">
        <f t="shared" si="14"/>
        <v>0.37530000000000002</v>
      </c>
      <c r="O38" s="3">
        <f t="shared" si="10"/>
        <v>4.2500000000000003E-2</v>
      </c>
      <c r="P38" s="3">
        <f t="shared" si="17"/>
        <v>2.5499999999999998E-2</v>
      </c>
      <c r="Q38" s="3">
        <f>(20253.32+163553.66)/(6188+43154)</f>
        <v>3.7251627416805158</v>
      </c>
      <c r="R38" s="3">
        <f>Transport!F38</f>
        <v>8730</v>
      </c>
      <c r="S38" s="3">
        <f>Transport!G38</f>
        <v>10761</v>
      </c>
      <c r="T38" s="3">
        <f>Transport!H38</f>
        <v>15509</v>
      </c>
      <c r="U38" s="3">
        <f>Transport!I38</f>
        <v>1880</v>
      </c>
      <c r="V38" s="3">
        <f>Transport!J38</f>
        <v>2295</v>
      </c>
      <c r="W38" s="3">
        <f>Transport!K38</f>
        <v>1036</v>
      </c>
      <c r="X38" s="3">
        <f>Transport!L38</f>
        <v>683</v>
      </c>
    </row>
    <row r="39" spans="1:24" x14ac:dyDescent="0.2">
      <c r="A39" s="10">
        <f t="shared" si="15"/>
        <v>36783.166666666584</v>
      </c>
      <c r="B39" s="19">
        <v>4.58</v>
      </c>
      <c r="C39" s="64">
        <v>4.6100000000000003</v>
      </c>
      <c r="D39" s="19">
        <v>4.58</v>
      </c>
      <c r="E39" s="19">
        <v>4.6436999999999999</v>
      </c>
      <c r="F39" s="2">
        <f t="shared" si="18"/>
        <v>2.9899999999999999E-2</v>
      </c>
      <c r="G39" s="15">
        <f t="shared" si="7"/>
        <v>2.9899999999999999E-2</v>
      </c>
      <c r="H39" s="3">
        <v>30</v>
      </c>
      <c r="I39" s="12">
        <v>-7.8236281463596846E-2</v>
      </c>
      <c r="K39" s="44">
        <v>9.4999999999996199E-3</v>
      </c>
      <c r="L39" s="76">
        <f t="shared" si="9"/>
        <v>0.37530000000000002</v>
      </c>
      <c r="M39" s="8">
        <f t="shared" si="16"/>
        <v>0.76840000000000008</v>
      </c>
      <c r="N39" s="11">
        <f t="shared" si="14"/>
        <v>0.37530000000000002</v>
      </c>
      <c r="O39" s="3">
        <v>4.7699999999999999E-2</v>
      </c>
      <c r="P39" s="3">
        <v>3.0700000000000002E-2</v>
      </c>
      <c r="Q39" s="3">
        <f>(22227.6+185715.66)/(6000+40638)</f>
        <v>4.4586658947639268</v>
      </c>
      <c r="R39" s="3">
        <f>Transport!F39</f>
        <v>8730</v>
      </c>
      <c r="S39" s="3">
        <f>Transport!G39</f>
        <v>10761</v>
      </c>
      <c r="T39" s="3">
        <f>Transport!H39</f>
        <v>15509</v>
      </c>
      <c r="U39" s="3">
        <f>Transport!I39</f>
        <v>1880</v>
      </c>
      <c r="V39" s="3">
        <f>Transport!J39</f>
        <v>2295</v>
      </c>
      <c r="W39" s="3">
        <f>Transport!K39</f>
        <v>1036</v>
      </c>
      <c r="X39" s="3">
        <f>Transport!L39</f>
        <v>683</v>
      </c>
    </row>
    <row r="40" spans="1:24" x14ac:dyDescent="0.2">
      <c r="A40" s="10">
        <f t="shared" si="15"/>
        <v>36813.583333333248</v>
      </c>
      <c r="B40" s="19">
        <v>5.22</v>
      </c>
      <c r="C40" s="64">
        <v>5.29</v>
      </c>
      <c r="D40" s="19">
        <v>5.22</v>
      </c>
      <c r="E40" s="19">
        <v>5.3040000000000003</v>
      </c>
      <c r="F40" s="2">
        <v>3.1399999999999997E-2</v>
      </c>
      <c r="G40" s="15">
        <f t="shared" si="7"/>
        <v>3.1399999999999997E-2</v>
      </c>
      <c r="H40" s="3">
        <v>31</v>
      </c>
      <c r="I40" s="12">
        <v>-8.2797941103680994E-2</v>
      </c>
      <c r="K40" s="44">
        <v>1.4499999999999957E-2</v>
      </c>
      <c r="L40" s="76">
        <f t="shared" si="9"/>
        <v>0.37530000000000002</v>
      </c>
      <c r="M40" s="8">
        <f t="shared" si="16"/>
        <v>0.76840000000000008</v>
      </c>
      <c r="N40" s="11">
        <f t="shared" si="14"/>
        <v>0.37530000000000002</v>
      </c>
      <c r="O40" s="3">
        <f t="shared" si="10"/>
        <v>4.7699999999999999E-2</v>
      </c>
      <c r="P40" s="3">
        <f t="shared" si="17"/>
        <v>3.0700000000000002E-2</v>
      </c>
      <c r="R40" s="3">
        <f>Transport!F40</f>
        <v>8730</v>
      </c>
      <c r="S40" s="3">
        <f>Transport!G40</f>
        <v>10361</v>
      </c>
      <c r="T40" s="3">
        <f>Transport!H40</f>
        <v>15909</v>
      </c>
      <c r="U40" s="3">
        <f>Transport!I40</f>
        <v>2830</v>
      </c>
      <c r="V40" s="3">
        <f>Transport!J40</f>
        <v>3500</v>
      </c>
      <c r="W40" s="3">
        <f>Transport!K40</f>
        <v>1521</v>
      </c>
      <c r="X40" s="3">
        <f>Transport!L40</f>
        <v>1001</v>
      </c>
    </row>
    <row r="41" spans="1:24" x14ac:dyDescent="0.2">
      <c r="A41" s="10">
        <f t="shared" si="15"/>
        <v>36843.999999999913</v>
      </c>
      <c r="B41" s="19">
        <f t="shared" ref="B41:B54" si="19">C41-0.06</f>
        <v>3.5</v>
      </c>
      <c r="C41" s="64">
        <f>C29+0.54</f>
        <v>3.56</v>
      </c>
      <c r="D41" s="19">
        <f t="shared" ref="D41:D79" si="20">C41-0.05</f>
        <v>3.5100000000000002</v>
      </c>
      <c r="E41" s="19">
        <f t="shared" ref="E41:E68" si="21">C41</f>
        <v>3.56</v>
      </c>
      <c r="F41" s="2">
        <v>2.75E-2</v>
      </c>
      <c r="G41" s="15">
        <f t="shared" si="7"/>
        <v>2.75E-2</v>
      </c>
      <c r="H41" s="3">
        <v>30</v>
      </c>
      <c r="I41" s="12">
        <v>-0.12777016429274912</v>
      </c>
      <c r="K41" s="44">
        <v>1.9499999999999851E-2</v>
      </c>
      <c r="L41" s="76">
        <f t="shared" si="9"/>
        <v>0.37530000000000002</v>
      </c>
      <c r="M41" s="8">
        <f t="shared" si="16"/>
        <v>0.76840000000000008</v>
      </c>
      <c r="N41" s="11">
        <f t="shared" si="14"/>
        <v>0.37530000000000002</v>
      </c>
      <c r="O41" s="3">
        <f t="shared" si="10"/>
        <v>4.7699999999999999E-2</v>
      </c>
      <c r="P41" s="3">
        <f t="shared" si="17"/>
        <v>3.0700000000000002E-2</v>
      </c>
      <c r="R41" s="3">
        <f>Transport!F41</f>
        <v>4926</v>
      </c>
      <c r="S41" s="3">
        <f>Transport!G41</f>
        <v>5732</v>
      </c>
      <c r="T41" s="3">
        <f>Transport!H41</f>
        <v>9342</v>
      </c>
      <c r="U41" s="3">
        <f>Transport!I41</f>
        <v>2563</v>
      </c>
      <c r="V41" s="3">
        <f>Transport!J41</f>
        <v>2862</v>
      </c>
      <c r="W41" s="3">
        <f>Transport!K41</f>
        <v>1685</v>
      </c>
      <c r="X41" s="3">
        <f>Transport!L41</f>
        <v>683</v>
      </c>
    </row>
    <row r="42" spans="1:24" x14ac:dyDescent="0.2">
      <c r="A42" s="10">
        <f t="shared" si="15"/>
        <v>36874.416666666577</v>
      </c>
      <c r="B42" s="19">
        <f t="shared" si="19"/>
        <v>2.62</v>
      </c>
      <c r="C42" s="64">
        <f>C30+0.54</f>
        <v>2.68</v>
      </c>
      <c r="D42" s="19">
        <f t="shared" si="20"/>
        <v>2.6300000000000003</v>
      </c>
      <c r="E42" s="19">
        <f t="shared" si="21"/>
        <v>2.68</v>
      </c>
      <c r="F42" s="2">
        <f t="shared" si="18"/>
        <v>2.75E-2</v>
      </c>
      <c r="G42" s="15">
        <f t="shared" si="7"/>
        <v>2.75E-2</v>
      </c>
      <c r="H42" s="3">
        <v>31</v>
      </c>
      <c r="I42" s="12">
        <v>-0.16273266559798971</v>
      </c>
      <c r="K42" s="44">
        <v>2.4500000000000188E-2</v>
      </c>
      <c r="L42" s="76">
        <f t="shared" si="9"/>
        <v>0.37530000000000002</v>
      </c>
      <c r="M42" s="8">
        <f t="shared" si="16"/>
        <v>0.76840000000000008</v>
      </c>
      <c r="N42" s="11">
        <f t="shared" si="14"/>
        <v>0.37530000000000002</v>
      </c>
      <c r="O42" s="3">
        <f t="shared" si="10"/>
        <v>4.7699999999999999E-2</v>
      </c>
      <c r="P42" s="3">
        <f t="shared" si="17"/>
        <v>3.0700000000000002E-2</v>
      </c>
      <c r="R42" s="3">
        <f>Transport!F42</f>
        <v>4926</v>
      </c>
      <c r="S42" s="3">
        <f>Transport!G42</f>
        <v>5732</v>
      </c>
      <c r="T42" s="3">
        <f>Transport!H42</f>
        <v>9342</v>
      </c>
      <c r="U42" s="3">
        <f>Transport!I42</f>
        <v>2563</v>
      </c>
      <c r="V42" s="3">
        <f>Transport!J42</f>
        <v>2862</v>
      </c>
      <c r="W42" s="3">
        <f>Transport!K42</f>
        <v>1685</v>
      </c>
      <c r="X42" s="3">
        <f>Transport!L42</f>
        <v>683</v>
      </c>
    </row>
    <row r="43" spans="1:24" s="81" customFormat="1" x14ac:dyDescent="0.2">
      <c r="A43" s="77">
        <f t="shared" si="15"/>
        <v>36904.833333333241</v>
      </c>
      <c r="B43" s="78">
        <f t="shared" si="19"/>
        <v>2.2200000000000002</v>
      </c>
      <c r="C43" s="78">
        <f>C31-0.07</f>
        <v>2.2800000000000002</v>
      </c>
      <c r="D43" s="78">
        <f t="shared" si="20"/>
        <v>2.2300000000000004</v>
      </c>
      <c r="E43" s="78">
        <f t="shared" si="21"/>
        <v>2.2800000000000002</v>
      </c>
      <c r="F43" s="79">
        <f t="shared" si="18"/>
        <v>2.75E-2</v>
      </c>
      <c r="G43" s="80">
        <f t="shared" si="7"/>
        <v>2.75E-2</v>
      </c>
      <c r="H43" s="81">
        <v>31</v>
      </c>
      <c r="I43" s="82">
        <v>-0.14771252741006347</v>
      </c>
      <c r="K43" s="83">
        <v>2.4500000000000188E-2</v>
      </c>
      <c r="L43" s="84">
        <f>L42</f>
        <v>0.37530000000000002</v>
      </c>
      <c r="M43" s="85">
        <f t="shared" si="16"/>
        <v>0.76840000000000008</v>
      </c>
      <c r="N43" s="87">
        <f t="shared" si="14"/>
        <v>0.37530000000000002</v>
      </c>
      <c r="O43" s="81">
        <f t="shared" si="10"/>
        <v>4.7699999999999999E-2</v>
      </c>
      <c r="P43" s="81">
        <f t="shared" si="17"/>
        <v>3.0700000000000002E-2</v>
      </c>
      <c r="R43" s="81">
        <f>Transport!F43</f>
        <v>4926</v>
      </c>
      <c r="S43" s="81">
        <f>Transport!G43</f>
        <v>5732</v>
      </c>
      <c r="T43" s="81">
        <f>Transport!H43</f>
        <v>9342</v>
      </c>
      <c r="U43" s="81">
        <f>Transport!I43</f>
        <v>2563</v>
      </c>
      <c r="V43" s="81">
        <f>Transport!J43</f>
        <v>2862</v>
      </c>
      <c r="W43" s="81">
        <f>Transport!K43</f>
        <v>1685</v>
      </c>
      <c r="X43" s="81">
        <f>Transport!L43</f>
        <v>683</v>
      </c>
    </row>
    <row r="44" spans="1:24" x14ac:dyDescent="0.2">
      <c r="A44" s="10">
        <f t="shared" si="15"/>
        <v>36935.249999999905</v>
      </c>
      <c r="B44" s="19">
        <f t="shared" si="19"/>
        <v>2.4900000000000002</v>
      </c>
      <c r="C44" s="19">
        <f>C32-0.07</f>
        <v>2.5500000000000003</v>
      </c>
      <c r="D44" s="19">
        <f t="shared" si="20"/>
        <v>2.5000000000000004</v>
      </c>
      <c r="E44" s="19">
        <f t="shared" si="21"/>
        <v>2.5500000000000003</v>
      </c>
      <c r="F44" s="2">
        <f t="shared" si="18"/>
        <v>2.75E-2</v>
      </c>
      <c r="G44" s="15">
        <f t="shared" si="7"/>
        <v>2.75E-2</v>
      </c>
      <c r="H44" s="3">
        <v>28</v>
      </c>
      <c r="I44" s="12">
        <v>-0.14774030422099615</v>
      </c>
      <c r="K44" s="44">
        <v>2.4500000000000188E-2</v>
      </c>
      <c r="L44" s="76">
        <f t="shared" si="9"/>
        <v>0.37530000000000002</v>
      </c>
      <c r="M44" s="8">
        <f t="shared" si="16"/>
        <v>0.76840000000000008</v>
      </c>
      <c r="N44" s="11">
        <f t="shared" si="14"/>
        <v>0.37530000000000002</v>
      </c>
      <c r="O44" s="3">
        <f t="shared" si="10"/>
        <v>4.7699999999999999E-2</v>
      </c>
      <c r="P44" s="3">
        <f t="shared" si="17"/>
        <v>3.0700000000000002E-2</v>
      </c>
      <c r="R44" s="3">
        <f>Transport!F44</f>
        <v>4926</v>
      </c>
      <c r="S44" s="3">
        <f>Transport!G44</f>
        <v>5732</v>
      </c>
      <c r="T44" s="3">
        <f>Transport!H44</f>
        <v>9342</v>
      </c>
      <c r="U44" s="3">
        <f>Transport!I44</f>
        <v>2563</v>
      </c>
      <c r="V44" s="3">
        <f>Transport!J44</f>
        <v>2862</v>
      </c>
      <c r="W44" s="3">
        <f>Transport!K44</f>
        <v>1685</v>
      </c>
      <c r="X44" s="3">
        <f>Transport!L44</f>
        <v>683</v>
      </c>
    </row>
    <row r="45" spans="1:24" x14ac:dyDescent="0.2">
      <c r="A45" s="10">
        <f t="shared" si="15"/>
        <v>36965.66666666657</v>
      </c>
      <c r="B45" s="19">
        <f t="shared" si="19"/>
        <v>2.4900000000000002</v>
      </c>
      <c r="C45" s="19">
        <f t="shared" ref="C45:C54" si="22">C33-0.07</f>
        <v>2.5500000000000003</v>
      </c>
      <c r="D45" s="19">
        <f t="shared" si="20"/>
        <v>2.5000000000000004</v>
      </c>
      <c r="E45" s="19">
        <f t="shared" si="21"/>
        <v>2.5500000000000003</v>
      </c>
      <c r="F45" s="2">
        <f t="shared" si="18"/>
        <v>2.75E-2</v>
      </c>
      <c r="G45" s="15">
        <f t="shared" si="7"/>
        <v>2.75E-2</v>
      </c>
      <c r="H45" s="3">
        <v>31</v>
      </c>
      <c r="I45" s="12">
        <v>-0.12277606686507214</v>
      </c>
      <c r="K45" s="44">
        <v>1.9500000000000295E-2</v>
      </c>
      <c r="L45" s="76">
        <f t="shared" si="9"/>
        <v>0.37530000000000002</v>
      </c>
      <c r="M45" s="8">
        <f t="shared" si="16"/>
        <v>0.76840000000000008</v>
      </c>
      <c r="N45" s="11">
        <f t="shared" si="14"/>
        <v>0.37530000000000002</v>
      </c>
      <c r="O45" s="3">
        <f t="shared" si="10"/>
        <v>4.7699999999999999E-2</v>
      </c>
      <c r="P45" s="3">
        <f t="shared" si="17"/>
        <v>3.0700000000000002E-2</v>
      </c>
      <c r="R45" s="3">
        <f>Transport!F45</f>
        <v>4926</v>
      </c>
      <c r="S45" s="3">
        <f>Transport!G45</f>
        <v>5732</v>
      </c>
      <c r="T45" s="3">
        <f>Transport!H45</f>
        <v>9342</v>
      </c>
      <c r="U45" s="3">
        <f>Transport!I45</f>
        <v>2563</v>
      </c>
      <c r="V45" s="3">
        <f>Transport!J45</f>
        <v>2862</v>
      </c>
      <c r="W45" s="3">
        <f>Transport!K45</f>
        <v>1685</v>
      </c>
      <c r="X45" s="3">
        <f>Transport!L45</f>
        <v>683</v>
      </c>
    </row>
    <row r="46" spans="1:24" x14ac:dyDescent="0.2">
      <c r="A46" s="10">
        <f t="shared" si="15"/>
        <v>36996.083333333234</v>
      </c>
      <c r="B46" s="19">
        <f t="shared" si="19"/>
        <v>2.7600000000000002</v>
      </c>
      <c r="C46" s="19">
        <f t="shared" si="22"/>
        <v>2.8200000000000003</v>
      </c>
      <c r="D46" s="19">
        <f t="shared" si="20"/>
        <v>2.7700000000000005</v>
      </c>
      <c r="E46" s="19">
        <f t="shared" si="21"/>
        <v>2.8200000000000003</v>
      </c>
      <c r="F46" s="2">
        <f t="shared" si="18"/>
        <v>2.75E-2</v>
      </c>
      <c r="G46" s="15">
        <f t="shared" si="7"/>
        <v>2.75E-2</v>
      </c>
      <c r="H46" s="3">
        <v>30</v>
      </c>
      <c r="I46" s="12">
        <v>-7.3293080161768387E-2</v>
      </c>
      <c r="K46" s="44">
        <v>5.9999999999997833E-3</v>
      </c>
      <c r="L46" s="76">
        <f t="shared" si="9"/>
        <v>0.37530000000000002</v>
      </c>
      <c r="M46" s="8">
        <f t="shared" si="16"/>
        <v>0.76840000000000008</v>
      </c>
      <c r="N46" s="11">
        <f t="shared" si="14"/>
        <v>0.37530000000000002</v>
      </c>
      <c r="O46" s="3">
        <f t="shared" si="10"/>
        <v>4.7699999999999999E-2</v>
      </c>
      <c r="P46" s="3">
        <f t="shared" si="17"/>
        <v>3.0700000000000002E-2</v>
      </c>
      <c r="R46" s="3">
        <f>Transport!F46</f>
        <v>6933</v>
      </c>
      <c r="S46" s="3">
        <f>Transport!G46</f>
        <v>8798</v>
      </c>
      <c r="T46" s="3">
        <f>Transport!H46</f>
        <v>14269</v>
      </c>
      <c r="U46" s="3">
        <f>Transport!I46</f>
        <v>1880</v>
      </c>
      <c r="V46" s="3">
        <f>Transport!J46</f>
        <v>2073</v>
      </c>
      <c r="W46" s="3">
        <f>Transport!K46</f>
        <v>1258</v>
      </c>
      <c r="X46" s="3">
        <f>Transport!L46</f>
        <v>683</v>
      </c>
    </row>
    <row r="47" spans="1:24" x14ac:dyDescent="0.2">
      <c r="A47" s="10">
        <f t="shared" si="15"/>
        <v>37026.499999999898</v>
      </c>
      <c r="B47" s="19">
        <f t="shared" si="19"/>
        <v>2.95</v>
      </c>
      <c r="C47" s="19">
        <f t="shared" si="22"/>
        <v>3.0100000000000002</v>
      </c>
      <c r="D47" s="19">
        <f t="shared" si="20"/>
        <v>2.9600000000000004</v>
      </c>
      <c r="E47" s="19">
        <f t="shared" si="21"/>
        <v>3.0100000000000002</v>
      </c>
      <c r="F47" s="2">
        <f t="shared" si="18"/>
        <v>2.75E-2</v>
      </c>
      <c r="G47" s="15">
        <f t="shared" si="7"/>
        <v>2.75E-2</v>
      </c>
      <c r="H47" s="3">
        <v>31</v>
      </c>
      <c r="I47" s="12">
        <v>-7.3733907996769599E-2</v>
      </c>
      <c r="K47" s="44">
        <v>5.9999999999997833E-3</v>
      </c>
      <c r="L47" s="76">
        <f t="shared" si="9"/>
        <v>0.37530000000000002</v>
      </c>
      <c r="M47" s="8">
        <f>0.746+0.0076-0.0142</f>
        <v>0.73940000000000006</v>
      </c>
      <c r="N47" s="11">
        <f t="shared" si="14"/>
        <v>0.37530000000000002</v>
      </c>
      <c r="O47" s="3">
        <f t="shared" si="10"/>
        <v>4.7699999999999999E-2</v>
      </c>
      <c r="P47" s="3">
        <f t="shared" si="17"/>
        <v>3.0700000000000002E-2</v>
      </c>
      <c r="R47" s="3">
        <f>Transport!F47</f>
        <v>8730</v>
      </c>
      <c r="S47" s="3">
        <f>Transport!G47</f>
        <v>10761</v>
      </c>
      <c r="T47" s="3">
        <f>Transport!H47</f>
        <v>15509</v>
      </c>
      <c r="U47" s="3">
        <f>Transport!I47</f>
        <v>1880</v>
      </c>
      <c r="V47" s="3">
        <f>Transport!J47</f>
        <v>2295</v>
      </c>
      <c r="W47" s="3">
        <f>Transport!K47</f>
        <v>1036</v>
      </c>
      <c r="X47" s="3">
        <f>Transport!L47</f>
        <v>683</v>
      </c>
    </row>
    <row r="48" spans="1:24" x14ac:dyDescent="0.2">
      <c r="A48" s="10">
        <f t="shared" si="15"/>
        <v>37056.916666666562</v>
      </c>
      <c r="B48" s="19">
        <f t="shared" si="19"/>
        <v>4.26</v>
      </c>
      <c r="C48" s="19">
        <f t="shared" si="22"/>
        <v>4.3199999999999994</v>
      </c>
      <c r="D48" s="19">
        <f t="shared" si="20"/>
        <v>4.2699999999999996</v>
      </c>
      <c r="E48" s="19">
        <f t="shared" si="21"/>
        <v>4.3199999999999994</v>
      </c>
      <c r="F48" s="2">
        <f t="shared" si="18"/>
        <v>2.75E-2</v>
      </c>
      <c r="G48" s="15">
        <f t="shared" si="7"/>
        <v>2.75E-2</v>
      </c>
      <c r="H48" s="3">
        <v>30</v>
      </c>
      <c r="I48" s="12">
        <v>-7.3733248700428078E-2</v>
      </c>
      <c r="K48" s="44">
        <v>5.9999999999997833E-3</v>
      </c>
      <c r="L48" s="76">
        <f t="shared" si="9"/>
        <v>0.37530000000000002</v>
      </c>
      <c r="M48" s="8">
        <f t="shared" si="16"/>
        <v>0.73940000000000006</v>
      </c>
      <c r="N48" s="11">
        <f t="shared" si="14"/>
        <v>0.37530000000000002</v>
      </c>
      <c r="O48" s="3">
        <f t="shared" si="10"/>
        <v>4.7699999999999999E-2</v>
      </c>
      <c r="P48" s="3">
        <f t="shared" si="17"/>
        <v>3.0700000000000002E-2</v>
      </c>
      <c r="R48" s="3">
        <f>Transport!F48</f>
        <v>8730</v>
      </c>
      <c r="S48" s="3">
        <f>Transport!G48</f>
        <v>10761</v>
      </c>
      <c r="T48" s="3">
        <f>Transport!H48</f>
        <v>15509</v>
      </c>
      <c r="U48" s="3">
        <f>Transport!I48</f>
        <v>1880</v>
      </c>
      <c r="V48" s="3">
        <f>Transport!J48</f>
        <v>2295</v>
      </c>
      <c r="W48" s="3">
        <f>Transport!K48</f>
        <v>1036</v>
      </c>
      <c r="X48" s="3">
        <f>Transport!L48</f>
        <v>683</v>
      </c>
    </row>
    <row r="49" spans="1:24" x14ac:dyDescent="0.2">
      <c r="A49" s="10">
        <f t="shared" ref="A49:A64" si="23">+A48+365/12</f>
        <v>37087.333333333227</v>
      </c>
      <c r="B49" s="19">
        <f t="shared" si="19"/>
        <v>4.25</v>
      </c>
      <c r="C49" s="19">
        <f t="shared" si="22"/>
        <v>4.3099999999999996</v>
      </c>
      <c r="D49" s="19">
        <f t="shared" si="20"/>
        <v>4.26</v>
      </c>
      <c r="E49" s="19">
        <f t="shared" si="21"/>
        <v>4.3099999999999996</v>
      </c>
      <c r="F49" s="2">
        <f t="shared" si="18"/>
        <v>2.75E-2</v>
      </c>
      <c r="G49" s="15">
        <f t="shared" si="7"/>
        <v>2.75E-2</v>
      </c>
      <c r="H49" s="3">
        <v>31</v>
      </c>
      <c r="I49" s="12">
        <v>-7.8232853122623514E-2</v>
      </c>
      <c r="K49" s="44">
        <v>9.4999999999998419E-3</v>
      </c>
      <c r="L49" s="76">
        <f t="shared" si="9"/>
        <v>0.37530000000000002</v>
      </c>
      <c r="M49" s="8">
        <f t="shared" si="16"/>
        <v>0.73940000000000006</v>
      </c>
      <c r="N49" s="11">
        <f t="shared" si="14"/>
        <v>0.37530000000000002</v>
      </c>
      <c r="O49" s="3">
        <f t="shared" si="10"/>
        <v>4.7699999999999999E-2</v>
      </c>
      <c r="P49" s="3">
        <f t="shared" si="17"/>
        <v>3.0700000000000002E-2</v>
      </c>
      <c r="R49" s="3">
        <f>Transport!F49</f>
        <v>8730</v>
      </c>
      <c r="S49" s="3">
        <f>Transport!G49</f>
        <v>10761</v>
      </c>
      <c r="T49" s="3">
        <f>Transport!H49</f>
        <v>15509</v>
      </c>
      <c r="U49" s="3">
        <f>Transport!I49</f>
        <v>1880</v>
      </c>
      <c r="V49" s="3">
        <f>Transport!J49</f>
        <v>2295</v>
      </c>
      <c r="W49" s="3">
        <f>Transport!K49</f>
        <v>1036</v>
      </c>
      <c r="X49" s="3">
        <f>Transport!L49</f>
        <v>683</v>
      </c>
    </row>
    <row r="50" spans="1:24" x14ac:dyDescent="0.2">
      <c r="A50" s="10">
        <f t="shared" si="23"/>
        <v>37117.749999999891</v>
      </c>
      <c r="B50" s="19">
        <f t="shared" si="19"/>
        <v>3.71</v>
      </c>
      <c r="C50" s="19">
        <f t="shared" si="22"/>
        <v>3.77</v>
      </c>
      <c r="D50" s="19">
        <f t="shared" si="20"/>
        <v>3.72</v>
      </c>
      <c r="E50" s="19">
        <f t="shared" si="21"/>
        <v>3.77</v>
      </c>
      <c r="F50" s="2">
        <f t="shared" si="18"/>
        <v>2.75E-2</v>
      </c>
      <c r="G50" s="15">
        <f t="shared" si="7"/>
        <v>2.75E-2</v>
      </c>
      <c r="H50" s="3">
        <v>31</v>
      </c>
      <c r="I50" s="12">
        <v>-7.8232061967014044E-2</v>
      </c>
      <c r="K50" s="44">
        <v>9.4999999999996199E-3</v>
      </c>
      <c r="L50" s="76">
        <f t="shared" si="9"/>
        <v>0.37530000000000002</v>
      </c>
      <c r="M50" s="8">
        <f t="shared" si="16"/>
        <v>0.73940000000000006</v>
      </c>
      <c r="N50" s="11">
        <f t="shared" si="14"/>
        <v>0.37530000000000002</v>
      </c>
      <c r="O50" s="3">
        <f t="shared" si="10"/>
        <v>4.7699999999999999E-2</v>
      </c>
      <c r="P50" s="3">
        <f t="shared" si="17"/>
        <v>3.0700000000000002E-2</v>
      </c>
      <c r="R50" s="3">
        <f>Transport!F50</f>
        <v>8730</v>
      </c>
      <c r="S50" s="3">
        <f>Transport!G50</f>
        <v>10761</v>
      </c>
      <c r="T50" s="3">
        <f>Transport!H50</f>
        <v>15509</v>
      </c>
      <c r="U50" s="3">
        <f>Transport!I50</f>
        <v>1880</v>
      </c>
      <c r="V50" s="3">
        <f>Transport!J50</f>
        <v>2295</v>
      </c>
      <c r="W50" s="3">
        <f>Transport!K50</f>
        <v>1036</v>
      </c>
      <c r="X50" s="3">
        <f>Transport!L50</f>
        <v>683</v>
      </c>
    </row>
    <row r="51" spans="1:24" x14ac:dyDescent="0.2">
      <c r="A51" s="10">
        <f t="shared" si="23"/>
        <v>37148.166666666555</v>
      </c>
      <c r="B51" s="19">
        <f t="shared" si="19"/>
        <v>4.4800000000000004</v>
      </c>
      <c r="C51" s="19">
        <f t="shared" si="22"/>
        <v>4.54</v>
      </c>
      <c r="D51" s="19">
        <f t="shared" si="20"/>
        <v>4.49</v>
      </c>
      <c r="E51" s="19">
        <f t="shared" si="21"/>
        <v>4.54</v>
      </c>
      <c r="F51" s="2">
        <f t="shared" si="18"/>
        <v>2.75E-2</v>
      </c>
      <c r="G51" s="15">
        <f t="shared" si="7"/>
        <v>2.75E-2</v>
      </c>
      <c r="H51" s="3">
        <v>30</v>
      </c>
      <c r="I51" s="12">
        <v>-7.8230743374332334E-2</v>
      </c>
      <c r="K51" s="44">
        <v>9.4999999999996199E-3</v>
      </c>
      <c r="L51" s="76">
        <f t="shared" si="9"/>
        <v>0.37530000000000002</v>
      </c>
      <c r="M51" s="8">
        <f t="shared" si="16"/>
        <v>0.73940000000000006</v>
      </c>
      <c r="N51" s="11">
        <f t="shared" si="14"/>
        <v>0.37530000000000002</v>
      </c>
      <c r="O51" s="3">
        <f t="shared" si="10"/>
        <v>4.7699999999999999E-2</v>
      </c>
      <c r="P51" s="3">
        <f t="shared" si="17"/>
        <v>3.0700000000000002E-2</v>
      </c>
      <c r="R51" s="3">
        <f>Transport!F51</f>
        <v>8730</v>
      </c>
      <c r="S51" s="3">
        <f>Transport!G51</f>
        <v>10761</v>
      </c>
      <c r="T51" s="3">
        <f>Transport!H51</f>
        <v>15509</v>
      </c>
      <c r="U51" s="3">
        <f>Transport!I51</f>
        <v>1880</v>
      </c>
      <c r="V51" s="3">
        <f>Transport!J51</f>
        <v>2295</v>
      </c>
      <c r="W51" s="3">
        <f>Transport!K51</f>
        <v>1036</v>
      </c>
      <c r="X51" s="3">
        <f>Transport!L51</f>
        <v>683</v>
      </c>
    </row>
    <row r="52" spans="1:24" x14ac:dyDescent="0.2">
      <c r="A52" s="10">
        <f t="shared" si="23"/>
        <v>37178.583333333219</v>
      </c>
      <c r="B52" s="19">
        <f t="shared" si="19"/>
        <v>5.16</v>
      </c>
      <c r="C52" s="19">
        <f t="shared" si="22"/>
        <v>5.22</v>
      </c>
      <c r="D52" s="19">
        <f t="shared" si="20"/>
        <v>5.17</v>
      </c>
      <c r="E52" s="19">
        <f t="shared" si="21"/>
        <v>5.22</v>
      </c>
      <c r="F52" s="2">
        <f t="shared" si="18"/>
        <v>2.75E-2</v>
      </c>
      <c r="G52" s="15">
        <f t="shared" si="7"/>
        <v>2.75E-2</v>
      </c>
      <c r="H52" s="3">
        <v>31</v>
      </c>
      <c r="I52" s="12">
        <v>-8.2783358277941588E-2</v>
      </c>
      <c r="K52" s="44">
        <v>1.4499999999999957E-2</v>
      </c>
      <c r="L52" s="76">
        <f t="shared" si="9"/>
        <v>0.37530000000000002</v>
      </c>
      <c r="M52" s="8">
        <f t="shared" si="16"/>
        <v>0.73940000000000006</v>
      </c>
      <c r="N52" s="11">
        <f t="shared" si="14"/>
        <v>0.37530000000000002</v>
      </c>
      <c r="O52" s="3">
        <f t="shared" si="10"/>
        <v>4.7699999999999999E-2</v>
      </c>
      <c r="P52" s="3">
        <f t="shared" si="17"/>
        <v>3.0700000000000002E-2</v>
      </c>
      <c r="R52" s="3">
        <f>Transport!F52</f>
        <v>8730</v>
      </c>
      <c r="S52" s="3">
        <f>Transport!G52</f>
        <v>10361</v>
      </c>
      <c r="T52" s="3">
        <f>Transport!H52</f>
        <v>15909</v>
      </c>
      <c r="U52" s="3">
        <f>Transport!I52</f>
        <v>2830</v>
      </c>
      <c r="V52" s="3">
        <f>Transport!J52</f>
        <v>3500</v>
      </c>
      <c r="W52" s="3">
        <f>Transport!K52</f>
        <v>1521</v>
      </c>
      <c r="X52" s="3">
        <f>Transport!L52</f>
        <v>1001</v>
      </c>
    </row>
    <row r="53" spans="1:24" x14ac:dyDescent="0.2">
      <c r="A53" s="10">
        <f t="shared" si="23"/>
        <v>37208.999999999884</v>
      </c>
      <c r="B53" s="19">
        <f t="shared" si="19"/>
        <v>3.43</v>
      </c>
      <c r="C53" s="19">
        <f t="shared" si="22"/>
        <v>3.49</v>
      </c>
      <c r="D53" s="19">
        <f t="shared" si="20"/>
        <v>3.4400000000000004</v>
      </c>
      <c r="E53" s="19">
        <f t="shared" si="21"/>
        <v>3.49</v>
      </c>
      <c r="F53" s="2">
        <f t="shared" si="18"/>
        <v>2.75E-2</v>
      </c>
      <c r="G53" s="15">
        <f t="shared" si="7"/>
        <v>2.75E-2</v>
      </c>
      <c r="H53" s="3">
        <v>30</v>
      </c>
      <c r="I53" s="12">
        <v>-0.12775558146700927</v>
      </c>
      <c r="K53" s="44">
        <v>1.9499999999999851E-2</v>
      </c>
      <c r="L53" s="76">
        <f t="shared" ref="L53:L84" si="24">L52</f>
        <v>0.37530000000000002</v>
      </c>
      <c r="M53" s="8">
        <f t="shared" si="16"/>
        <v>0.73940000000000006</v>
      </c>
      <c r="N53" s="11">
        <f t="shared" si="14"/>
        <v>0.37530000000000002</v>
      </c>
      <c r="O53" s="3">
        <f t="shared" ref="O53:O84" si="25">O52</f>
        <v>4.7699999999999999E-2</v>
      </c>
      <c r="P53" s="3">
        <f t="shared" si="17"/>
        <v>3.0700000000000002E-2</v>
      </c>
      <c r="R53" s="3">
        <f>Transport!F53</f>
        <v>4926</v>
      </c>
      <c r="S53" s="3">
        <f>Transport!G53</f>
        <v>5732</v>
      </c>
      <c r="T53" s="3">
        <f>Transport!H53</f>
        <v>9342</v>
      </c>
      <c r="U53" s="3">
        <f>Transport!I53</f>
        <v>2563</v>
      </c>
      <c r="V53" s="3">
        <f>Transport!J53</f>
        <v>2862</v>
      </c>
      <c r="W53" s="3">
        <f>Transport!K53</f>
        <v>1685</v>
      </c>
      <c r="X53" s="3">
        <f>Transport!L53</f>
        <v>683</v>
      </c>
    </row>
    <row r="54" spans="1:24" x14ac:dyDescent="0.2">
      <c r="A54" s="10">
        <f t="shared" si="23"/>
        <v>37239.416666666548</v>
      </c>
      <c r="B54" s="19">
        <f t="shared" si="19"/>
        <v>2.5500000000000003</v>
      </c>
      <c r="C54" s="19">
        <f t="shared" si="22"/>
        <v>2.6100000000000003</v>
      </c>
      <c r="D54" s="19">
        <f t="shared" si="20"/>
        <v>2.5600000000000005</v>
      </c>
      <c r="E54" s="19">
        <f t="shared" si="21"/>
        <v>2.6100000000000003</v>
      </c>
      <c r="F54" s="2">
        <f t="shared" ref="F54:F69" si="26">+F53</f>
        <v>2.75E-2</v>
      </c>
      <c r="G54" s="15">
        <f t="shared" si="7"/>
        <v>2.75E-2</v>
      </c>
      <c r="H54" s="3">
        <v>31</v>
      </c>
      <c r="I54" s="12">
        <v>-0.16271808277225031</v>
      </c>
      <c r="K54" s="44">
        <v>2.4500000000000188E-2</v>
      </c>
      <c r="L54" s="76">
        <f t="shared" si="24"/>
        <v>0.37530000000000002</v>
      </c>
      <c r="M54" s="8">
        <f t="shared" si="16"/>
        <v>0.73940000000000006</v>
      </c>
      <c r="N54" s="11">
        <f t="shared" si="14"/>
        <v>0.37530000000000002</v>
      </c>
      <c r="O54" s="3">
        <f t="shared" si="25"/>
        <v>4.7699999999999999E-2</v>
      </c>
      <c r="P54" s="3">
        <f t="shared" si="17"/>
        <v>3.0700000000000002E-2</v>
      </c>
      <c r="R54" s="3">
        <f>Transport!F54</f>
        <v>4926</v>
      </c>
      <c r="S54" s="3">
        <f>Transport!G54</f>
        <v>5732</v>
      </c>
      <c r="T54" s="3">
        <f>Transport!H54</f>
        <v>9342</v>
      </c>
      <c r="U54" s="3">
        <f>Transport!I54</f>
        <v>2563</v>
      </c>
      <c r="V54" s="3">
        <f>Transport!J54</f>
        <v>2862</v>
      </c>
      <c r="W54" s="3">
        <f>Transport!K54</f>
        <v>1685</v>
      </c>
      <c r="X54" s="3">
        <f>Transport!L54</f>
        <v>683</v>
      </c>
    </row>
    <row r="55" spans="1:24" s="81" customFormat="1" x14ac:dyDescent="0.2">
      <c r="A55" s="77">
        <f t="shared" si="23"/>
        <v>37269.833333333212</v>
      </c>
      <c r="B55" s="78">
        <f t="shared" ref="B55:B70" si="27">C55-0.06</f>
        <v>2.2100000000000004</v>
      </c>
      <c r="C55" s="78">
        <f>C43-0.01</f>
        <v>2.2700000000000005</v>
      </c>
      <c r="D55" s="78">
        <f t="shared" si="20"/>
        <v>2.2200000000000006</v>
      </c>
      <c r="E55" s="78">
        <f t="shared" si="21"/>
        <v>2.2700000000000005</v>
      </c>
      <c r="F55" s="79">
        <f t="shared" si="26"/>
        <v>2.75E-2</v>
      </c>
      <c r="G55" s="80">
        <f t="shared" si="7"/>
        <v>2.75E-2</v>
      </c>
      <c r="H55" s="81">
        <v>31</v>
      </c>
      <c r="I55" s="82">
        <v>-0.14770141668569048</v>
      </c>
      <c r="K55" s="83">
        <v>2.4500000000000188E-2</v>
      </c>
      <c r="L55" s="84">
        <f>L54</f>
        <v>0.37530000000000002</v>
      </c>
      <c r="M55" s="85">
        <f t="shared" si="16"/>
        <v>0.73940000000000006</v>
      </c>
      <c r="N55" s="87">
        <f t="shared" si="14"/>
        <v>0.37530000000000002</v>
      </c>
      <c r="O55" s="81">
        <f t="shared" si="25"/>
        <v>4.7699999999999999E-2</v>
      </c>
      <c r="P55" s="81">
        <f t="shared" si="17"/>
        <v>3.0700000000000002E-2</v>
      </c>
      <c r="R55" s="81">
        <f>Transport!F55</f>
        <v>4926</v>
      </c>
      <c r="S55" s="81">
        <f>Transport!G55</f>
        <v>5732</v>
      </c>
      <c r="T55" s="81">
        <f>Transport!H55</f>
        <v>9342</v>
      </c>
      <c r="U55" s="81">
        <f>Transport!I55</f>
        <v>2563</v>
      </c>
      <c r="V55" s="81">
        <f>Transport!J55</f>
        <v>2862</v>
      </c>
      <c r="W55" s="81">
        <f>Transport!K55</f>
        <v>1685</v>
      </c>
      <c r="X55" s="81">
        <f>Transport!L55</f>
        <v>683</v>
      </c>
    </row>
    <row r="56" spans="1:24" x14ac:dyDescent="0.2">
      <c r="A56" s="10">
        <f t="shared" si="23"/>
        <v>37300.249999999876</v>
      </c>
      <c r="B56" s="19">
        <f t="shared" si="27"/>
        <v>2.4800000000000004</v>
      </c>
      <c r="C56" s="19">
        <f>C44-0.01</f>
        <v>2.5400000000000005</v>
      </c>
      <c r="D56" s="19">
        <f t="shared" si="20"/>
        <v>2.4900000000000007</v>
      </c>
      <c r="E56" s="19">
        <f t="shared" si="21"/>
        <v>2.5400000000000005</v>
      </c>
      <c r="F56" s="2">
        <f t="shared" si="26"/>
        <v>2.75E-2</v>
      </c>
      <c r="G56" s="15">
        <f t="shared" si="7"/>
        <v>2.75E-2</v>
      </c>
      <c r="H56" s="3">
        <v>28</v>
      </c>
      <c r="I56" s="12">
        <v>-0.14772919349662317</v>
      </c>
      <c r="K56" s="44">
        <v>2.4500000000000188E-2</v>
      </c>
      <c r="L56" s="76">
        <f t="shared" si="24"/>
        <v>0.37530000000000002</v>
      </c>
      <c r="M56" s="8">
        <f t="shared" si="16"/>
        <v>0.73940000000000006</v>
      </c>
      <c r="N56" s="11">
        <f t="shared" si="14"/>
        <v>0.37530000000000002</v>
      </c>
      <c r="O56" s="3">
        <f t="shared" si="25"/>
        <v>4.7699999999999999E-2</v>
      </c>
      <c r="P56" s="3">
        <f t="shared" si="17"/>
        <v>3.0700000000000002E-2</v>
      </c>
      <c r="R56" s="3">
        <f>Transport!F56</f>
        <v>4926</v>
      </c>
      <c r="S56" s="3">
        <f>Transport!G56</f>
        <v>5732</v>
      </c>
      <c r="T56" s="3">
        <f>Transport!H56</f>
        <v>9342</v>
      </c>
      <c r="U56" s="3">
        <f>Transport!I56</f>
        <v>2563</v>
      </c>
      <c r="V56" s="3">
        <f>Transport!J56</f>
        <v>2862</v>
      </c>
      <c r="W56" s="3">
        <f>Transport!K56</f>
        <v>1685</v>
      </c>
      <c r="X56" s="3">
        <f>Transport!L56</f>
        <v>683</v>
      </c>
    </row>
    <row r="57" spans="1:24" x14ac:dyDescent="0.2">
      <c r="A57" s="10">
        <f t="shared" si="23"/>
        <v>37330.666666666541</v>
      </c>
      <c r="B57" s="19">
        <f t="shared" si="27"/>
        <v>2.4800000000000004</v>
      </c>
      <c r="C57" s="19">
        <f t="shared" ref="C57:C66" si="28">C45-0.01</f>
        <v>2.5400000000000005</v>
      </c>
      <c r="D57" s="19">
        <f t="shared" si="20"/>
        <v>2.4900000000000007</v>
      </c>
      <c r="E57" s="19">
        <f t="shared" si="21"/>
        <v>2.5400000000000005</v>
      </c>
      <c r="F57" s="2">
        <f t="shared" si="26"/>
        <v>2.75E-2</v>
      </c>
      <c r="G57" s="15">
        <f t="shared" si="7"/>
        <v>2.75E-2</v>
      </c>
      <c r="H57" s="3">
        <v>31</v>
      </c>
      <c r="I57" s="12">
        <v>-0.12276495614069827</v>
      </c>
      <c r="K57" s="44">
        <v>1.9500000000000295E-2</v>
      </c>
      <c r="L57" s="76">
        <f t="shared" si="24"/>
        <v>0.37530000000000002</v>
      </c>
      <c r="M57" s="8">
        <f>M56</f>
        <v>0.73940000000000006</v>
      </c>
      <c r="N57" s="11">
        <f t="shared" si="14"/>
        <v>0.37530000000000002</v>
      </c>
      <c r="O57" s="3">
        <f t="shared" si="25"/>
        <v>4.7699999999999999E-2</v>
      </c>
      <c r="P57" s="3">
        <f t="shared" si="17"/>
        <v>3.0700000000000002E-2</v>
      </c>
      <c r="R57" s="3">
        <f>Transport!F57</f>
        <v>4926</v>
      </c>
      <c r="S57" s="3">
        <f>Transport!G57</f>
        <v>5732</v>
      </c>
      <c r="T57" s="3">
        <f>Transport!H57</f>
        <v>9342</v>
      </c>
      <c r="U57" s="3">
        <f>Transport!I57</f>
        <v>2563</v>
      </c>
      <c r="V57" s="3">
        <f>Transport!J57</f>
        <v>2862</v>
      </c>
      <c r="W57" s="3">
        <f>Transport!K57</f>
        <v>1685</v>
      </c>
      <c r="X57" s="3">
        <f>Transport!L57</f>
        <v>683</v>
      </c>
    </row>
    <row r="58" spans="1:24" x14ac:dyDescent="0.2">
      <c r="A58" s="10">
        <f t="shared" si="23"/>
        <v>37361.083333333205</v>
      </c>
      <c r="B58" s="19">
        <f t="shared" si="27"/>
        <v>2.7500000000000004</v>
      </c>
      <c r="C58" s="19">
        <f t="shared" si="28"/>
        <v>2.8100000000000005</v>
      </c>
      <c r="D58" s="19">
        <f t="shared" si="20"/>
        <v>2.7600000000000007</v>
      </c>
      <c r="E58" s="19">
        <f t="shared" si="21"/>
        <v>2.8100000000000005</v>
      </c>
      <c r="F58" s="2">
        <f t="shared" si="26"/>
        <v>2.75E-2</v>
      </c>
      <c r="G58" s="15">
        <f t="shared" si="7"/>
        <v>2.75E-2</v>
      </c>
      <c r="H58" s="3">
        <v>30</v>
      </c>
      <c r="I58" s="12">
        <v>-7.32819694373954E-2</v>
      </c>
      <c r="K58" s="44">
        <v>5.9999999999997833E-3</v>
      </c>
      <c r="L58" s="76">
        <f t="shared" si="24"/>
        <v>0.37530000000000002</v>
      </c>
      <c r="M58" s="8">
        <f>0.746+0.0076-0.0142</f>
        <v>0.73940000000000006</v>
      </c>
      <c r="N58" s="11">
        <f t="shared" si="14"/>
        <v>0.37530000000000002</v>
      </c>
      <c r="O58" s="3">
        <f t="shared" si="25"/>
        <v>4.7699999999999999E-2</v>
      </c>
      <c r="P58" s="3">
        <f t="shared" si="17"/>
        <v>3.0700000000000002E-2</v>
      </c>
      <c r="R58" s="3">
        <f>Transport!F58</f>
        <v>6933</v>
      </c>
      <c r="S58" s="3">
        <f>Transport!G58</f>
        <v>8798</v>
      </c>
      <c r="T58" s="3">
        <f>Transport!H58</f>
        <v>14269</v>
      </c>
      <c r="U58" s="3">
        <f>Transport!I58</f>
        <v>1880</v>
      </c>
      <c r="V58" s="3">
        <f>Transport!J58</f>
        <v>2073</v>
      </c>
      <c r="W58" s="3">
        <f>Transport!K58</f>
        <v>1258</v>
      </c>
      <c r="X58" s="3">
        <f>Transport!L58</f>
        <v>683</v>
      </c>
    </row>
    <row r="59" spans="1:24" x14ac:dyDescent="0.2">
      <c r="A59" s="10">
        <f t="shared" si="23"/>
        <v>37391.499999999869</v>
      </c>
      <c r="B59" s="19">
        <f t="shared" si="27"/>
        <v>2.9400000000000004</v>
      </c>
      <c r="C59" s="19">
        <f t="shared" si="28"/>
        <v>3.0000000000000004</v>
      </c>
      <c r="D59" s="19">
        <f t="shared" si="20"/>
        <v>2.9500000000000006</v>
      </c>
      <c r="E59" s="19">
        <f t="shared" si="21"/>
        <v>3.0000000000000004</v>
      </c>
      <c r="F59" s="2">
        <f t="shared" si="26"/>
        <v>2.75E-2</v>
      </c>
      <c r="G59" s="15">
        <f t="shared" si="7"/>
        <v>2.75E-2</v>
      </c>
      <c r="H59" s="3">
        <v>31</v>
      </c>
      <c r="I59" s="12">
        <v>-7.3729688500186796E-2</v>
      </c>
      <c r="K59" s="44">
        <v>5.9999999999997833E-3</v>
      </c>
      <c r="L59" s="76">
        <f t="shared" si="24"/>
        <v>0.37530000000000002</v>
      </c>
      <c r="M59" s="8">
        <f t="shared" ref="M59:M89" si="29">M58</f>
        <v>0.73940000000000006</v>
      </c>
      <c r="N59" s="11">
        <f t="shared" si="14"/>
        <v>0.37530000000000002</v>
      </c>
      <c r="O59" s="3">
        <f t="shared" si="25"/>
        <v>4.7699999999999999E-2</v>
      </c>
      <c r="P59" s="3">
        <f t="shared" si="17"/>
        <v>3.0700000000000002E-2</v>
      </c>
      <c r="R59" s="3">
        <f>Transport!F59</f>
        <v>8730</v>
      </c>
      <c r="S59" s="3">
        <f>Transport!G59</f>
        <v>10761</v>
      </c>
      <c r="T59" s="3">
        <f>Transport!H59</f>
        <v>15509</v>
      </c>
      <c r="U59" s="3">
        <f>Transport!I59</f>
        <v>1880</v>
      </c>
      <c r="V59" s="3">
        <f>Transport!J59</f>
        <v>2295</v>
      </c>
      <c r="W59" s="3">
        <f>Transport!K59</f>
        <v>1036</v>
      </c>
      <c r="X59" s="3">
        <f>Transport!L59</f>
        <v>683</v>
      </c>
    </row>
    <row r="60" spans="1:24" x14ac:dyDescent="0.2">
      <c r="A60" s="10">
        <f t="shared" si="23"/>
        <v>37421.916666666533</v>
      </c>
      <c r="B60" s="19">
        <f t="shared" si="27"/>
        <v>4.25</v>
      </c>
      <c r="C60" s="19">
        <f t="shared" si="28"/>
        <v>4.3099999999999996</v>
      </c>
      <c r="D60" s="19">
        <f t="shared" si="20"/>
        <v>4.26</v>
      </c>
      <c r="E60" s="19">
        <f t="shared" si="21"/>
        <v>4.3099999999999996</v>
      </c>
      <c r="F60" s="2">
        <f t="shared" si="26"/>
        <v>2.75E-2</v>
      </c>
      <c r="G60" s="15">
        <f t="shared" si="7"/>
        <v>2.75E-2</v>
      </c>
      <c r="H60" s="3">
        <v>30</v>
      </c>
      <c r="I60" s="12">
        <v>-7.3729029203846164E-2</v>
      </c>
      <c r="K60" s="44">
        <v>5.9999999999997833E-3</v>
      </c>
      <c r="L60" s="76">
        <f t="shared" si="24"/>
        <v>0.37530000000000002</v>
      </c>
      <c r="M60" s="8">
        <f t="shared" si="29"/>
        <v>0.73940000000000006</v>
      </c>
      <c r="N60" s="11">
        <f t="shared" si="14"/>
        <v>0.37530000000000002</v>
      </c>
      <c r="O60" s="3">
        <f t="shared" si="25"/>
        <v>4.7699999999999999E-2</v>
      </c>
      <c r="P60" s="3">
        <f t="shared" si="17"/>
        <v>3.0700000000000002E-2</v>
      </c>
      <c r="R60" s="3">
        <f>Transport!F60</f>
        <v>8730</v>
      </c>
      <c r="S60" s="3">
        <f>Transport!G60</f>
        <v>10761</v>
      </c>
      <c r="T60" s="3">
        <f>Transport!H60</f>
        <v>15509</v>
      </c>
      <c r="U60" s="3">
        <f>Transport!I60</f>
        <v>1880</v>
      </c>
      <c r="V60" s="3">
        <f>Transport!J60</f>
        <v>2295</v>
      </c>
      <c r="W60" s="3">
        <f>Transport!K60</f>
        <v>1036</v>
      </c>
      <c r="X60" s="3">
        <f>Transport!L60</f>
        <v>683</v>
      </c>
    </row>
    <row r="61" spans="1:24" x14ac:dyDescent="0.2">
      <c r="A61" s="10">
        <f t="shared" si="23"/>
        <v>37452.333333333198</v>
      </c>
      <c r="B61" s="19">
        <f t="shared" si="27"/>
        <v>4.24</v>
      </c>
      <c r="C61" s="19">
        <f t="shared" si="28"/>
        <v>4.3</v>
      </c>
      <c r="D61" s="19">
        <f t="shared" si="20"/>
        <v>4.25</v>
      </c>
      <c r="E61" s="19">
        <f t="shared" si="21"/>
        <v>4.3</v>
      </c>
      <c r="F61" s="2">
        <f t="shared" si="26"/>
        <v>2.75E-2</v>
      </c>
      <c r="G61" s="15">
        <f t="shared" si="7"/>
        <v>2.75E-2</v>
      </c>
      <c r="H61" s="3">
        <v>31</v>
      </c>
      <c r="I61" s="12">
        <v>-7.8228633626041155E-2</v>
      </c>
      <c r="K61" s="44">
        <v>9.4999999999998419E-3</v>
      </c>
      <c r="L61" s="76">
        <f t="shared" si="24"/>
        <v>0.37530000000000002</v>
      </c>
      <c r="M61" s="8">
        <f t="shared" si="29"/>
        <v>0.73940000000000006</v>
      </c>
      <c r="N61" s="11">
        <f t="shared" si="14"/>
        <v>0.37530000000000002</v>
      </c>
      <c r="O61" s="3">
        <f t="shared" si="25"/>
        <v>4.7699999999999999E-2</v>
      </c>
      <c r="P61" s="3">
        <f t="shared" si="17"/>
        <v>3.0700000000000002E-2</v>
      </c>
      <c r="R61" s="3">
        <f>Transport!F61</f>
        <v>8730</v>
      </c>
      <c r="S61" s="3">
        <f>Transport!G61</f>
        <v>10761</v>
      </c>
      <c r="T61" s="3">
        <f>Transport!H61</f>
        <v>15509</v>
      </c>
      <c r="U61" s="3">
        <f>Transport!I61</f>
        <v>1880</v>
      </c>
      <c r="V61" s="3">
        <f>Transport!J61</f>
        <v>2295</v>
      </c>
      <c r="W61" s="3">
        <f>Transport!K61</f>
        <v>1036</v>
      </c>
      <c r="X61" s="3">
        <f>Transport!L61</f>
        <v>683</v>
      </c>
    </row>
    <row r="62" spans="1:24" x14ac:dyDescent="0.2">
      <c r="A62" s="10">
        <f t="shared" si="23"/>
        <v>37482.749999999862</v>
      </c>
      <c r="B62" s="19">
        <f t="shared" si="27"/>
        <v>3.7</v>
      </c>
      <c r="C62" s="19">
        <f t="shared" si="28"/>
        <v>3.7600000000000002</v>
      </c>
      <c r="D62" s="19">
        <f t="shared" si="20"/>
        <v>3.7100000000000004</v>
      </c>
      <c r="E62" s="19">
        <f t="shared" si="21"/>
        <v>3.7600000000000002</v>
      </c>
      <c r="F62" s="2">
        <f t="shared" si="26"/>
        <v>2.75E-2</v>
      </c>
      <c r="G62" s="15">
        <f t="shared" si="7"/>
        <v>2.75E-2</v>
      </c>
      <c r="H62" s="3">
        <v>31</v>
      </c>
      <c r="I62" s="12">
        <v>-7.822784247043213E-2</v>
      </c>
      <c r="K62" s="44">
        <v>9.4999999999996199E-3</v>
      </c>
      <c r="L62" s="76">
        <f t="shared" si="24"/>
        <v>0.37530000000000002</v>
      </c>
      <c r="M62" s="8">
        <f t="shared" si="29"/>
        <v>0.73940000000000006</v>
      </c>
      <c r="N62" s="11">
        <f t="shared" si="14"/>
        <v>0.37530000000000002</v>
      </c>
      <c r="O62" s="3">
        <f t="shared" si="25"/>
        <v>4.7699999999999999E-2</v>
      </c>
      <c r="P62" s="3">
        <f t="shared" si="17"/>
        <v>3.0700000000000002E-2</v>
      </c>
      <c r="R62" s="3">
        <f>Transport!F62</f>
        <v>8730</v>
      </c>
      <c r="S62" s="3">
        <f>Transport!G62</f>
        <v>10761</v>
      </c>
      <c r="T62" s="3">
        <f>Transport!H62</f>
        <v>15509</v>
      </c>
      <c r="U62" s="3">
        <f>Transport!I62</f>
        <v>1880</v>
      </c>
      <c r="V62" s="3">
        <f>Transport!J62</f>
        <v>2295</v>
      </c>
      <c r="W62" s="3">
        <f>Transport!K62</f>
        <v>1036</v>
      </c>
      <c r="X62" s="3">
        <f>Transport!L62</f>
        <v>683</v>
      </c>
    </row>
    <row r="63" spans="1:24" x14ac:dyDescent="0.2">
      <c r="A63" s="10">
        <f t="shared" si="23"/>
        <v>37513.166666666526</v>
      </c>
      <c r="B63" s="19">
        <f t="shared" si="27"/>
        <v>4.4700000000000006</v>
      </c>
      <c r="C63" s="19">
        <f t="shared" si="28"/>
        <v>4.53</v>
      </c>
      <c r="D63" s="19">
        <f t="shared" si="20"/>
        <v>4.4800000000000004</v>
      </c>
      <c r="E63" s="19">
        <f t="shared" si="21"/>
        <v>4.53</v>
      </c>
      <c r="F63" s="2">
        <f t="shared" si="26"/>
        <v>2.75E-2</v>
      </c>
      <c r="G63" s="15">
        <f t="shared" si="7"/>
        <v>2.75E-2</v>
      </c>
      <c r="H63" s="3">
        <v>30</v>
      </c>
      <c r="I63" s="12">
        <v>-7.8226523877749976E-2</v>
      </c>
      <c r="K63" s="44">
        <v>9.4999999999996199E-3</v>
      </c>
      <c r="L63" s="76">
        <f t="shared" si="24"/>
        <v>0.37530000000000002</v>
      </c>
      <c r="M63" s="8">
        <f t="shared" si="29"/>
        <v>0.73940000000000006</v>
      </c>
      <c r="N63" s="11">
        <f t="shared" ref="N63:N94" si="30">L63</f>
        <v>0.37530000000000002</v>
      </c>
      <c r="O63" s="3">
        <f t="shared" si="25"/>
        <v>4.7699999999999999E-2</v>
      </c>
      <c r="P63" s="3">
        <f t="shared" si="17"/>
        <v>3.0700000000000002E-2</v>
      </c>
      <c r="R63" s="3">
        <f>Transport!F63</f>
        <v>8730</v>
      </c>
      <c r="S63" s="3">
        <f>Transport!G63</f>
        <v>10761</v>
      </c>
      <c r="T63" s="3">
        <f>Transport!H63</f>
        <v>15509</v>
      </c>
      <c r="U63" s="3">
        <f>Transport!I63</f>
        <v>1880</v>
      </c>
      <c r="V63" s="3">
        <f>Transport!J63</f>
        <v>2295</v>
      </c>
      <c r="W63" s="3">
        <f>Transport!K63</f>
        <v>1036</v>
      </c>
      <c r="X63" s="3">
        <f>Transport!L63</f>
        <v>683</v>
      </c>
    </row>
    <row r="64" spans="1:24" x14ac:dyDescent="0.2">
      <c r="A64" s="10">
        <f t="shared" si="23"/>
        <v>37543.58333333319</v>
      </c>
      <c r="B64" s="19">
        <f t="shared" si="27"/>
        <v>5.15</v>
      </c>
      <c r="C64" s="19">
        <f t="shared" si="28"/>
        <v>5.21</v>
      </c>
      <c r="D64" s="19">
        <f t="shared" si="20"/>
        <v>5.16</v>
      </c>
      <c r="E64" s="19">
        <f t="shared" si="21"/>
        <v>5.21</v>
      </c>
      <c r="F64" s="2">
        <f t="shared" si="26"/>
        <v>2.75E-2</v>
      </c>
      <c r="G64" s="15">
        <f t="shared" si="7"/>
        <v>2.75E-2</v>
      </c>
      <c r="H64" s="3">
        <v>31</v>
      </c>
      <c r="I64" s="12">
        <v>-8.2772247553568601E-2</v>
      </c>
      <c r="K64" s="44">
        <v>1.4499999999999957E-2</v>
      </c>
      <c r="L64" s="76">
        <f t="shared" si="24"/>
        <v>0.37530000000000002</v>
      </c>
      <c r="M64" s="8">
        <f t="shared" si="29"/>
        <v>0.73940000000000006</v>
      </c>
      <c r="N64" s="11">
        <f t="shared" si="30"/>
        <v>0.37530000000000002</v>
      </c>
      <c r="O64" s="3">
        <f t="shared" si="25"/>
        <v>4.7699999999999999E-2</v>
      </c>
      <c r="P64" s="3">
        <f t="shared" si="17"/>
        <v>3.0700000000000002E-2</v>
      </c>
      <c r="R64" s="3">
        <f>Transport!F64</f>
        <v>8730</v>
      </c>
      <c r="S64" s="3">
        <f>Transport!G64</f>
        <v>10361</v>
      </c>
      <c r="T64" s="3">
        <f>Transport!H64</f>
        <v>15909</v>
      </c>
      <c r="U64" s="3">
        <f>Transport!I64</f>
        <v>2830</v>
      </c>
      <c r="V64" s="3">
        <f>Transport!J64</f>
        <v>3500</v>
      </c>
      <c r="W64" s="3">
        <f>Transport!K64</f>
        <v>1521</v>
      </c>
      <c r="X64" s="3">
        <f>Transport!L64</f>
        <v>1001</v>
      </c>
    </row>
    <row r="65" spans="1:24" x14ac:dyDescent="0.2">
      <c r="A65" s="10">
        <f t="shared" ref="A65:A80" si="31">+A64+365/12</f>
        <v>37573.999999999854</v>
      </c>
      <c r="B65" s="19">
        <f t="shared" si="27"/>
        <v>3.4200000000000004</v>
      </c>
      <c r="C65" s="19">
        <f t="shared" si="28"/>
        <v>3.4800000000000004</v>
      </c>
      <c r="D65" s="19">
        <f t="shared" si="20"/>
        <v>3.4300000000000006</v>
      </c>
      <c r="E65" s="19">
        <f t="shared" si="21"/>
        <v>3.4800000000000004</v>
      </c>
      <c r="F65" s="2">
        <f t="shared" si="26"/>
        <v>2.75E-2</v>
      </c>
      <c r="G65" s="15">
        <f t="shared" si="7"/>
        <v>2.75E-2</v>
      </c>
      <c r="H65" s="3">
        <v>30</v>
      </c>
      <c r="I65" s="12">
        <v>-0.12774447074263628</v>
      </c>
      <c r="K65" s="44">
        <v>1.9499999999999851E-2</v>
      </c>
      <c r="L65" s="76">
        <f t="shared" si="24"/>
        <v>0.37530000000000002</v>
      </c>
      <c r="M65" s="8">
        <f t="shared" si="29"/>
        <v>0.73940000000000006</v>
      </c>
      <c r="N65" s="11">
        <f t="shared" si="30"/>
        <v>0.37530000000000002</v>
      </c>
      <c r="O65" s="3">
        <f t="shared" si="25"/>
        <v>4.7699999999999999E-2</v>
      </c>
      <c r="P65" s="3">
        <f t="shared" si="17"/>
        <v>3.0700000000000002E-2</v>
      </c>
      <c r="R65" s="3">
        <f>Transport!F65</f>
        <v>4926</v>
      </c>
      <c r="S65" s="3">
        <f>Transport!G65</f>
        <v>5732</v>
      </c>
      <c r="T65" s="3">
        <f>Transport!H65</f>
        <v>9342</v>
      </c>
      <c r="U65" s="3">
        <f>Transport!I65</f>
        <v>2563</v>
      </c>
      <c r="V65" s="3">
        <f>Transport!J65</f>
        <v>2862</v>
      </c>
      <c r="W65" s="3">
        <f>Transport!K65</f>
        <v>1685</v>
      </c>
      <c r="X65" s="3">
        <f>Transport!L65</f>
        <v>683</v>
      </c>
    </row>
    <row r="66" spans="1:24" x14ac:dyDescent="0.2">
      <c r="A66" s="10">
        <f t="shared" si="31"/>
        <v>37604.416666666519</v>
      </c>
      <c r="B66" s="19">
        <f t="shared" si="27"/>
        <v>2.5400000000000005</v>
      </c>
      <c r="C66" s="19">
        <f t="shared" si="28"/>
        <v>2.6000000000000005</v>
      </c>
      <c r="D66" s="19">
        <f t="shared" si="20"/>
        <v>2.5500000000000007</v>
      </c>
      <c r="E66" s="19">
        <f t="shared" si="21"/>
        <v>2.6000000000000005</v>
      </c>
      <c r="F66" s="2">
        <f t="shared" si="26"/>
        <v>2.75E-2</v>
      </c>
      <c r="G66" s="15">
        <f t="shared" si="7"/>
        <v>2.75E-2</v>
      </c>
      <c r="H66" s="3">
        <v>31</v>
      </c>
      <c r="I66" s="12">
        <v>-0.16270697204787732</v>
      </c>
      <c r="K66" s="44">
        <v>2.4500000000000188E-2</v>
      </c>
      <c r="L66" s="76">
        <f t="shared" si="24"/>
        <v>0.37530000000000002</v>
      </c>
      <c r="M66" s="8">
        <f t="shared" si="29"/>
        <v>0.73940000000000006</v>
      </c>
      <c r="N66" s="11">
        <f t="shared" si="30"/>
        <v>0.37530000000000002</v>
      </c>
      <c r="O66" s="3">
        <f t="shared" si="25"/>
        <v>4.7699999999999999E-2</v>
      </c>
      <c r="P66" s="3">
        <f t="shared" ref="P66:P97" si="32">P65</f>
        <v>3.0700000000000002E-2</v>
      </c>
      <c r="R66" s="3">
        <f>Transport!F66</f>
        <v>4926</v>
      </c>
      <c r="S66" s="3">
        <f>Transport!G66</f>
        <v>5732</v>
      </c>
      <c r="T66" s="3">
        <f>Transport!H66</f>
        <v>9342</v>
      </c>
      <c r="U66" s="3">
        <f>Transport!I66</f>
        <v>2563</v>
      </c>
      <c r="V66" s="3">
        <f>Transport!J66</f>
        <v>2862</v>
      </c>
      <c r="W66" s="3">
        <f>Transport!K66</f>
        <v>1685</v>
      </c>
      <c r="X66" s="3">
        <f>Transport!L66</f>
        <v>683</v>
      </c>
    </row>
    <row r="67" spans="1:24" s="81" customFormat="1" x14ac:dyDescent="0.2">
      <c r="A67" s="77">
        <f t="shared" si="31"/>
        <v>37634.833333333183</v>
      </c>
      <c r="B67" s="78">
        <f t="shared" si="27"/>
        <v>2.2327000000000004</v>
      </c>
      <c r="C67" s="78">
        <f t="shared" ref="C67:C75" si="33">C55*1.01</f>
        <v>2.2927000000000004</v>
      </c>
      <c r="D67" s="78">
        <f t="shared" si="20"/>
        <v>2.2427000000000006</v>
      </c>
      <c r="E67" s="78">
        <f t="shared" si="21"/>
        <v>2.2927000000000004</v>
      </c>
      <c r="F67" s="79">
        <f t="shared" si="26"/>
        <v>2.75E-2</v>
      </c>
      <c r="G67" s="80">
        <f t="shared" si="7"/>
        <v>2.75E-2</v>
      </c>
      <c r="H67" s="81">
        <v>31</v>
      </c>
      <c r="I67" s="82">
        <v>-0.14769030596131749</v>
      </c>
      <c r="K67" s="83">
        <v>2.4500000000000188E-2</v>
      </c>
      <c r="L67" s="84">
        <f>('[1]062'!$N$56*1000)/('[1]062'!$N$50*[1]Assumptions!$N$9)</f>
        <v>0.37304405775638655</v>
      </c>
      <c r="M67" s="85">
        <f t="shared" si="29"/>
        <v>0.73940000000000006</v>
      </c>
      <c r="N67" s="87">
        <f t="shared" si="30"/>
        <v>0.37304405775638655</v>
      </c>
      <c r="O67" s="81">
        <f t="shared" si="25"/>
        <v>4.7699999999999999E-2</v>
      </c>
      <c r="P67" s="81">
        <f t="shared" si="32"/>
        <v>3.0700000000000002E-2</v>
      </c>
      <c r="R67" s="81">
        <f>Transport!F67</f>
        <v>4926</v>
      </c>
      <c r="S67" s="81">
        <f>Transport!G67</f>
        <v>5732</v>
      </c>
      <c r="T67" s="81">
        <f>Transport!H67</f>
        <v>9342</v>
      </c>
      <c r="U67" s="81">
        <f>Transport!I67</f>
        <v>2563</v>
      </c>
      <c r="V67" s="81">
        <f>Transport!J67</f>
        <v>2862</v>
      </c>
      <c r="W67" s="81">
        <f>Transport!K67</f>
        <v>1685</v>
      </c>
      <c r="X67" s="81">
        <f>Transport!L67</f>
        <v>683</v>
      </c>
    </row>
    <row r="68" spans="1:24" x14ac:dyDescent="0.2">
      <c r="A68" s="10">
        <f t="shared" si="31"/>
        <v>37665.249999999847</v>
      </c>
      <c r="B68" s="19">
        <f t="shared" si="27"/>
        <v>2.5054000000000003</v>
      </c>
      <c r="C68" s="19">
        <f t="shared" si="33"/>
        <v>2.5654000000000003</v>
      </c>
      <c r="D68" s="19">
        <f t="shared" si="20"/>
        <v>2.5154000000000005</v>
      </c>
      <c r="E68" s="19">
        <f t="shared" si="21"/>
        <v>2.5654000000000003</v>
      </c>
      <c r="F68" s="2">
        <f t="shared" si="26"/>
        <v>2.75E-2</v>
      </c>
      <c r="G68" s="15">
        <f t="shared" si="7"/>
        <v>2.75E-2</v>
      </c>
      <c r="H68" s="3">
        <v>28</v>
      </c>
      <c r="I68" s="12">
        <v>-0.14771808277225063</v>
      </c>
      <c r="K68" s="44">
        <v>2.4500000000000188E-2</v>
      </c>
      <c r="L68" s="76">
        <f t="shared" si="24"/>
        <v>0.37304405775638655</v>
      </c>
      <c r="M68" s="8">
        <f t="shared" si="29"/>
        <v>0.73940000000000006</v>
      </c>
      <c r="N68" s="11">
        <f t="shared" si="30"/>
        <v>0.37304405775638655</v>
      </c>
      <c r="O68" s="3">
        <f t="shared" si="25"/>
        <v>4.7699999999999999E-2</v>
      </c>
      <c r="P68" s="3">
        <f t="shared" si="32"/>
        <v>3.0700000000000002E-2</v>
      </c>
      <c r="R68" s="3">
        <f>Transport!F68</f>
        <v>4926</v>
      </c>
      <c r="S68" s="3">
        <f>Transport!G68</f>
        <v>5732</v>
      </c>
      <c r="T68" s="3">
        <f>Transport!H68</f>
        <v>9342</v>
      </c>
      <c r="U68" s="3">
        <f>Transport!I68</f>
        <v>2563</v>
      </c>
      <c r="V68" s="3">
        <f>Transport!J68</f>
        <v>2862</v>
      </c>
      <c r="W68" s="3">
        <f>Transport!K68</f>
        <v>1685</v>
      </c>
      <c r="X68" s="3">
        <f>Transport!L68</f>
        <v>683</v>
      </c>
    </row>
    <row r="69" spans="1:24" x14ac:dyDescent="0.2">
      <c r="A69" s="10">
        <f t="shared" si="31"/>
        <v>37695.666666666511</v>
      </c>
      <c r="B69" s="19">
        <f t="shared" si="27"/>
        <v>2.5054000000000003</v>
      </c>
      <c r="C69" s="19">
        <f t="shared" si="33"/>
        <v>2.5654000000000003</v>
      </c>
      <c r="D69" s="19">
        <f t="shared" si="20"/>
        <v>2.5154000000000005</v>
      </c>
      <c r="E69" s="19">
        <f t="shared" ref="E69:E100" si="34">C69</f>
        <v>2.5654000000000003</v>
      </c>
      <c r="F69" s="2">
        <f t="shared" si="26"/>
        <v>2.75E-2</v>
      </c>
      <c r="G69" s="15">
        <f t="shared" si="7"/>
        <v>2.75E-2</v>
      </c>
      <c r="H69" s="3">
        <v>31</v>
      </c>
      <c r="I69" s="12">
        <v>-0.12275384541632617</v>
      </c>
      <c r="K69" s="44">
        <v>1.9500000000000295E-2</v>
      </c>
      <c r="L69" s="76">
        <f t="shared" si="24"/>
        <v>0.37304405775638655</v>
      </c>
      <c r="M69" s="8">
        <f t="shared" si="29"/>
        <v>0.73940000000000006</v>
      </c>
      <c r="N69" s="11">
        <f t="shared" si="30"/>
        <v>0.37304405775638655</v>
      </c>
      <c r="O69" s="3">
        <f t="shared" si="25"/>
        <v>4.7699999999999999E-2</v>
      </c>
      <c r="P69" s="3">
        <f t="shared" si="32"/>
        <v>3.0700000000000002E-2</v>
      </c>
      <c r="R69" s="3">
        <f>Transport!F69</f>
        <v>4926</v>
      </c>
      <c r="S69" s="3">
        <f>Transport!G69</f>
        <v>5732</v>
      </c>
      <c r="T69" s="3">
        <f>Transport!H69</f>
        <v>9342</v>
      </c>
      <c r="U69" s="3">
        <f>Transport!I69</f>
        <v>2563</v>
      </c>
      <c r="V69" s="3">
        <f>Transport!J69</f>
        <v>2862</v>
      </c>
      <c r="W69" s="3">
        <f>Transport!K69</f>
        <v>1685</v>
      </c>
      <c r="X69" s="3">
        <f>Transport!L69</f>
        <v>683</v>
      </c>
    </row>
    <row r="70" spans="1:24" x14ac:dyDescent="0.2">
      <c r="A70" s="10">
        <f t="shared" si="31"/>
        <v>37726.083333333176</v>
      </c>
      <c r="B70" s="19">
        <f t="shared" si="27"/>
        <v>2.7781000000000007</v>
      </c>
      <c r="C70" s="19">
        <f t="shared" si="33"/>
        <v>2.8381000000000007</v>
      </c>
      <c r="D70" s="19">
        <f t="shared" si="20"/>
        <v>2.7881000000000009</v>
      </c>
      <c r="E70" s="19">
        <f t="shared" si="34"/>
        <v>2.8381000000000007</v>
      </c>
      <c r="F70" s="2">
        <f t="shared" ref="F70:F85" si="35">+F69</f>
        <v>2.75E-2</v>
      </c>
      <c r="G70" s="15">
        <f t="shared" si="7"/>
        <v>2.75E-2</v>
      </c>
      <c r="H70" s="3">
        <v>30</v>
      </c>
      <c r="I70" s="12">
        <v>-7.3270858713021969E-2</v>
      </c>
      <c r="K70" s="44">
        <v>5.9999999999997833E-3</v>
      </c>
      <c r="L70" s="76">
        <f t="shared" si="24"/>
        <v>0.37304405775638655</v>
      </c>
      <c r="M70" s="8">
        <f t="shared" si="29"/>
        <v>0.73940000000000006</v>
      </c>
      <c r="N70" s="11">
        <f t="shared" si="30"/>
        <v>0.37304405775638655</v>
      </c>
      <c r="O70" s="3">
        <f t="shared" si="25"/>
        <v>4.7699999999999999E-2</v>
      </c>
      <c r="P70" s="3">
        <f t="shared" si="32"/>
        <v>3.0700000000000002E-2</v>
      </c>
      <c r="R70" s="3">
        <f>Transport!F70</f>
        <v>6933</v>
      </c>
      <c r="S70" s="3">
        <f>Transport!G70</f>
        <v>8798</v>
      </c>
      <c r="T70" s="3">
        <f>Transport!H70</f>
        <v>14269</v>
      </c>
      <c r="U70" s="3">
        <f>Transport!I70</f>
        <v>1880</v>
      </c>
      <c r="V70" s="3">
        <f>Transport!J70</f>
        <v>2073</v>
      </c>
      <c r="W70" s="3">
        <f>Transport!K70</f>
        <v>1258</v>
      </c>
      <c r="X70" s="3">
        <f>Transport!L70</f>
        <v>683</v>
      </c>
    </row>
    <row r="71" spans="1:24" x14ac:dyDescent="0.2">
      <c r="A71" s="10">
        <f t="shared" si="31"/>
        <v>37756.49999999984</v>
      </c>
      <c r="B71" s="19">
        <f t="shared" ref="B71:B86" si="36">C71-0.06</f>
        <v>2.9700000000000006</v>
      </c>
      <c r="C71" s="19">
        <f t="shared" si="33"/>
        <v>3.0300000000000007</v>
      </c>
      <c r="D71" s="19">
        <f t="shared" si="20"/>
        <v>2.9800000000000009</v>
      </c>
      <c r="E71" s="19">
        <f t="shared" si="34"/>
        <v>3.0300000000000007</v>
      </c>
      <c r="F71" s="2">
        <f t="shared" si="35"/>
        <v>2.75E-2</v>
      </c>
      <c r="G71" s="15">
        <f t="shared" si="7"/>
        <v>2.75E-2</v>
      </c>
      <c r="H71" s="3">
        <v>31</v>
      </c>
      <c r="I71" s="12">
        <v>-7.3725469003603994E-2</v>
      </c>
      <c r="K71" s="44">
        <v>5.9999999999997833E-3</v>
      </c>
      <c r="L71" s="76">
        <f t="shared" si="24"/>
        <v>0.37304405775638655</v>
      </c>
      <c r="M71" s="8">
        <f t="shared" si="29"/>
        <v>0.73940000000000006</v>
      </c>
      <c r="N71" s="11">
        <f t="shared" si="30"/>
        <v>0.37304405775638655</v>
      </c>
      <c r="O71" s="3">
        <f t="shared" si="25"/>
        <v>4.7699999999999999E-2</v>
      </c>
      <c r="P71" s="3">
        <f t="shared" si="32"/>
        <v>3.0700000000000002E-2</v>
      </c>
      <c r="R71" s="3">
        <f>Transport!F71</f>
        <v>8730</v>
      </c>
      <c r="S71" s="3">
        <f>Transport!G71</f>
        <v>10761</v>
      </c>
      <c r="T71" s="3">
        <f>Transport!H71</f>
        <v>15509</v>
      </c>
      <c r="U71" s="3">
        <f>Transport!I71</f>
        <v>1880</v>
      </c>
      <c r="V71" s="3">
        <f>Transport!J71</f>
        <v>2295</v>
      </c>
      <c r="W71" s="3">
        <f>Transport!K71</f>
        <v>1036</v>
      </c>
      <c r="X71" s="3">
        <f>Transport!L71</f>
        <v>683</v>
      </c>
    </row>
    <row r="72" spans="1:24" x14ac:dyDescent="0.2">
      <c r="A72" s="10">
        <f t="shared" si="31"/>
        <v>37786.916666666504</v>
      </c>
      <c r="B72" s="19">
        <f t="shared" si="36"/>
        <v>4.2930999999999999</v>
      </c>
      <c r="C72" s="19">
        <f t="shared" si="33"/>
        <v>4.3530999999999995</v>
      </c>
      <c r="D72" s="19">
        <f t="shared" si="20"/>
        <v>4.3030999999999997</v>
      </c>
      <c r="E72" s="19">
        <f t="shared" si="34"/>
        <v>4.3530999999999995</v>
      </c>
      <c r="F72" s="2">
        <f t="shared" si="35"/>
        <v>2.75E-2</v>
      </c>
      <c r="G72" s="15">
        <f t="shared" si="7"/>
        <v>2.75E-2</v>
      </c>
      <c r="H72" s="3">
        <v>30</v>
      </c>
      <c r="I72" s="12">
        <v>-7.3724809707263361E-2</v>
      </c>
      <c r="K72" s="44">
        <v>5.9999999999997833E-3</v>
      </c>
      <c r="L72" s="76">
        <f t="shared" si="24"/>
        <v>0.37304405775638655</v>
      </c>
      <c r="M72" s="8">
        <f t="shared" si="29"/>
        <v>0.73940000000000006</v>
      </c>
      <c r="N72" s="11">
        <f t="shared" si="30"/>
        <v>0.37304405775638655</v>
      </c>
      <c r="O72" s="3">
        <f t="shared" si="25"/>
        <v>4.7699999999999999E-2</v>
      </c>
      <c r="P72" s="3">
        <f t="shared" si="32"/>
        <v>3.0700000000000002E-2</v>
      </c>
      <c r="R72" s="3">
        <f>Transport!F72</f>
        <v>8730</v>
      </c>
      <c r="S72" s="3">
        <f>Transport!G72</f>
        <v>10761</v>
      </c>
      <c r="T72" s="3">
        <f>Transport!H72</f>
        <v>15509</v>
      </c>
      <c r="U72" s="3">
        <f>Transport!I72</f>
        <v>1880</v>
      </c>
      <c r="V72" s="3">
        <f>Transport!J72</f>
        <v>2295</v>
      </c>
      <c r="W72" s="3">
        <f>Transport!K72</f>
        <v>1036</v>
      </c>
      <c r="X72" s="3">
        <f>Transport!L72</f>
        <v>683</v>
      </c>
    </row>
    <row r="73" spans="1:24" x14ac:dyDescent="0.2">
      <c r="A73" s="10">
        <f t="shared" si="31"/>
        <v>37817.333333333168</v>
      </c>
      <c r="B73" s="19">
        <f t="shared" si="36"/>
        <v>4.2830000000000004</v>
      </c>
      <c r="C73" s="19">
        <f t="shared" si="33"/>
        <v>4.343</v>
      </c>
      <c r="D73" s="19">
        <f t="shared" si="20"/>
        <v>4.2930000000000001</v>
      </c>
      <c r="E73" s="19">
        <f t="shared" si="34"/>
        <v>4.343</v>
      </c>
      <c r="F73" s="2">
        <f t="shared" si="35"/>
        <v>2.75E-2</v>
      </c>
      <c r="G73" s="15">
        <f t="shared" si="7"/>
        <v>2.75E-2</v>
      </c>
      <c r="H73" s="3">
        <v>31</v>
      </c>
      <c r="I73" s="12">
        <v>-7.8224414129458797E-2</v>
      </c>
      <c r="K73" s="44">
        <v>9.4999999999998419E-3</v>
      </c>
      <c r="L73" s="76">
        <f t="shared" si="24"/>
        <v>0.37304405775638655</v>
      </c>
      <c r="M73" s="8">
        <f t="shared" si="29"/>
        <v>0.73940000000000006</v>
      </c>
      <c r="N73" s="11">
        <f t="shared" si="30"/>
        <v>0.37304405775638655</v>
      </c>
      <c r="O73" s="3">
        <f t="shared" si="25"/>
        <v>4.7699999999999999E-2</v>
      </c>
      <c r="P73" s="3">
        <f t="shared" si="32"/>
        <v>3.0700000000000002E-2</v>
      </c>
      <c r="R73" s="3">
        <f>Transport!F73</f>
        <v>8730</v>
      </c>
      <c r="S73" s="3">
        <f>Transport!G73</f>
        <v>10761</v>
      </c>
      <c r="T73" s="3">
        <f>Transport!H73</f>
        <v>15509</v>
      </c>
      <c r="U73" s="3">
        <f>Transport!I73</f>
        <v>1880</v>
      </c>
      <c r="V73" s="3">
        <f>Transport!J73</f>
        <v>2295</v>
      </c>
      <c r="W73" s="3">
        <f>Transport!K73</f>
        <v>1036</v>
      </c>
      <c r="X73" s="3">
        <f>Transport!L73</f>
        <v>683</v>
      </c>
    </row>
    <row r="74" spans="1:24" x14ac:dyDescent="0.2">
      <c r="A74" s="10">
        <f t="shared" si="31"/>
        <v>37847.749999999833</v>
      </c>
      <c r="B74" s="19">
        <f t="shared" si="36"/>
        <v>3.7376</v>
      </c>
      <c r="C74" s="19">
        <f t="shared" si="33"/>
        <v>3.7976000000000001</v>
      </c>
      <c r="D74" s="19">
        <f t="shared" si="20"/>
        <v>3.7476000000000003</v>
      </c>
      <c r="E74" s="19">
        <f t="shared" si="34"/>
        <v>3.7976000000000001</v>
      </c>
      <c r="F74" s="2">
        <f t="shared" si="35"/>
        <v>2.75E-2</v>
      </c>
      <c r="G74" s="15">
        <f t="shared" si="7"/>
        <v>2.75E-2</v>
      </c>
      <c r="H74" s="3">
        <v>31</v>
      </c>
      <c r="I74" s="12">
        <v>-7.8223622973849327E-2</v>
      </c>
      <c r="K74" s="44">
        <v>9.4999999999996199E-3</v>
      </c>
      <c r="L74" s="76">
        <f t="shared" si="24"/>
        <v>0.37304405775638655</v>
      </c>
      <c r="M74" s="8">
        <f t="shared" si="29"/>
        <v>0.73940000000000006</v>
      </c>
      <c r="N74" s="11">
        <f t="shared" si="30"/>
        <v>0.37304405775638655</v>
      </c>
      <c r="O74" s="3">
        <f t="shared" si="25"/>
        <v>4.7699999999999999E-2</v>
      </c>
      <c r="P74" s="3">
        <f t="shared" si="32"/>
        <v>3.0700000000000002E-2</v>
      </c>
      <c r="R74" s="3">
        <f>Transport!F74</f>
        <v>8730</v>
      </c>
      <c r="S74" s="3">
        <f>Transport!G74</f>
        <v>10761</v>
      </c>
      <c r="T74" s="3">
        <f>Transport!H74</f>
        <v>15509</v>
      </c>
      <c r="U74" s="3">
        <f>Transport!I74</f>
        <v>1880</v>
      </c>
      <c r="V74" s="3">
        <f>Transport!J74</f>
        <v>2295</v>
      </c>
      <c r="W74" s="3">
        <f>Transport!K74</f>
        <v>1036</v>
      </c>
      <c r="X74" s="3">
        <f>Transport!L74</f>
        <v>683</v>
      </c>
    </row>
    <row r="75" spans="1:24" x14ac:dyDescent="0.2">
      <c r="A75" s="10">
        <f t="shared" si="31"/>
        <v>37878.166666666497</v>
      </c>
      <c r="B75" s="19">
        <f t="shared" si="36"/>
        <v>4.5153000000000008</v>
      </c>
      <c r="C75" s="19">
        <f t="shared" si="33"/>
        <v>4.5753000000000004</v>
      </c>
      <c r="D75" s="19">
        <f t="shared" si="20"/>
        <v>4.5253000000000005</v>
      </c>
      <c r="E75" s="19">
        <f t="shared" si="34"/>
        <v>4.5753000000000004</v>
      </c>
      <c r="F75" s="2">
        <f t="shared" si="35"/>
        <v>2.75E-2</v>
      </c>
      <c r="G75" s="15">
        <f t="shared" si="7"/>
        <v>2.75E-2</v>
      </c>
      <c r="H75" s="3">
        <v>30</v>
      </c>
      <c r="I75" s="12">
        <v>-7.8222304381167174E-2</v>
      </c>
      <c r="K75" s="44">
        <v>9.4999999999996199E-3</v>
      </c>
      <c r="L75" s="76">
        <f t="shared" si="24"/>
        <v>0.37304405775638655</v>
      </c>
      <c r="M75" s="8">
        <f t="shared" si="29"/>
        <v>0.73940000000000006</v>
      </c>
      <c r="N75" s="11">
        <f t="shared" si="30"/>
        <v>0.37304405775638655</v>
      </c>
      <c r="O75" s="3">
        <f t="shared" si="25"/>
        <v>4.7699999999999999E-2</v>
      </c>
      <c r="P75" s="3">
        <f t="shared" si="32"/>
        <v>3.0700000000000002E-2</v>
      </c>
      <c r="R75" s="3">
        <f>Transport!F75</f>
        <v>8730</v>
      </c>
      <c r="S75" s="3">
        <f>Transport!G75</f>
        <v>10761</v>
      </c>
      <c r="T75" s="3">
        <f>Transport!H75</f>
        <v>15509</v>
      </c>
      <c r="U75" s="3">
        <f>Transport!I75</f>
        <v>1880</v>
      </c>
      <c r="V75" s="3">
        <f>Transport!J75</f>
        <v>2295</v>
      </c>
      <c r="W75" s="3">
        <f>Transport!K75</f>
        <v>1036</v>
      </c>
      <c r="X75" s="3">
        <f>Transport!L75</f>
        <v>683</v>
      </c>
    </row>
    <row r="76" spans="1:24" x14ac:dyDescent="0.2">
      <c r="A76" s="10">
        <f t="shared" si="31"/>
        <v>37908.583333333161</v>
      </c>
      <c r="B76" s="19">
        <f t="shared" si="36"/>
        <v>5.2021000000000006</v>
      </c>
      <c r="C76" s="19">
        <f t="shared" ref="C76:C91" si="37">C64*1.01</f>
        <v>5.2621000000000002</v>
      </c>
      <c r="D76" s="19">
        <f t="shared" si="20"/>
        <v>5.2121000000000004</v>
      </c>
      <c r="E76" s="19">
        <f t="shared" si="34"/>
        <v>5.2621000000000002</v>
      </c>
      <c r="F76" s="2">
        <f t="shared" si="35"/>
        <v>2.75E-2</v>
      </c>
      <c r="G76" s="15">
        <f t="shared" ref="G76:G139" si="38">F76</f>
        <v>2.75E-2</v>
      </c>
      <c r="H76" s="3">
        <v>31</v>
      </c>
      <c r="I76" s="12">
        <v>-8.2761136829195614E-2</v>
      </c>
      <c r="K76" s="44">
        <v>1.4499999999999957E-2</v>
      </c>
      <c r="L76" s="76">
        <f t="shared" si="24"/>
        <v>0.37304405775638655</v>
      </c>
      <c r="M76" s="8">
        <f t="shared" si="29"/>
        <v>0.73940000000000006</v>
      </c>
      <c r="N76" s="11">
        <f t="shared" si="30"/>
        <v>0.37304405775638655</v>
      </c>
      <c r="O76" s="3">
        <f t="shared" si="25"/>
        <v>4.7699999999999999E-2</v>
      </c>
      <c r="P76" s="3">
        <f t="shared" si="32"/>
        <v>3.0700000000000002E-2</v>
      </c>
      <c r="R76" s="3">
        <f>Transport!F76</f>
        <v>8730</v>
      </c>
      <c r="S76" s="3">
        <f>Transport!G76</f>
        <v>10361</v>
      </c>
      <c r="T76" s="3">
        <f>Transport!H76</f>
        <v>15909</v>
      </c>
      <c r="U76" s="3">
        <f>Transport!I76</f>
        <v>2830</v>
      </c>
      <c r="V76" s="3">
        <f>Transport!J76</f>
        <v>3500</v>
      </c>
      <c r="W76" s="3">
        <f>Transport!K76</f>
        <v>1521</v>
      </c>
      <c r="X76" s="3">
        <f>Transport!L76</f>
        <v>1001</v>
      </c>
    </row>
    <row r="77" spans="1:24" x14ac:dyDescent="0.2">
      <c r="A77" s="10">
        <f t="shared" si="31"/>
        <v>37938.999999999825</v>
      </c>
      <c r="B77" s="19">
        <f t="shared" si="36"/>
        <v>3.4548000000000005</v>
      </c>
      <c r="C77" s="19">
        <f t="shared" si="37"/>
        <v>3.5148000000000006</v>
      </c>
      <c r="D77" s="19">
        <f t="shared" si="20"/>
        <v>3.4648000000000008</v>
      </c>
      <c r="E77" s="19">
        <f t="shared" si="34"/>
        <v>3.5148000000000006</v>
      </c>
      <c r="F77" s="2">
        <f t="shared" si="35"/>
        <v>2.75E-2</v>
      </c>
      <c r="G77" s="15">
        <f t="shared" si="38"/>
        <v>2.75E-2</v>
      </c>
      <c r="H77" s="3">
        <v>30</v>
      </c>
      <c r="I77" s="12">
        <v>-0.12773336001826285</v>
      </c>
      <c r="K77" s="44">
        <v>1.9499999999999851E-2</v>
      </c>
      <c r="L77" s="76">
        <f t="shared" si="24"/>
        <v>0.37304405775638655</v>
      </c>
      <c r="M77" s="8">
        <f t="shared" si="29"/>
        <v>0.73940000000000006</v>
      </c>
      <c r="N77" s="11">
        <f t="shared" si="30"/>
        <v>0.37304405775638655</v>
      </c>
      <c r="O77" s="3">
        <f t="shared" si="25"/>
        <v>4.7699999999999999E-2</v>
      </c>
      <c r="P77" s="3">
        <f t="shared" si="32"/>
        <v>3.0700000000000002E-2</v>
      </c>
      <c r="R77" s="3">
        <f>Transport!F77</f>
        <v>4926</v>
      </c>
      <c r="S77" s="3">
        <f>Transport!G77</f>
        <v>5732</v>
      </c>
      <c r="T77" s="3">
        <f>Transport!H77</f>
        <v>9342</v>
      </c>
      <c r="U77" s="3">
        <f>Transport!I77</f>
        <v>2563</v>
      </c>
      <c r="V77" s="3">
        <f>Transport!J77</f>
        <v>2862</v>
      </c>
      <c r="W77" s="3">
        <f>Transport!K77</f>
        <v>1685</v>
      </c>
      <c r="X77" s="3">
        <f>Transport!L77</f>
        <v>683</v>
      </c>
    </row>
    <row r="78" spans="1:24" x14ac:dyDescent="0.2">
      <c r="A78" s="10">
        <f t="shared" si="31"/>
        <v>37969.41666666649</v>
      </c>
      <c r="B78" s="19">
        <f t="shared" si="36"/>
        <v>2.5660000000000007</v>
      </c>
      <c r="C78" s="19">
        <f t="shared" si="37"/>
        <v>2.6260000000000008</v>
      </c>
      <c r="D78" s="19">
        <f t="shared" si="20"/>
        <v>2.576000000000001</v>
      </c>
      <c r="E78" s="19">
        <f t="shared" si="34"/>
        <v>2.6260000000000008</v>
      </c>
      <c r="F78" s="2">
        <f t="shared" si="35"/>
        <v>2.75E-2</v>
      </c>
      <c r="G78" s="15">
        <f t="shared" si="38"/>
        <v>2.75E-2</v>
      </c>
      <c r="H78" s="3">
        <v>31</v>
      </c>
      <c r="I78" s="12">
        <v>-0.16269586132350478</v>
      </c>
      <c r="K78" s="44">
        <v>2.4500000000000188E-2</v>
      </c>
      <c r="L78" s="76">
        <f t="shared" si="24"/>
        <v>0.37304405775638655</v>
      </c>
      <c r="M78" s="8">
        <f t="shared" si="29"/>
        <v>0.73940000000000006</v>
      </c>
      <c r="N78" s="11">
        <f t="shared" si="30"/>
        <v>0.37304405775638655</v>
      </c>
      <c r="O78" s="3">
        <f t="shared" si="25"/>
        <v>4.7699999999999999E-2</v>
      </c>
      <c r="P78" s="3">
        <f t="shared" si="32"/>
        <v>3.0700000000000002E-2</v>
      </c>
      <c r="R78" s="3">
        <f>Transport!F78</f>
        <v>4926</v>
      </c>
      <c r="S78" s="3">
        <f>Transport!G78</f>
        <v>5732</v>
      </c>
      <c r="T78" s="3">
        <f>Transport!H78</f>
        <v>9342</v>
      </c>
      <c r="U78" s="3">
        <f>Transport!I78</f>
        <v>2563</v>
      </c>
      <c r="V78" s="3">
        <f>Transport!J78</f>
        <v>2862</v>
      </c>
      <c r="W78" s="3">
        <f>Transport!K78</f>
        <v>1685</v>
      </c>
      <c r="X78" s="3">
        <f>Transport!L78</f>
        <v>683</v>
      </c>
    </row>
    <row r="79" spans="1:24" s="81" customFormat="1" x14ac:dyDescent="0.2">
      <c r="A79" s="77">
        <f t="shared" si="31"/>
        <v>37999.833333333154</v>
      </c>
      <c r="B79" s="78">
        <f t="shared" si="36"/>
        <v>2.2556270000000005</v>
      </c>
      <c r="C79" s="78">
        <f t="shared" si="37"/>
        <v>2.3156270000000005</v>
      </c>
      <c r="D79" s="78">
        <f t="shared" si="20"/>
        <v>2.2656270000000007</v>
      </c>
      <c r="E79" s="78">
        <f t="shared" si="34"/>
        <v>2.3156270000000005</v>
      </c>
      <c r="F79" s="79">
        <f t="shared" si="35"/>
        <v>2.75E-2</v>
      </c>
      <c r="G79" s="80">
        <f t="shared" si="38"/>
        <v>2.75E-2</v>
      </c>
      <c r="H79" s="81">
        <v>31</v>
      </c>
      <c r="I79" s="82">
        <v>-0.14767919523694539</v>
      </c>
      <c r="K79" s="83">
        <v>2.4500000000000188E-2</v>
      </c>
      <c r="L79" s="84">
        <f>L78</f>
        <v>0.37304405775638655</v>
      </c>
      <c r="M79" s="8">
        <f>0.7414+0.0076-0.0142</f>
        <v>0.73480000000000001</v>
      </c>
      <c r="N79" s="87">
        <f t="shared" si="30"/>
        <v>0.37304405775638655</v>
      </c>
      <c r="O79" s="81">
        <f t="shared" si="25"/>
        <v>4.7699999999999999E-2</v>
      </c>
      <c r="P79" s="81">
        <f t="shared" si="32"/>
        <v>3.0700000000000002E-2</v>
      </c>
      <c r="R79" s="81">
        <f>Transport!F79</f>
        <v>4926</v>
      </c>
      <c r="S79" s="81">
        <f>Transport!G79</f>
        <v>5732</v>
      </c>
      <c r="T79" s="81">
        <f>Transport!H79</f>
        <v>9342</v>
      </c>
      <c r="U79" s="81">
        <f>Transport!I79</f>
        <v>2563</v>
      </c>
      <c r="V79" s="81">
        <f>Transport!J79</f>
        <v>2862</v>
      </c>
      <c r="W79" s="81">
        <f>Transport!K79</f>
        <v>1685</v>
      </c>
      <c r="X79" s="81">
        <f>Transport!L79</f>
        <v>683</v>
      </c>
    </row>
    <row r="80" spans="1:24" x14ac:dyDescent="0.2">
      <c r="A80" s="10">
        <f t="shared" si="31"/>
        <v>38030.249999999818</v>
      </c>
      <c r="B80" s="19">
        <f t="shared" si="36"/>
        <v>2.5310540000000001</v>
      </c>
      <c r="C80" s="19">
        <f t="shared" si="37"/>
        <v>2.5910540000000002</v>
      </c>
      <c r="D80" s="19">
        <f t="shared" ref="D80:D143" si="39">C80-0.05</f>
        <v>2.5410540000000004</v>
      </c>
      <c r="E80" s="19">
        <f t="shared" si="34"/>
        <v>2.5910540000000002</v>
      </c>
      <c r="F80" s="2">
        <f t="shared" si="35"/>
        <v>2.75E-2</v>
      </c>
      <c r="G80" s="15">
        <f t="shared" si="38"/>
        <v>2.75E-2</v>
      </c>
      <c r="H80" s="3">
        <v>29</v>
      </c>
      <c r="I80" s="12">
        <v>-0.14770697204787764</v>
      </c>
      <c r="K80" s="44">
        <v>2.4500000000000188E-2</v>
      </c>
      <c r="L80" s="76">
        <f t="shared" si="24"/>
        <v>0.37304405775638655</v>
      </c>
      <c r="M80" s="8">
        <f t="shared" si="29"/>
        <v>0.73480000000000001</v>
      </c>
      <c r="N80" s="11">
        <f t="shared" si="30"/>
        <v>0.37304405775638655</v>
      </c>
      <c r="O80" s="3">
        <f t="shared" si="25"/>
        <v>4.7699999999999999E-2</v>
      </c>
      <c r="P80" s="3">
        <f t="shared" si="32"/>
        <v>3.0700000000000002E-2</v>
      </c>
      <c r="R80" s="3">
        <f>Transport!F80</f>
        <v>4926</v>
      </c>
      <c r="S80" s="3">
        <f>Transport!G80</f>
        <v>5732</v>
      </c>
      <c r="T80" s="3">
        <f>Transport!H80</f>
        <v>9342</v>
      </c>
      <c r="U80" s="3">
        <f>Transport!I80</f>
        <v>2563</v>
      </c>
      <c r="V80" s="3">
        <f>Transport!J80</f>
        <v>2862</v>
      </c>
      <c r="W80" s="3">
        <f>Transport!K80</f>
        <v>1685</v>
      </c>
      <c r="X80" s="3">
        <f>Transport!L80</f>
        <v>683</v>
      </c>
    </row>
    <row r="81" spans="1:24" x14ac:dyDescent="0.2">
      <c r="A81" s="10">
        <f t="shared" ref="A81:A96" si="40">+A80+365/12</f>
        <v>38060.666666666482</v>
      </c>
      <c r="B81" s="19">
        <f t="shared" si="36"/>
        <v>2.5310540000000001</v>
      </c>
      <c r="C81" s="19">
        <f t="shared" si="37"/>
        <v>2.5910540000000002</v>
      </c>
      <c r="D81" s="19">
        <f t="shared" si="39"/>
        <v>2.5410540000000004</v>
      </c>
      <c r="E81" s="19">
        <f t="shared" si="34"/>
        <v>2.5910540000000002</v>
      </c>
      <c r="F81" s="2">
        <f t="shared" si="35"/>
        <v>2.75E-2</v>
      </c>
      <c r="G81" s="15">
        <f t="shared" si="38"/>
        <v>2.75E-2</v>
      </c>
      <c r="H81" s="3">
        <v>31</v>
      </c>
      <c r="I81" s="12">
        <v>-0.12274273469195274</v>
      </c>
      <c r="K81" s="44">
        <v>1.9500000000000295E-2</v>
      </c>
      <c r="L81" s="76">
        <f t="shared" si="24"/>
        <v>0.37304405775638655</v>
      </c>
      <c r="M81" s="8">
        <f t="shared" si="29"/>
        <v>0.73480000000000001</v>
      </c>
      <c r="N81" s="11">
        <f t="shared" si="30"/>
        <v>0.37304405775638655</v>
      </c>
      <c r="O81" s="3">
        <f t="shared" si="25"/>
        <v>4.7699999999999999E-2</v>
      </c>
      <c r="P81" s="3">
        <f t="shared" si="32"/>
        <v>3.0700000000000002E-2</v>
      </c>
      <c r="R81" s="3">
        <f>Transport!F81</f>
        <v>4926</v>
      </c>
      <c r="S81" s="3">
        <f>Transport!G81</f>
        <v>5732</v>
      </c>
      <c r="T81" s="3">
        <f>Transport!H81</f>
        <v>9342</v>
      </c>
      <c r="U81" s="3">
        <f>Transport!I81</f>
        <v>2563</v>
      </c>
      <c r="V81" s="3">
        <f>Transport!J81</f>
        <v>2862</v>
      </c>
      <c r="W81" s="3">
        <f>Transport!K81</f>
        <v>1685</v>
      </c>
      <c r="X81" s="3">
        <f>Transport!L81</f>
        <v>683</v>
      </c>
    </row>
    <row r="82" spans="1:24" x14ac:dyDescent="0.2">
      <c r="A82" s="10">
        <f t="shared" si="40"/>
        <v>38091.083333333147</v>
      </c>
      <c r="B82" s="19">
        <f t="shared" si="36"/>
        <v>2.8064810000000007</v>
      </c>
      <c r="C82" s="19">
        <f t="shared" si="37"/>
        <v>2.8664810000000007</v>
      </c>
      <c r="D82" s="19">
        <f t="shared" si="39"/>
        <v>2.8164810000000009</v>
      </c>
      <c r="E82" s="19">
        <f t="shared" si="34"/>
        <v>2.8664810000000007</v>
      </c>
      <c r="F82" s="2">
        <f t="shared" si="35"/>
        <v>2.75E-2</v>
      </c>
      <c r="G82" s="15">
        <f t="shared" si="38"/>
        <v>2.75E-2</v>
      </c>
      <c r="H82" s="3">
        <v>30</v>
      </c>
      <c r="I82" s="12">
        <v>-7.3259747988649426E-2</v>
      </c>
      <c r="K82" s="44">
        <v>5.9999999999997833E-3</v>
      </c>
      <c r="L82" s="76">
        <f t="shared" si="24"/>
        <v>0.37304405775638655</v>
      </c>
      <c r="M82" s="8">
        <f t="shared" si="29"/>
        <v>0.73480000000000001</v>
      </c>
      <c r="N82" s="11">
        <f t="shared" si="30"/>
        <v>0.37304405775638655</v>
      </c>
      <c r="O82" s="3">
        <f t="shared" si="25"/>
        <v>4.7699999999999999E-2</v>
      </c>
      <c r="P82" s="3">
        <f t="shared" si="32"/>
        <v>3.0700000000000002E-2</v>
      </c>
      <c r="R82" s="3">
        <f>Transport!F82</f>
        <v>6933</v>
      </c>
      <c r="S82" s="3">
        <f>Transport!G82</f>
        <v>8798</v>
      </c>
      <c r="T82" s="3">
        <f>Transport!H82</f>
        <v>14269</v>
      </c>
      <c r="U82" s="3">
        <f>Transport!I82</f>
        <v>1880</v>
      </c>
      <c r="V82" s="3">
        <f>Transport!J82</f>
        <v>2073</v>
      </c>
      <c r="W82" s="3">
        <f>Transport!K82</f>
        <v>1258</v>
      </c>
      <c r="X82" s="3">
        <f>Transport!L82</f>
        <v>683</v>
      </c>
    </row>
    <row r="83" spans="1:24" x14ac:dyDescent="0.2">
      <c r="A83" s="10">
        <f t="shared" si="40"/>
        <v>38121.499999999811</v>
      </c>
      <c r="B83" s="19">
        <f t="shared" si="36"/>
        <v>3.0003000000000006</v>
      </c>
      <c r="C83" s="19">
        <f t="shared" si="37"/>
        <v>3.0603000000000007</v>
      </c>
      <c r="D83" s="19">
        <f t="shared" si="39"/>
        <v>3.0103000000000009</v>
      </c>
      <c r="E83" s="19">
        <f t="shared" si="34"/>
        <v>3.0603000000000007</v>
      </c>
      <c r="F83" s="2">
        <f t="shared" si="35"/>
        <v>2.75E-2</v>
      </c>
      <c r="G83" s="15">
        <f t="shared" si="38"/>
        <v>2.75E-2</v>
      </c>
      <c r="H83" s="3">
        <v>31</v>
      </c>
      <c r="I83" s="12">
        <v>-7.372124950702208E-2</v>
      </c>
      <c r="K83" s="44">
        <v>5.9999999999997833E-3</v>
      </c>
      <c r="L83" s="76">
        <f t="shared" si="24"/>
        <v>0.37304405775638655</v>
      </c>
      <c r="M83" s="8">
        <f t="shared" si="29"/>
        <v>0.73480000000000001</v>
      </c>
      <c r="N83" s="11">
        <f t="shared" si="30"/>
        <v>0.37304405775638655</v>
      </c>
      <c r="O83" s="3">
        <f t="shared" si="25"/>
        <v>4.7699999999999999E-2</v>
      </c>
      <c r="P83" s="3">
        <f t="shared" si="32"/>
        <v>3.0700000000000002E-2</v>
      </c>
      <c r="R83" s="3">
        <f>Transport!F83</f>
        <v>8730</v>
      </c>
      <c r="S83" s="3">
        <f>Transport!G83</f>
        <v>10761</v>
      </c>
      <c r="T83" s="3">
        <f>Transport!H83</f>
        <v>15509</v>
      </c>
      <c r="U83" s="3">
        <f>Transport!I83</f>
        <v>1880</v>
      </c>
      <c r="V83" s="3">
        <f>Transport!J83</f>
        <v>2295</v>
      </c>
      <c r="W83" s="3">
        <f>Transport!K83</f>
        <v>1036</v>
      </c>
      <c r="X83" s="3">
        <f>Transport!L83</f>
        <v>683</v>
      </c>
    </row>
    <row r="84" spans="1:24" x14ac:dyDescent="0.2">
      <c r="A84" s="10">
        <f t="shared" si="40"/>
        <v>38151.916666666475</v>
      </c>
      <c r="B84" s="19">
        <f t="shared" si="36"/>
        <v>4.3366309999999997</v>
      </c>
      <c r="C84" s="19">
        <f t="shared" si="37"/>
        <v>4.3966309999999993</v>
      </c>
      <c r="D84" s="19">
        <f t="shared" si="39"/>
        <v>4.3466309999999995</v>
      </c>
      <c r="E84" s="19">
        <f t="shared" si="34"/>
        <v>4.3966309999999993</v>
      </c>
      <c r="F84" s="2">
        <f t="shared" si="35"/>
        <v>2.75E-2</v>
      </c>
      <c r="G84" s="15">
        <f t="shared" si="38"/>
        <v>2.75E-2</v>
      </c>
      <c r="H84" s="3">
        <v>30</v>
      </c>
      <c r="I84" s="12">
        <v>-7.3720590210681447E-2</v>
      </c>
      <c r="K84" s="44">
        <v>5.9999999999997833E-3</v>
      </c>
      <c r="L84" s="76">
        <f t="shared" si="24"/>
        <v>0.37304405775638655</v>
      </c>
      <c r="M84" s="8">
        <f t="shared" si="29"/>
        <v>0.73480000000000001</v>
      </c>
      <c r="N84" s="11">
        <f t="shared" si="30"/>
        <v>0.37304405775638655</v>
      </c>
      <c r="O84" s="3">
        <f t="shared" si="25"/>
        <v>4.7699999999999999E-2</v>
      </c>
      <c r="P84" s="3">
        <f t="shared" si="32"/>
        <v>3.0700000000000002E-2</v>
      </c>
      <c r="R84" s="3">
        <f>Transport!F84</f>
        <v>8730</v>
      </c>
      <c r="S84" s="3">
        <f>Transport!G84</f>
        <v>10761</v>
      </c>
      <c r="T84" s="3">
        <f>Transport!H84</f>
        <v>15509</v>
      </c>
      <c r="U84" s="3">
        <f>Transport!I84</f>
        <v>1880</v>
      </c>
      <c r="V84" s="3">
        <f>Transport!J84</f>
        <v>2295</v>
      </c>
      <c r="W84" s="3">
        <f>Transport!K84</f>
        <v>1036</v>
      </c>
      <c r="X84" s="3">
        <f>Transport!L84</f>
        <v>683</v>
      </c>
    </row>
    <row r="85" spans="1:24" x14ac:dyDescent="0.2">
      <c r="A85" s="10">
        <f t="shared" si="40"/>
        <v>38182.333333333139</v>
      </c>
      <c r="B85" s="19">
        <f t="shared" si="36"/>
        <v>4.3264300000000002</v>
      </c>
      <c r="C85" s="19">
        <f t="shared" si="37"/>
        <v>4.3864299999999998</v>
      </c>
      <c r="D85" s="19">
        <f t="shared" si="39"/>
        <v>4.33643</v>
      </c>
      <c r="E85" s="19">
        <f t="shared" si="34"/>
        <v>4.3864299999999998</v>
      </c>
      <c r="F85" s="2">
        <f t="shared" si="35"/>
        <v>2.75E-2</v>
      </c>
      <c r="G85" s="15">
        <f t="shared" si="38"/>
        <v>2.75E-2</v>
      </c>
      <c r="H85" s="3">
        <v>31</v>
      </c>
      <c r="I85" s="12">
        <v>-7.8220194632875995E-2</v>
      </c>
      <c r="K85" s="44">
        <v>9.4999999999998419E-3</v>
      </c>
      <c r="L85" s="76">
        <f t="shared" ref="L85:L116" si="41">L84</f>
        <v>0.37304405775638655</v>
      </c>
      <c r="M85" s="8">
        <f t="shared" si="29"/>
        <v>0.73480000000000001</v>
      </c>
      <c r="N85" s="11">
        <f t="shared" si="30"/>
        <v>0.37304405775638655</v>
      </c>
      <c r="O85" s="3">
        <f t="shared" ref="O85:O116" si="42">O84</f>
        <v>4.7699999999999999E-2</v>
      </c>
      <c r="P85" s="3">
        <f t="shared" si="32"/>
        <v>3.0700000000000002E-2</v>
      </c>
      <c r="R85" s="3">
        <f>Transport!F85</f>
        <v>8730</v>
      </c>
      <c r="S85" s="3">
        <f>Transport!G85</f>
        <v>10761</v>
      </c>
      <c r="T85" s="3">
        <f>Transport!H85</f>
        <v>15509</v>
      </c>
      <c r="U85" s="3">
        <f>Transport!I85</f>
        <v>1880</v>
      </c>
      <c r="V85" s="3">
        <f>Transport!J85</f>
        <v>2295</v>
      </c>
      <c r="W85" s="3">
        <f>Transport!K85</f>
        <v>1036</v>
      </c>
      <c r="X85" s="3">
        <f>Transport!L85</f>
        <v>683</v>
      </c>
    </row>
    <row r="86" spans="1:24" x14ac:dyDescent="0.2">
      <c r="A86" s="10">
        <f t="shared" si="40"/>
        <v>38212.749999999804</v>
      </c>
      <c r="B86" s="19">
        <f t="shared" si="36"/>
        <v>3.775576</v>
      </c>
      <c r="C86" s="19">
        <f t="shared" si="37"/>
        <v>3.8355760000000001</v>
      </c>
      <c r="D86" s="19">
        <f t="shared" si="39"/>
        <v>3.7855760000000003</v>
      </c>
      <c r="E86" s="19">
        <f t="shared" si="34"/>
        <v>3.8355760000000001</v>
      </c>
      <c r="F86" s="2">
        <f t="shared" ref="F86:F101" si="43">+F85</f>
        <v>2.75E-2</v>
      </c>
      <c r="G86" s="15">
        <f t="shared" si="38"/>
        <v>2.75E-2</v>
      </c>
      <c r="H86" s="3">
        <v>31</v>
      </c>
      <c r="I86" s="12">
        <v>-7.8219403477266969E-2</v>
      </c>
      <c r="K86" s="44">
        <v>9.4999999999996199E-3</v>
      </c>
      <c r="L86" s="76">
        <f t="shared" si="41"/>
        <v>0.37304405775638655</v>
      </c>
      <c r="M86" s="8">
        <f t="shared" si="29"/>
        <v>0.73480000000000001</v>
      </c>
      <c r="N86" s="11">
        <f t="shared" si="30"/>
        <v>0.37304405775638655</v>
      </c>
      <c r="O86" s="3">
        <f t="shared" si="42"/>
        <v>4.7699999999999999E-2</v>
      </c>
      <c r="P86" s="3">
        <f t="shared" si="32"/>
        <v>3.0700000000000002E-2</v>
      </c>
      <c r="R86" s="3">
        <f>Transport!F86</f>
        <v>8730</v>
      </c>
      <c r="S86" s="3">
        <f>Transport!G86</f>
        <v>10761</v>
      </c>
      <c r="T86" s="3">
        <f>Transport!H86</f>
        <v>15509</v>
      </c>
      <c r="U86" s="3">
        <f>Transport!I86</f>
        <v>1880</v>
      </c>
      <c r="V86" s="3">
        <f>Transport!J86</f>
        <v>2295</v>
      </c>
      <c r="W86" s="3">
        <f>Transport!K86</f>
        <v>1036</v>
      </c>
      <c r="X86" s="3">
        <f>Transport!L86</f>
        <v>683</v>
      </c>
    </row>
    <row r="87" spans="1:24" x14ac:dyDescent="0.2">
      <c r="A87" s="10">
        <f t="shared" si="40"/>
        <v>38243.166666666468</v>
      </c>
      <c r="B87" s="19">
        <f t="shared" ref="B87:B102" si="44">C87-0.06</f>
        <v>4.5610530000000011</v>
      </c>
      <c r="C87" s="19">
        <f t="shared" si="37"/>
        <v>4.6210530000000007</v>
      </c>
      <c r="D87" s="19">
        <f t="shared" si="39"/>
        <v>4.5710530000000009</v>
      </c>
      <c r="E87" s="19">
        <f t="shared" si="34"/>
        <v>4.6210530000000007</v>
      </c>
      <c r="F87" s="2">
        <f t="shared" si="43"/>
        <v>2.75E-2</v>
      </c>
      <c r="G87" s="15">
        <f t="shared" si="38"/>
        <v>2.75E-2</v>
      </c>
      <c r="H87" s="3">
        <v>30</v>
      </c>
      <c r="I87" s="12">
        <v>-7.8218084884585259E-2</v>
      </c>
      <c r="K87" s="44">
        <v>9.4999999999996199E-3</v>
      </c>
      <c r="L87" s="76">
        <f t="shared" si="41"/>
        <v>0.37304405775638655</v>
      </c>
      <c r="M87" s="8">
        <f t="shared" si="29"/>
        <v>0.73480000000000001</v>
      </c>
      <c r="N87" s="11">
        <f t="shared" si="30"/>
        <v>0.37304405775638655</v>
      </c>
      <c r="O87" s="3">
        <f t="shared" si="42"/>
        <v>4.7699999999999999E-2</v>
      </c>
      <c r="P87" s="3">
        <f t="shared" si="32"/>
        <v>3.0700000000000002E-2</v>
      </c>
      <c r="R87" s="3">
        <f>Transport!F87</f>
        <v>8730</v>
      </c>
      <c r="S87" s="3">
        <f>Transport!G87</f>
        <v>10761</v>
      </c>
      <c r="T87" s="3">
        <f>Transport!H87</f>
        <v>15509</v>
      </c>
      <c r="U87" s="3">
        <f>Transport!I87</f>
        <v>1880</v>
      </c>
      <c r="V87" s="3">
        <f>Transport!J87</f>
        <v>2295</v>
      </c>
      <c r="W87" s="3">
        <f>Transport!K87</f>
        <v>1036</v>
      </c>
      <c r="X87" s="3">
        <f>Transport!L87</f>
        <v>683</v>
      </c>
    </row>
    <row r="88" spans="1:24" x14ac:dyDescent="0.2">
      <c r="A88" s="10">
        <f t="shared" si="40"/>
        <v>38273.583333333132</v>
      </c>
      <c r="B88" s="19">
        <f t="shared" si="44"/>
        <v>5.2547210000000009</v>
      </c>
      <c r="C88" s="19">
        <f t="shared" si="37"/>
        <v>5.3147210000000005</v>
      </c>
      <c r="D88" s="19">
        <f t="shared" si="39"/>
        <v>5.2647210000000007</v>
      </c>
      <c r="E88" s="19">
        <f t="shared" si="34"/>
        <v>5.3147210000000005</v>
      </c>
      <c r="F88" s="2">
        <f t="shared" si="43"/>
        <v>2.75E-2</v>
      </c>
      <c r="G88" s="15">
        <f t="shared" si="38"/>
        <v>2.75E-2</v>
      </c>
      <c r="H88" s="3">
        <v>31</v>
      </c>
      <c r="I88" s="12">
        <v>-8.2750026104823515E-2</v>
      </c>
      <c r="K88" s="44">
        <v>1.4499999999999957E-2</v>
      </c>
      <c r="L88" s="76">
        <f t="shared" si="41"/>
        <v>0.37304405775638655</v>
      </c>
      <c r="M88" s="8">
        <f t="shared" si="29"/>
        <v>0.73480000000000001</v>
      </c>
      <c r="N88" s="11">
        <f t="shared" si="30"/>
        <v>0.37304405775638655</v>
      </c>
      <c r="O88" s="3">
        <f t="shared" si="42"/>
        <v>4.7699999999999999E-2</v>
      </c>
      <c r="P88" s="3">
        <f t="shared" si="32"/>
        <v>3.0700000000000002E-2</v>
      </c>
      <c r="R88" s="3">
        <f>Transport!F88</f>
        <v>8730</v>
      </c>
      <c r="S88" s="3">
        <f>Transport!G88</f>
        <v>10361</v>
      </c>
      <c r="T88" s="3">
        <f>Transport!H88</f>
        <v>15909</v>
      </c>
      <c r="U88" s="3">
        <f>Transport!I88</f>
        <v>2830</v>
      </c>
      <c r="V88" s="3">
        <f>Transport!J88</f>
        <v>3500</v>
      </c>
      <c r="W88" s="3">
        <f>Transport!K88</f>
        <v>1521</v>
      </c>
      <c r="X88" s="3">
        <f>Transport!L88</f>
        <v>1001</v>
      </c>
    </row>
    <row r="89" spans="1:24" x14ac:dyDescent="0.2">
      <c r="A89" s="10">
        <f t="shared" si="40"/>
        <v>38303.999999999796</v>
      </c>
      <c r="B89" s="19">
        <f t="shared" si="44"/>
        <v>3.4899480000000005</v>
      </c>
      <c r="C89" s="19">
        <f t="shared" si="37"/>
        <v>3.5499480000000005</v>
      </c>
      <c r="D89" s="19">
        <f t="shared" si="39"/>
        <v>3.4999480000000007</v>
      </c>
      <c r="E89" s="19">
        <f t="shared" si="34"/>
        <v>3.5499480000000005</v>
      </c>
      <c r="F89" s="2">
        <f t="shared" si="43"/>
        <v>2.75E-2</v>
      </c>
      <c r="G89" s="15">
        <f t="shared" si="38"/>
        <v>2.75E-2</v>
      </c>
      <c r="H89" s="3">
        <v>30</v>
      </c>
      <c r="I89" s="12">
        <v>-0.12772224929389031</v>
      </c>
      <c r="K89" s="44">
        <v>1.9499999999999851E-2</v>
      </c>
      <c r="L89" s="76">
        <f t="shared" si="41"/>
        <v>0.37304405775638655</v>
      </c>
      <c r="M89" s="8">
        <f t="shared" si="29"/>
        <v>0.73480000000000001</v>
      </c>
      <c r="N89" s="11">
        <f t="shared" si="30"/>
        <v>0.37304405775638655</v>
      </c>
      <c r="O89" s="3">
        <f t="shared" si="42"/>
        <v>4.7699999999999999E-2</v>
      </c>
      <c r="P89" s="3">
        <f t="shared" si="32"/>
        <v>3.0700000000000002E-2</v>
      </c>
      <c r="R89" s="3">
        <f>Transport!F89</f>
        <v>4926</v>
      </c>
      <c r="S89" s="3">
        <f>Transport!G89</f>
        <v>5732</v>
      </c>
      <c r="T89" s="3">
        <f>Transport!H89</f>
        <v>9342</v>
      </c>
      <c r="U89" s="3">
        <f>Transport!I89</f>
        <v>2563</v>
      </c>
      <c r="V89" s="3">
        <f>Transport!J89</f>
        <v>2862</v>
      </c>
      <c r="W89" s="3">
        <f>Transport!K89</f>
        <v>1685</v>
      </c>
      <c r="X89" s="3">
        <f>Transport!L89</f>
        <v>683</v>
      </c>
    </row>
    <row r="90" spans="1:24" x14ac:dyDescent="0.2">
      <c r="A90" s="10">
        <f t="shared" si="40"/>
        <v>38334.416666666461</v>
      </c>
      <c r="B90" s="19">
        <f t="shared" si="44"/>
        <v>2.5922600000000009</v>
      </c>
      <c r="C90" s="19">
        <f t="shared" si="37"/>
        <v>2.652260000000001</v>
      </c>
      <c r="D90" s="19">
        <f t="shared" si="39"/>
        <v>2.6022600000000011</v>
      </c>
      <c r="E90" s="19">
        <f t="shared" si="34"/>
        <v>2.652260000000001</v>
      </c>
      <c r="F90" s="2">
        <f t="shared" si="43"/>
        <v>2.75E-2</v>
      </c>
      <c r="G90" s="15">
        <f t="shared" si="38"/>
        <v>2.75E-2</v>
      </c>
      <c r="H90" s="3">
        <v>31</v>
      </c>
      <c r="I90" s="12">
        <v>-0.16268475059913134</v>
      </c>
      <c r="K90" s="44">
        <v>2.4500000000000188E-2</v>
      </c>
      <c r="L90" s="76">
        <f t="shared" si="41"/>
        <v>0.37304405775638655</v>
      </c>
      <c r="M90" s="8">
        <f t="shared" ref="M90:M121" si="45">M89</f>
        <v>0.73480000000000001</v>
      </c>
      <c r="N90" s="11">
        <f t="shared" si="30"/>
        <v>0.37304405775638655</v>
      </c>
      <c r="O90" s="3">
        <f t="shared" si="42"/>
        <v>4.7699999999999999E-2</v>
      </c>
      <c r="P90" s="3">
        <f t="shared" si="32"/>
        <v>3.0700000000000002E-2</v>
      </c>
      <c r="R90" s="3">
        <f>Transport!F90</f>
        <v>4926</v>
      </c>
      <c r="S90" s="3">
        <f>Transport!G90</f>
        <v>5732</v>
      </c>
      <c r="T90" s="3">
        <f>Transport!H90</f>
        <v>9342</v>
      </c>
      <c r="U90" s="3">
        <f>Transport!I90</f>
        <v>2563</v>
      </c>
      <c r="V90" s="3">
        <f>Transport!J90</f>
        <v>2862</v>
      </c>
      <c r="W90" s="3">
        <f>Transport!K90</f>
        <v>1685</v>
      </c>
      <c r="X90" s="3">
        <f>Transport!L90</f>
        <v>683</v>
      </c>
    </row>
    <row r="91" spans="1:24" s="81" customFormat="1" x14ac:dyDescent="0.2">
      <c r="A91" s="77">
        <f t="shared" si="40"/>
        <v>38364.833333333125</v>
      </c>
      <c r="B91" s="78">
        <f t="shared" si="44"/>
        <v>2.2787832700000004</v>
      </c>
      <c r="C91" s="78">
        <f t="shared" si="37"/>
        <v>2.3387832700000004</v>
      </c>
      <c r="D91" s="78">
        <f t="shared" si="39"/>
        <v>2.2887832700000006</v>
      </c>
      <c r="E91" s="78">
        <f t="shared" si="34"/>
        <v>2.3387832700000004</v>
      </c>
      <c r="F91" s="79">
        <f t="shared" si="43"/>
        <v>2.75E-2</v>
      </c>
      <c r="G91" s="80">
        <f t="shared" si="38"/>
        <v>2.75E-2</v>
      </c>
      <c r="H91" s="81">
        <v>31</v>
      </c>
      <c r="I91" s="82">
        <v>-0.14766114030983823</v>
      </c>
      <c r="K91" s="83">
        <v>2.4500000000000188E-2</v>
      </c>
      <c r="L91" s="84">
        <f>('[1]062'!$P$56*1000)/('[1]062'!$P$50*[1]Assumptions!$P$9)</f>
        <v>0.39808663457978527</v>
      </c>
      <c r="M91" s="85">
        <f t="shared" si="45"/>
        <v>0.73480000000000001</v>
      </c>
      <c r="N91" s="87">
        <f t="shared" si="30"/>
        <v>0.39808663457978527</v>
      </c>
      <c r="O91" s="81">
        <f t="shared" si="42"/>
        <v>4.7699999999999999E-2</v>
      </c>
      <c r="P91" s="81">
        <f t="shared" si="32"/>
        <v>3.0700000000000002E-2</v>
      </c>
      <c r="R91" s="81">
        <f>Transport!F91</f>
        <v>4926</v>
      </c>
      <c r="S91" s="81">
        <f>Transport!G91</f>
        <v>5732</v>
      </c>
      <c r="T91" s="81">
        <f>Transport!H91</f>
        <v>9342</v>
      </c>
      <c r="U91" s="81">
        <f>Transport!I91</f>
        <v>2563</v>
      </c>
      <c r="V91" s="81">
        <f>Transport!J91</f>
        <v>2862</v>
      </c>
      <c r="W91" s="81">
        <f>Transport!K91</f>
        <v>1685</v>
      </c>
      <c r="X91" s="81">
        <f>Transport!L91</f>
        <v>683</v>
      </c>
    </row>
    <row r="92" spans="1:24" x14ac:dyDescent="0.2">
      <c r="A92" s="10">
        <f t="shared" si="40"/>
        <v>38395.249999999789</v>
      </c>
      <c r="B92" s="19">
        <f t="shared" si="44"/>
        <v>2.5569645400000001</v>
      </c>
      <c r="C92" s="19">
        <f t="shared" ref="C92:C107" si="46">C80*1.01</f>
        <v>2.6169645400000001</v>
      </c>
      <c r="D92" s="19">
        <f t="shared" si="39"/>
        <v>2.5669645400000003</v>
      </c>
      <c r="E92" s="19">
        <f t="shared" si="34"/>
        <v>2.6169645400000001</v>
      </c>
      <c r="F92" s="2">
        <f t="shared" si="43"/>
        <v>2.75E-2</v>
      </c>
      <c r="G92" s="15">
        <f t="shared" si="38"/>
        <v>2.75E-2</v>
      </c>
      <c r="H92" s="3">
        <v>28</v>
      </c>
      <c r="I92" s="12">
        <v>-0.14768891712077092</v>
      </c>
      <c r="K92" s="44">
        <v>2.4500000000000188E-2</v>
      </c>
      <c r="L92" s="76">
        <f t="shared" si="41"/>
        <v>0.39808663457978527</v>
      </c>
      <c r="M92" s="8">
        <f t="shared" si="45"/>
        <v>0.73480000000000001</v>
      </c>
      <c r="N92" s="11">
        <f t="shared" si="30"/>
        <v>0.39808663457978527</v>
      </c>
      <c r="O92" s="3">
        <f t="shared" si="42"/>
        <v>4.7699999999999999E-2</v>
      </c>
      <c r="P92" s="3">
        <f t="shared" si="32"/>
        <v>3.0700000000000002E-2</v>
      </c>
      <c r="R92" s="3">
        <f>Transport!F92</f>
        <v>4926</v>
      </c>
      <c r="S92" s="3">
        <f>Transport!G92</f>
        <v>5732</v>
      </c>
      <c r="T92" s="3">
        <f>Transport!H92</f>
        <v>9342</v>
      </c>
      <c r="U92" s="3">
        <f>Transport!I92</f>
        <v>2563</v>
      </c>
      <c r="V92" s="3">
        <f>Transport!J92</f>
        <v>2862</v>
      </c>
      <c r="W92" s="3">
        <f>Transport!K92</f>
        <v>1685</v>
      </c>
      <c r="X92" s="3">
        <f>Transport!L92</f>
        <v>683</v>
      </c>
    </row>
    <row r="93" spans="1:24" x14ac:dyDescent="0.2">
      <c r="A93" s="10">
        <f t="shared" si="40"/>
        <v>38425.666666666453</v>
      </c>
      <c r="B93" s="19">
        <f t="shared" si="44"/>
        <v>2.5569645400000001</v>
      </c>
      <c r="C93" s="19">
        <f t="shared" si="46"/>
        <v>2.6169645400000001</v>
      </c>
      <c r="D93" s="19">
        <f t="shared" si="39"/>
        <v>2.5669645400000003</v>
      </c>
      <c r="E93" s="19">
        <f t="shared" si="34"/>
        <v>2.6169645400000001</v>
      </c>
      <c r="F93" s="2">
        <f t="shared" si="43"/>
        <v>2.75E-2</v>
      </c>
      <c r="G93" s="15">
        <f t="shared" si="38"/>
        <v>2.75E-2</v>
      </c>
      <c r="H93" s="3">
        <v>31</v>
      </c>
      <c r="I93" s="12">
        <v>-0.12272467976484736</v>
      </c>
      <c r="K93" s="44">
        <v>1.9500000000000295E-2</v>
      </c>
      <c r="L93" s="76">
        <f t="shared" si="41"/>
        <v>0.39808663457978527</v>
      </c>
      <c r="M93" s="8">
        <f t="shared" si="45"/>
        <v>0.73480000000000001</v>
      </c>
      <c r="N93" s="11">
        <f t="shared" si="30"/>
        <v>0.39808663457978527</v>
      </c>
      <c r="O93" s="3">
        <f t="shared" si="42"/>
        <v>4.7699999999999999E-2</v>
      </c>
      <c r="P93" s="3">
        <f t="shared" si="32"/>
        <v>3.0700000000000002E-2</v>
      </c>
      <c r="R93" s="3">
        <f>Transport!F93</f>
        <v>4926</v>
      </c>
      <c r="S93" s="3">
        <f>Transport!G93</f>
        <v>5732</v>
      </c>
      <c r="T93" s="3">
        <f>Transport!H93</f>
        <v>9342</v>
      </c>
      <c r="U93" s="3">
        <f>Transport!I93</f>
        <v>2563</v>
      </c>
      <c r="V93" s="3">
        <f>Transport!J93</f>
        <v>2862</v>
      </c>
      <c r="W93" s="3">
        <f>Transport!K93</f>
        <v>1685</v>
      </c>
      <c r="X93" s="3">
        <f>Transport!L93</f>
        <v>683</v>
      </c>
    </row>
    <row r="94" spans="1:24" x14ac:dyDescent="0.2">
      <c r="A94" s="10">
        <f t="shared" si="40"/>
        <v>38456.083333333117</v>
      </c>
      <c r="B94" s="19">
        <f t="shared" si="44"/>
        <v>2.8351458100000007</v>
      </c>
      <c r="C94" s="19">
        <f t="shared" si="46"/>
        <v>2.8951458100000007</v>
      </c>
      <c r="D94" s="19">
        <f t="shared" si="39"/>
        <v>2.8451458100000009</v>
      </c>
      <c r="E94" s="19">
        <f t="shared" si="34"/>
        <v>2.8951458100000007</v>
      </c>
      <c r="F94" s="2">
        <f t="shared" si="43"/>
        <v>2.75E-2</v>
      </c>
      <c r="G94" s="15">
        <f t="shared" si="38"/>
        <v>2.75E-2</v>
      </c>
      <c r="H94" s="3">
        <v>30</v>
      </c>
      <c r="I94" s="12">
        <v>-7.3241693061542712E-2</v>
      </c>
      <c r="K94" s="44">
        <v>5.9999999999997833E-3</v>
      </c>
      <c r="L94" s="76">
        <f t="shared" si="41"/>
        <v>0.39808663457978527</v>
      </c>
      <c r="M94" s="8">
        <f t="shared" si="45"/>
        <v>0.73480000000000001</v>
      </c>
      <c r="N94" s="11">
        <f t="shared" si="30"/>
        <v>0.39808663457978527</v>
      </c>
      <c r="O94" s="3">
        <f t="shared" si="42"/>
        <v>4.7699999999999999E-2</v>
      </c>
      <c r="P94" s="3">
        <f t="shared" si="32"/>
        <v>3.0700000000000002E-2</v>
      </c>
      <c r="R94" s="3">
        <f>Transport!F94</f>
        <v>6933</v>
      </c>
      <c r="S94" s="3">
        <f>Transport!G94</f>
        <v>8798</v>
      </c>
      <c r="T94" s="3">
        <f>Transport!H94</f>
        <v>14269</v>
      </c>
      <c r="U94" s="3">
        <f>Transport!I94</f>
        <v>1880</v>
      </c>
      <c r="V94" s="3">
        <f>Transport!J94</f>
        <v>2073</v>
      </c>
      <c r="W94" s="3">
        <f>Transport!K94</f>
        <v>1258</v>
      </c>
      <c r="X94" s="3">
        <f>Transport!L94</f>
        <v>683</v>
      </c>
    </row>
    <row r="95" spans="1:24" x14ac:dyDescent="0.2">
      <c r="A95" s="10">
        <f t="shared" si="40"/>
        <v>38486.499999999782</v>
      </c>
      <c r="B95" s="19">
        <f t="shared" si="44"/>
        <v>3.0309030000000008</v>
      </c>
      <c r="C95" s="19">
        <f t="shared" si="46"/>
        <v>3.0909030000000008</v>
      </c>
      <c r="D95" s="19">
        <f t="shared" si="39"/>
        <v>3.040903000000001</v>
      </c>
      <c r="E95" s="19">
        <f t="shared" si="34"/>
        <v>3.0909030000000008</v>
      </c>
      <c r="F95" s="2">
        <f t="shared" si="43"/>
        <v>2.75E-2</v>
      </c>
      <c r="G95" s="15">
        <f t="shared" si="38"/>
        <v>2.75E-2</v>
      </c>
      <c r="H95" s="3">
        <v>31</v>
      </c>
      <c r="I95" s="12">
        <v>-7.3714392825075414E-2</v>
      </c>
      <c r="K95" s="44">
        <v>5.9999999999997833E-3</v>
      </c>
      <c r="L95" s="76">
        <f t="shared" si="41"/>
        <v>0.39808663457978527</v>
      </c>
      <c r="M95" s="8">
        <f t="shared" si="45"/>
        <v>0.73480000000000001</v>
      </c>
      <c r="N95" s="11">
        <f t="shared" ref="N95:N126" si="47">L95</f>
        <v>0.39808663457978527</v>
      </c>
      <c r="O95" s="3">
        <f t="shared" si="42"/>
        <v>4.7699999999999999E-2</v>
      </c>
      <c r="P95" s="3">
        <f t="shared" si="32"/>
        <v>3.0700000000000002E-2</v>
      </c>
      <c r="R95" s="3">
        <f>Transport!F95</f>
        <v>8730</v>
      </c>
      <c r="S95" s="3">
        <f>Transport!G95</f>
        <v>10761</v>
      </c>
      <c r="T95" s="3">
        <f>Transport!H95</f>
        <v>15509</v>
      </c>
      <c r="U95" s="3">
        <f>Transport!I95</f>
        <v>1880</v>
      </c>
      <c r="V95" s="3">
        <f>Transport!J95</f>
        <v>2295</v>
      </c>
      <c r="W95" s="3">
        <f>Transport!K95</f>
        <v>1036</v>
      </c>
      <c r="X95" s="3">
        <f>Transport!L95</f>
        <v>683</v>
      </c>
    </row>
    <row r="96" spans="1:24" x14ac:dyDescent="0.2">
      <c r="A96" s="10">
        <f t="shared" si="40"/>
        <v>38516.916666666446</v>
      </c>
      <c r="B96" s="19">
        <f t="shared" si="44"/>
        <v>4.3805973099999997</v>
      </c>
      <c r="C96" s="19">
        <f t="shared" si="46"/>
        <v>4.4405973099999994</v>
      </c>
      <c r="D96" s="19">
        <f t="shared" si="39"/>
        <v>4.3905973099999995</v>
      </c>
      <c r="E96" s="19">
        <f t="shared" si="34"/>
        <v>4.4405973099999994</v>
      </c>
      <c r="F96" s="2">
        <f t="shared" si="43"/>
        <v>2.75E-2</v>
      </c>
      <c r="G96" s="15">
        <f t="shared" si="38"/>
        <v>2.75E-2</v>
      </c>
      <c r="H96" s="3">
        <v>30</v>
      </c>
      <c r="I96" s="12">
        <v>-7.3713733528734338E-2</v>
      </c>
      <c r="K96" s="44">
        <v>5.9999999999997833E-3</v>
      </c>
      <c r="L96" s="76">
        <f t="shared" si="41"/>
        <v>0.39808663457978527</v>
      </c>
      <c r="M96" s="8">
        <f t="shared" si="45"/>
        <v>0.73480000000000001</v>
      </c>
      <c r="N96" s="11">
        <f t="shared" si="47"/>
        <v>0.39808663457978527</v>
      </c>
      <c r="O96" s="3">
        <f t="shared" si="42"/>
        <v>4.7699999999999999E-2</v>
      </c>
      <c r="P96" s="3">
        <f t="shared" si="32"/>
        <v>3.0700000000000002E-2</v>
      </c>
      <c r="R96" s="3">
        <f>Transport!F96</f>
        <v>8730</v>
      </c>
      <c r="S96" s="3">
        <f>Transport!G96</f>
        <v>10761</v>
      </c>
      <c r="T96" s="3">
        <f>Transport!H96</f>
        <v>15509</v>
      </c>
      <c r="U96" s="3">
        <f>Transport!I96</f>
        <v>1880</v>
      </c>
      <c r="V96" s="3">
        <f>Transport!J96</f>
        <v>2295</v>
      </c>
      <c r="W96" s="3">
        <f>Transport!K96</f>
        <v>1036</v>
      </c>
      <c r="X96" s="3">
        <f>Transport!L96</f>
        <v>683</v>
      </c>
    </row>
    <row r="97" spans="1:24" x14ac:dyDescent="0.2">
      <c r="A97" s="10">
        <f t="shared" ref="A97:A112" si="48">+A96+365/12</f>
        <v>38547.33333333311</v>
      </c>
      <c r="B97" s="19">
        <f t="shared" si="44"/>
        <v>4.3702943000000003</v>
      </c>
      <c r="C97" s="19">
        <f t="shared" si="46"/>
        <v>4.4302942999999999</v>
      </c>
      <c r="D97" s="19">
        <f t="shared" si="39"/>
        <v>4.3802943000000001</v>
      </c>
      <c r="E97" s="19">
        <f t="shared" si="34"/>
        <v>4.4302942999999999</v>
      </c>
      <c r="F97" s="2">
        <f t="shared" si="43"/>
        <v>2.75E-2</v>
      </c>
      <c r="G97" s="15">
        <f t="shared" si="38"/>
        <v>2.75E-2</v>
      </c>
      <c r="H97" s="3">
        <v>31</v>
      </c>
      <c r="I97" s="12">
        <v>-7.8213337950929773E-2</v>
      </c>
      <c r="K97" s="44">
        <v>9.4999999999998419E-3</v>
      </c>
      <c r="L97" s="76">
        <f t="shared" si="41"/>
        <v>0.39808663457978527</v>
      </c>
      <c r="M97" s="8">
        <f t="shared" si="45"/>
        <v>0.73480000000000001</v>
      </c>
      <c r="N97" s="11">
        <f t="shared" si="47"/>
        <v>0.39808663457978527</v>
      </c>
      <c r="O97" s="3">
        <f t="shared" si="42"/>
        <v>4.7699999999999999E-2</v>
      </c>
      <c r="P97" s="3">
        <f t="shared" si="32"/>
        <v>3.0700000000000002E-2</v>
      </c>
      <c r="R97" s="3">
        <f>Transport!F97</f>
        <v>8730</v>
      </c>
      <c r="S97" s="3">
        <f>Transport!G97</f>
        <v>10761</v>
      </c>
      <c r="T97" s="3">
        <f>Transport!H97</f>
        <v>15509</v>
      </c>
      <c r="U97" s="3">
        <f>Transport!I97</f>
        <v>1880</v>
      </c>
      <c r="V97" s="3">
        <f>Transport!J97</f>
        <v>2295</v>
      </c>
      <c r="W97" s="3">
        <f>Transport!K97</f>
        <v>1036</v>
      </c>
      <c r="X97" s="3">
        <f>Transport!L97</f>
        <v>683</v>
      </c>
    </row>
    <row r="98" spans="1:24" x14ac:dyDescent="0.2">
      <c r="A98" s="10">
        <f t="shared" si="48"/>
        <v>38577.749999999774</v>
      </c>
      <c r="B98" s="19">
        <f t="shared" si="44"/>
        <v>3.81393176</v>
      </c>
      <c r="C98" s="19">
        <f t="shared" si="46"/>
        <v>3.8739317600000001</v>
      </c>
      <c r="D98" s="19">
        <f t="shared" si="39"/>
        <v>3.8239317600000002</v>
      </c>
      <c r="E98" s="19">
        <f t="shared" si="34"/>
        <v>3.8739317600000001</v>
      </c>
      <c r="F98" s="2">
        <f t="shared" si="43"/>
        <v>2.75E-2</v>
      </c>
      <c r="G98" s="15">
        <f t="shared" si="38"/>
        <v>2.75E-2</v>
      </c>
      <c r="H98" s="3">
        <v>31</v>
      </c>
      <c r="I98" s="12">
        <v>-7.8212546795320304E-2</v>
      </c>
      <c r="K98" s="44">
        <v>9.4999999999996199E-3</v>
      </c>
      <c r="L98" s="76">
        <f t="shared" si="41"/>
        <v>0.39808663457978527</v>
      </c>
      <c r="M98" s="8">
        <f t="shared" si="45"/>
        <v>0.73480000000000001</v>
      </c>
      <c r="N98" s="11">
        <f t="shared" si="47"/>
        <v>0.39808663457978527</v>
      </c>
      <c r="O98" s="3">
        <f t="shared" si="42"/>
        <v>4.7699999999999999E-2</v>
      </c>
      <c r="P98" s="3">
        <f t="shared" ref="P98:P129" si="49">P97</f>
        <v>3.0700000000000002E-2</v>
      </c>
      <c r="R98" s="3">
        <f>Transport!F98</f>
        <v>8730</v>
      </c>
      <c r="S98" s="3">
        <f>Transport!G98</f>
        <v>10761</v>
      </c>
      <c r="T98" s="3">
        <f>Transport!H98</f>
        <v>15509</v>
      </c>
      <c r="U98" s="3">
        <f>Transport!I98</f>
        <v>1880</v>
      </c>
      <c r="V98" s="3">
        <f>Transport!J98</f>
        <v>2295</v>
      </c>
      <c r="W98" s="3">
        <f>Transport!K98</f>
        <v>1036</v>
      </c>
      <c r="X98" s="3">
        <f>Transport!L98</f>
        <v>683</v>
      </c>
    </row>
    <row r="99" spans="1:24" x14ac:dyDescent="0.2">
      <c r="A99" s="10">
        <f t="shared" si="48"/>
        <v>38608.166666666439</v>
      </c>
      <c r="B99" s="19">
        <f t="shared" si="44"/>
        <v>4.6072635300000009</v>
      </c>
      <c r="C99" s="19">
        <f t="shared" si="46"/>
        <v>4.6672635300000005</v>
      </c>
      <c r="D99" s="19">
        <f t="shared" si="39"/>
        <v>4.6172635300000007</v>
      </c>
      <c r="E99" s="19">
        <f t="shared" si="34"/>
        <v>4.6672635300000005</v>
      </c>
      <c r="F99" s="2">
        <f t="shared" si="43"/>
        <v>2.75E-2</v>
      </c>
      <c r="G99" s="15">
        <f t="shared" si="38"/>
        <v>2.75E-2</v>
      </c>
      <c r="H99" s="3">
        <v>30</v>
      </c>
      <c r="I99" s="12">
        <v>-7.821122820263815E-2</v>
      </c>
      <c r="K99" s="44">
        <v>9.4999999999996199E-3</v>
      </c>
      <c r="L99" s="76">
        <f t="shared" si="41"/>
        <v>0.39808663457978527</v>
      </c>
      <c r="M99" s="8">
        <f t="shared" si="45"/>
        <v>0.73480000000000001</v>
      </c>
      <c r="N99" s="11">
        <f t="shared" si="47"/>
        <v>0.39808663457978527</v>
      </c>
      <c r="O99" s="3">
        <f t="shared" si="42"/>
        <v>4.7699999999999999E-2</v>
      </c>
      <c r="P99" s="3">
        <f t="shared" si="49"/>
        <v>3.0700000000000002E-2</v>
      </c>
      <c r="R99" s="3">
        <f>Transport!F99</f>
        <v>8730</v>
      </c>
      <c r="S99" s="3">
        <f>Transport!G99</f>
        <v>10761</v>
      </c>
      <c r="T99" s="3">
        <f>Transport!H99</f>
        <v>15509</v>
      </c>
      <c r="U99" s="3">
        <f>Transport!I99</f>
        <v>1880</v>
      </c>
      <c r="V99" s="3">
        <f>Transport!J99</f>
        <v>2295</v>
      </c>
      <c r="W99" s="3">
        <f>Transport!K99</f>
        <v>1036</v>
      </c>
      <c r="X99" s="3">
        <f>Transport!L99</f>
        <v>683</v>
      </c>
    </row>
    <row r="100" spans="1:24" x14ac:dyDescent="0.2">
      <c r="A100" s="10">
        <f t="shared" si="48"/>
        <v>38638.583333333103</v>
      </c>
      <c r="B100" s="19">
        <f t="shared" si="44"/>
        <v>5.3078682100000005</v>
      </c>
      <c r="C100" s="19">
        <f t="shared" si="46"/>
        <v>5.3678682100000001</v>
      </c>
      <c r="D100" s="19">
        <f t="shared" si="39"/>
        <v>5.3178682100000003</v>
      </c>
      <c r="E100" s="19">
        <f t="shared" si="34"/>
        <v>5.3678682100000001</v>
      </c>
      <c r="F100" s="2">
        <f t="shared" si="43"/>
        <v>2.75E-2</v>
      </c>
      <c r="G100" s="15">
        <f t="shared" si="38"/>
        <v>2.75E-2</v>
      </c>
      <c r="H100" s="3">
        <v>31</v>
      </c>
      <c r="I100" s="12">
        <v>-8.2731971177716357E-2</v>
      </c>
      <c r="K100" s="44">
        <v>1.4499999999999957E-2</v>
      </c>
      <c r="L100" s="76">
        <f t="shared" si="41"/>
        <v>0.39808663457978527</v>
      </c>
      <c r="M100" s="8">
        <f t="shared" si="45"/>
        <v>0.73480000000000001</v>
      </c>
      <c r="N100" s="11">
        <f t="shared" si="47"/>
        <v>0.39808663457978527</v>
      </c>
      <c r="O100" s="3">
        <f t="shared" si="42"/>
        <v>4.7699999999999999E-2</v>
      </c>
      <c r="P100" s="3">
        <f t="shared" si="49"/>
        <v>3.0700000000000002E-2</v>
      </c>
      <c r="R100" s="3">
        <f>Transport!F100</f>
        <v>8730</v>
      </c>
      <c r="S100" s="3">
        <f>Transport!G100</f>
        <v>10361</v>
      </c>
      <c r="T100" s="3">
        <f>Transport!H100</f>
        <v>15909</v>
      </c>
      <c r="U100" s="3">
        <f>Transport!I100</f>
        <v>2830</v>
      </c>
      <c r="V100" s="3">
        <f>Transport!J100</f>
        <v>3500</v>
      </c>
      <c r="W100" s="3">
        <f>Transport!K100</f>
        <v>1521</v>
      </c>
      <c r="X100" s="3">
        <f>Transport!L100</f>
        <v>1001</v>
      </c>
    </row>
    <row r="101" spans="1:24" x14ac:dyDescent="0.2">
      <c r="A101" s="10">
        <f t="shared" si="48"/>
        <v>38668.999999999767</v>
      </c>
      <c r="B101" s="19">
        <f t="shared" si="44"/>
        <v>3.5254474800000004</v>
      </c>
      <c r="C101" s="19">
        <f t="shared" si="46"/>
        <v>3.5854474800000005</v>
      </c>
      <c r="D101" s="19">
        <f t="shared" si="39"/>
        <v>3.5354474800000006</v>
      </c>
      <c r="E101" s="19">
        <f t="shared" ref="E101:E132" si="50">C101</f>
        <v>3.5854474800000005</v>
      </c>
      <c r="F101" s="2">
        <f t="shared" si="43"/>
        <v>2.75E-2</v>
      </c>
      <c r="G101" s="15">
        <f t="shared" si="38"/>
        <v>2.75E-2</v>
      </c>
      <c r="H101" s="3">
        <v>30</v>
      </c>
      <c r="I101" s="12">
        <v>-0.12770419436678448</v>
      </c>
      <c r="K101" s="44">
        <v>1.9499999999999851E-2</v>
      </c>
      <c r="L101" s="76">
        <f t="shared" si="41"/>
        <v>0.39808663457978527</v>
      </c>
      <c r="M101" s="8">
        <f t="shared" si="45"/>
        <v>0.73480000000000001</v>
      </c>
      <c r="N101" s="11">
        <f t="shared" si="47"/>
        <v>0.39808663457978527</v>
      </c>
      <c r="O101" s="3">
        <f t="shared" si="42"/>
        <v>4.7699999999999999E-2</v>
      </c>
      <c r="P101" s="3">
        <f t="shared" si="49"/>
        <v>3.0700000000000002E-2</v>
      </c>
      <c r="R101" s="3">
        <f>Transport!F101</f>
        <v>4926</v>
      </c>
      <c r="S101" s="3">
        <f>Transport!G101</f>
        <v>5732</v>
      </c>
      <c r="T101" s="3">
        <f>Transport!H101</f>
        <v>9342</v>
      </c>
      <c r="U101" s="3">
        <f>Transport!I101</f>
        <v>2563</v>
      </c>
      <c r="V101" s="3">
        <f>Transport!J101</f>
        <v>2862</v>
      </c>
      <c r="W101" s="3">
        <f>Transport!K101</f>
        <v>1685</v>
      </c>
      <c r="X101" s="3">
        <f>Transport!L101</f>
        <v>683</v>
      </c>
    </row>
    <row r="102" spans="1:24" x14ac:dyDescent="0.2">
      <c r="A102" s="10">
        <f t="shared" si="48"/>
        <v>38699.416666666431</v>
      </c>
      <c r="B102" s="19">
        <f t="shared" si="44"/>
        <v>2.6187826000000007</v>
      </c>
      <c r="C102" s="19">
        <f t="shared" si="46"/>
        <v>2.6787826000000008</v>
      </c>
      <c r="D102" s="19">
        <f t="shared" si="39"/>
        <v>2.628782600000001</v>
      </c>
      <c r="E102" s="19">
        <f t="shared" si="50"/>
        <v>2.6787826000000008</v>
      </c>
      <c r="F102" s="2">
        <f t="shared" ref="F102:F117" si="51">+F101</f>
        <v>2.75E-2</v>
      </c>
      <c r="G102" s="15">
        <f t="shared" si="38"/>
        <v>2.75E-2</v>
      </c>
      <c r="H102" s="3">
        <v>31</v>
      </c>
      <c r="I102" s="12">
        <v>-0.16266669567202507</v>
      </c>
      <c r="K102" s="44">
        <v>2.4500000000000188E-2</v>
      </c>
      <c r="L102" s="76">
        <f t="shared" si="41"/>
        <v>0.39808663457978527</v>
      </c>
      <c r="M102" s="8">
        <f t="shared" si="45"/>
        <v>0.73480000000000001</v>
      </c>
      <c r="N102" s="11">
        <f t="shared" si="47"/>
        <v>0.39808663457978527</v>
      </c>
      <c r="O102" s="3">
        <f t="shared" si="42"/>
        <v>4.7699999999999999E-2</v>
      </c>
      <c r="P102" s="3">
        <f t="shared" si="49"/>
        <v>3.0700000000000002E-2</v>
      </c>
      <c r="R102" s="3">
        <f>Transport!F102</f>
        <v>4926</v>
      </c>
      <c r="S102" s="3">
        <f>Transport!G102</f>
        <v>5732</v>
      </c>
      <c r="T102" s="3">
        <f>Transport!H102</f>
        <v>9342</v>
      </c>
      <c r="U102" s="3">
        <f>Transport!I102</f>
        <v>2563</v>
      </c>
      <c r="V102" s="3">
        <f>Transport!J102</f>
        <v>2862</v>
      </c>
      <c r="W102" s="3">
        <f>Transport!K102</f>
        <v>1685</v>
      </c>
      <c r="X102" s="3">
        <f>Transport!L102</f>
        <v>683</v>
      </c>
    </row>
    <row r="103" spans="1:24" s="81" customFormat="1" x14ac:dyDescent="0.2">
      <c r="A103" s="77">
        <f t="shared" si="48"/>
        <v>38729.833333333096</v>
      </c>
      <c r="B103" s="78">
        <f t="shared" ref="B103:B118" si="52">C103-0.06</f>
        <v>2.3021711027000005</v>
      </c>
      <c r="C103" s="78">
        <f t="shared" si="46"/>
        <v>2.3621711027000005</v>
      </c>
      <c r="D103" s="78">
        <f t="shared" si="39"/>
        <v>2.3121711027000007</v>
      </c>
      <c r="E103" s="78">
        <f t="shared" si="50"/>
        <v>2.3621711027000005</v>
      </c>
      <c r="F103" s="79">
        <f t="shared" si="51"/>
        <v>2.75E-2</v>
      </c>
      <c r="G103" s="80">
        <f t="shared" si="38"/>
        <v>2.75E-2</v>
      </c>
      <c r="H103" s="81">
        <v>31</v>
      </c>
      <c r="I103" s="82">
        <v>-0.14763440512931636</v>
      </c>
      <c r="K103" s="83">
        <v>2.4500000000000188E-2</v>
      </c>
      <c r="L103" s="84">
        <f>('[1]062'!$Q$56*1000)/('[1]062'!$Q$50*[1]Assumptions!$Q$9)</f>
        <v>0.39808663457978527</v>
      </c>
      <c r="M103" s="85">
        <f t="shared" si="45"/>
        <v>0.73480000000000001</v>
      </c>
      <c r="N103" s="87">
        <f t="shared" si="47"/>
        <v>0.39808663457978527</v>
      </c>
      <c r="O103" s="81">
        <f t="shared" si="42"/>
        <v>4.7699999999999999E-2</v>
      </c>
      <c r="P103" s="81">
        <f t="shared" si="49"/>
        <v>3.0700000000000002E-2</v>
      </c>
      <c r="R103" s="81">
        <f>Transport!F103</f>
        <v>4926</v>
      </c>
      <c r="S103" s="81">
        <f>Transport!G103</f>
        <v>5732</v>
      </c>
      <c r="T103" s="81">
        <f>Transport!H103</f>
        <v>9342</v>
      </c>
      <c r="U103" s="81">
        <f>Transport!I103</f>
        <v>2563</v>
      </c>
      <c r="V103" s="81">
        <f>Transport!J103</f>
        <v>2862</v>
      </c>
      <c r="W103" s="81">
        <f>Transport!K103</f>
        <v>1685</v>
      </c>
      <c r="X103" s="81">
        <f>Transport!L103</f>
        <v>683</v>
      </c>
    </row>
    <row r="104" spans="1:24" x14ac:dyDescent="0.2">
      <c r="A104" s="10">
        <f t="shared" si="48"/>
        <v>38760.24999999976</v>
      </c>
      <c r="B104" s="19">
        <f t="shared" si="52"/>
        <v>2.5831341854000001</v>
      </c>
      <c r="C104" s="19">
        <f t="shared" si="46"/>
        <v>2.6431341854000001</v>
      </c>
      <c r="D104" s="19">
        <f t="shared" si="39"/>
        <v>2.5931341854000003</v>
      </c>
      <c r="E104" s="19">
        <f t="shared" si="50"/>
        <v>2.6431341854000001</v>
      </c>
      <c r="F104" s="2">
        <f t="shared" si="51"/>
        <v>2.75E-2</v>
      </c>
      <c r="G104" s="15">
        <f t="shared" si="38"/>
        <v>2.75E-2</v>
      </c>
      <c r="H104" s="3">
        <v>28</v>
      </c>
      <c r="I104" s="12">
        <v>-0.1476621819402486</v>
      </c>
      <c r="K104" s="44">
        <v>2.4500000000000188E-2</v>
      </c>
      <c r="L104" s="76">
        <f t="shared" si="41"/>
        <v>0.39808663457978527</v>
      </c>
      <c r="M104" s="8">
        <f t="shared" si="45"/>
        <v>0.73480000000000001</v>
      </c>
      <c r="N104" s="11">
        <f t="shared" si="47"/>
        <v>0.39808663457978527</v>
      </c>
      <c r="O104" s="3">
        <f t="shared" si="42"/>
        <v>4.7699999999999999E-2</v>
      </c>
      <c r="P104" s="3">
        <f t="shared" si="49"/>
        <v>3.0700000000000002E-2</v>
      </c>
      <c r="R104" s="3">
        <f>Transport!F104</f>
        <v>4926</v>
      </c>
      <c r="S104" s="3">
        <f>Transport!G104</f>
        <v>5732</v>
      </c>
      <c r="T104" s="3">
        <f>Transport!H104</f>
        <v>9342</v>
      </c>
      <c r="U104" s="3">
        <f>Transport!I104</f>
        <v>2563</v>
      </c>
      <c r="V104" s="3">
        <f>Transport!J104</f>
        <v>2862</v>
      </c>
      <c r="W104" s="3">
        <f>Transport!K104</f>
        <v>1685</v>
      </c>
      <c r="X104" s="3">
        <f>Transport!L104</f>
        <v>683</v>
      </c>
    </row>
    <row r="105" spans="1:24" x14ac:dyDescent="0.2">
      <c r="A105" s="10">
        <f t="shared" si="48"/>
        <v>38790.666666666424</v>
      </c>
      <c r="B105" s="19">
        <f t="shared" si="52"/>
        <v>2.5831341854000001</v>
      </c>
      <c r="C105" s="19">
        <f t="shared" si="46"/>
        <v>2.6431341854000001</v>
      </c>
      <c r="D105" s="19">
        <f t="shared" si="39"/>
        <v>2.5931341854000003</v>
      </c>
      <c r="E105" s="19">
        <f t="shared" si="50"/>
        <v>2.6431341854000001</v>
      </c>
      <c r="F105" s="2">
        <f t="shared" si="51"/>
        <v>2.75E-2</v>
      </c>
      <c r="G105" s="15">
        <f t="shared" si="38"/>
        <v>2.75E-2</v>
      </c>
      <c r="H105" s="3">
        <v>31</v>
      </c>
      <c r="I105" s="12">
        <v>-0.12269794458432415</v>
      </c>
      <c r="K105" s="44">
        <v>1.9500000000000295E-2</v>
      </c>
      <c r="L105" s="76">
        <f t="shared" si="41"/>
        <v>0.39808663457978527</v>
      </c>
      <c r="M105" s="8">
        <f t="shared" si="45"/>
        <v>0.73480000000000001</v>
      </c>
      <c r="N105" s="11">
        <f t="shared" si="47"/>
        <v>0.39808663457978527</v>
      </c>
      <c r="O105" s="3">
        <f t="shared" si="42"/>
        <v>4.7699999999999999E-2</v>
      </c>
      <c r="P105" s="3">
        <f t="shared" si="49"/>
        <v>3.0700000000000002E-2</v>
      </c>
      <c r="R105" s="3">
        <f>Transport!F105</f>
        <v>4926</v>
      </c>
      <c r="S105" s="3">
        <f>Transport!G105</f>
        <v>5732</v>
      </c>
      <c r="T105" s="3">
        <f>Transport!H105</f>
        <v>9342</v>
      </c>
      <c r="U105" s="3">
        <f>Transport!I105</f>
        <v>2563</v>
      </c>
      <c r="V105" s="3">
        <f>Transport!J105</f>
        <v>2862</v>
      </c>
      <c r="W105" s="3">
        <f>Transport!K105</f>
        <v>1685</v>
      </c>
      <c r="X105" s="3">
        <f>Transport!L105</f>
        <v>683</v>
      </c>
    </row>
    <row r="106" spans="1:24" x14ac:dyDescent="0.2">
      <c r="A106" s="10">
        <f t="shared" si="48"/>
        <v>38821.083333333088</v>
      </c>
      <c r="B106" s="19">
        <f t="shared" si="52"/>
        <v>2.8640972681000005</v>
      </c>
      <c r="C106" s="19">
        <f t="shared" si="46"/>
        <v>2.9240972681000006</v>
      </c>
      <c r="D106" s="19">
        <f t="shared" si="39"/>
        <v>2.8740972681000008</v>
      </c>
      <c r="E106" s="19">
        <f t="shared" si="50"/>
        <v>2.9240972681000006</v>
      </c>
      <c r="F106" s="2">
        <f t="shared" si="51"/>
        <v>2.75E-2</v>
      </c>
      <c r="G106" s="15">
        <f t="shared" si="38"/>
        <v>2.75E-2</v>
      </c>
      <c r="H106" s="3">
        <v>30</v>
      </c>
      <c r="I106" s="12">
        <v>-7.3214957881019949E-2</v>
      </c>
      <c r="K106" s="44">
        <v>5.9999999999997833E-3</v>
      </c>
      <c r="L106" s="76">
        <f t="shared" si="41"/>
        <v>0.39808663457978527</v>
      </c>
      <c r="M106" s="8">
        <f t="shared" si="45"/>
        <v>0.73480000000000001</v>
      </c>
      <c r="N106" s="11">
        <f t="shared" si="47"/>
        <v>0.39808663457978527</v>
      </c>
      <c r="O106" s="3">
        <f t="shared" si="42"/>
        <v>4.7699999999999999E-2</v>
      </c>
      <c r="P106" s="3">
        <f t="shared" si="49"/>
        <v>3.0700000000000002E-2</v>
      </c>
      <c r="R106" s="3">
        <f>Transport!F106</f>
        <v>6933</v>
      </c>
      <c r="S106" s="3">
        <f>Transport!G106</f>
        <v>8798</v>
      </c>
      <c r="T106" s="3">
        <f>Transport!H106</f>
        <v>14269</v>
      </c>
      <c r="U106" s="3">
        <f>Transport!I106</f>
        <v>1880</v>
      </c>
      <c r="V106" s="3">
        <f>Transport!J106</f>
        <v>2073</v>
      </c>
      <c r="W106" s="3">
        <f>Transport!K106</f>
        <v>1258</v>
      </c>
      <c r="X106" s="3">
        <f>Transport!L106</f>
        <v>683</v>
      </c>
    </row>
    <row r="107" spans="1:24" x14ac:dyDescent="0.2">
      <c r="A107" s="10">
        <f t="shared" si="48"/>
        <v>38851.499999999753</v>
      </c>
      <c r="B107" s="19">
        <f t="shared" si="52"/>
        <v>3.0618120300000009</v>
      </c>
      <c r="C107" s="19">
        <f t="shared" si="46"/>
        <v>3.121812030000001</v>
      </c>
      <c r="D107" s="19">
        <f t="shared" si="39"/>
        <v>3.0718120300000011</v>
      </c>
      <c r="E107" s="19">
        <f t="shared" si="50"/>
        <v>3.121812030000001</v>
      </c>
      <c r="F107" s="2">
        <f t="shared" si="51"/>
        <v>2.75E-2</v>
      </c>
      <c r="G107" s="15">
        <f t="shared" si="38"/>
        <v>2.75E-2</v>
      </c>
      <c r="H107" s="3">
        <v>31</v>
      </c>
      <c r="I107" s="12">
        <v>-7.541524945607625E-2</v>
      </c>
      <c r="K107" s="44">
        <v>5.9999999999997833E-3</v>
      </c>
      <c r="L107" s="76">
        <f t="shared" si="41"/>
        <v>0.39808663457978527</v>
      </c>
      <c r="M107" s="8">
        <f t="shared" si="45"/>
        <v>0.73480000000000001</v>
      </c>
      <c r="N107" s="11">
        <f t="shared" si="47"/>
        <v>0.39808663457978527</v>
      </c>
      <c r="O107" s="3">
        <f t="shared" si="42"/>
        <v>4.7699999999999999E-2</v>
      </c>
      <c r="P107" s="3">
        <f t="shared" si="49"/>
        <v>3.0700000000000002E-2</v>
      </c>
      <c r="R107" s="3">
        <f>Transport!F107</f>
        <v>8730</v>
      </c>
      <c r="S107" s="3">
        <f>Transport!G107</f>
        <v>10761</v>
      </c>
      <c r="T107" s="3">
        <f>Transport!H107</f>
        <v>15509</v>
      </c>
      <c r="U107" s="3">
        <f>Transport!I107</f>
        <v>1880</v>
      </c>
      <c r="V107" s="3">
        <f>Transport!J107</f>
        <v>2295</v>
      </c>
      <c r="W107" s="3">
        <f>Transport!K107</f>
        <v>1036</v>
      </c>
      <c r="X107" s="3">
        <f>Transport!L107</f>
        <v>683</v>
      </c>
    </row>
    <row r="108" spans="1:24" x14ac:dyDescent="0.2">
      <c r="A108" s="10">
        <f t="shared" si="48"/>
        <v>38881.916666666417</v>
      </c>
      <c r="B108" s="19">
        <f t="shared" si="52"/>
        <v>4.4250032830999997</v>
      </c>
      <c r="C108" s="19">
        <f t="shared" ref="C108:C123" si="53">C96*1.01</f>
        <v>4.4850032830999993</v>
      </c>
      <c r="D108" s="19">
        <f t="shared" si="39"/>
        <v>4.4350032830999995</v>
      </c>
      <c r="E108" s="19">
        <f t="shared" si="50"/>
        <v>4.4850032830999993</v>
      </c>
      <c r="F108" s="2">
        <f t="shared" si="51"/>
        <v>2.75E-2</v>
      </c>
      <c r="G108" s="15">
        <f t="shared" si="38"/>
        <v>2.75E-2</v>
      </c>
      <c r="H108" s="3">
        <v>30</v>
      </c>
      <c r="I108" s="12">
        <v>-7.5418404269843808E-2</v>
      </c>
      <c r="K108" s="44">
        <v>5.9999999999997833E-3</v>
      </c>
      <c r="L108" s="76">
        <f t="shared" si="41"/>
        <v>0.39808663457978527</v>
      </c>
      <c r="M108" s="8">
        <f t="shared" si="45"/>
        <v>0.73480000000000001</v>
      </c>
      <c r="N108" s="11">
        <f t="shared" si="47"/>
        <v>0.39808663457978527</v>
      </c>
      <c r="O108" s="3">
        <f t="shared" si="42"/>
        <v>4.7699999999999999E-2</v>
      </c>
      <c r="P108" s="3">
        <f t="shared" si="49"/>
        <v>3.0700000000000002E-2</v>
      </c>
      <c r="R108" s="3">
        <f>Transport!F108</f>
        <v>8730</v>
      </c>
      <c r="S108" s="3">
        <f>Transport!G108</f>
        <v>10761</v>
      </c>
      <c r="T108" s="3">
        <f>Transport!H108</f>
        <v>15509</v>
      </c>
      <c r="U108" s="3">
        <f>Transport!I108</f>
        <v>1880</v>
      </c>
      <c r="V108" s="3">
        <f>Transport!J108</f>
        <v>2295</v>
      </c>
      <c r="W108" s="3">
        <f>Transport!K108</f>
        <v>1036</v>
      </c>
      <c r="X108" s="3">
        <f>Transport!L108</f>
        <v>683</v>
      </c>
    </row>
    <row r="109" spans="1:24" x14ac:dyDescent="0.2">
      <c r="A109" s="10">
        <f t="shared" si="48"/>
        <v>38912.333333333081</v>
      </c>
      <c r="B109" s="19">
        <f t="shared" si="52"/>
        <v>4.4145972430000002</v>
      </c>
      <c r="C109" s="19">
        <f t="shared" si="53"/>
        <v>4.4745972429999998</v>
      </c>
      <c r="D109" s="19">
        <f t="shared" si="39"/>
        <v>4.424597243</v>
      </c>
      <c r="E109" s="19">
        <f t="shared" si="50"/>
        <v>4.4745972429999998</v>
      </c>
      <c r="F109" s="2">
        <f t="shared" si="51"/>
        <v>2.75E-2</v>
      </c>
      <c r="G109" s="15">
        <f t="shared" si="38"/>
        <v>2.75E-2</v>
      </c>
      <c r="H109" s="3">
        <v>31</v>
      </c>
      <c r="I109" s="12">
        <v>-7.9920297158104336E-2</v>
      </c>
      <c r="K109" s="44">
        <v>9.4999999999998419E-3</v>
      </c>
      <c r="L109" s="76">
        <f t="shared" si="41"/>
        <v>0.39808663457978527</v>
      </c>
      <c r="M109" s="8">
        <f t="shared" si="45"/>
        <v>0.73480000000000001</v>
      </c>
      <c r="N109" s="11">
        <f t="shared" si="47"/>
        <v>0.39808663457978527</v>
      </c>
      <c r="O109" s="3">
        <f t="shared" si="42"/>
        <v>4.7699999999999999E-2</v>
      </c>
      <c r="P109" s="3">
        <f t="shared" si="49"/>
        <v>3.0700000000000002E-2</v>
      </c>
      <c r="R109" s="3">
        <f>Transport!F109</f>
        <v>8730</v>
      </c>
      <c r="S109" s="3">
        <f>Transport!G109</f>
        <v>10761</v>
      </c>
      <c r="T109" s="3">
        <f>Transport!H109</f>
        <v>15509</v>
      </c>
      <c r="U109" s="3">
        <f>Transport!I109</f>
        <v>1880</v>
      </c>
      <c r="V109" s="3">
        <f>Transport!J109</f>
        <v>2295</v>
      </c>
      <c r="W109" s="3">
        <f>Transport!K109</f>
        <v>1036</v>
      </c>
      <c r="X109" s="3">
        <f>Transport!L109</f>
        <v>683</v>
      </c>
    </row>
    <row r="110" spans="1:24" x14ac:dyDescent="0.2">
      <c r="A110" s="10">
        <f t="shared" si="48"/>
        <v>38942.749999999745</v>
      </c>
      <c r="B110" s="19">
        <f t="shared" si="52"/>
        <v>3.8526710776000002</v>
      </c>
      <c r="C110" s="19">
        <f t="shared" si="53"/>
        <v>3.9126710776000002</v>
      </c>
      <c r="D110" s="19">
        <f t="shared" si="39"/>
        <v>3.8626710776000004</v>
      </c>
      <c r="E110" s="19">
        <f t="shared" si="50"/>
        <v>3.9126710776000002</v>
      </c>
      <c r="F110" s="2">
        <f t="shared" si="51"/>
        <v>2.75E-2</v>
      </c>
      <c r="G110" s="15">
        <f t="shared" si="38"/>
        <v>2.75E-2</v>
      </c>
      <c r="H110" s="3">
        <v>31</v>
      </c>
      <c r="I110" s="12">
        <v>-7.9924082934625051E-2</v>
      </c>
      <c r="K110" s="44">
        <v>9.4999999999996199E-3</v>
      </c>
      <c r="L110" s="76">
        <f t="shared" si="41"/>
        <v>0.39808663457978527</v>
      </c>
      <c r="M110" s="8">
        <f t="shared" si="45"/>
        <v>0.73480000000000001</v>
      </c>
      <c r="N110" s="11">
        <f t="shared" si="47"/>
        <v>0.39808663457978527</v>
      </c>
      <c r="O110" s="3">
        <f t="shared" si="42"/>
        <v>4.7699999999999999E-2</v>
      </c>
      <c r="P110" s="3">
        <f t="shared" si="49"/>
        <v>3.0700000000000002E-2</v>
      </c>
      <c r="R110" s="3">
        <f>Transport!F110</f>
        <v>8730</v>
      </c>
      <c r="S110" s="3">
        <f>Transport!G110</f>
        <v>10761</v>
      </c>
      <c r="T110" s="3">
        <f>Transport!H110</f>
        <v>15509</v>
      </c>
      <c r="U110" s="3">
        <f>Transport!I110</f>
        <v>1880</v>
      </c>
      <c r="V110" s="3">
        <f>Transport!J110</f>
        <v>2295</v>
      </c>
      <c r="W110" s="3">
        <f>Transport!K110</f>
        <v>1036</v>
      </c>
      <c r="X110" s="3">
        <f>Transport!L110</f>
        <v>683</v>
      </c>
    </row>
    <row r="111" spans="1:24" x14ac:dyDescent="0.2">
      <c r="A111" s="10">
        <f t="shared" si="48"/>
        <v>38973.16666666641</v>
      </c>
      <c r="B111" s="19">
        <f t="shared" si="52"/>
        <v>4.6539361653000011</v>
      </c>
      <c r="C111" s="19">
        <f t="shared" si="53"/>
        <v>4.7139361653000007</v>
      </c>
      <c r="D111" s="19">
        <f t="shared" si="39"/>
        <v>4.6639361653000009</v>
      </c>
      <c r="E111" s="19">
        <f t="shared" si="50"/>
        <v>4.7139361653000007</v>
      </c>
      <c r="F111" s="2">
        <f t="shared" si="51"/>
        <v>2.75E-2</v>
      </c>
      <c r="G111" s="15">
        <f t="shared" si="38"/>
        <v>2.75E-2</v>
      </c>
      <c r="H111" s="3">
        <v>30</v>
      </c>
      <c r="I111" s="12">
        <v>-7.9930392562160169E-2</v>
      </c>
      <c r="K111" s="44">
        <v>9.4999999999996199E-3</v>
      </c>
      <c r="L111" s="76">
        <f t="shared" si="41"/>
        <v>0.39808663457978527</v>
      </c>
      <c r="M111" s="8">
        <f t="shared" si="45"/>
        <v>0.73480000000000001</v>
      </c>
      <c r="N111" s="11">
        <f t="shared" si="47"/>
        <v>0.39808663457978527</v>
      </c>
      <c r="O111" s="3">
        <f t="shared" si="42"/>
        <v>4.7699999999999999E-2</v>
      </c>
      <c r="P111" s="3">
        <f t="shared" si="49"/>
        <v>3.0700000000000002E-2</v>
      </c>
      <c r="R111" s="3">
        <f>Transport!F111</f>
        <v>8730</v>
      </c>
      <c r="S111" s="3">
        <f>Transport!G111</f>
        <v>10761</v>
      </c>
      <c r="T111" s="3">
        <f>Transport!H111</f>
        <v>15509</v>
      </c>
      <c r="U111" s="3">
        <f>Transport!I111</f>
        <v>1880</v>
      </c>
      <c r="V111" s="3">
        <f>Transport!J111</f>
        <v>2295</v>
      </c>
      <c r="W111" s="3">
        <f>Transport!K111</f>
        <v>1036</v>
      </c>
      <c r="X111" s="3">
        <f>Transport!L111</f>
        <v>683</v>
      </c>
    </row>
    <row r="112" spans="1:24" x14ac:dyDescent="0.2">
      <c r="A112" s="10">
        <f t="shared" si="48"/>
        <v>39003.583333333074</v>
      </c>
      <c r="B112" s="19">
        <f t="shared" si="52"/>
        <v>5.3615468921000007</v>
      </c>
      <c r="C112" s="19">
        <f t="shared" si="53"/>
        <v>5.4215468921000003</v>
      </c>
      <c r="D112" s="19">
        <f t="shared" si="39"/>
        <v>5.3715468921000005</v>
      </c>
      <c r="E112" s="19">
        <f t="shared" si="50"/>
        <v>5.4215468921000003</v>
      </c>
      <c r="F112" s="2">
        <f t="shared" si="51"/>
        <v>2.75E-2</v>
      </c>
      <c r="G112" s="15">
        <f t="shared" si="38"/>
        <v>2.75E-2</v>
      </c>
      <c r="H112" s="3">
        <v>31</v>
      </c>
      <c r="I112" s="12">
        <v>-8.2705235997194926E-2</v>
      </c>
      <c r="K112" s="44">
        <v>1.4499999999999957E-2</v>
      </c>
      <c r="L112" s="76">
        <f t="shared" si="41"/>
        <v>0.39808663457978527</v>
      </c>
      <c r="M112" s="8">
        <f t="shared" si="45"/>
        <v>0.73480000000000001</v>
      </c>
      <c r="N112" s="11">
        <f t="shared" si="47"/>
        <v>0.39808663457978527</v>
      </c>
      <c r="O112" s="3">
        <f t="shared" si="42"/>
        <v>4.7699999999999999E-2</v>
      </c>
      <c r="P112" s="3">
        <f t="shared" si="49"/>
        <v>3.0700000000000002E-2</v>
      </c>
      <c r="R112" s="3">
        <f>Transport!F112</f>
        <v>8730</v>
      </c>
      <c r="S112" s="3">
        <f>Transport!G112</f>
        <v>10361</v>
      </c>
      <c r="T112" s="3">
        <f>Transport!H112</f>
        <v>15909</v>
      </c>
      <c r="U112" s="3">
        <f>Transport!I112</f>
        <v>2830</v>
      </c>
      <c r="V112" s="3">
        <f>Transport!J112</f>
        <v>3500</v>
      </c>
      <c r="W112" s="3">
        <f>Transport!K112</f>
        <v>1521</v>
      </c>
      <c r="X112" s="3">
        <f>Transport!L112</f>
        <v>1001</v>
      </c>
    </row>
    <row r="113" spans="1:24" x14ac:dyDescent="0.2">
      <c r="A113" s="10">
        <f t="shared" ref="A113:A128" si="54">+A112+365/12</f>
        <v>39033.999999999738</v>
      </c>
      <c r="B113" s="19">
        <f t="shared" si="52"/>
        <v>3.5613019548000007</v>
      </c>
      <c r="C113" s="19">
        <f t="shared" si="53"/>
        <v>3.6213019548000007</v>
      </c>
      <c r="D113" s="19">
        <f t="shared" si="39"/>
        <v>3.5713019548000009</v>
      </c>
      <c r="E113" s="19">
        <f t="shared" si="50"/>
        <v>3.6213019548000007</v>
      </c>
      <c r="F113" s="2">
        <f t="shared" si="51"/>
        <v>2.75E-2</v>
      </c>
      <c r="G113" s="15">
        <f t="shared" si="38"/>
        <v>2.75E-2</v>
      </c>
      <c r="H113" s="3">
        <v>30</v>
      </c>
      <c r="I113" s="12">
        <v>-0.12767745918626217</v>
      </c>
      <c r="K113" s="44">
        <v>1.9499999999999851E-2</v>
      </c>
      <c r="L113" s="76">
        <f t="shared" si="41"/>
        <v>0.39808663457978527</v>
      </c>
      <c r="M113" s="8">
        <f t="shared" si="45"/>
        <v>0.73480000000000001</v>
      </c>
      <c r="N113" s="11">
        <f t="shared" si="47"/>
        <v>0.39808663457978527</v>
      </c>
      <c r="O113" s="3">
        <f t="shared" si="42"/>
        <v>4.7699999999999999E-2</v>
      </c>
      <c r="P113" s="3">
        <f t="shared" si="49"/>
        <v>3.0700000000000002E-2</v>
      </c>
      <c r="R113" s="3">
        <f>Transport!F113</f>
        <v>4926</v>
      </c>
      <c r="S113" s="3">
        <f>Transport!G113</f>
        <v>5732</v>
      </c>
      <c r="T113" s="3">
        <f>Transport!H113</f>
        <v>9342</v>
      </c>
      <c r="U113" s="3">
        <f>Transport!I113</f>
        <v>2563</v>
      </c>
      <c r="V113" s="3">
        <f>Transport!J113</f>
        <v>2862</v>
      </c>
      <c r="W113" s="3">
        <f>Transport!K113</f>
        <v>1685</v>
      </c>
      <c r="X113" s="3">
        <f>Transport!L113</f>
        <v>683</v>
      </c>
    </row>
    <row r="114" spans="1:24" x14ac:dyDescent="0.2">
      <c r="A114" s="10">
        <f t="shared" si="54"/>
        <v>39064.416666666402</v>
      </c>
      <c r="B114" s="19">
        <f t="shared" si="52"/>
        <v>2.6455704260000008</v>
      </c>
      <c r="C114" s="19">
        <f t="shared" si="53"/>
        <v>2.7055704260000009</v>
      </c>
      <c r="D114" s="19">
        <f t="shared" si="39"/>
        <v>2.655570426000001</v>
      </c>
      <c r="E114" s="19">
        <f t="shared" si="50"/>
        <v>2.7055704260000009</v>
      </c>
      <c r="F114" s="2">
        <f t="shared" si="51"/>
        <v>2.75E-2</v>
      </c>
      <c r="G114" s="15">
        <f t="shared" si="38"/>
        <v>2.75E-2</v>
      </c>
      <c r="H114" s="3">
        <v>31</v>
      </c>
      <c r="I114" s="12">
        <v>-0.16263996049150276</v>
      </c>
      <c r="K114" s="44">
        <v>2.4500000000000188E-2</v>
      </c>
      <c r="L114" s="76">
        <f t="shared" si="41"/>
        <v>0.39808663457978527</v>
      </c>
      <c r="M114" s="8">
        <f t="shared" si="45"/>
        <v>0.73480000000000001</v>
      </c>
      <c r="N114" s="11">
        <f t="shared" si="47"/>
        <v>0.39808663457978527</v>
      </c>
      <c r="O114" s="3">
        <f t="shared" si="42"/>
        <v>4.7699999999999999E-2</v>
      </c>
      <c r="P114" s="3">
        <f t="shared" si="49"/>
        <v>3.0700000000000002E-2</v>
      </c>
      <c r="R114" s="3">
        <f>Transport!F114</f>
        <v>4926</v>
      </c>
      <c r="S114" s="3">
        <f>Transport!G114</f>
        <v>5732</v>
      </c>
      <c r="T114" s="3">
        <f>Transport!H114</f>
        <v>9342</v>
      </c>
      <c r="U114" s="3">
        <f>Transport!I114</f>
        <v>2563</v>
      </c>
      <c r="V114" s="3">
        <f>Transport!J114</f>
        <v>2862</v>
      </c>
      <c r="W114" s="3">
        <f>Transport!K114</f>
        <v>1685</v>
      </c>
      <c r="X114" s="3">
        <f>Transport!L114</f>
        <v>683</v>
      </c>
    </row>
    <row r="115" spans="1:24" s="81" customFormat="1" x14ac:dyDescent="0.2">
      <c r="A115" s="77">
        <f t="shared" si="54"/>
        <v>39094.833333333067</v>
      </c>
      <c r="B115" s="78">
        <f t="shared" si="52"/>
        <v>2.3257928137270003</v>
      </c>
      <c r="C115" s="78">
        <f t="shared" si="53"/>
        <v>2.3857928137270004</v>
      </c>
      <c r="D115" s="78">
        <f t="shared" si="39"/>
        <v>2.3357928137270005</v>
      </c>
      <c r="E115" s="78">
        <f t="shared" si="50"/>
        <v>2.3857928137270004</v>
      </c>
      <c r="F115" s="79">
        <f t="shared" si="51"/>
        <v>2.75E-2</v>
      </c>
      <c r="G115" s="80">
        <f t="shared" si="38"/>
        <v>2.75E-2</v>
      </c>
      <c r="H115" s="81">
        <v>31</v>
      </c>
      <c r="I115" s="82">
        <v>-0.14759898969537755</v>
      </c>
      <c r="K115" s="83">
        <v>2.4500000000000188E-2</v>
      </c>
      <c r="L115" s="84">
        <f>('[1]062'!$R$56*1000)/('[1]062'!$R$50*[1]Assumptions!$R$9)</f>
        <v>0.39808663457978527</v>
      </c>
      <c r="M115" s="85">
        <f t="shared" si="45"/>
        <v>0.73480000000000001</v>
      </c>
      <c r="N115" s="87">
        <f t="shared" si="47"/>
        <v>0.39808663457978527</v>
      </c>
      <c r="O115" s="81">
        <f t="shared" si="42"/>
        <v>4.7699999999999999E-2</v>
      </c>
      <c r="P115" s="81">
        <f t="shared" si="49"/>
        <v>3.0700000000000002E-2</v>
      </c>
      <c r="R115" s="81">
        <f>Transport!F115</f>
        <v>4926</v>
      </c>
      <c r="S115" s="81">
        <f>Transport!G115</f>
        <v>5732</v>
      </c>
      <c r="T115" s="81">
        <f>Transport!H115</f>
        <v>9342</v>
      </c>
      <c r="U115" s="81">
        <f>Transport!I115</f>
        <v>2563</v>
      </c>
      <c r="V115" s="81">
        <f>Transport!J115</f>
        <v>2862</v>
      </c>
      <c r="W115" s="81">
        <f>Transport!K115</f>
        <v>1685</v>
      </c>
      <c r="X115" s="81">
        <f>Transport!L115</f>
        <v>683</v>
      </c>
    </row>
    <row r="116" spans="1:24" x14ac:dyDescent="0.2">
      <c r="A116" s="10">
        <f t="shared" si="54"/>
        <v>39125.249999999731</v>
      </c>
      <c r="B116" s="19">
        <f t="shared" si="52"/>
        <v>2.6095655272539999</v>
      </c>
      <c r="C116" s="19">
        <f t="shared" si="53"/>
        <v>2.669565527254</v>
      </c>
      <c r="D116" s="19">
        <f t="shared" si="39"/>
        <v>2.6195655272540002</v>
      </c>
      <c r="E116" s="19">
        <f t="shared" si="50"/>
        <v>2.669565527254</v>
      </c>
      <c r="F116" s="2">
        <f t="shared" si="51"/>
        <v>2.75E-2</v>
      </c>
      <c r="G116" s="15">
        <f t="shared" si="38"/>
        <v>2.75E-2</v>
      </c>
      <c r="H116" s="3">
        <v>28</v>
      </c>
      <c r="I116" s="12">
        <v>-0.14762676650630979</v>
      </c>
      <c r="K116" s="44">
        <v>2.4500000000000188E-2</v>
      </c>
      <c r="L116" s="76">
        <f t="shared" si="41"/>
        <v>0.39808663457978527</v>
      </c>
      <c r="M116" s="8">
        <f t="shared" si="45"/>
        <v>0.73480000000000001</v>
      </c>
      <c r="N116" s="11">
        <f t="shared" si="47"/>
        <v>0.39808663457978527</v>
      </c>
      <c r="O116" s="3">
        <f t="shared" si="42"/>
        <v>4.7699999999999999E-2</v>
      </c>
      <c r="P116" s="3">
        <f t="shared" si="49"/>
        <v>3.0700000000000002E-2</v>
      </c>
      <c r="R116" s="3">
        <f>Transport!F116</f>
        <v>4926</v>
      </c>
      <c r="S116" s="3">
        <f>Transport!G116</f>
        <v>5732</v>
      </c>
      <c r="T116" s="3">
        <f>Transport!H116</f>
        <v>9342</v>
      </c>
      <c r="U116" s="3">
        <f>Transport!I116</f>
        <v>2563</v>
      </c>
      <c r="V116" s="3">
        <f>Transport!J116</f>
        <v>2862</v>
      </c>
      <c r="W116" s="3">
        <f>Transport!K116</f>
        <v>1685</v>
      </c>
      <c r="X116" s="3">
        <f>Transport!L116</f>
        <v>683</v>
      </c>
    </row>
    <row r="117" spans="1:24" x14ac:dyDescent="0.2">
      <c r="A117" s="10">
        <f t="shared" si="54"/>
        <v>39155.666666666395</v>
      </c>
      <c r="B117" s="19">
        <f t="shared" si="52"/>
        <v>2.6095655272539999</v>
      </c>
      <c r="C117" s="19">
        <f t="shared" si="53"/>
        <v>2.669565527254</v>
      </c>
      <c r="D117" s="19">
        <f t="shared" si="39"/>
        <v>2.6195655272540002</v>
      </c>
      <c r="E117" s="19">
        <f t="shared" si="50"/>
        <v>2.669565527254</v>
      </c>
      <c r="F117" s="2">
        <f t="shared" si="51"/>
        <v>2.75E-2</v>
      </c>
      <c r="G117" s="15">
        <f t="shared" si="38"/>
        <v>2.75E-2</v>
      </c>
      <c r="H117" s="3">
        <v>31</v>
      </c>
      <c r="I117" s="12">
        <v>-0.12266252915038578</v>
      </c>
      <c r="K117" s="44">
        <v>1.9500000000000295E-2</v>
      </c>
      <c r="L117" s="76">
        <f t="shared" ref="L117:L148" si="55">L116</f>
        <v>0.39808663457978527</v>
      </c>
      <c r="M117" s="8">
        <f t="shared" si="45"/>
        <v>0.73480000000000001</v>
      </c>
      <c r="N117" s="11">
        <f t="shared" si="47"/>
        <v>0.39808663457978527</v>
      </c>
      <c r="O117" s="3">
        <f t="shared" ref="O117:O148" si="56">O116</f>
        <v>4.7699999999999999E-2</v>
      </c>
      <c r="P117" s="3">
        <f t="shared" si="49"/>
        <v>3.0700000000000002E-2</v>
      </c>
      <c r="R117" s="3">
        <f>Transport!F117</f>
        <v>4926</v>
      </c>
      <c r="S117" s="3">
        <f>Transport!G117</f>
        <v>5732</v>
      </c>
      <c r="T117" s="3">
        <f>Transport!H117</f>
        <v>9342</v>
      </c>
      <c r="U117" s="3">
        <f>Transport!I117</f>
        <v>2563</v>
      </c>
      <c r="V117" s="3">
        <f>Transport!J117</f>
        <v>2862</v>
      </c>
      <c r="W117" s="3">
        <f>Transport!K117</f>
        <v>1685</v>
      </c>
      <c r="X117" s="3">
        <f>Transport!L117</f>
        <v>683</v>
      </c>
    </row>
    <row r="118" spans="1:24" x14ac:dyDescent="0.2">
      <c r="A118" s="10">
        <f t="shared" si="54"/>
        <v>39186.083333333059</v>
      </c>
      <c r="B118" s="19">
        <f t="shared" si="52"/>
        <v>2.8933382407810004</v>
      </c>
      <c r="C118" s="19">
        <f t="shared" si="53"/>
        <v>2.9533382407810005</v>
      </c>
      <c r="D118" s="19">
        <f t="shared" si="39"/>
        <v>2.9033382407810007</v>
      </c>
      <c r="E118" s="19">
        <f t="shared" si="50"/>
        <v>2.9533382407810005</v>
      </c>
      <c r="F118" s="2">
        <f t="shared" ref="F118:F133" si="57">+F117</f>
        <v>2.75E-2</v>
      </c>
      <c r="G118" s="15">
        <f t="shared" si="38"/>
        <v>2.75E-2</v>
      </c>
      <c r="H118" s="3">
        <v>30</v>
      </c>
      <c r="I118" s="12">
        <v>-7.317954244708158E-2</v>
      </c>
      <c r="K118" s="44">
        <v>5.9999999999997833E-3</v>
      </c>
      <c r="L118" s="76">
        <f t="shared" si="55"/>
        <v>0.39808663457978527</v>
      </c>
      <c r="M118" s="8">
        <f t="shared" si="45"/>
        <v>0.73480000000000001</v>
      </c>
      <c r="N118" s="11">
        <f t="shared" si="47"/>
        <v>0.39808663457978527</v>
      </c>
      <c r="O118" s="3">
        <f t="shared" si="56"/>
        <v>4.7699999999999999E-2</v>
      </c>
      <c r="P118" s="3">
        <f t="shared" si="49"/>
        <v>3.0700000000000002E-2</v>
      </c>
      <c r="R118" s="3">
        <f>Transport!F118</f>
        <v>6933</v>
      </c>
      <c r="S118" s="3">
        <f>Transport!G118</f>
        <v>8798</v>
      </c>
      <c r="T118" s="3">
        <f>Transport!H118</f>
        <v>14269</v>
      </c>
      <c r="U118" s="3">
        <f>Transport!I118</f>
        <v>1880</v>
      </c>
      <c r="V118" s="3">
        <f>Transport!J118</f>
        <v>2073</v>
      </c>
      <c r="W118" s="3">
        <f>Transport!K118</f>
        <v>1258</v>
      </c>
      <c r="X118" s="3">
        <f>Transport!L118</f>
        <v>683</v>
      </c>
    </row>
    <row r="119" spans="1:24" x14ac:dyDescent="0.2">
      <c r="A119" s="10">
        <f t="shared" si="54"/>
        <v>39216.499999999724</v>
      </c>
      <c r="B119" s="19">
        <f t="shared" ref="B119:B134" si="58">C119-0.06</f>
        <v>3.0930301503000011</v>
      </c>
      <c r="C119" s="19">
        <f t="shared" si="53"/>
        <v>3.1530301503000011</v>
      </c>
      <c r="D119" s="19">
        <f t="shared" si="39"/>
        <v>3.1030301503000013</v>
      </c>
      <c r="E119" s="19">
        <f t="shared" si="50"/>
        <v>3.1530301503000011</v>
      </c>
      <c r="F119" s="2">
        <f t="shared" si="57"/>
        <v>2.75E-2</v>
      </c>
      <c r="G119" s="15">
        <f t="shared" si="38"/>
        <v>2.75E-2</v>
      </c>
      <c r="H119" s="3">
        <v>31</v>
      </c>
      <c r="I119" s="12">
        <v>-7.5479607656931957E-2</v>
      </c>
      <c r="K119" s="44">
        <v>5.9999999999997833E-3</v>
      </c>
      <c r="L119" s="76">
        <f t="shared" si="55"/>
        <v>0.39808663457978527</v>
      </c>
      <c r="M119" s="8">
        <f t="shared" si="45"/>
        <v>0.73480000000000001</v>
      </c>
      <c r="N119" s="11">
        <f t="shared" si="47"/>
        <v>0.39808663457978527</v>
      </c>
      <c r="O119" s="3">
        <f t="shared" si="56"/>
        <v>4.7699999999999999E-2</v>
      </c>
      <c r="P119" s="3">
        <f t="shared" si="49"/>
        <v>3.0700000000000002E-2</v>
      </c>
      <c r="R119" s="3">
        <f>Transport!F119</f>
        <v>8730</v>
      </c>
      <c r="S119" s="3">
        <f>Transport!G119</f>
        <v>10761</v>
      </c>
      <c r="T119" s="3">
        <f>Transport!H119</f>
        <v>15509</v>
      </c>
      <c r="U119" s="3">
        <f>Transport!I119</f>
        <v>1880</v>
      </c>
      <c r="V119" s="3">
        <f>Transport!J119</f>
        <v>2295</v>
      </c>
      <c r="W119" s="3">
        <f>Transport!K119</f>
        <v>1036</v>
      </c>
      <c r="X119" s="3">
        <f>Transport!L119</f>
        <v>683</v>
      </c>
    </row>
    <row r="120" spans="1:24" x14ac:dyDescent="0.2">
      <c r="A120" s="10">
        <f t="shared" si="54"/>
        <v>39246.916666666388</v>
      </c>
      <c r="B120" s="19">
        <f t="shared" si="58"/>
        <v>4.4698533159310001</v>
      </c>
      <c r="C120" s="19">
        <f t="shared" si="53"/>
        <v>4.5298533159309997</v>
      </c>
      <c r="D120" s="19">
        <f t="shared" si="39"/>
        <v>4.4798533159309999</v>
      </c>
      <c r="E120" s="19">
        <f t="shared" si="50"/>
        <v>4.5298533159309997</v>
      </c>
      <c r="F120" s="2">
        <f t="shared" si="57"/>
        <v>2.75E-2</v>
      </c>
      <c r="G120" s="15">
        <f t="shared" si="38"/>
        <v>2.75E-2</v>
      </c>
      <c r="H120" s="3">
        <v>30</v>
      </c>
      <c r="I120" s="12">
        <v>-7.5482762470699516E-2</v>
      </c>
      <c r="K120" s="44">
        <v>5.9999999999997833E-3</v>
      </c>
      <c r="L120" s="76">
        <f t="shared" si="55"/>
        <v>0.39808663457978527</v>
      </c>
      <c r="M120" s="8">
        <f t="shared" si="45"/>
        <v>0.73480000000000001</v>
      </c>
      <c r="N120" s="11">
        <f t="shared" si="47"/>
        <v>0.39808663457978527</v>
      </c>
      <c r="O120" s="3">
        <f t="shared" si="56"/>
        <v>4.7699999999999999E-2</v>
      </c>
      <c r="P120" s="3">
        <f t="shared" si="49"/>
        <v>3.0700000000000002E-2</v>
      </c>
      <c r="R120" s="3">
        <f>Transport!F120</f>
        <v>8730</v>
      </c>
      <c r="S120" s="3">
        <f>Transport!G120</f>
        <v>10761</v>
      </c>
      <c r="T120" s="3">
        <f>Transport!H120</f>
        <v>15509</v>
      </c>
      <c r="U120" s="3">
        <f>Transport!I120</f>
        <v>1880</v>
      </c>
      <c r="V120" s="3">
        <f>Transport!J120</f>
        <v>2295</v>
      </c>
      <c r="W120" s="3">
        <f>Transport!K120</f>
        <v>1036</v>
      </c>
      <c r="X120" s="3">
        <f>Transport!L120</f>
        <v>683</v>
      </c>
    </row>
    <row r="121" spans="1:24" x14ac:dyDescent="0.2">
      <c r="A121" s="10">
        <f t="shared" si="54"/>
        <v>39277.333333333052</v>
      </c>
      <c r="B121" s="19">
        <f t="shared" si="58"/>
        <v>4.4593432154300006</v>
      </c>
      <c r="C121" s="19">
        <f t="shared" si="53"/>
        <v>4.5193432154300002</v>
      </c>
      <c r="D121" s="19">
        <f t="shared" si="39"/>
        <v>4.4693432154300003</v>
      </c>
      <c r="E121" s="19">
        <f t="shared" si="50"/>
        <v>4.5193432154300002</v>
      </c>
      <c r="F121" s="2">
        <f t="shared" si="57"/>
        <v>2.75E-2</v>
      </c>
      <c r="G121" s="15">
        <f t="shared" si="38"/>
        <v>2.75E-2</v>
      </c>
      <c r="H121" s="3">
        <v>31</v>
      </c>
      <c r="I121" s="12">
        <v>-7.9984655358960044E-2</v>
      </c>
      <c r="K121" s="44">
        <v>9.4999999999998419E-3</v>
      </c>
      <c r="L121" s="76">
        <f t="shared" si="55"/>
        <v>0.39808663457978527</v>
      </c>
      <c r="M121" s="8">
        <f t="shared" si="45"/>
        <v>0.73480000000000001</v>
      </c>
      <c r="N121" s="11">
        <f t="shared" si="47"/>
        <v>0.39808663457978527</v>
      </c>
      <c r="O121" s="3">
        <f t="shared" si="56"/>
        <v>4.7699999999999999E-2</v>
      </c>
      <c r="P121" s="3">
        <f t="shared" si="49"/>
        <v>3.0700000000000002E-2</v>
      </c>
      <c r="R121" s="3">
        <f>Transport!F121</f>
        <v>8730</v>
      </c>
      <c r="S121" s="3">
        <f>Transport!G121</f>
        <v>10761</v>
      </c>
      <c r="T121" s="3">
        <f>Transport!H121</f>
        <v>15509</v>
      </c>
      <c r="U121" s="3">
        <f>Transport!I121</f>
        <v>1880</v>
      </c>
      <c r="V121" s="3">
        <f>Transport!J121</f>
        <v>2295</v>
      </c>
      <c r="W121" s="3">
        <f>Transport!K121</f>
        <v>1036</v>
      </c>
      <c r="X121" s="3">
        <f>Transport!L121</f>
        <v>683</v>
      </c>
    </row>
    <row r="122" spans="1:24" x14ac:dyDescent="0.2">
      <c r="A122" s="10">
        <f t="shared" si="54"/>
        <v>39307.749999999716</v>
      </c>
      <c r="B122" s="19">
        <f t="shared" si="58"/>
        <v>3.891797788376</v>
      </c>
      <c r="C122" s="19">
        <f t="shared" si="53"/>
        <v>3.951797788376</v>
      </c>
      <c r="D122" s="19">
        <f t="shared" si="39"/>
        <v>3.9017977883760002</v>
      </c>
      <c r="E122" s="19">
        <f t="shared" si="50"/>
        <v>3.951797788376</v>
      </c>
      <c r="F122" s="2">
        <f t="shared" si="57"/>
        <v>2.75E-2</v>
      </c>
      <c r="G122" s="15">
        <f t="shared" si="38"/>
        <v>2.75E-2</v>
      </c>
      <c r="H122" s="3">
        <v>31</v>
      </c>
      <c r="I122" s="12">
        <v>-7.9988441135481203E-2</v>
      </c>
      <c r="K122" s="44">
        <v>9.4999999999996199E-3</v>
      </c>
      <c r="L122" s="76">
        <f t="shared" si="55"/>
        <v>0.39808663457978527</v>
      </c>
      <c r="M122" s="8">
        <f t="shared" ref="M122:M153" si="59">M121</f>
        <v>0.73480000000000001</v>
      </c>
      <c r="N122" s="11">
        <f t="shared" si="47"/>
        <v>0.39808663457978527</v>
      </c>
      <c r="O122" s="3">
        <f t="shared" si="56"/>
        <v>4.7699999999999999E-2</v>
      </c>
      <c r="P122" s="3">
        <f t="shared" si="49"/>
        <v>3.0700000000000002E-2</v>
      </c>
      <c r="R122" s="3">
        <f>Transport!F122</f>
        <v>8730</v>
      </c>
      <c r="S122" s="3">
        <f>Transport!G122</f>
        <v>10761</v>
      </c>
      <c r="T122" s="3">
        <f>Transport!H122</f>
        <v>15509</v>
      </c>
      <c r="U122" s="3">
        <f>Transport!I122</f>
        <v>1880</v>
      </c>
      <c r="V122" s="3">
        <f>Transport!J122</f>
        <v>2295</v>
      </c>
      <c r="W122" s="3">
        <f>Transport!K122</f>
        <v>1036</v>
      </c>
      <c r="X122" s="3">
        <f>Transport!L122</f>
        <v>683</v>
      </c>
    </row>
    <row r="123" spans="1:24" x14ac:dyDescent="0.2">
      <c r="A123" s="10">
        <f t="shared" si="54"/>
        <v>39338.16666666638</v>
      </c>
      <c r="B123" s="19">
        <f t="shared" si="58"/>
        <v>4.7010755269530016</v>
      </c>
      <c r="C123" s="19">
        <f t="shared" si="53"/>
        <v>4.7610755269530012</v>
      </c>
      <c r="D123" s="19">
        <f t="shared" si="39"/>
        <v>4.7110755269530014</v>
      </c>
      <c r="E123" s="19">
        <f t="shared" si="50"/>
        <v>4.7610755269530012</v>
      </c>
      <c r="F123" s="2">
        <f t="shared" si="57"/>
        <v>2.75E-2</v>
      </c>
      <c r="G123" s="15">
        <f t="shared" si="38"/>
        <v>2.75E-2</v>
      </c>
      <c r="H123" s="3">
        <v>30</v>
      </c>
      <c r="I123" s="12">
        <v>-7.9994750763015432E-2</v>
      </c>
      <c r="K123" s="44">
        <v>9.4999999999996199E-3</v>
      </c>
      <c r="L123" s="76">
        <f t="shared" si="55"/>
        <v>0.39808663457978527</v>
      </c>
      <c r="M123" s="8">
        <f t="shared" si="59"/>
        <v>0.73480000000000001</v>
      </c>
      <c r="N123" s="11">
        <f t="shared" si="47"/>
        <v>0.39808663457978527</v>
      </c>
      <c r="O123" s="3">
        <f t="shared" si="56"/>
        <v>4.7699999999999999E-2</v>
      </c>
      <c r="P123" s="3">
        <f t="shared" si="49"/>
        <v>3.0700000000000002E-2</v>
      </c>
      <c r="R123" s="3">
        <f>Transport!F123</f>
        <v>8730</v>
      </c>
      <c r="S123" s="3">
        <f>Transport!G123</f>
        <v>10761</v>
      </c>
      <c r="T123" s="3">
        <f>Transport!H123</f>
        <v>15509</v>
      </c>
      <c r="U123" s="3">
        <f>Transport!I123</f>
        <v>1880</v>
      </c>
      <c r="V123" s="3">
        <f>Transport!J123</f>
        <v>2295</v>
      </c>
      <c r="W123" s="3">
        <f>Transport!K123</f>
        <v>1036</v>
      </c>
      <c r="X123" s="3">
        <f>Transport!L123</f>
        <v>683</v>
      </c>
    </row>
    <row r="124" spans="1:24" x14ac:dyDescent="0.2">
      <c r="A124" s="10">
        <f t="shared" si="54"/>
        <v>39368.583333333045</v>
      </c>
      <c r="B124" s="19">
        <f t="shared" si="58"/>
        <v>5.4157623610210006</v>
      </c>
      <c r="C124" s="19">
        <f t="shared" ref="C124:C139" si="60">C112*1.01</f>
        <v>5.4757623610210002</v>
      </c>
      <c r="D124" s="19">
        <f t="shared" si="39"/>
        <v>5.4257623610210004</v>
      </c>
      <c r="E124" s="19">
        <f t="shared" si="50"/>
        <v>5.4757623610210002</v>
      </c>
      <c r="F124" s="2">
        <f t="shared" si="57"/>
        <v>2.75E-2</v>
      </c>
      <c r="G124" s="15">
        <f t="shared" si="38"/>
        <v>2.75E-2</v>
      </c>
      <c r="H124" s="3">
        <v>31</v>
      </c>
      <c r="I124" s="12">
        <v>-8.2669820563255225E-2</v>
      </c>
      <c r="K124" s="44">
        <v>1.4499999999999957E-2</v>
      </c>
      <c r="L124" s="76">
        <f t="shared" si="55"/>
        <v>0.39808663457978527</v>
      </c>
      <c r="M124" s="8">
        <f t="shared" si="59"/>
        <v>0.73480000000000001</v>
      </c>
      <c r="N124" s="11">
        <f t="shared" si="47"/>
        <v>0.39808663457978527</v>
      </c>
      <c r="O124" s="3">
        <f t="shared" si="56"/>
        <v>4.7699999999999999E-2</v>
      </c>
      <c r="P124" s="3">
        <f t="shared" si="49"/>
        <v>3.0700000000000002E-2</v>
      </c>
      <c r="R124" s="3">
        <f>Transport!F124</f>
        <v>8730</v>
      </c>
      <c r="S124" s="3">
        <f>Transport!G124</f>
        <v>10361</v>
      </c>
      <c r="T124" s="3">
        <f>Transport!H124</f>
        <v>15909</v>
      </c>
      <c r="U124" s="3">
        <f>Transport!I124</f>
        <v>2830</v>
      </c>
      <c r="V124" s="3">
        <f>Transport!J124</f>
        <v>3500</v>
      </c>
      <c r="W124" s="3">
        <f>Transport!K124</f>
        <v>1521</v>
      </c>
      <c r="X124" s="3">
        <f>Transport!L124</f>
        <v>1001</v>
      </c>
    </row>
    <row r="125" spans="1:24" x14ac:dyDescent="0.2">
      <c r="A125" s="10">
        <f t="shared" si="54"/>
        <v>39398.999999999709</v>
      </c>
      <c r="B125" s="19">
        <f t="shared" si="58"/>
        <v>3.5975149743480008</v>
      </c>
      <c r="C125" s="19">
        <f t="shared" si="60"/>
        <v>3.6575149743480009</v>
      </c>
      <c r="D125" s="19">
        <f t="shared" si="39"/>
        <v>3.6075149743480011</v>
      </c>
      <c r="E125" s="19">
        <f t="shared" si="50"/>
        <v>3.6575149743480009</v>
      </c>
      <c r="F125" s="2">
        <f t="shared" si="57"/>
        <v>2.75E-2</v>
      </c>
      <c r="G125" s="15">
        <f t="shared" si="38"/>
        <v>2.75E-2</v>
      </c>
      <c r="H125" s="3">
        <v>30</v>
      </c>
      <c r="I125" s="12">
        <v>-0.12764204375232246</v>
      </c>
      <c r="K125" s="44">
        <v>1.9499999999999851E-2</v>
      </c>
      <c r="L125" s="76">
        <f t="shared" si="55"/>
        <v>0.39808663457978527</v>
      </c>
      <c r="M125" s="8">
        <f t="shared" si="59"/>
        <v>0.73480000000000001</v>
      </c>
      <c r="N125" s="11">
        <f t="shared" si="47"/>
        <v>0.39808663457978527</v>
      </c>
      <c r="O125" s="3">
        <f t="shared" si="56"/>
        <v>4.7699999999999999E-2</v>
      </c>
      <c r="P125" s="3">
        <f t="shared" si="49"/>
        <v>3.0700000000000002E-2</v>
      </c>
      <c r="R125" s="3">
        <f>Transport!F125</f>
        <v>4926</v>
      </c>
      <c r="S125" s="3">
        <f>Transport!G125</f>
        <v>5732</v>
      </c>
      <c r="T125" s="3">
        <f>Transport!H125</f>
        <v>9342</v>
      </c>
      <c r="U125" s="3">
        <f>Transport!I125</f>
        <v>2563</v>
      </c>
      <c r="V125" s="3">
        <f>Transport!J125</f>
        <v>2862</v>
      </c>
      <c r="W125" s="3">
        <f>Transport!K125</f>
        <v>1685</v>
      </c>
      <c r="X125" s="3">
        <f>Transport!L125</f>
        <v>683</v>
      </c>
    </row>
    <row r="126" spans="1:24" x14ac:dyDescent="0.2">
      <c r="A126" s="10">
        <f t="shared" si="54"/>
        <v>39429.416666666373</v>
      </c>
      <c r="B126" s="19">
        <f t="shared" si="58"/>
        <v>2.6726261302600007</v>
      </c>
      <c r="C126" s="19">
        <f t="shared" si="60"/>
        <v>2.7326261302600008</v>
      </c>
      <c r="D126" s="19">
        <f t="shared" si="39"/>
        <v>2.682626130260001</v>
      </c>
      <c r="E126" s="19">
        <f t="shared" si="50"/>
        <v>2.7326261302600008</v>
      </c>
      <c r="F126" s="2">
        <f t="shared" si="57"/>
        <v>2.75E-2</v>
      </c>
      <c r="G126" s="15">
        <f t="shared" si="38"/>
        <v>2.75E-2</v>
      </c>
      <c r="H126" s="3">
        <v>31</v>
      </c>
      <c r="I126" s="12">
        <v>-0.16260454505756394</v>
      </c>
      <c r="K126" s="44">
        <v>2.4500000000000188E-2</v>
      </c>
      <c r="L126" s="76">
        <f t="shared" si="55"/>
        <v>0.39808663457978527</v>
      </c>
      <c r="M126" s="8">
        <f t="shared" si="59"/>
        <v>0.73480000000000001</v>
      </c>
      <c r="N126" s="11">
        <f t="shared" si="47"/>
        <v>0.39808663457978527</v>
      </c>
      <c r="O126" s="3">
        <f t="shared" si="56"/>
        <v>4.7699999999999999E-2</v>
      </c>
      <c r="P126" s="3">
        <f t="shared" si="49"/>
        <v>3.0700000000000002E-2</v>
      </c>
      <c r="R126" s="3">
        <f>Transport!F126</f>
        <v>4926</v>
      </c>
      <c r="S126" s="3">
        <f>Transport!G126</f>
        <v>5732</v>
      </c>
      <c r="T126" s="3">
        <f>Transport!H126</f>
        <v>9342</v>
      </c>
      <c r="U126" s="3">
        <f>Transport!I126</f>
        <v>2563</v>
      </c>
      <c r="V126" s="3">
        <f>Transport!J126</f>
        <v>2862</v>
      </c>
      <c r="W126" s="3">
        <f>Transport!K126</f>
        <v>1685</v>
      </c>
      <c r="X126" s="3">
        <f>Transport!L126</f>
        <v>683</v>
      </c>
    </row>
    <row r="127" spans="1:24" s="81" customFormat="1" x14ac:dyDescent="0.2">
      <c r="A127" s="77">
        <f t="shared" si="54"/>
        <v>39459.833333333037</v>
      </c>
      <c r="B127" s="78">
        <f t="shared" si="58"/>
        <v>2.3496507418642705</v>
      </c>
      <c r="C127" s="78">
        <f t="shared" si="60"/>
        <v>2.4096507418642705</v>
      </c>
      <c r="D127" s="78">
        <f t="shared" si="39"/>
        <v>2.3596507418642707</v>
      </c>
      <c r="E127" s="78">
        <f t="shared" si="50"/>
        <v>2.4096507418642705</v>
      </c>
      <c r="F127" s="79">
        <f t="shared" si="57"/>
        <v>2.75E-2</v>
      </c>
      <c r="G127" s="80">
        <f t="shared" si="38"/>
        <v>2.75E-2</v>
      </c>
      <c r="H127" s="81">
        <v>31</v>
      </c>
      <c r="I127" s="82">
        <v>-0.14755663005870501</v>
      </c>
      <c r="K127" s="83">
        <v>2.4500000000000188E-2</v>
      </c>
      <c r="L127" s="84">
        <f>('[1]062'!$S$56*1000)/('[1]062'!$S$50*[1]Assumptions!$S$9)</f>
        <v>0.39699896617929403</v>
      </c>
      <c r="M127" s="85">
        <f t="shared" si="59"/>
        <v>0.73480000000000001</v>
      </c>
      <c r="N127" s="87">
        <f t="shared" ref="N127:N158" si="61">L127</f>
        <v>0.39699896617929403</v>
      </c>
      <c r="O127" s="81">
        <f t="shared" si="56"/>
        <v>4.7699999999999999E-2</v>
      </c>
      <c r="P127" s="81">
        <f t="shared" si="49"/>
        <v>3.0700000000000002E-2</v>
      </c>
      <c r="R127" s="81">
        <f>Transport!F127</f>
        <v>4926</v>
      </c>
      <c r="S127" s="81">
        <f>Transport!G127</f>
        <v>5732</v>
      </c>
      <c r="T127" s="81">
        <f>Transport!H127</f>
        <v>9342</v>
      </c>
      <c r="U127" s="81">
        <f>Transport!I127</f>
        <v>2563</v>
      </c>
      <c r="V127" s="81">
        <f>Transport!J127</f>
        <v>2862</v>
      </c>
      <c r="W127" s="81">
        <f>Transport!K127</f>
        <v>1685</v>
      </c>
      <c r="X127" s="81">
        <f>Transport!L127</f>
        <v>683</v>
      </c>
    </row>
    <row r="128" spans="1:24" x14ac:dyDescent="0.2">
      <c r="A128" s="10">
        <f t="shared" si="54"/>
        <v>39490.249999999702</v>
      </c>
      <c r="B128" s="19">
        <f t="shared" si="58"/>
        <v>2.6362611825265398</v>
      </c>
      <c r="C128" s="19">
        <f t="shared" si="60"/>
        <v>2.6962611825265399</v>
      </c>
      <c r="D128" s="19">
        <f t="shared" si="39"/>
        <v>2.6462611825265401</v>
      </c>
      <c r="E128" s="19">
        <f t="shared" si="50"/>
        <v>2.6962611825265399</v>
      </c>
      <c r="F128" s="2">
        <f t="shared" si="57"/>
        <v>2.75E-2</v>
      </c>
      <c r="G128" s="15">
        <f t="shared" si="38"/>
        <v>2.75E-2</v>
      </c>
      <c r="H128" s="3">
        <v>29</v>
      </c>
      <c r="I128" s="12">
        <v>-0.14758440686963725</v>
      </c>
      <c r="K128" s="44">
        <v>2.4500000000000188E-2</v>
      </c>
      <c r="L128" s="76">
        <f t="shared" si="55"/>
        <v>0.39699896617929403</v>
      </c>
      <c r="M128" s="8">
        <f t="shared" si="59"/>
        <v>0.73480000000000001</v>
      </c>
      <c r="N128" s="11">
        <f t="shared" si="61"/>
        <v>0.39699896617929403</v>
      </c>
      <c r="O128" s="3">
        <f t="shared" si="56"/>
        <v>4.7699999999999999E-2</v>
      </c>
      <c r="P128" s="3">
        <f t="shared" si="49"/>
        <v>3.0700000000000002E-2</v>
      </c>
      <c r="R128" s="3">
        <f>Transport!F128</f>
        <v>4926</v>
      </c>
      <c r="S128" s="3">
        <f>Transport!G128</f>
        <v>5732</v>
      </c>
      <c r="T128" s="3">
        <f>Transport!H128</f>
        <v>9342</v>
      </c>
      <c r="U128" s="3">
        <f>Transport!I128</f>
        <v>2563</v>
      </c>
      <c r="V128" s="3">
        <f>Transport!J128</f>
        <v>2862</v>
      </c>
      <c r="W128" s="3">
        <f>Transport!K128</f>
        <v>1685</v>
      </c>
      <c r="X128" s="3">
        <f>Transport!L128</f>
        <v>683</v>
      </c>
    </row>
    <row r="129" spans="1:24" x14ac:dyDescent="0.2">
      <c r="A129" s="10">
        <f t="shared" ref="A129:A144" si="62">+A128+365/12</f>
        <v>39520.666666666366</v>
      </c>
      <c r="B129" s="19">
        <f t="shared" si="58"/>
        <v>2.6362611825265398</v>
      </c>
      <c r="C129" s="19">
        <f t="shared" si="60"/>
        <v>2.6962611825265399</v>
      </c>
      <c r="D129" s="19">
        <f t="shared" si="39"/>
        <v>2.6462611825265401</v>
      </c>
      <c r="E129" s="19">
        <f t="shared" si="50"/>
        <v>2.6962611825265399</v>
      </c>
      <c r="F129" s="2">
        <f t="shared" si="57"/>
        <v>2.75E-2</v>
      </c>
      <c r="G129" s="15">
        <f t="shared" si="38"/>
        <v>2.75E-2</v>
      </c>
      <c r="H129" s="3">
        <v>31</v>
      </c>
      <c r="I129" s="12">
        <v>-0.12262016951371324</v>
      </c>
      <c r="K129" s="44">
        <v>1.9500000000000295E-2</v>
      </c>
      <c r="L129" s="76">
        <f t="shared" si="55"/>
        <v>0.39699896617929403</v>
      </c>
      <c r="M129" s="8">
        <f t="shared" si="59"/>
        <v>0.73480000000000001</v>
      </c>
      <c r="N129" s="11">
        <f t="shared" si="61"/>
        <v>0.39699896617929403</v>
      </c>
      <c r="O129" s="3">
        <f t="shared" si="56"/>
        <v>4.7699999999999999E-2</v>
      </c>
      <c r="P129" s="3">
        <f t="shared" si="49"/>
        <v>3.0700000000000002E-2</v>
      </c>
      <c r="R129" s="3">
        <f>Transport!F129</f>
        <v>4926</v>
      </c>
      <c r="S129" s="3">
        <f>Transport!G129</f>
        <v>5732</v>
      </c>
      <c r="T129" s="3">
        <f>Transport!H129</f>
        <v>9342</v>
      </c>
      <c r="U129" s="3">
        <f>Transport!I129</f>
        <v>2563</v>
      </c>
      <c r="V129" s="3">
        <f>Transport!J129</f>
        <v>2862</v>
      </c>
      <c r="W129" s="3">
        <f>Transport!K129</f>
        <v>1685</v>
      </c>
      <c r="X129" s="3">
        <f>Transport!L129</f>
        <v>683</v>
      </c>
    </row>
    <row r="130" spans="1:24" x14ac:dyDescent="0.2">
      <c r="A130" s="10">
        <f t="shared" si="62"/>
        <v>39551.08333333303</v>
      </c>
      <c r="B130" s="19">
        <f t="shared" si="58"/>
        <v>2.9228716231888106</v>
      </c>
      <c r="C130" s="19">
        <f t="shared" si="60"/>
        <v>2.9828716231888106</v>
      </c>
      <c r="D130" s="19">
        <f t="shared" si="39"/>
        <v>2.9328716231888108</v>
      </c>
      <c r="E130" s="19">
        <f t="shared" si="50"/>
        <v>2.9828716231888106</v>
      </c>
      <c r="F130" s="2">
        <f t="shared" si="57"/>
        <v>2.75E-2</v>
      </c>
      <c r="G130" s="15">
        <f t="shared" si="38"/>
        <v>2.75E-2</v>
      </c>
      <c r="H130" s="3">
        <v>30</v>
      </c>
      <c r="I130" s="12">
        <v>-7.3137182810409485E-2</v>
      </c>
      <c r="K130" s="44">
        <v>5.9999999999997833E-3</v>
      </c>
      <c r="L130" s="76">
        <f t="shared" si="55"/>
        <v>0.39699896617929403</v>
      </c>
      <c r="M130" s="8">
        <f t="shared" si="59"/>
        <v>0.73480000000000001</v>
      </c>
      <c r="N130" s="11">
        <f t="shared" si="61"/>
        <v>0.39699896617929403</v>
      </c>
      <c r="O130" s="3">
        <f t="shared" si="56"/>
        <v>4.7699999999999999E-2</v>
      </c>
      <c r="P130" s="3">
        <f t="shared" ref="P130:P161" si="63">P129</f>
        <v>3.0700000000000002E-2</v>
      </c>
      <c r="R130" s="3">
        <f>Transport!F130</f>
        <v>6933</v>
      </c>
      <c r="S130" s="3">
        <f>Transport!G130</f>
        <v>8798</v>
      </c>
      <c r="T130" s="3">
        <f>Transport!H130</f>
        <v>14269</v>
      </c>
      <c r="U130" s="3">
        <f>Transport!I130</f>
        <v>1880</v>
      </c>
      <c r="V130" s="3">
        <f>Transport!J130</f>
        <v>2073</v>
      </c>
      <c r="W130" s="3">
        <f>Transport!K130</f>
        <v>1258</v>
      </c>
      <c r="X130" s="3">
        <f>Transport!L130</f>
        <v>683</v>
      </c>
    </row>
    <row r="131" spans="1:24" x14ac:dyDescent="0.2">
      <c r="A131" s="10">
        <f t="shared" si="62"/>
        <v>39581.499999999694</v>
      </c>
      <c r="B131" s="19">
        <f t="shared" si="58"/>
        <v>3.124560451803001</v>
      </c>
      <c r="C131" s="19">
        <f t="shared" si="60"/>
        <v>3.1845604518030011</v>
      </c>
      <c r="D131" s="19">
        <f t="shared" si="39"/>
        <v>3.1345604518030012</v>
      </c>
      <c r="E131" s="19">
        <f t="shared" si="50"/>
        <v>3.1845604518030011</v>
      </c>
      <c r="F131" s="2">
        <f t="shared" si="57"/>
        <v>2.75E-2</v>
      </c>
      <c r="G131" s="15">
        <f t="shared" si="38"/>
        <v>2.75E-2</v>
      </c>
      <c r="H131" s="3">
        <v>31</v>
      </c>
      <c r="I131" s="12">
        <v>-7.5556585112858343E-2</v>
      </c>
      <c r="K131" s="44">
        <v>5.9999999999997833E-3</v>
      </c>
      <c r="L131" s="76">
        <f t="shared" si="55"/>
        <v>0.39699896617929403</v>
      </c>
      <c r="M131" s="8">
        <f t="shared" si="59"/>
        <v>0.73480000000000001</v>
      </c>
      <c r="N131" s="11">
        <f t="shared" si="61"/>
        <v>0.39699896617929403</v>
      </c>
      <c r="O131" s="3">
        <f t="shared" si="56"/>
        <v>4.7699999999999999E-2</v>
      </c>
      <c r="P131" s="3">
        <f t="shared" si="63"/>
        <v>3.0700000000000002E-2</v>
      </c>
      <c r="R131" s="3">
        <f>Transport!F131</f>
        <v>8730</v>
      </c>
      <c r="S131" s="3">
        <f>Transport!G131</f>
        <v>10761</v>
      </c>
      <c r="T131" s="3">
        <f>Transport!H131</f>
        <v>15509</v>
      </c>
      <c r="U131" s="3">
        <f>Transport!I131</f>
        <v>1880</v>
      </c>
      <c r="V131" s="3">
        <f>Transport!J131</f>
        <v>2295</v>
      </c>
      <c r="W131" s="3">
        <f>Transport!K131</f>
        <v>1036</v>
      </c>
      <c r="X131" s="3">
        <f>Transport!L131</f>
        <v>683</v>
      </c>
    </row>
    <row r="132" spans="1:24" x14ac:dyDescent="0.2">
      <c r="A132" s="10">
        <f t="shared" si="62"/>
        <v>39611.916666666359</v>
      </c>
      <c r="B132" s="19">
        <f t="shared" si="58"/>
        <v>4.5151518490903104</v>
      </c>
      <c r="C132" s="19">
        <f t="shared" si="60"/>
        <v>4.57515184909031</v>
      </c>
      <c r="D132" s="19">
        <f t="shared" si="39"/>
        <v>4.5251518490903102</v>
      </c>
      <c r="E132" s="19">
        <f t="shared" si="50"/>
        <v>4.57515184909031</v>
      </c>
      <c r="F132" s="2">
        <f t="shared" si="57"/>
        <v>2.75E-2</v>
      </c>
      <c r="G132" s="15">
        <f t="shared" si="38"/>
        <v>2.75E-2</v>
      </c>
      <c r="H132" s="3">
        <v>30</v>
      </c>
      <c r="I132" s="12">
        <v>-7.5559739926625458E-2</v>
      </c>
      <c r="K132" s="44">
        <v>5.9999999999997833E-3</v>
      </c>
      <c r="L132" s="76">
        <f t="shared" si="55"/>
        <v>0.39699896617929403</v>
      </c>
      <c r="M132" s="8">
        <f t="shared" si="59"/>
        <v>0.73480000000000001</v>
      </c>
      <c r="N132" s="11">
        <f t="shared" si="61"/>
        <v>0.39699896617929403</v>
      </c>
      <c r="O132" s="3">
        <f t="shared" si="56"/>
        <v>4.7699999999999999E-2</v>
      </c>
      <c r="P132" s="3">
        <f t="shared" si="63"/>
        <v>3.0700000000000002E-2</v>
      </c>
      <c r="R132" s="3">
        <f>Transport!F132</f>
        <v>8730</v>
      </c>
      <c r="S132" s="3">
        <f>Transport!G132</f>
        <v>10761</v>
      </c>
      <c r="T132" s="3">
        <f>Transport!H132</f>
        <v>15509</v>
      </c>
      <c r="U132" s="3">
        <f>Transport!I132</f>
        <v>1880</v>
      </c>
      <c r="V132" s="3">
        <f>Transport!J132</f>
        <v>2295</v>
      </c>
      <c r="W132" s="3">
        <f>Transport!K132</f>
        <v>1036</v>
      </c>
      <c r="X132" s="3">
        <f>Transport!L132</f>
        <v>683</v>
      </c>
    </row>
    <row r="133" spans="1:24" x14ac:dyDescent="0.2">
      <c r="A133" s="10">
        <f t="shared" si="62"/>
        <v>39642.333333333023</v>
      </c>
      <c r="B133" s="19">
        <f t="shared" si="58"/>
        <v>4.5045366475843007</v>
      </c>
      <c r="C133" s="19">
        <f t="shared" si="60"/>
        <v>4.5645366475843003</v>
      </c>
      <c r="D133" s="19">
        <f t="shared" si="39"/>
        <v>4.5145366475843005</v>
      </c>
      <c r="E133" s="19">
        <f t="shared" ref="E133:E164" si="64">C133</f>
        <v>4.5645366475843003</v>
      </c>
      <c r="F133" s="2">
        <f t="shared" si="57"/>
        <v>2.75E-2</v>
      </c>
      <c r="G133" s="15">
        <f t="shared" si="38"/>
        <v>2.75E-2</v>
      </c>
      <c r="H133" s="3">
        <v>31</v>
      </c>
      <c r="I133" s="12">
        <v>-8.0061632814885542E-2</v>
      </c>
      <c r="K133" s="44">
        <v>9.4999999999998419E-3</v>
      </c>
      <c r="L133" s="76">
        <f t="shared" si="55"/>
        <v>0.39699896617929403</v>
      </c>
      <c r="M133" s="8">
        <f t="shared" si="59"/>
        <v>0.73480000000000001</v>
      </c>
      <c r="N133" s="11">
        <f t="shared" si="61"/>
        <v>0.39699896617929403</v>
      </c>
      <c r="O133" s="3">
        <f t="shared" si="56"/>
        <v>4.7699999999999999E-2</v>
      </c>
      <c r="P133" s="3">
        <f t="shared" si="63"/>
        <v>3.0700000000000002E-2</v>
      </c>
      <c r="R133" s="3">
        <f>Transport!F133</f>
        <v>8730</v>
      </c>
      <c r="S133" s="3">
        <f>Transport!G133</f>
        <v>10761</v>
      </c>
      <c r="T133" s="3">
        <f>Transport!H133</f>
        <v>15509</v>
      </c>
      <c r="U133" s="3">
        <f>Transport!I133</f>
        <v>1880</v>
      </c>
      <c r="V133" s="3">
        <f>Transport!J133</f>
        <v>2295</v>
      </c>
      <c r="W133" s="3">
        <f>Transport!K133</f>
        <v>1036</v>
      </c>
      <c r="X133" s="3">
        <f>Transport!L133</f>
        <v>683</v>
      </c>
    </row>
    <row r="134" spans="1:24" x14ac:dyDescent="0.2">
      <c r="A134" s="10">
        <f t="shared" si="62"/>
        <v>39672.749999999687</v>
      </c>
      <c r="B134" s="19">
        <f t="shared" si="58"/>
        <v>3.9313157662597602</v>
      </c>
      <c r="C134" s="19">
        <f t="shared" si="60"/>
        <v>3.9913157662597603</v>
      </c>
      <c r="D134" s="19">
        <f t="shared" si="39"/>
        <v>3.9413157662597604</v>
      </c>
      <c r="E134" s="19">
        <f t="shared" si="64"/>
        <v>3.9913157662597603</v>
      </c>
      <c r="F134" s="2">
        <f t="shared" ref="F134:F149" si="65">+F133</f>
        <v>2.75E-2</v>
      </c>
      <c r="G134" s="15">
        <f t="shared" si="38"/>
        <v>2.75E-2</v>
      </c>
      <c r="H134" s="3">
        <v>31</v>
      </c>
      <c r="I134" s="12">
        <v>-8.0065418591406701E-2</v>
      </c>
      <c r="K134" s="44">
        <v>9.4999999999996199E-3</v>
      </c>
      <c r="L134" s="76">
        <f t="shared" si="55"/>
        <v>0.39699896617929403</v>
      </c>
      <c r="M134" s="8">
        <f t="shared" si="59"/>
        <v>0.73480000000000001</v>
      </c>
      <c r="N134" s="11">
        <f t="shared" si="61"/>
        <v>0.39699896617929403</v>
      </c>
      <c r="O134" s="3">
        <f t="shared" si="56"/>
        <v>4.7699999999999999E-2</v>
      </c>
      <c r="P134" s="3">
        <f t="shared" si="63"/>
        <v>3.0700000000000002E-2</v>
      </c>
      <c r="R134" s="3">
        <f>Transport!F134</f>
        <v>8730</v>
      </c>
      <c r="S134" s="3">
        <f>Transport!G134</f>
        <v>10761</v>
      </c>
      <c r="T134" s="3">
        <f>Transport!H134</f>
        <v>15509</v>
      </c>
      <c r="U134" s="3">
        <f>Transport!I134</f>
        <v>1880</v>
      </c>
      <c r="V134" s="3">
        <f>Transport!J134</f>
        <v>2295</v>
      </c>
      <c r="W134" s="3">
        <f>Transport!K134</f>
        <v>1036</v>
      </c>
      <c r="X134" s="3">
        <f>Transport!L134</f>
        <v>683</v>
      </c>
    </row>
    <row r="135" spans="1:24" x14ac:dyDescent="0.2">
      <c r="A135" s="10">
        <f t="shared" si="62"/>
        <v>39703.166666666351</v>
      </c>
      <c r="B135" s="19">
        <f t="shared" ref="B135:B150" si="66">C135-0.06</f>
        <v>4.7486862822225318</v>
      </c>
      <c r="C135" s="19">
        <f t="shared" si="60"/>
        <v>4.8086862822225314</v>
      </c>
      <c r="D135" s="19">
        <f t="shared" si="39"/>
        <v>4.7586862822225315</v>
      </c>
      <c r="E135" s="19">
        <f t="shared" si="64"/>
        <v>4.8086862822225314</v>
      </c>
      <c r="F135" s="2">
        <f t="shared" si="65"/>
        <v>2.75E-2</v>
      </c>
      <c r="G135" s="15">
        <f t="shared" si="38"/>
        <v>2.75E-2</v>
      </c>
      <c r="H135" s="3">
        <v>30</v>
      </c>
      <c r="I135" s="12">
        <v>-8.0071728218941818E-2</v>
      </c>
      <c r="K135" s="44">
        <v>9.4999999999996199E-3</v>
      </c>
      <c r="L135" s="76">
        <f t="shared" si="55"/>
        <v>0.39699896617929403</v>
      </c>
      <c r="M135" s="8">
        <f t="shared" si="59"/>
        <v>0.73480000000000001</v>
      </c>
      <c r="N135" s="11">
        <f t="shared" si="61"/>
        <v>0.39699896617929403</v>
      </c>
      <c r="O135" s="3">
        <f t="shared" si="56"/>
        <v>4.7699999999999999E-2</v>
      </c>
      <c r="P135" s="3">
        <f t="shared" si="63"/>
        <v>3.0700000000000002E-2</v>
      </c>
      <c r="R135" s="3">
        <f>Transport!F135</f>
        <v>8730</v>
      </c>
      <c r="S135" s="3">
        <f>Transport!G135</f>
        <v>10761</v>
      </c>
      <c r="T135" s="3">
        <f>Transport!H135</f>
        <v>15509</v>
      </c>
      <c r="U135" s="3">
        <f>Transport!I135</f>
        <v>1880</v>
      </c>
      <c r="V135" s="3">
        <f>Transport!J135</f>
        <v>2295</v>
      </c>
      <c r="W135" s="3">
        <f>Transport!K135</f>
        <v>1036</v>
      </c>
      <c r="X135" s="3">
        <f>Transport!L135</f>
        <v>683</v>
      </c>
    </row>
    <row r="136" spans="1:24" x14ac:dyDescent="0.2">
      <c r="A136" s="10">
        <f t="shared" si="62"/>
        <v>39733.583333333016</v>
      </c>
      <c r="B136" s="19">
        <f t="shared" si="66"/>
        <v>5.4705199846312107</v>
      </c>
      <c r="C136" s="19">
        <f t="shared" si="60"/>
        <v>5.5305199846312103</v>
      </c>
      <c r="D136" s="19">
        <f t="shared" si="39"/>
        <v>5.4805199846312105</v>
      </c>
      <c r="E136" s="19">
        <f t="shared" si="64"/>
        <v>5.5305199846312103</v>
      </c>
      <c r="F136" s="2">
        <f t="shared" si="65"/>
        <v>2.75E-2</v>
      </c>
      <c r="G136" s="15">
        <f t="shared" si="38"/>
        <v>2.75E-2</v>
      </c>
      <c r="H136" s="3">
        <v>31</v>
      </c>
      <c r="I136" s="12">
        <v>-8.2627460926583574E-2</v>
      </c>
      <c r="K136" s="44">
        <v>1.4499999999999957E-2</v>
      </c>
      <c r="L136" s="76">
        <f t="shared" si="55"/>
        <v>0.39699896617929403</v>
      </c>
      <c r="M136" s="8">
        <f t="shared" si="59"/>
        <v>0.73480000000000001</v>
      </c>
      <c r="N136" s="11">
        <f t="shared" si="61"/>
        <v>0.39699896617929403</v>
      </c>
      <c r="O136" s="3">
        <f t="shared" si="56"/>
        <v>4.7699999999999999E-2</v>
      </c>
      <c r="P136" s="3">
        <f t="shared" si="63"/>
        <v>3.0700000000000002E-2</v>
      </c>
      <c r="R136" s="3">
        <f>Transport!F136</f>
        <v>8730</v>
      </c>
      <c r="S136" s="3">
        <f>Transport!G136</f>
        <v>10361</v>
      </c>
      <c r="T136" s="3">
        <f>Transport!H136</f>
        <v>15909</v>
      </c>
      <c r="U136" s="3">
        <f>Transport!I136</f>
        <v>2830</v>
      </c>
      <c r="V136" s="3">
        <f>Transport!J136</f>
        <v>3500</v>
      </c>
      <c r="W136" s="3">
        <f>Transport!K136</f>
        <v>1521</v>
      </c>
      <c r="X136" s="3">
        <f>Transport!L136</f>
        <v>1001</v>
      </c>
    </row>
    <row r="137" spans="1:24" x14ac:dyDescent="0.2">
      <c r="A137" s="10">
        <f t="shared" si="62"/>
        <v>39763.99999999968</v>
      </c>
      <c r="B137" s="19">
        <f t="shared" si="66"/>
        <v>3.6340901240914807</v>
      </c>
      <c r="C137" s="19">
        <f t="shared" si="60"/>
        <v>3.6940901240914807</v>
      </c>
      <c r="D137" s="19">
        <f t="shared" si="39"/>
        <v>3.6440901240914809</v>
      </c>
      <c r="E137" s="19">
        <f t="shared" si="64"/>
        <v>3.6940901240914807</v>
      </c>
      <c r="F137" s="2">
        <f t="shared" si="65"/>
        <v>2.75E-2</v>
      </c>
      <c r="G137" s="15">
        <f t="shared" si="38"/>
        <v>2.75E-2</v>
      </c>
      <c r="H137" s="3">
        <v>30</v>
      </c>
      <c r="I137" s="12">
        <v>-0.12759968411565081</v>
      </c>
      <c r="K137" s="44">
        <v>1.9499999999999851E-2</v>
      </c>
      <c r="L137" s="76">
        <f t="shared" si="55"/>
        <v>0.39699896617929403</v>
      </c>
      <c r="M137" s="8">
        <f t="shared" si="59"/>
        <v>0.73480000000000001</v>
      </c>
      <c r="N137" s="11">
        <f t="shared" si="61"/>
        <v>0.39699896617929403</v>
      </c>
      <c r="O137" s="3">
        <f t="shared" si="56"/>
        <v>4.7699999999999999E-2</v>
      </c>
      <c r="P137" s="3">
        <f t="shared" si="63"/>
        <v>3.0700000000000002E-2</v>
      </c>
      <c r="R137" s="3">
        <f>Transport!F137</f>
        <v>4926</v>
      </c>
      <c r="S137" s="3">
        <f>Transport!G137</f>
        <v>5732</v>
      </c>
      <c r="T137" s="3">
        <f>Transport!H137</f>
        <v>9342</v>
      </c>
      <c r="U137" s="3">
        <f>Transport!I137</f>
        <v>2563</v>
      </c>
      <c r="V137" s="3">
        <f>Transport!J137</f>
        <v>2862</v>
      </c>
      <c r="W137" s="3">
        <f>Transport!K137</f>
        <v>1685</v>
      </c>
      <c r="X137" s="3">
        <f>Transport!L137</f>
        <v>683</v>
      </c>
    </row>
    <row r="138" spans="1:24" x14ac:dyDescent="0.2">
      <c r="A138" s="10">
        <f t="shared" si="62"/>
        <v>39794.416666666344</v>
      </c>
      <c r="B138" s="19">
        <f t="shared" si="66"/>
        <v>2.6999523915626007</v>
      </c>
      <c r="C138" s="19">
        <f t="shared" si="60"/>
        <v>2.7599523915626007</v>
      </c>
      <c r="D138" s="19">
        <f t="shared" si="39"/>
        <v>2.7099523915626009</v>
      </c>
      <c r="E138" s="19">
        <f t="shared" si="64"/>
        <v>2.7599523915626007</v>
      </c>
      <c r="F138" s="2">
        <f t="shared" si="65"/>
        <v>2.75E-2</v>
      </c>
      <c r="G138" s="15">
        <f t="shared" si="38"/>
        <v>2.75E-2</v>
      </c>
      <c r="H138" s="3">
        <v>31</v>
      </c>
      <c r="I138" s="12">
        <v>-0.1625621854208914</v>
      </c>
      <c r="K138" s="44">
        <v>2.4500000000000188E-2</v>
      </c>
      <c r="L138" s="76">
        <f t="shared" si="55"/>
        <v>0.39699896617929403</v>
      </c>
      <c r="M138" s="8">
        <f t="shared" si="59"/>
        <v>0.73480000000000001</v>
      </c>
      <c r="N138" s="11">
        <f t="shared" si="61"/>
        <v>0.39699896617929403</v>
      </c>
      <c r="O138" s="3">
        <f t="shared" si="56"/>
        <v>4.7699999999999999E-2</v>
      </c>
      <c r="P138" s="3">
        <f t="shared" si="63"/>
        <v>3.0700000000000002E-2</v>
      </c>
      <c r="R138" s="3">
        <f>Transport!F138</f>
        <v>4926</v>
      </c>
      <c r="S138" s="3">
        <f>Transport!G138</f>
        <v>5732</v>
      </c>
      <c r="T138" s="3">
        <f>Transport!H138</f>
        <v>9342</v>
      </c>
      <c r="U138" s="3">
        <f>Transport!I138</f>
        <v>2563</v>
      </c>
      <c r="V138" s="3">
        <f>Transport!J138</f>
        <v>2862</v>
      </c>
      <c r="W138" s="3">
        <f>Transport!K138</f>
        <v>1685</v>
      </c>
      <c r="X138" s="3">
        <f>Transport!L138</f>
        <v>683</v>
      </c>
    </row>
    <row r="139" spans="1:24" s="81" customFormat="1" x14ac:dyDescent="0.2">
      <c r="A139" s="77">
        <f t="shared" si="62"/>
        <v>39824.833333333008</v>
      </c>
      <c r="B139" s="78">
        <f t="shared" si="66"/>
        <v>2.3737472492829133</v>
      </c>
      <c r="C139" s="78">
        <f t="shared" si="60"/>
        <v>2.4337472492829133</v>
      </c>
      <c r="D139" s="78">
        <f t="shared" si="39"/>
        <v>2.3837472492829135</v>
      </c>
      <c r="E139" s="78">
        <f t="shared" si="64"/>
        <v>2.4337472492829133</v>
      </c>
      <c r="F139" s="79">
        <f t="shared" si="65"/>
        <v>2.75E-2</v>
      </c>
      <c r="G139" s="80">
        <f t="shared" si="38"/>
        <v>2.75E-2</v>
      </c>
      <c r="H139" s="81">
        <v>31</v>
      </c>
      <c r="I139" s="82">
        <v>-0.14750906226998328</v>
      </c>
      <c r="K139" s="83">
        <v>2.4500000000000188E-2</v>
      </c>
      <c r="L139" s="84">
        <f>('[1]062'!$T$56*1000)/('[1]062'!$T$50*[1]Assumptions!$T$9)</f>
        <v>0.39808663457978527</v>
      </c>
      <c r="M139" s="85">
        <f t="shared" si="59"/>
        <v>0.73480000000000001</v>
      </c>
      <c r="N139" s="87">
        <f t="shared" si="61"/>
        <v>0.39808663457978527</v>
      </c>
      <c r="O139" s="81">
        <f t="shared" si="56"/>
        <v>4.7699999999999999E-2</v>
      </c>
      <c r="P139" s="81">
        <f t="shared" si="63"/>
        <v>3.0700000000000002E-2</v>
      </c>
      <c r="R139" s="81">
        <f>Transport!F139</f>
        <v>4926</v>
      </c>
      <c r="S139" s="81">
        <f>Transport!G139</f>
        <v>5732</v>
      </c>
      <c r="T139" s="81">
        <f>Transport!H139</f>
        <v>9342</v>
      </c>
      <c r="U139" s="81">
        <f>Transport!I139</f>
        <v>2563</v>
      </c>
      <c r="V139" s="81">
        <f>Transport!J139</f>
        <v>2862</v>
      </c>
      <c r="W139" s="81">
        <f>Transport!K139</f>
        <v>1685</v>
      </c>
      <c r="X139" s="81">
        <f>Transport!L139</f>
        <v>683</v>
      </c>
    </row>
    <row r="140" spans="1:24" x14ac:dyDescent="0.2">
      <c r="A140" s="10">
        <f t="shared" si="62"/>
        <v>39855.249999999673</v>
      </c>
      <c r="B140" s="19">
        <f t="shared" si="66"/>
        <v>2.6632237943518051</v>
      </c>
      <c r="C140" s="19">
        <f t="shared" ref="C140:C155" si="67">C128*1.01</f>
        <v>2.7232237943518052</v>
      </c>
      <c r="D140" s="19">
        <f t="shared" si="39"/>
        <v>2.6732237943518053</v>
      </c>
      <c r="E140" s="19">
        <f t="shared" si="64"/>
        <v>2.7232237943518052</v>
      </c>
      <c r="F140" s="2">
        <f t="shared" si="65"/>
        <v>2.75E-2</v>
      </c>
      <c r="G140" s="15">
        <f t="shared" ref="G140:G203" si="68">F140</f>
        <v>2.75E-2</v>
      </c>
      <c r="H140" s="3">
        <v>28</v>
      </c>
      <c r="I140" s="12">
        <v>-0.14753683908091553</v>
      </c>
      <c r="K140" s="44">
        <v>2.4500000000000188E-2</v>
      </c>
      <c r="L140" s="76">
        <f t="shared" si="55"/>
        <v>0.39808663457978527</v>
      </c>
      <c r="M140" s="8">
        <f t="shared" si="59"/>
        <v>0.73480000000000001</v>
      </c>
      <c r="N140" s="11">
        <f t="shared" si="61"/>
        <v>0.39808663457978527</v>
      </c>
      <c r="O140" s="3">
        <f t="shared" si="56"/>
        <v>4.7699999999999999E-2</v>
      </c>
      <c r="P140" s="3">
        <f t="shared" si="63"/>
        <v>3.0700000000000002E-2</v>
      </c>
      <c r="R140" s="3">
        <f>Transport!F140</f>
        <v>4926</v>
      </c>
      <c r="S140" s="3">
        <f>Transport!G140</f>
        <v>5732</v>
      </c>
      <c r="T140" s="3">
        <f>Transport!H140</f>
        <v>9342</v>
      </c>
      <c r="U140" s="3">
        <f>Transport!I140</f>
        <v>2563</v>
      </c>
      <c r="V140" s="3">
        <f>Transport!J140</f>
        <v>2862</v>
      </c>
      <c r="W140" s="3">
        <f>Transport!K140</f>
        <v>1685</v>
      </c>
      <c r="X140" s="3">
        <f>Transport!L140</f>
        <v>683</v>
      </c>
    </row>
    <row r="141" spans="1:24" x14ac:dyDescent="0.2">
      <c r="A141" s="10">
        <f t="shared" si="62"/>
        <v>39885.666666666337</v>
      </c>
      <c r="B141" s="19">
        <f t="shared" si="66"/>
        <v>2.6632237943518051</v>
      </c>
      <c r="C141" s="19">
        <f t="shared" si="67"/>
        <v>2.7232237943518052</v>
      </c>
      <c r="D141" s="19">
        <f t="shared" si="39"/>
        <v>2.6732237943518053</v>
      </c>
      <c r="E141" s="19">
        <f t="shared" si="64"/>
        <v>2.7232237943518052</v>
      </c>
      <c r="F141" s="2">
        <f t="shared" si="65"/>
        <v>2.75E-2</v>
      </c>
      <c r="G141" s="15">
        <f t="shared" si="68"/>
        <v>2.75E-2</v>
      </c>
      <c r="H141" s="3">
        <v>31</v>
      </c>
      <c r="I141" s="12">
        <v>-0.12257260172499196</v>
      </c>
      <c r="K141" s="44">
        <v>1.9500000000000295E-2</v>
      </c>
      <c r="L141" s="76">
        <f t="shared" si="55"/>
        <v>0.39808663457978527</v>
      </c>
      <c r="M141" s="8">
        <f t="shared" si="59"/>
        <v>0.73480000000000001</v>
      </c>
      <c r="N141" s="11">
        <f t="shared" si="61"/>
        <v>0.39808663457978527</v>
      </c>
      <c r="O141" s="3">
        <f t="shared" si="56"/>
        <v>4.7699999999999999E-2</v>
      </c>
      <c r="P141" s="3">
        <f t="shared" si="63"/>
        <v>3.0700000000000002E-2</v>
      </c>
      <c r="R141" s="3">
        <f>Transport!F141</f>
        <v>4926</v>
      </c>
      <c r="S141" s="3">
        <f>Transport!G141</f>
        <v>5732</v>
      </c>
      <c r="T141" s="3">
        <f>Transport!H141</f>
        <v>9342</v>
      </c>
      <c r="U141" s="3">
        <f>Transport!I141</f>
        <v>2563</v>
      </c>
      <c r="V141" s="3">
        <f>Transport!J141</f>
        <v>2862</v>
      </c>
      <c r="W141" s="3">
        <f>Transport!K141</f>
        <v>1685</v>
      </c>
      <c r="X141" s="3">
        <f>Transport!L141</f>
        <v>683</v>
      </c>
    </row>
    <row r="142" spans="1:24" x14ac:dyDescent="0.2">
      <c r="A142" s="10">
        <f t="shared" si="62"/>
        <v>39916.083333333001</v>
      </c>
      <c r="B142" s="19">
        <f t="shared" si="66"/>
        <v>2.9527003394206988</v>
      </c>
      <c r="C142" s="19">
        <f t="shared" si="67"/>
        <v>3.0127003394206988</v>
      </c>
      <c r="D142" s="19">
        <f t="shared" si="39"/>
        <v>2.962700339420699</v>
      </c>
      <c r="E142" s="19">
        <f t="shared" si="64"/>
        <v>3.0127003394206988</v>
      </c>
      <c r="F142" s="2">
        <f t="shared" si="65"/>
        <v>2.75E-2</v>
      </c>
      <c r="G142" s="15">
        <f t="shared" si="68"/>
        <v>2.75E-2</v>
      </c>
      <c r="H142" s="3">
        <v>30</v>
      </c>
      <c r="I142" s="12">
        <v>-7.3089615021687759E-2</v>
      </c>
      <c r="K142" s="44">
        <v>5.9999999999997833E-3</v>
      </c>
      <c r="L142" s="76">
        <f t="shared" si="55"/>
        <v>0.39808663457978527</v>
      </c>
      <c r="M142" s="8">
        <f t="shared" si="59"/>
        <v>0.73480000000000001</v>
      </c>
      <c r="N142" s="11">
        <f t="shared" si="61"/>
        <v>0.39808663457978527</v>
      </c>
      <c r="O142" s="3">
        <f t="shared" si="56"/>
        <v>4.7699999999999999E-2</v>
      </c>
      <c r="P142" s="3">
        <f t="shared" si="63"/>
        <v>3.0700000000000002E-2</v>
      </c>
      <c r="R142" s="3">
        <f>Transport!F142</f>
        <v>6933</v>
      </c>
      <c r="S142" s="3">
        <f>Transport!G142</f>
        <v>8798</v>
      </c>
      <c r="T142" s="3">
        <f>Transport!H142</f>
        <v>14269</v>
      </c>
      <c r="U142" s="3">
        <f>Transport!I142</f>
        <v>1880</v>
      </c>
      <c r="V142" s="3">
        <f>Transport!J142</f>
        <v>2073</v>
      </c>
      <c r="W142" s="3">
        <f>Transport!K142</f>
        <v>1258</v>
      </c>
      <c r="X142" s="3">
        <f>Transport!L142</f>
        <v>683</v>
      </c>
    </row>
    <row r="143" spans="1:24" x14ac:dyDescent="0.2">
      <c r="A143" s="10">
        <f t="shared" si="62"/>
        <v>39946.499999999665</v>
      </c>
      <c r="B143" s="19">
        <f t="shared" si="66"/>
        <v>3.156406056321031</v>
      </c>
      <c r="C143" s="19">
        <f t="shared" si="67"/>
        <v>3.216406056321031</v>
      </c>
      <c r="D143" s="19">
        <f t="shared" si="39"/>
        <v>3.1664060563210312</v>
      </c>
      <c r="E143" s="19">
        <f t="shared" si="64"/>
        <v>3.216406056321031</v>
      </c>
      <c r="F143" s="2">
        <f t="shared" si="65"/>
        <v>2.75E-2</v>
      </c>
      <c r="G143" s="15">
        <f t="shared" si="68"/>
        <v>2.75E-2</v>
      </c>
      <c r="H143" s="3">
        <v>31</v>
      </c>
      <c r="I143" s="12">
        <v>-7.5643027010085628E-2</v>
      </c>
      <c r="K143" s="44">
        <v>5.9999999999997833E-3</v>
      </c>
      <c r="L143" s="76">
        <f t="shared" si="55"/>
        <v>0.39808663457978527</v>
      </c>
      <c r="M143" s="8">
        <f t="shared" si="59"/>
        <v>0.73480000000000001</v>
      </c>
      <c r="N143" s="11">
        <f t="shared" si="61"/>
        <v>0.39808663457978527</v>
      </c>
      <c r="O143" s="3">
        <f t="shared" si="56"/>
        <v>4.7699999999999999E-2</v>
      </c>
      <c r="P143" s="3">
        <f t="shared" si="63"/>
        <v>3.0700000000000002E-2</v>
      </c>
      <c r="R143" s="3">
        <f>Transport!F143</f>
        <v>8730</v>
      </c>
      <c r="S143" s="3">
        <f>Transport!G143</f>
        <v>10761</v>
      </c>
      <c r="T143" s="3">
        <f>Transport!H143</f>
        <v>15509</v>
      </c>
      <c r="U143" s="3">
        <f>Transport!I143</f>
        <v>1880</v>
      </c>
      <c r="V143" s="3">
        <f>Transport!J143</f>
        <v>2295</v>
      </c>
      <c r="W143" s="3">
        <f>Transport!K143</f>
        <v>1036</v>
      </c>
      <c r="X143" s="3">
        <f>Transport!L143</f>
        <v>683</v>
      </c>
    </row>
    <row r="144" spans="1:24" x14ac:dyDescent="0.2">
      <c r="A144" s="10">
        <f t="shared" si="62"/>
        <v>39976.91666666633</v>
      </c>
      <c r="B144" s="19">
        <f t="shared" si="66"/>
        <v>4.5609033675812132</v>
      </c>
      <c r="C144" s="19">
        <f t="shared" si="67"/>
        <v>4.6209033675812128</v>
      </c>
      <c r="D144" s="19">
        <f t="shared" ref="D144:D207" si="69">C144-0.05</f>
        <v>4.570903367581213</v>
      </c>
      <c r="E144" s="19">
        <f t="shared" si="64"/>
        <v>4.6209033675812128</v>
      </c>
      <c r="F144" s="2">
        <f t="shared" si="65"/>
        <v>2.75E-2</v>
      </c>
      <c r="G144" s="15">
        <f t="shared" si="68"/>
        <v>2.75E-2</v>
      </c>
      <c r="H144" s="3">
        <v>30</v>
      </c>
      <c r="I144" s="12">
        <v>-7.5646181823853187E-2</v>
      </c>
      <c r="K144" s="44">
        <v>5.9999999999997833E-3</v>
      </c>
      <c r="L144" s="76">
        <f t="shared" si="55"/>
        <v>0.39808663457978527</v>
      </c>
      <c r="M144" s="8">
        <f t="shared" si="59"/>
        <v>0.73480000000000001</v>
      </c>
      <c r="N144" s="11">
        <f t="shared" si="61"/>
        <v>0.39808663457978527</v>
      </c>
      <c r="O144" s="3">
        <f t="shared" si="56"/>
        <v>4.7699999999999999E-2</v>
      </c>
      <c r="P144" s="3">
        <f t="shared" si="63"/>
        <v>3.0700000000000002E-2</v>
      </c>
      <c r="R144" s="3">
        <f>Transport!F144</f>
        <v>8730</v>
      </c>
      <c r="S144" s="3">
        <f>Transport!G144</f>
        <v>10761</v>
      </c>
      <c r="T144" s="3">
        <f>Transport!H144</f>
        <v>15509</v>
      </c>
      <c r="U144" s="3">
        <f>Transport!I144</f>
        <v>1880</v>
      </c>
      <c r="V144" s="3">
        <f>Transport!J144</f>
        <v>2295</v>
      </c>
      <c r="W144" s="3">
        <f>Transport!K144</f>
        <v>1036</v>
      </c>
      <c r="X144" s="3">
        <f>Transport!L144</f>
        <v>683</v>
      </c>
    </row>
    <row r="145" spans="1:24" x14ac:dyDescent="0.2">
      <c r="A145" s="10">
        <f t="shared" ref="A145:A160" si="70">+A144+365/12</f>
        <v>40007.333333332994</v>
      </c>
      <c r="B145" s="19">
        <f t="shared" si="66"/>
        <v>4.5501820140601437</v>
      </c>
      <c r="C145" s="19">
        <f t="shared" si="67"/>
        <v>4.6101820140601433</v>
      </c>
      <c r="D145" s="19">
        <f t="shared" si="69"/>
        <v>4.5601820140601435</v>
      </c>
      <c r="E145" s="19">
        <f t="shared" si="64"/>
        <v>4.6101820140601433</v>
      </c>
      <c r="F145" s="2">
        <f t="shared" si="65"/>
        <v>2.75E-2</v>
      </c>
      <c r="G145" s="15">
        <f t="shared" si="68"/>
        <v>2.75E-2</v>
      </c>
      <c r="H145" s="3">
        <v>31</v>
      </c>
      <c r="I145" s="12">
        <v>-8.0148074712113715E-2</v>
      </c>
      <c r="K145" s="44">
        <v>9.4999999999998419E-3</v>
      </c>
      <c r="L145" s="76">
        <f t="shared" si="55"/>
        <v>0.39808663457978527</v>
      </c>
      <c r="M145" s="8">
        <f t="shared" si="59"/>
        <v>0.73480000000000001</v>
      </c>
      <c r="N145" s="11">
        <f t="shared" si="61"/>
        <v>0.39808663457978527</v>
      </c>
      <c r="O145" s="3">
        <f t="shared" si="56"/>
        <v>4.7699999999999999E-2</v>
      </c>
      <c r="P145" s="3">
        <f t="shared" si="63"/>
        <v>3.0700000000000002E-2</v>
      </c>
      <c r="R145" s="3">
        <f>Transport!F145</f>
        <v>8730</v>
      </c>
      <c r="S145" s="3">
        <f>Transport!G145</f>
        <v>10761</v>
      </c>
      <c r="T145" s="3">
        <f>Transport!H145</f>
        <v>15509</v>
      </c>
      <c r="U145" s="3">
        <f>Transport!I145</f>
        <v>1880</v>
      </c>
      <c r="V145" s="3">
        <f>Transport!J145</f>
        <v>2295</v>
      </c>
      <c r="W145" s="3">
        <f>Transport!K145</f>
        <v>1036</v>
      </c>
      <c r="X145" s="3">
        <f>Transport!L145</f>
        <v>683</v>
      </c>
    </row>
    <row r="146" spans="1:24" x14ac:dyDescent="0.2">
      <c r="A146" s="10">
        <f t="shared" si="70"/>
        <v>40037.749999999658</v>
      </c>
      <c r="B146" s="19">
        <f t="shared" si="66"/>
        <v>3.9712289239223577</v>
      </c>
      <c r="C146" s="19">
        <f t="shared" si="67"/>
        <v>4.0312289239223578</v>
      </c>
      <c r="D146" s="19">
        <f t="shared" si="69"/>
        <v>3.9812289239223579</v>
      </c>
      <c r="E146" s="19">
        <f t="shared" si="64"/>
        <v>4.0312289239223578</v>
      </c>
      <c r="F146" s="2">
        <f t="shared" si="65"/>
        <v>2.75E-2</v>
      </c>
      <c r="G146" s="15">
        <f t="shared" si="68"/>
        <v>2.75E-2</v>
      </c>
      <c r="H146" s="3">
        <v>31</v>
      </c>
      <c r="I146" s="12">
        <v>-8.015186048863443E-2</v>
      </c>
      <c r="K146" s="44">
        <v>9.4999999999996199E-3</v>
      </c>
      <c r="L146" s="76">
        <f t="shared" si="55"/>
        <v>0.39808663457978527</v>
      </c>
      <c r="M146" s="8">
        <f t="shared" si="59"/>
        <v>0.73480000000000001</v>
      </c>
      <c r="N146" s="11">
        <f t="shared" si="61"/>
        <v>0.39808663457978527</v>
      </c>
      <c r="O146" s="3">
        <f t="shared" si="56"/>
        <v>4.7699999999999999E-2</v>
      </c>
      <c r="P146" s="3">
        <f t="shared" si="63"/>
        <v>3.0700000000000002E-2</v>
      </c>
      <c r="R146" s="3">
        <f>Transport!F146</f>
        <v>8730</v>
      </c>
      <c r="S146" s="3">
        <f>Transport!G146</f>
        <v>10761</v>
      </c>
      <c r="T146" s="3">
        <f>Transport!H146</f>
        <v>15509</v>
      </c>
      <c r="U146" s="3">
        <f>Transport!I146</f>
        <v>1880</v>
      </c>
      <c r="V146" s="3">
        <f>Transport!J146</f>
        <v>2295</v>
      </c>
      <c r="W146" s="3">
        <f>Transport!K146</f>
        <v>1036</v>
      </c>
      <c r="X146" s="3">
        <f>Transport!L146</f>
        <v>683</v>
      </c>
    </row>
    <row r="147" spans="1:24" x14ac:dyDescent="0.2">
      <c r="A147" s="10">
        <f t="shared" si="70"/>
        <v>40068.166666666322</v>
      </c>
      <c r="B147" s="19">
        <f t="shared" si="66"/>
        <v>4.7967731450447575</v>
      </c>
      <c r="C147" s="19">
        <f t="shared" si="67"/>
        <v>4.8567731450447571</v>
      </c>
      <c r="D147" s="19">
        <f t="shared" si="69"/>
        <v>4.8067731450447573</v>
      </c>
      <c r="E147" s="19">
        <f t="shared" si="64"/>
        <v>4.8567731450447571</v>
      </c>
      <c r="F147" s="2">
        <f t="shared" si="65"/>
        <v>2.75E-2</v>
      </c>
      <c r="G147" s="15">
        <f t="shared" si="68"/>
        <v>2.75E-2</v>
      </c>
      <c r="H147" s="3">
        <v>30</v>
      </c>
      <c r="I147" s="12">
        <v>-8.0158170116169991E-2</v>
      </c>
      <c r="K147" s="44">
        <v>9.4999999999996199E-3</v>
      </c>
      <c r="L147" s="76">
        <f t="shared" si="55"/>
        <v>0.39808663457978527</v>
      </c>
      <c r="M147" s="8">
        <f t="shared" si="59"/>
        <v>0.73480000000000001</v>
      </c>
      <c r="N147" s="11">
        <f t="shared" si="61"/>
        <v>0.39808663457978527</v>
      </c>
      <c r="O147" s="3">
        <f t="shared" si="56"/>
        <v>4.7699999999999999E-2</v>
      </c>
      <c r="P147" s="3">
        <f t="shared" si="63"/>
        <v>3.0700000000000002E-2</v>
      </c>
      <c r="R147" s="3">
        <f>Transport!F147</f>
        <v>8730</v>
      </c>
      <c r="S147" s="3">
        <f>Transport!G147</f>
        <v>10761</v>
      </c>
      <c r="T147" s="3">
        <f>Transport!H147</f>
        <v>15509</v>
      </c>
      <c r="U147" s="3">
        <f>Transport!I147</f>
        <v>1880</v>
      </c>
      <c r="V147" s="3">
        <f>Transport!J147</f>
        <v>2295</v>
      </c>
      <c r="W147" s="3">
        <f>Transport!K147</f>
        <v>1036</v>
      </c>
      <c r="X147" s="3">
        <f>Transport!L147</f>
        <v>683</v>
      </c>
    </row>
    <row r="148" spans="1:24" x14ac:dyDescent="0.2">
      <c r="A148" s="10">
        <f t="shared" si="70"/>
        <v>40098.583333332987</v>
      </c>
      <c r="B148" s="19">
        <f t="shared" si="66"/>
        <v>5.5258251844775232</v>
      </c>
      <c r="C148" s="19">
        <f t="shared" si="67"/>
        <v>5.5858251844775229</v>
      </c>
      <c r="D148" s="19">
        <f t="shared" si="69"/>
        <v>5.535825184477523</v>
      </c>
      <c r="E148" s="19">
        <f t="shared" si="64"/>
        <v>5.5858251844775229</v>
      </c>
      <c r="F148" s="2">
        <f t="shared" si="65"/>
        <v>2.75E-2</v>
      </c>
      <c r="G148" s="15">
        <f t="shared" si="68"/>
        <v>2.75E-2</v>
      </c>
      <c r="H148" s="3">
        <v>31</v>
      </c>
      <c r="I148" s="12">
        <v>-8.2579893137861404E-2</v>
      </c>
      <c r="K148" s="44">
        <v>1.4499999999999957E-2</v>
      </c>
      <c r="L148" s="76">
        <f t="shared" si="55"/>
        <v>0.39808663457978527</v>
      </c>
      <c r="M148" s="8">
        <f t="shared" si="59"/>
        <v>0.73480000000000001</v>
      </c>
      <c r="N148" s="11">
        <f t="shared" si="61"/>
        <v>0.39808663457978527</v>
      </c>
      <c r="O148" s="3">
        <f t="shared" si="56"/>
        <v>4.7699999999999999E-2</v>
      </c>
      <c r="P148" s="3">
        <f t="shared" si="63"/>
        <v>3.0700000000000002E-2</v>
      </c>
      <c r="R148" s="3">
        <f>Transport!F148</f>
        <v>8730</v>
      </c>
      <c r="S148" s="3">
        <f>Transport!G148</f>
        <v>10361</v>
      </c>
      <c r="T148" s="3">
        <f>Transport!H148</f>
        <v>15909</v>
      </c>
      <c r="U148" s="3">
        <f>Transport!I148</f>
        <v>2830</v>
      </c>
      <c r="V148" s="3">
        <f>Transport!J148</f>
        <v>3500</v>
      </c>
      <c r="W148" s="3">
        <f>Transport!K148</f>
        <v>1521</v>
      </c>
      <c r="X148" s="3">
        <f>Transport!L148</f>
        <v>1001</v>
      </c>
    </row>
    <row r="149" spans="1:24" x14ac:dyDescent="0.2">
      <c r="A149" s="10">
        <f t="shared" si="70"/>
        <v>40128.999999999651</v>
      </c>
      <c r="B149" s="19">
        <f t="shared" si="66"/>
        <v>3.6710310253323954</v>
      </c>
      <c r="C149" s="19">
        <f t="shared" si="67"/>
        <v>3.7310310253323955</v>
      </c>
      <c r="D149" s="19">
        <f t="shared" si="69"/>
        <v>3.6810310253323957</v>
      </c>
      <c r="E149" s="19">
        <f t="shared" si="64"/>
        <v>3.7310310253323955</v>
      </c>
      <c r="F149" s="2">
        <f t="shared" si="65"/>
        <v>2.75E-2</v>
      </c>
      <c r="G149" s="15">
        <f t="shared" si="68"/>
        <v>2.75E-2</v>
      </c>
      <c r="H149" s="3">
        <v>30</v>
      </c>
      <c r="I149" s="12">
        <v>-0.1275521163269282</v>
      </c>
      <c r="K149" s="44">
        <v>1.9499999999999851E-2</v>
      </c>
      <c r="L149" s="76">
        <f t="shared" ref="L149:L180" si="71">L148</f>
        <v>0.39808663457978527</v>
      </c>
      <c r="M149" s="8">
        <f t="shared" si="59"/>
        <v>0.73480000000000001</v>
      </c>
      <c r="N149" s="11">
        <f t="shared" si="61"/>
        <v>0.39808663457978527</v>
      </c>
      <c r="O149" s="3">
        <f t="shared" ref="O149:O180" si="72">O148</f>
        <v>4.7699999999999999E-2</v>
      </c>
      <c r="P149" s="3">
        <f t="shared" si="63"/>
        <v>3.0700000000000002E-2</v>
      </c>
      <c r="R149" s="3">
        <f>Transport!F149</f>
        <v>4926</v>
      </c>
      <c r="S149" s="3">
        <f>Transport!G149</f>
        <v>5732</v>
      </c>
      <c r="T149" s="3">
        <f>Transport!H149</f>
        <v>9342</v>
      </c>
      <c r="U149" s="3">
        <f>Transport!I149</f>
        <v>2563</v>
      </c>
      <c r="V149" s="3">
        <f>Transport!J149</f>
        <v>2862</v>
      </c>
      <c r="W149" s="3">
        <f>Transport!K149</f>
        <v>1685</v>
      </c>
      <c r="X149" s="3">
        <f>Transport!L149</f>
        <v>683</v>
      </c>
    </row>
    <row r="150" spans="1:24" x14ac:dyDescent="0.2">
      <c r="A150" s="10">
        <f t="shared" si="70"/>
        <v>40159.416666666315</v>
      </c>
      <c r="B150" s="19">
        <f t="shared" si="66"/>
        <v>2.7275519154782266</v>
      </c>
      <c r="C150" s="19">
        <f t="shared" si="67"/>
        <v>2.7875519154782267</v>
      </c>
      <c r="D150" s="19">
        <f t="shared" si="69"/>
        <v>2.7375519154782268</v>
      </c>
      <c r="E150" s="19">
        <f t="shared" si="64"/>
        <v>2.7875519154782267</v>
      </c>
      <c r="F150" s="2">
        <f t="shared" ref="F150:F165" si="73">+F149</f>
        <v>2.75E-2</v>
      </c>
      <c r="G150" s="15">
        <f t="shared" si="68"/>
        <v>2.75E-2</v>
      </c>
      <c r="H150" s="3">
        <v>31</v>
      </c>
      <c r="I150" s="12">
        <v>-0.16251461763216968</v>
      </c>
      <c r="K150" s="44">
        <v>2.4500000000000188E-2</v>
      </c>
      <c r="L150" s="76">
        <f t="shared" si="71"/>
        <v>0.39808663457978527</v>
      </c>
      <c r="M150" s="8">
        <f t="shared" si="59"/>
        <v>0.73480000000000001</v>
      </c>
      <c r="N150" s="11">
        <f t="shared" si="61"/>
        <v>0.39808663457978527</v>
      </c>
      <c r="O150" s="3">
        <f t="shared" si="72"/>
        <v>4.7699999999999999E-2</v>
      </c>
      <c r="P150" s="3">
        <f t="shared" si="63"/>
        <v>3.0700000000000002E-2</v>
      </c>
      <c r="R150" s="3">
        <f>Transport!F150</f>
        <v>4926</v>
      </c>
      <c r="S150" s="3">
        <f>Transport!G150</f>
        <v>5732</v>
      </c>
      <c r="T150" s="3">
        <f>Transport!H150</f>
        <v>9342</v>
      </c>
      <c r="U150" s="3">
        <f>Transport!I150</f>
        <v>2563</v>
      </c>
      <c r="V150" s="3">
        <f>Transport!J150</f>
        <v>2862</v>
      </c>
      <c r="W150" s="3">
        <f>Transport!K150</f>
        <v>1685</v>
      </c>
      <c r="X150" s="3">
        <f>Transport!L150</f>
        <v>683</v>
      </c>
    </row>
    <row r="151" spans="1:24" s="81" customFormat="1" x14ac:dyDescent="0.2">
      <c r="A151" s="77">
        <f t="shared" si="70"/>
        <v>40189.833333332979</v>
      </c>
      <c r="B151" s="78">
        <f t="shared" ref="B151:B166" si="74">C151-0.06</f>
        <v>2.3980847217757426</v>
      </c>
      <c r="C151" s="78">
        <f t="shared" si="67"/>
        <v>2.4580847217757427</v>
      </c>
      <c r="D151" s="78">
        <f t="shared" si="69"/>
        <v>2.4080847217757428</v>
      </c>
      <c r="E151" s="78">
        <f t="shared" si="64"/>
        <v>2.4580847217757427</v>
      </c>
      <c r="F151" s="79">
        <f t="shared" si="73"/>
        <v>2.75E-2</v>
      </c>
      <c r="G151" s="80">
        <f t="shared" si="68"/>
        <v>2.75E-2</v>
      </c>
      <c r="H151" s="81">
        <v>31</v>
      </c>
      <c r="I151" s="82">
        <v>-0.14750906226998328</v>
      </c>
      <c r="K151" s="83">
        <v>2.4500000000000188E-2</v>
      </c>
      <c r="L151" s="84">
        <f>('[1]062'!$U$56*1000)/('[1]062'!$U$50*[1]Assumptions!$U$9)</f>
        <v>0.39808663457978527</v>
      </c>
      <c r="M151" s="85">
        <f t="shared" si="59"/>
        <v>0.73480000000000001</v>
      </c>
      <c r="N151" s="87">
        <f t="shared" si="61"/>
        <v>0.39808663457978527</v>
      </c>
      <c r="O151" s="81">
        <f t="shared" si="72"/>
        <v>4.7699999999999999E-2</v>
      </c>
      <c r="P151" s="81">
        <f t="shared" si="63"/>
        <v>3.0700000000000002E-2</v>
      </c>
      <c r="R151" s="81">
        <f>Transport!F151</f>
        <v>4926</v>
      </c>
      <c r="S151" s="81">
        <f>Transport!G151</f>
        <v>5732</v>
      </c>
      <c r="T151" s="81">
        <f>Transport!H151</f>
        <v>9342</v>
      </c>
      <c r="U151" s="81">
        <f>Transport!I151</f>
        <v>2563</v>
      </c>
      <c r="V151" s="81">
        <f>Transport!J151</f>
        <v>2862</v>
      </c>
      <c r="W151" s="81">
        <f>Transport!K151</f>
        <v>1685</v>
      </c>
      <c r="X151" s="81">
        <f>Transport!L151</f>
        <v>683</v>
      </c>
    </row>
    <row r="152" spans="1:24" x14ac:dyDescent="0.2">
      <c r="A152" s="10">
        <f t="shared" si="70"/>
        <v>40220.249999999643</v>
      </c>
      <c r="B152" s="19">
        <f t="shared" si="74"/>
        <v>2.690456032295323</v>
      </c>
      <c r="C152" s="19">
        <f t="shared" si="67"/>
        <v>2.7504560322953231</v>
      </c>
      <c r="D152" s="19">
        <f t="shared" si="69"/>
        <v>2.7004560322953233</v>
      </c>
      <c r="E152" s="19">
        <f t="shared" si="64"/>
        <v>2.7504560322953231</v>
      </c>
      <c r="F152" s="2">
        <f t="shared" si="73"/>
        <v>2.75E-2</v>
      </c>
      <c r="G152" s="15">
        <f t="shared" si="68"/>
        <v>2.75E-2</v>
      </c>
      <c r="H152" s="3">
        <v>28</v>
      </c>
      <c r="I152" s="12">
        <v>-0.14753683908091553</v>
      </c>
      <c r="K152" s="44">
        <v>2.4500000000000188E-2</v>
      </c>
      <c r="L152" s="76">
        <f t="shared" si="71"/>
        <v>0.39808663457978527</v>
      </c>
      <c r="M152" s="8">
        <f t="shared" si="59"/>
        <v>0.73480000000000001</v>
      </c>
      <c r="N152" s="11">
        <f t="shared" si="61"/>
        <v>0.39808663457978527</v>
      </c>
      <c r="O152" s="3">
        <f t="shared" si="72"/>
        <v>4.7699999999999999E-2</v>
      </c>
      <c r="P152" s="3">
        <f t="shared" si="63"/>
        <v>3.0700000000000002E-2</v>
      </c>
      <c r="R152" s="3">
        <f>Transport!F152</f>
        <v>4926</v>
      </c>
      <c r="S152" s="3">
        <f>Transport!G152</f>
        <v>5732</v>
      </c>
      <c r="T152" s="3">
        <f>Transport!H152</f>
        <v>9342</v>
      </c>
      <c r="U152" s="3">
        <f>Transport!I152</f>
        <v>2563</v>
      </c>
      <c r="V152" s="3">
        <f>Transport!J152</f>
        <v>2862</v>
      </c>
      <c r="W152" s="3">
        <f>Transport!K152</f>
        <v>1685</v>
      </c>
      <c r="X152" s="3">
        <f>Transport!L152</f>
        <v>683</v>
      </c>
    </row>
    <row r="153" spans="1:24" x14ac:dyDescent="0.2">
      <c r="A153" s="10">
        <f t="shared" si="70"/>
        <v>40250.666666666308</v>
      </c>
      <c r="B153" s="19">
        <f t="shared" si="74"/>
        <v>2.690456032295323</v>
      </c>
      <c r="C153" s="19">
        <f t="shared" si="67"/>
        <v>2.7504560322953231</v>
      </c>
      <c r="D153" s="19">
        <f t="shared" si="69"/>
        <v>2.7004560322953233</v>
      </c>
      <c r="E153" s="19">
        <f t="shared" si="64"/>
        <v>2.7504560322953231</v>
      </c>
      <c r="F153" s="2">
        <f t="shared" si="73"/>
        <v>2.75E-2</v>
      </c>
      <c r="G153" s="15">
        <f t="shared" si="68"/>
        <v>2.75E-2</v>
      </c>
      <c r="H153" s="3">
        <v>31</v>
      </c>
      <c r="I153" s="12">
        <v>-0.12257260172499196</v>
      </c>
      <c r="K153" s="44">
        <v>1.9500000000000295E-2</v>
      </c>
      <c r="L153" s="76">
        <f t="shared" si="71"/>
        <v>0.39808663457978527</v>
      </c>
      <c r="M153" s="8">
        <f t="shared" si="59"/>
        <v>0.73480000000000001</v>
      </c>
      <c r="N153" s="11">
        <f t="shared" si="61"/>
        <v>0.39808663457978527</v>
      </c>
      <c r="O153" s="3">
        <f t="shared" si="72"/>
        <v>4.7699999999999999E-2</v>
      </c>
      <c r="P153" s="3">
        <f t="shared" si="63"/>
        <v>3.0700000000000002E-2</v>
      </c>
      <c r="R153" s="3">
        <f>Transport!F153</f>
        <v>4926</v>
      </c>
      <c r="S153" s="3">
        <f>Transport!G153</f>
        <v>5732</v>
      </c>
      <c r="T153" s="3">
        <f>Transport!H153</f>
        <v>9342</v>
      </c>
      <c r="U153" s="3">
        <f>Transport!I153</f>
        <v>2563</v>
      </c>
      <c r="V153" s="3">
        <f>Transport!J153</f>
        <v>2862</v>
      </c>
      <c r="W153" s="3">
        <f>Transport!K153</f>
        <v>1685</v>
      </c>
      <c r="X153" s="3">
        <f>Transport!L153</f>
        <v>683</v>
      </c>
    </row>
    <row r="154" spans="1:24" x14ac:dyDescent="0.2">
      <c r="A154" s="10">
        <f t="shared" si="70"/>
        <v>40281.083333332972</v>
      </c>
      <c r="B154" s="19">
        <f t="shared" si="74"/>
        <v>2.9828273428149057</v>
      </c>
      <c r="C154" s="19">
        <f t="shared" si="67"/>
        <v>3.0428273428149057</v>
      </c>
      <c r="D154" s="19">
        <f t="shared" si="69"/>
        <v>2.9928273428149059</v>
      </c>
      <c r="E154" s="19">
        <f t="shared" si="64"/>
        <v>3.0428273428149057</v>
      </c>
      <c r="F154" s="2">
        <f t="shared" si="73"/>
        <v>2.75E-2</v>
      </c>
      <c r="G154" s="15">
        <f t="shared" si="68"/>
        <v>2.75E-2</v>
      </c>
      <c r="H154" s="3">
        <v>30</v>
      </c>
      <c r="I154" s="12">
        <v>-7.3089615021687759E-2</v>
      </c>
      <c r="K154" s="44">
        <v>5.9999999999997833E-3</v>
      </c>
      <c r="L154" s="76">
        <f t="shared" si="71"/>
        <v>0.39808663457978527</v>
      </c>
      <c r="M154" s="8">
        <f t="shared" ref="M154:M185" si="75">M153</f>
        <v>0.73480000000000001</v>
      </c>
      <c r="N154" s="11">
        <f t="shared" si="61"/>
        <v>0.39808663457978527</v>
      </c>
      <c r="O154" s="3">
        <f t="shared" si="72"/>
        <v>4.7699999999999999E-2</v>
      </c>
      <c r="P154" s="3">
        <f t="shared" si="63"/>
        <v>3.0700000000000002E-2</v>
      </c>
      <c r="R154" s="3">
        <f>Transport!F154</f>
        <v>6933</v>
      </c>
      <c r="S154" s="3">
        <f>Transport!G154</f>
        <v>8798</v>
      </c>
      <c r="T154" s="3">
        <f>Transport!H154</f>
        <v>14269</v>
      </c>
      <c r="U154" s="3">
        <f>Transport!I154</f>
        <v>1880</v>
      </c>
      <c r="V154" s="3">
        <f>Transport!J154</f>
        <v>2073</v>
      </c>
      <c r="W154" s="3">
        <f>Transport!K154</f>
        <v>1258</v>
      </c>
      <c r="X154" s="3">
        <f>Transport!L154</f>
        <v>683</v>
      </c>
    </row>
    <row r="155" spans="1:24" x14ac:dyDescent="0.2">
      <c r="A155" s="10">
        <f t="shared" si="70"/>
        <v>40311.499999999636</v>
      </c>
      <c r="B155" s="19">
        <f t="shared" si="74"/>
        <v>3.1885701168842413</v>
      </c>
      <c r="C155" s="19">
        <f t="shared" si="67"/>
        <v>3.2485701168842414</v>
      </c>
      <c r="D155" s="19">
        <f t="shared" si="69"/>
        <v>3.1985701168842415</v>
      </c>
      <c r="E155" s="19">
        <f t="shared" si="64"/>
        <v>3.2485701168842414</v>
      </c>
      <c r="F155" s="2">
        <f t="shared" si="73"/>
        <v>2.75E-2</v>
      </c>
      <c r="G155" s="15">
        <f t="shared" si="68"/>
        <v>2.75E-2</v>
      </c>
      <c r="H155" s="3">
        <v>31</v>
      </c>
      <c r="I155" s="12">
        <v>-7.5643027010085628E-2</v>
      </c>
      <c r="K155" s="44">
        <v>5.9999999999997833E-3</v>
      </c>
      <c r="L155" s="76">
        <f t="shared" si="71"/>
        <v>0.39808663457978527</v>
      </c>
      <c r="M155" s="8">
        <f t="shared" si="75"/>
        <v>0.73480000000000001</v>
      </c>
      <c r="N155" s="11">
        <f t="shared" si="61"/>
        <v>0.39808663457978527</v>
      </c>
      <c r="O155" s="3">
        <f t="shared" si="72"/>
        <v>4.7699999999999999E-2</v>
      </c>
      <c r="P155" s="3">
        <f t="shared" si="63"/>
        <v>3.0700000000000002E-2</v>
      </c>
      <c r="R155" s="3">
        <f>Transport!F155</f>
        <v>8730</v>
      </c>
      <c r="S155" s="3">
        <f>Transport!G155</f>
        <v>10761</v>
      </c>
      <c r="T155" s="3">
        <f>Transport!H155</f>
        <v>15509</v>
      </c>
      <c r="U155" s="3">
        <f>Transport!I155</f>
        <v>1880</v>
      </c>
      <c r="V155" s="3">
        <f>Transport!J155</f>
        <v>2295</v>
      </c>
      <c r="W155" s="3">
        <f>Transport!K155</f>
        <v>1036</v>
      </c>
      <c r="X155" s="3">
        <f>Transport!L155</f>
        <v>683</v>
      </c>
    </row>
    <row r="156" spans="1:24" x14ac:dyDescent="0.2">
      <c r="A156" s="10">
        <f t="shared" si="70"/>
        <v>40341.9166666663</v>
      </c>
      <c r="B156" s="19">
        <f t="shared" si="74"/>
        <v>4.6071124012570257</v>
      </c>
      <c r="C156" s="19">
        <f t="shared" ref="C156:C171" si="76">C144*1.01</f>
        <v>4.6671124012570253</v>
      </c>
      <c r="D156" s="19">
        <f t="shared" si="69"/>
        <v>4.6171124012570255</v>
      </c>
      <c r="E156" s="19">
        <f t="shared" si="64"/>
        <v>4.6671124012570253</v>
      </c>
      <c r="F156" s="2">
        <f t="shared" si="73"/>
        <v>2.75E-2</v>
      </c>
      <c r="G156" s="15">
        <f t="shared" si="68"/>
        <v>2.75E-2</v>
      </c>
      <c r="H156" s="3">
        <v>30</v>
      </c>
      <c r="I156" s="12">
        <v>-7.5646181823853187E-2</v>
      </c>
      <c r="K156" s="44">
        <v>5.9999999999997833E-3</v>
      </c>
      <c r="L156" s="76">
        <f t="shared" si="71"/>
        <v>0.39808663457978527</v>
      </c>
      <c r="M156" s="8">
        <f t="shared" si="75"/>
        <v>0.73480000000000001</v>
      </c>
      <c r="N156" s="11">
        <f t="shared" si="61"/>
        <v>0.39808663457978527</v>
      </c>
      <c r="O156" s="3">
        <f t="shared" si="72"/>
        <v>4.7699999999999999E-2</v>
      </c>
      <c r="P156" s="3">
        <f t="shared" si="63"/>
        <v>3.0700000000000002E-2</v>
      </c>
      <c r="R156" s="3">
        <f>Transport!F156</f>
        <v>8730</v>
      </c>
      <c r="S156" s="3">
        <f>Transport!G156</f>
        <v>10761</v>
      </c>
      <c r="T156" s="3">
        <f>Transport!H156</f>
        <v>15509</v>
      </c>
      <c r="U156" s="3">
        <f>Transport!I156</f>
        <v>1880</v>
      </c>
      <c r="V156" s="3">
        <f>Transport!J156</f>
        <v>2295</v>
      </c>
      <c r="W156" s="3">
        <f>Transport!K156</f>
        <v>1036</v>
      </c>
      <c r="X156" s="3">
        <f>Transport!L156</f>
        <v>683</v>
      </c>
    </row>
    <row r="157" spans="1:24" x14ac:dyDescent="0.2">
      <c r="A157" s="10">
        <f t="shared" si="70"/>
        <v>40372.333333332965</v>
      </c>
      <c r="B157" s="19">
        <f t="shared" si="74"/>
        <v>4.5962838342007455</v>
      </c>
      <c r="C157" s="19">
        <f t="shared" si="76"/>
        <v>4.6562838342007451</v>
      </c>
      <c r="D157" s="19">
        <f t="shared" si="69"/>
        <v>4.6062838342007453</v>
      </c>
      <c r="E157" s="19">
        <f t="shared" si="64"/>
        <v>4.6562838342007451</v>
      </c>
      <c r="F157" s="2">
        <f t="shared" si="73"/>
        <v>2.75E-2</v>
      </c>
      <c r="G157" s="15">
        <f t="shared" si="68"/>
        <v>2.75E-2</v>
      </c>
      <c r="H157" s="3">
        <v>31</v>
      </c>
      <c r="I157" s="12">
        <v>-8.0148074712113715E-2</v>
      </c>
      <c r="K157" s="44">
        <v>9.4999999999998419E-3</v>
      </c>
      <c r="L157" s="76">
        <f t="shared" si="71"/>
        <v>0.39808663457978527</v>
      </c>
      <c r="M157" s="8">
        <f t="shared" si="75"/>
        <v>0.73480000000000001</v>
      </c>
      <c r="N157" s="11">
        <f t="shared" si="61"/>
        <v>0.39808663457978527</v>
      </c>
      <c r="O157" s="3">
        <f t="shared" si="72"/>
        <v>4.7699999999999999E-2</v>
      </c>
      <c r="P157" s="3">
        <f t="shared" si="63"/>
        <v>3.0700000000000002E-2</v>
      </c>
      <c r="R157" s="3">
        <f>Transport!F157</f>
        <v>8730</v>
      </c>
      <c r="S157" s="3">
        <f>Transport!G157</f>
        <v>10761</v>
      </c>
      <c r="T157" s="3">
        <f>Transport!H157</f>
        <v>15509</v>
      </c>
      <c r="U157" s="3">
        <f>Transport!I157</f>
        <v>1880</v>
      </c>
      <c r="V157" s="3">
        <f>Transport!J157</f>
        <v>2295</v>
      </c>
      <c r="W157" s="3">
        <f>Transport!K157</f>
        <v>1036</v>
      </c>
      <c r="X157" s="3">
        <f>Transport!L157</f>
        <v>683</v>
      </c>
    </row>
    <row r="158" spans="1:24" x14ac:dyDescent="0.2">
      <c r="A158" s="10">
        <f t="shared" si="70"/>
        <v>40402.749999999629</v>
      </c>
      <c r="B158" s="19">
        <f t="shared" si="74"/>
        <v>4.011541213161582</v>
      </c>
      <c r="C158" s="19">
        <f t="shared" si="76"/>
        <v>4.0715412131615816</v>
      </c>
      <c r="D158" s="19">
        <f t="shared" si="69"/>
        <v>4.0215412131615818</v>
      </c>
      <c r="E158" s="19">
        <f t="shared" si="64"/>
        <v>4.0715412131615816</v>
      </c>
      <c r="F158" s="2">
        <f t="shared" si="73"/>
        <v>2.75E-2</v>
      </c>
      <c r="G158" s="15">
        <f t="shared" si="68"/>
        <v>2.75E-2</v>
      </c>
      <c r="H158" s="3">
        <v>31</v>
      </c>
      <c r="I158" s="12">
        <v>-8.015186048863443E-2</v>
      </c>
      <c r="K158" s="44">
        <v>9.4999999999996199E-3</v>
      </c>
      <c r="L158" s="76">
        <f t="shared" si="71"/>
        <v>0.39808663457978527</v>
      </c>
      <c r="M158" s="8">
        <f t="shared" si="75"/>
        <v>0.73480000000000001</v>
      </c>
      <c r="N158" s="11">
        <f t="shared" si="61"/>
        <v>0.39808663457978527</v>
      </c>
      <c r="O158" s="3">
        <f t="shared" si="72"/>
        <v>4.7699999999999999E-2</v>
      </c>
      <c r="P158" s="3">
        <f t="shared" si="63"/>
        <v>3.0700000000000002E-2</v>
      </c>
      <c r="R158" s="3">
        <f>Transport!F158</f>
        <v>8730</v>
      </c>
      <c r="S158" s="3">
        <f>Transport!G158</f>
        <v>10761</v>
      </c>
      <c r="T158" s="3">
        <f>Transport!H158</f>
        <v>15509</v>
      </c>
      <c r="U158" s="3">
        <f>Transport!I158</f>
        <v>1880</v>
      </c>
      <c r="V158" s="3">
        <f>Transport!J158</f>
        <v>2295</v>
      </c>
      <c r="W158" s="3">
        <f>Transport!K158</f>
        <v>1036</v>
      </c>
      <c r="X158" s="3">
        <f>Transport!L158</f>
        <v>683</v>
      </c>
    </row>
    <row r="159" spans="1:24" x14ac:dyDescent="0.2">
      <c r="A159" s="10">
        <f t="shared" si="70"/>
        <v>40433.166666666293</v>
      </c>
      <c r="B159" s="19">
        <f t="shared" si="74"/>
        <v>4.8453408764952055</v>
      </c>
      <c r="C159" s="19">
        <f t="shared" si="76"/>
        <v>4.9053408764952051</v>
      </c>
      <c r="D159" s="19">
        <f t="shared" si="69"/>
        <v>4.8553408764952053</v>
      </c>
      <c r="E159" s="19">
        <f t="shared" si="64"/>
        <v>4.9053408764952051</v>
      </c>
      <c r="F159" s="2">
        <f t="shared" si="73"/>
        <v>2.75E-2</v>
      </c>
      <c r="G159" s="15">
        <f t="shared" si="68"/>
        <v>2.75E-2</v>
      </c>
      <c r="H159" s="3">
        <v>30</v>
      </c>
      <c r="I159" s="12">
        <v>-8.0158170116169991E-2</v>
      </c>
      <c r="K159" s="44">
        <v>9.4999999999996199E-3</v>
      </c>
      <c r="L159" s="76">
        <f t="shared" si="71"/>
        <v>0.39808663457978527</v>
      </c>
      <c r="M159" s="8">
        <f t="shared" si="75"/>
        <v>0.73480000000000001</v>
      </c>
      <c r="N159" s="11">
        <f t="shared" ref="N159:N190" si="77">L159</f>
        <v>0.39808663457978527</v>
      </c>
      <c r="O159" s="3">
        <f t="shared" si="72"/>
        <v>4.7699999999999999E-2</v>
      </c>
      <c r="P159" s="3">
        <f t="shared" si="63"/>
        <v>3.0700000000000002E-2</v>
      </c>
      <c r="R159" s="3">
        <f>Transport!F159</f>
        <v>8730</v>
      </c>
      <c r="S159" s="3">
        <f>Transport!G159</f>
        <v>10761</v>
      </c>
      <c r="T159" s="3">
        <f>Transport!H159</f>
        <v>15509</v>
      </c>
      <c r="U159" s="3">
        <f>Transport!I159</f>
        <v>1880</v>
      </c>
      <c r="V159" s="3">
        <f>Transport!J159</f>
        <v>2295</v>
      </c>
      <c r="W159" s="3">
        <f>Transport!K159</f>
        <v>1036</v>
      </c>
      <c r="X159" s="3">
        <f>Transport!L159</f>
        <v>683</v>
      </c>
    </row>
    <row r="160" spans="1:24" x14ac:dyDescent="0.2">
      <c r="A160" s="10">
        <f t="shared" si="70"/>
        <v>40463.583333332957</v>
      </c>
      <c r="B160" s="19">
        <f t="shared" si="74"/>
        <v>5.5816834363222982</v>
      </c>
      <c r="C160" s="19">
        <f t="shared" si="76"/>
        <v>5.6416834363222979</v>
      </c>
      <c r="D160" s="19">
        <f t="shared" si="69"/>
        <v>5.591683436322298</v>
      </c>
      <c r="E160" s="19">
        <f t="shared" si="64"/>
        <v>5.6416834363222979</v>
      </c>
      <c r="F160" s="2">
        <f t="shared" si="73"/>
        <v>2.75E-2</v>
      </c>
      <c r="G160" s="15">
        <f t="shared" si="68"/>
        <v>2.75E-2</v>
      </c>
      <c r="H160" s="3">
        <v>31</v>
      </c>
      <c r="I160" s="12">
        <v>-8.2579893137861404E-2</v>
      </c>
      <c r="K160" s="44">
        <v>1.4499999999999957E-2</v>
      </c>
      <c r="L160" s="76">
        <f t="shared" si="71"/>
        <v>0.39808663457978527</v>
      </c>
      <c r="M160" s="8">
        <f t="shared" si="75"/>
        <v>0.73480000000000001</v>
      </c>
      <c r="N160" s="11">
        <f t="shared" si="77"/>
        <v>0.39808663457978527</v>
      </c>
      <c r="O160" s="3">
        <f t="shared" si="72"/>
        <v>4.7699999999999999E-2</v>
      </c>
      <c r="P160" s="3">
        <f t="shared" si="63"/>
        <v>3.0700000000000002E-2</v>
      </c>
      <c r="R160" s="3">
        <f>Transport!F160</f>
        <v>8730</v>
      </c>
      <c r="S160" s="3">
        <f>Transport!G160</f>
        <v>10361</v>
      </c>
      <c r="T160" s="3">
        <f>Transport!H160</f>
        <v>15909</v>
      </c>
      <c r="U160" s="3">
        <f>Transport!I160</f>
        <v>2830</v>
      </c>
      <c r="V160" s="3">
        <f>Transport!J160</f>
        <v>3500</v>
      </c>
      <c r="W160" s="3">
        <f>Transport!K160</f>
        <v>1521</v>
      </c>
      <c r="X160" s="3">
        <f>Transport!L160</f>
        <v>1001</v>
      </c>
    </row>
    <row r="161" spans="1:24" x14ac:dyDescent="0.2">
      <c r="A161" s="10">
        <f t="shared" ref="A161:A176" si="78">+A160+365/12</f>
        <v>40493.999999999622</v>
      </c>
      <c r="B161" s="19">
        <f t="shared" si="74"/>
        <v>3.7083413355857195</v>
      </c>
      <c r="C161" s="19">
        <f t="shared" si="76"/>
        <v>3.7683413355857196</v>
      </c>
      <c r="D161" s="19">
        <f t="shared" si="69"/>
        <v>3.7183413355857198</v>
      </c>
      <c r="E161" s="19">
        <f t="shared" si="64"/>
        <v>3.7683413355857196</v>
      </c>
      <c r="F161" s="2">
        <f t="shared" si="73"/>
        <v>2.75E-2</v>
      </c>
      <c r="G161" s="15">
        <f t="shared" si="68"/>
        <v>2.75E-2</v>
      </c>
      <c r="H161" s="3">
        <v>30</v>
      </c>
      <c r="I161" s="12">
        <v>-0.1275521163269282</v>
      </c>
      <c r="K161" s="44">
        <v>1.9499999999999851E-2</v>
      </c>
      <c r="L161" s="76">
        <f t="shared" si="71"/>
        <v>0.39808663457978527</v>
      </c>
      <c r="M161" s="8">
        <f t="shared" si="75"/>
        <v>0.73480000000000001</v>
      </c>
      <c r="N161" s="11">
        <f t="shared" si="77"/>
        <v>0.39808663457978527</v>
      </c>
      <c r="O161" s="3">
        <f t="shared" si="72"/>
        <v>4.7699999999999999E-2</v>
      </c>
      <c r="P161" s="3">
        <f t="shared" si="63"/>
        <v>3.0700000000000002E-2</v>
      </c>
      <c r="R161" s="3">
        <f>Transport!F161</f>
        <v>4926</v>
      </c>
      <c r="S161" s="3">
        <f>Transport!G161</f>
        <v>5732</v>
      </c>
      <c r="T161" s="3">
        <f>Transport!H161</f>
        <v>9342</v>
      </c>
      <c r="U161" s="3">
        <f>Transport!I161</f>
        <v>2563</v>
      </c>
      <c r="V161" s="3">
        <f>Transport!J161</f>
        <v>2862</v>
      </c>
      <c r="W161" s="3">
        <f>Transport!K161</f>
        <v>1685</v>
      </c>
      <c r="X161" s="3">
        <f>Transport!L161</f>
        <v>683</v>
      </c>
    </row>
    <row r="162" spans="1:24" x14ac:dyDescent="0.2">
      <c r="A162" s="10">
        <f t="shared" si="78"/>
        <v>40524.416666666286</v>
      </c>
      <c r="B162" s="19">
        <f t="shared" si="74"/>
        <v>2.7554274346330088</v>
      </c>
      <c r="C162" s="19">
        <f t="shared" si="76"/>
        <v>2.8154274346330088</v>
      </c>
      <c r="D162" s="19">
        <f t="shared" si="69"/>
        <v>2.765427434633009</v>
      </c>
      <c r="E162" s="19">
        <f t="shared" si="64"/>
        <v>2.8154274346330088</v>
      </c>
      <c r="F162" s="2">
        <f t="shared" si="73"/>
        <v>2.75E-2</v>
      </c>
      <c r="G162" s="15">
        <f t="shared" si="68"/>
        <v>2.75E-2</v>
      </c>
      <c r="H162" s="3">
        <v>31</v>
      </c>
      <c r="I162" s="12">
        <v>-0.16251461763216968</v>
      </c>
      <c r="K162" s="44">
        <v>2.4500000000000188E-2</v>
      </c>
      <c r="L162" s="76">
        <f t="shared" si="71"/>
        <v>0.39808663457978527</v>
      </c>
      <c r="M162" s="8">
        <f t="shared" si="75"/>
        <v>0.73480000000000001</v>
      </c>
      <c r="N162" s="11">
        <f t="shared" si="77"/>
        <v>0.39808663457978527</v>
      </c>
      <c r="O162" s="3">
        <f t="shared" si="72"/>
        <v>4.7699999999999999E-2</v>
      </c>
      <c r="P162" s="3">
        <f t="shared" ref="P162:P196" si="79">P161</f>
        <v>3.0700000000000002E-2</v>
      </c>
      <c r="R162" s="3">
        <f>Transport!F162</f>
        <v>4926</v>
      </c>
      <c r="S162" s="3">
        <f>Transport!G162</f>
        <v>5732</v>
      </c>
      <c r="T162" s="3">
        <f>Transport!H162</f>
        <v>9342</v>
      </c>
      <c r="U162" s="3">
        <f>Transport!I162</f>
        <v>2563</v>
      </c>
      <c r="V162" s="3">
        <f>Transport!J162</f>
        <v>2862</v>
      </c>
      <c r="W162" s="3">
        <f>Transport!K162</f>
        <v>1685</v>
      </c>
      <c r="X162" s="3">
        <f>Transport!L162</f>
        <v>683</v>
      </c>
    </row>
    <row r="163" spans="1:24" s="81" customFormat="1" x14ac:dyDescent="0.2">
      <c r="A163" s="77">
        <f t="shared" si="78"/>
        <v>40554.83333333295</v>
      </c>
      <c r="B163" s="78">
        <f t="shared" si="74"/>
        <v>2.4226655689935002</v>
      </c>
      <c r="C163" s="78">
        <f t="shared" si="76"/>
        <v>2.4826655689935002</v>
      </c>
      <c r="D163" s="78">
        <f t="shared" si="69"/>
        <v>2.4326655689935004</v>
      </c>
      <c r="E163" s="78">
        <f t="shared" si="64"/>
        <v>2.4826655689935002</v>
      </c>
      <c r="F163" s="79">
        <f t="shared" si="73"/>
        <v>2.75E-2</v>
      </c>
      <c r="G163" s="80">
        <f t="shared" si="68"/>
        <v>2.75E-2</v>
      </c>
      <c r="H163" s="81">
        <v>31</v>
      </c>
      <c r="I163" s="82">
        <v>-0.14750906226998328</v>
      </c>
      <c r="K163" s="83">
        <v>2.4500000000000188E-2</v>
      </c>
      <c r="L163" s="84">
        <f>('[1]062'!$V$56*1000)/('[1]062'!$V$50*[1]Assumptions!$V$9)</f>
        <v>0.39808663457978527</v>
      </c>
      <c r="M163" s="85">
        <f t="shared" si="75"/>
        <v>0.73480000000000001</v>
      </c>
      <c r="N163" s="87">
        <f t="shared" si="77"/>
        <v>0.39808663457978527</v>
      </c>
      <c r="O163" s="81">
        <f t="shared" si="72"/>
        <v>4.7699999999999999E-2</v>
      </c>
      <c r="P163" s="81">
        <f t="shared" si="79"/>
        <v>3.0700000000000002E-2</v>
      </c>
      <c r="R163" s="81">
        <f>Transport!F163</f>
        <v>4926</v>
      </c>
      <c r="S163" s="81">
        <f>Transport!G163</f>
        <v>5732</v>
      </c>
      <c r="T163" s="81">
        <f>Transport!H163</f>
        <v>9342</v>
      </c>
      <c r="U163" s="81">
        <f>Transport!I163</f>
        <v>2563</v>
      </c>
      <c r="V163" s="81">
        <f>Transport!J163</f>
        <v>2862</v>
      </c>
      <c r="W163" s="81">
        <f>Transport!K163</f>
        <v>1685</v>
      </c>
      <c r="X163" s="81">
        <f>Transport!L163</f>
        <v>683</v>
      </c>
    </row>
    <row r="164" spans="1:24" x14ac:dyDescent="0.2">
      <c r="A164" s="10">
        <f t="shared" si="78"/>
        <v>40585.249999999614</v>
      </c>
      <c r="B164" s="19">
        <f t="shared" si="74"/>
        <v>2.7179605926182764</v>
      </c>
      <c r="C164" s="19">
        <f t="shared" si="76"/>
        <v>2.7779605926182764</v>
      </c>
      <c r="D164" s="19">
        <f t="shared" si="69"/>
        <v>2.7279605926182766</v>
      </c>
      <c r="E164" s="19">
        <f t="shared" si="64"/>
        <v>2.7779605926182764</v>
      </c>
      <c r="F164" s="2">
        <f t="shared" si="73"/>
        <v>2.75E-2</v>
      </c>
      <c r="G164" s="15">
        <f t="shared" si="68"/>
        <v>2.75E-2</v>
      </c>
      <c r="H164" s="3">
        <v>28</v>
      </c>
      <c r="I164" s="12">
        <v>-0.14753683908091553</v>
      </c>
      <c r="K164" s="44">
        <v>2.4500000000000188E-2</v>
      </c>
      <c r="L164" s="76">
        <f t="shared" si="71"/>
        <v>0.39808663457978527</v>
      </c>
      <c r="M164" s="8">
        <f t="shared" si="75"/>
        <v>0.73480000000000001</v>
      </c>
      <c r="N164" s="11">
        <f t="shared" si="77"/>
        <v>0.39808663457978527</v>
      </c>
      <c r="O164" s="3">
        <f t="shared" si="72"/>
        <v>4.7699999999999999E-2</v>
      </c>
      <c r="P164" s="3">
        <f t="shared" si="79"/>
        <v>3.0700000000000002E-2</v>
      </c>
      <c r="R164" s="3">
        <f>Transport!F164</f>
        <v>4926</v>
      </c>
      <c r="S164" s="3">
        <f>Transport!G164</f>
        <v>5732</v>
      </c>
      <c r="T164" s="3">
        <f>Transport!H164</f>
        <v>9342</v>
      </c>
      <c r="U164" s="3">
        <f>Transport!I164</f>
        <v>2563</v>
      </c>
      <c r="V164" s="3">
        <f>Transport!J164</f>
        <v>2862</v>
      </c>
      <c r="W164" s="3">
        <f>Transport!K164</f>
        <v>1685</v>
      </c>
      <c r="X164" s="3">
        <f>Transport!L164</f>
        <v>683</v>
      </c>
    </row>
    <row r="165" spans="1:24" x14ac:dyDescent="0.2">
      <c r="A165" s="10">
        <f t="shared" si="78"/>
        <v>40615.666666666279</v>
      </c>
      <c r="B165" s="19">
        <f t="shared" si="74"/>
        <v>2.7179605926182764</v>
      </c>
      <c r="C165" s="19">
        <f t="shared" si="76"/>
        <v>2.7779605926182764</v>
      </c>
      <c r="D165" s="19">
        <f t="shared" si="69"/>
        <v>2.7279605926182766</v>
      </c>
      <c r="E165" s="19">
        <f t="shared" ref="E165:E212" si="80">C165</f>
        <v>2.7779605926182764</v>
      </c>
      <c r="F165" s="2">
        <f t="shared" si="73"/>
        <v>2.75E-2</v>
      </c>
      <c r="G165" s="15">
        <f t="shared" si="68"/>
        <v>2.75E-2</v>
      </c>
      <c r="H165" s="3">
        <v>31</v>
      </c>
      <c r="I165" s="12">
        <v>-0.12257260172499196</v>
      </c>
      <c r="K165" s="44">
        <v>1.9500000000000295E-2</v>
      </c>
      <c r="L165" s="76">
        <f t="shared" si="71"/>
        <v>0.39808663457978527</v>
      </c>
      <c r="M165" s="8">
        <f t="shared" si="75"/>
        <v>0.73480000000000001</v>
      </c>
      <c r="N165" s="11">
        <f t="shared" si="77"/>
        <v>0.39808663457978527</v>
      </c>
      <c r="O165" s="3">
        <f t="shared" si="72"/>
        <v>4.7699999999999999E-2</v>
      </c>
      <c r="P165" s="3">
        <f t="shared" si="79"/>
        <v>3.0700000000000002E-2</v>
      </c>
      <c r="R165" s="3">
        <f>Transport!F165</f>
        <v>4926</v>
      </c>
      <c r="S165" s="3">
        <f>Transport!G165</f>
        <v>5732</v>
      </c>
      <c r="T165" s="3">
        <f>Transport!H165</f>
        <v>9342</v>
      </c>
      <c r="U165" s="3">
        <f>Transport!I165</f>
        <v>2563</v>
      </c>
      <c r="V165" s="3">
        <f>Transport!J165</f>
        <v>2862</v>
      </c>
      <c r="W165" s="3">
        <f>Transport!K165</f>
        <v>1685</v>
      </c>
      <c r="X165" s="3">
        <f>Transport!L165</f>
        <v>683</v>
      </c>
    </row>
    <row r="166" spans="1:24" x14ac:dyDescent="0.2">
      <c r="A166" s="10">
        <f t="shared" si="78"/>
        <v>40646.083333332943</v>
      </c>
      <c r="B166" s="19">
        <f t="shared" si="74"/>
        <v>3.0132556162430548</v>
      </c>
      <c r="C166" s="19">
        <f t="shared" si="76"/>
        <v>3.0732556162430549</v>
      </c>
      <c r="D166" s="19">
        <f t="shared" si="69"/>
        <v>3.0232556162430551</v>
      </c>
      <c r="E166" s="19">
        <f t="shared" si="80"/>
        <v>3.0732556162430549</v>
      </c>
      <c r="F166" s="2">
        <f t="shared" ref="F166:F181" si="81">+F165</f>
        <v>2.75E-2</v>
      </c>
      <c r="G166" s="15">
        <f t="shared" si="68"/>
        <v>2.75E-2</v>
      </c>
      <c r="H166" s="3">
        <v>30</v>
      </c>
      <c r="I166" s="12">
        <v>-7.3089615021687759E-2</v>
      </c>
      <c r="K166" s="44">
        <v>5.9999999999997833E-3</v>
      </c>
      <c r="L166" s="76">
        <f t="shared" si="71"/>
        <v>0.39808663457978527</v>
      </c>
      <c r="M166" s="8">
        <f t="shared" si="75"/>
        <v>0.73480000000000001</v>
      </c>
      <c r="N166" s="11">
        <f t="shared" si="77"/>
        <v>0.39808663457978527</v>
      </c>
      <c r="O166" s="3">
        <f t="shared" si="72"/>
        <v>4.7699999999999999E-2</v>
      </c>
      <c r="P166" s="3">
        <f t="shared" si="79"/>
        <v>3.0700000000000002E-2</v>
      </c>
      <c r="R166" s="3">
        <f>Transport!F166</f>
        <v>6933</v>
      </c>
      <c r="S166" s="3">
        <f>Transport!G166</f>
        <v>8798</v>
      </c>
      <c r="T166" s="3">
        <f>Transport!H166</f>
        <v>14269</v>
      </c>
      <c r="U166" s="3">
        <f>Transport!I166</f>
        <v>1880</v>
      </c>
      <c r="V166" s="3">
        <f>Transport!J166</f>
        <v>2073</v>
      </c>
      <c r="W166" s="3">
        <f>Transport!K166</f>
        <v>1258</v>
      </c>
      <c r="X166" s="3">
        <f>Transport!L166</f>
        <v>683</v>
      </c>
    </row>
    <row r="167" spans="1:24" x14ac:dyDescent="0.2">
      <c r="A167" s="10">
        <f t="shared" si="78"/>
        <v>40676.499999999607</v>
      </c>
      <c r="B167" s="19">
        <f t="shared" ref="B167:B182" si="82">C167-0.06</f>
        <v>3.2210558180530837</v>
      </c>
      <c r="C167" s="19">
        <f t="shared" si="76"/>
        <v>3.2810558180530838</v>
      </c>
      <c r="D167" s="19">
        <f t="shared" si="69"/>
        <v>3.231055818053084</v>
      </c>
      <c r="E167" s="19">
        <f t="shared" si="80"/>
        <v>3.2810558180530838</v>
      </c>
      <c r="F167" s="2">
        <f t="shared" si="81"/>
        <v>2.75E-2</v>
      </c>
      <c r="G167" s="15">
        <f t="shared" si="68"/>
        <v>2.75E-2</v>
      </c>
      <c r="H167" s="3">
        <v>31</v>
      </c>
      <c r="I167" s="12">
        <v>-7.5643027010085628E-2</v>
      </c>
      <c r="K167" s="44">
        <v>5.9999999999997833E-3</v>
      </c>
      <c r="L167" s="76">
        <f t="shared" si="71"/>
        <v>0.39808663457978527</v>
      </c>
      <c r="M167" s="8">
        <f t="shared" si="75"/>
        <v>0.73480000000000001</v>
      </c>
      <c r="N167" s="11">
        <f t="shared" si="77"/>
        <v>0.39808663457978527</v>
      </c>
      <c r="O167" s="3">
        <f t="shared" si="72"/>
        <v>4.7699999999999999E-2</v>
      </c>
      <c r="P167" s="3">
        <f t="shared" si="79"/>
        <v>3.0700000000000002E-2</v>
      </c>
      <c r="R167" s="3">
        <f>Transport!F167</f>
        <v>8730</v>
      </c>
      <c r="S167" s="3">
        <f>Transport!G167</f>
        <v>10761</v>
      </c>
      <c r="T167" s="3">
        <f>Transport!H167</f>
        <v>15509</v>
      </c>
      <c r="U167" s="3">
        <f>Transport!I167</f>
        <v>1880</v>
      </c>
      <c r="V167" s="3">
        <f>Transport!J167</f>
        <v>2295</v>
      </c>
      <c r="W167" s="3">
        <f>Transport!K167</f>
        <v>1036</v>
      </c>
      <c r="X167" s="3">
        <f>Transport!L167</f>
        <v>683</v>
      </c>
    </row>
    <row r="168" spans="1:24" x14ac:dyDescent="0.2">
      <c r="A168" s="10">
        <f t="shared" si="78"/>
        <v>40706.916666666271</v>
      </c>
      <c r="B168" s="19">
        <f t="shared" si="82"/>
        <v>4.6537835252695956</v>
      </c>
      <c r="C168" s="19">
        <f t="shared" si="76"/>
        <v>4.7137835252695952</v>
      </c>
      <c r="D168" s="19">
        <f t="shared" si="69"/>
        <v>4.6637835252695954</v>
      </c>
      <c r="E168" s="19">
        <f t="shared" si="80"/>
        <v>4.7137835252695952</v>
      </c>
      <c r="F168" s="2">
        <f t="shared" si="81"/>
        <v>2.75E-2</v>
      </c>
      <c r="G168" s="15">
        <f t="shared" si="68"/>
        <v>2.75E-2</v>
      </c>
      <c r="H168" s="3">
        <v>30</v>
      </c>
      <c r="I168" s="12">
        <v>-7.5646181823853187E-2</v>
      </c>
      <c r="K168" s="44">
        <v>5.9999999999997833E-3</v>
      </c>
      <c r="L168" s="76">
        <f t="shared" si="71"/>
        <v>0.39808663457978527</v>
      </c>
      <c r="M168" s="8">
        <f t="shared" si="75"/>
        <v>0.73480000000000001</v>
      </c>
      <c r="N168" s="11">
        <f t="shared" si="77"/>
        <v>0.39808663457978527</v>
      </c>
      <c r="O168" s="3">
        <f t="shared" si="72"/>
        <v>4.7699999999999999E-2</v>
      </c>
      <c r="P168" s="3">
        <f t="shared" si="79"/>
        <v>3.0700000000000002E-2</v>
      </c>
      <c r="R168" s="3">
        <f>Transport!F168</f>
        <v>8730</v>
      </c>
      <c r="S168" s="3">
        <f>Transport!G168</f>
        <v>10761</v>
      </c>
      <c r="T168" s="3">
        <f>Transport!H168</f>
        <v>15509</v>
      </c>
      <c r="U168" s="3">
        <f>Transport!I168</f>
        <v>1880</v>
      </c>
      <c r="V168" s="3">
        <f>Transport!J168</f>
        <v>2295</v>
      </c>
      <c r="W168" s="3">
        <f>Transport!K168</f>
        <v>1036</v>
      </c>
      <c r="X168" s="3">
        <f>Transport!L168</f>
        <v>683</v>
      </c>
    </row>
    <row r="169" spans="1:24" x14ac:dyDescent="0.2">
      <c r="A169" s="10">
        <f t="shared" si="78"/>
        <v>40737.333333332936</v>
      </c>
      <c r="B169" s="19">
        <f t="shared" si="82"/>
        <v>4.6428466725427526</v>
      </c>
      <c r="C169" s="19">
        <f t="shared" si="76"/>
        <v>4.7028466725427522</v>
      </c>
      <c r="D169" s="19">
        <f t="shared" si="69"/>
        <v>4.6528466725427524</v>
      </c>
      <c r="E169" s="19">
        <f t="shared" si="80"/>
        <v>4.7028466725427522</v>
      </c>
      <c r="F169" s="2">
        <f t="shared" si="81"/>
        <v>2.75E-2</v>
      </c>
      <c r="G169" s="15">
        <f t="shared" si="68"/>
        <v>2.75E-2</v>
      </c>
      <c r="H169" s="3">
        <v>31</v>
      </c>
      <c r="I169" s="12">
        <v>-8.0148074712113715E-2</v>
      </c>
      <c r="K169" s="44">
        <v>9.4999999999998419E-3</v>
      </c>
      <c r="L169" s="76">
        <f t="shared" si="71"/>
        <v>0.39808663457978527</v>
      </c>
      <c r="M169" s="8">
        <f t="shared" si="75"/>
        <v>0.73480000000000001</v>
      </c>
      <c r="N169" s="11">
        <f t="shared" si="77"/>
        <v>0.39808663457978527</v>
      </c>
      <c r="O169" s="3">
        <f t="shared" si="72"/>
        <v>4.7699999999999999E-2</v>
      </c>
      <c r="P169" s="3">
        <f t="shared" si="79"/>
        <v>3.0700000000000002E-2</v>
      </c>
      <c r="R169" s="3">
        <f>Transport!F169</f>
        <v>8730</v>
      </c>
      <c r="S169" s="3">
        <f>Transport!G169</f>
        <v>10761</v>
      </c>
      <c r="T169" s="3">
        <f>Transport!H169</f>
        <v>15509</v>
      </c>
      <c r="U169" s="3">
        <f>Transport!I169</f>
        <v>1880</v>
      </c>
      <c r="V169" s="3">
        <f>Transport!J169</f>
        <v>2295</v>
      </c>
      <c r="W169" s="3">
        <f>Transport!K169</f>
        <v>1036</v>
      </c>
      <c r="X169" s="3">
        <f>Transport!L169</f>
        <v>683</v>
      </c>
    </row>
    <row r="170" spans="1:24" x14ac:dyDescent="0.2">
      <c r="A170" s="10">
        <f t="shared" si="78"/>
        <v>40767.7499999996</v>
      </c>
      <c r="B170" s="19">
        <f t="shared" si="82"/>
        <v>4.0522566252931975</v>
      </c>
      <c r="C170" s="19">
        <f t="shared" si="76"/>
        <v>4.1122566252931971</v>
      </c>
      <c r="D170" s="19">
        <f t="shared" si="69"/>
        <v>4.0622566252931973</v>
      </c>
      <c r="E170" s="19">
        <f t="shared" si="80"/>
        <v>4.1122566252931971</v>
      </c>
      <c r="F170" s="2">
        <f t="shared" si="81"/>
        <v>2.75E-2</v>
      </c>
      <c r="G170" s="15">
        <f t="shared" si="68"/>
        <v>2.75E-2</v>
      </c>
      <c r="H170" s="3">
        <v>31</v>
      </c>
      <c r="I170" s="12">
        <v>-8.015186048863443E-2</v>
      </c>
      <c r="K170" s="44">
        <v>9.4999999999996199E-3</v>
      </c>
      <c r="L170" s="76">
        <f t="shared" si="71"/>
        <v>0.39808663457978527</v>
      </c>
      <c r="M170" s="8">
        <f t="shared" si="75"/>
        <v>0.73480000000000001</v>
      </c>
      <c r="N170" s="11">
        <f t="shared" si="77"/>
        <v>0.39808663457978527</v>
      </c>
      <c r="O170" s="3">
        <f t="shared" si="72"/>
        <v>4.7699999999999999E-2</v>
      </c>
      <c r="P170" s="3">
        <f t="shared" si="79"/>
        <v>3.0700000000000002E-2</v>
      </c>
      <c r="R170" s="3">
        <f>Transport!F170</f>
        <v>8730</v>
      </c>
      <c r="S170" s="3">
        <f>Transport!G170</f>
        <v>10761</v>
      </c>
      <c r="T170" s="3">
        <f>Transport!H170</f>
        <v>15509</v>
      </c>
      <c r="U170" s="3">
        <f>Transport!I170</f>
        <v>1880</v>
      </c>
      <c r="V170" s="3">
        <f>Transport!J170</f>
        <v>2295</v>
      </c>
      <c r="W170" s="3">
        <f>Transport!K170</f>
        <v>1036</v>
      </c>
      <c r="X170" s="3">
        <f>Transport!L170</f>
        <v>683</v>
      </c>
    </row>
    <row r="171" spans="1:24" x14ac:dyDescent="0.2">
      <c r="A171" s="10">
        <f t="shared" si="78"/>
        <v>40798.166666666264</v>
      </c>
      <c r="B171" s="19">
        <f t="shared" si="82"/>
        <v>4.8943942852601579</v>
      </c>
      <c r="C171" s="19">
        <f t="shared" si="76"/>
        <v>4.9543942852601575</v>
      </c>
      <c r="D171" s="19">
        <f t="shared" si="69"/>
        <v>4.9043942852601576</v>
      </c>
      <c r="E171" s="19">
        <f t="shared" si="80"/>
        <v>4.9543942852601575</v>
      </c>
      <c r="F171" s="2">
        <f t="shared" si="81"/>
        <v>2.75E-2</v>
      </c>
      <c r="G171" s="15">
        <f t="shared" si="68"/>
        <v>2.75E-2</v>
      </c>
      <c r="H171" s="3">
        <v>30</v>
      </c>
      <c r="I171" s="12">
        <v>-8.0158170116169991E-2</v>
      </c>
      <c r="K171" s="44">
        <v>9.4999999999996199E-3</v>
      </c>
      <c r="L171" s="76">
        <f t="shared" si="71"/>
        <v>0.39808663457978527</v>
      </c>
      <c r="M171" s="8">
        <f t="shared" si="75"/>
        <v>0.73480000000000001</v>
      </c>
      <c r="N171" s="11">
        <f t="shared" si="77"/>
        <v>0.39808663457978527</v>
      </c>
      <c r="O171" s="3">
        <f t="shared" si="72"/>
        <v>4.7699999999999999E-2</v>
      </c>
      <c r="P171" s="3">
        <f t="shared" si="79"/>
        <v>3.0700000000000002E-2</v>
      </c>
      <c r="R171" s="3">
        <f>Transport!F171</f>
        <v>8730</v>
      </c>
      <c r="S171" s="3">
        <f>Transport!G171</f>
        <v>10761</v>
      </c>
      <c r="T171" s="3">
        <f>Transport!H171</f>
        <v>15509</v>
      </c>
      <c r="U171" s="3">
        <f>Transport!I171</f>
        <v>1880</v>
      </c>
      <c r="V171" s="3">
        <f>Transport!J171</f>
        <v>2295</v>
      </c>
      <c r="W171" s="3">
        <f>Transport!K171</f>
        <v>1036</v>
      </c>
      <c r="X171" s="3">
        <f>Transport!L171</f>
        <v>683</v>
      </c>
    </row>
    <row r="172" spans="1:24" x14ac:dyDescent="0.2">
      <c r="A172" s="10">
        <f t="shared" si="78"/>
        <v>40828.583333332928</v>
      </c>
      <c r="B172" s="19">
        <f t="shared" si="82"/>
        <v>5.6381002706855217</v>
      </c>
      <c r="C172" s="19">
        <f t="shared" ref="C172:C187" si="83">C160*1.01</f>
        <v>5.6981002706855213</v>
      </c>
      <c r="D172" s="19">
        <f t="shared" si="69"/>
        <v>5.6481002706855215</v>
      </c>
      <c r="E172" s="19">
        <f t="shared" si="80"/>
        <v>5.6981002706855213</v>
      </c>
      <c r="F172" s="2">
        <f t="shared" si="81"/>
        <v>2.75E-2</v>
      </c>
      <c r="G172" s="15">
        <f t="shared" si="68"/>
        <v>2.75E-2</v>
      </c>
      <c r="H172" s="3">
        <v>31</v>
      </c>
      <c r="I172" s="12">
        <v>-8.2579893137861404E-2</v>
      </c>
      <c r="K172" s="44">
        <v>1.4499999999999957E-2</v>
      </c>
      <c r="L172" s="76">
        <f t="shared" si="71"/>
        <v>0.39808663457978527</v>
      </c>
      <c r="M172" s="8">
        <f t="shared" si="75"/>
        <v>0.73480000000000001</v>
      </c>
      <c r="N172" s="11">
        <f t="shared" si="77"/>
        <v>0.39808663457978527</v>
      </c>
      <c r="O172" s="3">
        <f t="shared" si="72"/>
        <v>4.7699999999999999E-2</v>
      </c>
      <c r="P172" s="3">
        <f t="shared" si="79"/>
        <v>3.0700000000000002E-2</v>
      </c>
      <c r="R172" s="3">
        <f>Transport!F172</f>
        <v>8730</v>
      </c>
      <c r="S172" s="3">
        <f>Transport!G172</f>
        <v>10361</v>
      </c>
      <c r="T172" s="3">
        <f>Transport!H172</f>
        <v>15909</v>
      </c>
      <c r="U172" s="3">
        <f>Transport!I172</f>
        <v>2830</v>
      </c>
      <c r="V172" s="3">
        <f>Transport!J172</f>
        <v>3500</v>
      </c>
      <c r="W172" s="3">
        <f>Transport!K172</f>
        <v>1521</v>
      </c>
      <c r="X172" s="3">
        <f>Transport!L172</f>
        <v>1001</v>
      </c>
    </row>
    <row r="173" spans="1:24" x14ac:dyDescent="0.2">
      <c r="A173" s="10">
        <f t="shared" si="78"/>
        <v>40858.999999999593</v>
      </c>
      <c r="B173" s="19">
        <f t="shared" si="82"/>
        <v>3.7460247489415766</v>
      </c>
      <c r="C173" s="19">
        <f t="shared" si="83"/>
        <v>3.8060247489415766</v>
      </c>
      <c r="D173" s="19">
        <f t="shared" si="69"/>
        <v>3.7560247489415768</v>
      </c>
      <c r="E173" s="19">
        <f t="shared" si="80"/>
        <v>3.8060247489415766</v>
      </c>
      <c r="F173" s="2">
        <f t="shared" si="81"/>
        <v>2.75E-2</v>
      </c>
      <c r="G173" s="15">
        <f t="shared" si="68"/>
        <v>2.75E-2</v>
      </c>
      <c r="H173" s="3">
        <v>30</v>
      </c>
      <c r="I173" s="12">
        <v>-0.1275521163269282</v>
      </c>
      <c r="K173" s="44">
        <v>1.9499999999999851E-2</v>
      </c>
      <c r="L173" s="76">
        <f t="shared" si="71"/>
        <v>0.39808663457978527</v>
      </c>
      <c r="M173" s="8">
        <f t="shared" si="75"/>
        <v>0.73480000000000001</v>
      </c>
      <c r="N173" s="11">
        <f t="shared" si="77"/>
        <v>0.39808663457978527</v>
      </c>
      <c r="O173" s="3">
        <f t="shared" si="72"/>
        <v>4.7699999999999999E-2</v>
      </c>
      <c r="P173" s="3">
        <f t="shared" si="79"/>
        <v>3.0700000000000002E-2</v>
      </c>
      <c r="R173" s="3">
        <f>Transport!F173</f>
        <v>4926</v>
      </c>
      <c r="S173" s="3">
        <f>Transport!G173</f>
        <v>5732</v>
      </c>
      <c r="T173" s="3">
        <f>Transport!H173</f>
        <v>9342</v>
      </c>
      <c r="U173" s="3">
        <f>Transport!I173</f>
        <v>2563</v>
      </c>
      <c r="V173" s="3">
        <f>Transport!J173</f>
        <v>2862</v>
      </c>
      <c r="W173" s="3">
        <f>Transport!K173</f>
        <v>1685</v>
      </c>
      <c r="X173" s="3">
        <f>Transport!L173</f>
        <v>683</v>
      </c>
    </row>
    <row r="174" spans="1:24" x14ac:dyDescent="0.2">
      <c r="A174" s="10">
        <f t="shared" si="78"/>
        <v>40889.416666666257</v>
      </c>
      <c r="B174" s="19">
        <f t="shared" si="82"/>
        <v>2.7835817089793391</v>
      </c>
      <c r="C174" s="19">
        <f t="shared" si="83"/>
        <v>2.8435817089793392</v>
      </c>
      <c r="D174" s="19">
        <f t="shared" si="69"/>
        <v>2.7935817089793393</v>
      </c>
      <c r="E174" s="19">
        <f t="shared" si="80"/>
        <v>2.8435817089793392</v>
      </c>
      <c r="F174" s="2">
        <f t="shared" si="81"/>
        <v>2.75E-2</v>
      </c>
      <c r="G174" s="15">
        <f t="shared" si="68"/>
        <v>2.75E-2</v>
      </c>
      <c r="H174" s="3">
        <v>31</v>
      </c>
      <c r="I174" s="12">
        <v>-0.16251461763216968</v>
      </c>
      <c r="K174" s="44">
        <v>2.4500000000000188E-2</v>
      </c>
      <c r="L174" s="76">
        <f t="shared" si="71"/>
        <v>0.39808663457978527</v>
      </c>
      <c r="M174" s="8">
        <f t="shared" si="75"/>
        <v>0.73480000000000001</v>
      </c>
      <c r="N174" s="11">
        <f t="shared" si="77"/>
        <v>0.39808663457978527</v>
      </c>
      <c r="O174" s="3">
        <f t="shared" si="72"/>
        <v>4.7699999999999999E-2</v>
      </c>
      <c r="P174" s="3">
        <f t="shared" si="79"/>
        <v>3.0700000000000002E-2</v>
      </c>
      <c r="R174" s="3">
        <f>Transport!F174</f>
        <v>4926</v>
      </c>
      <c r="S174" s="3">
        <f>Transport!G174</f>
        <v>5732</v>
      </c>
      <c r="T174" s="3">
        <f>Transport!H174</f>
        <v>9342</v>
      </c>
      <c r="U174" s="3">
        <f>Transport!I174</f>
        <v>2563</v>
      </c>
      <c r="V174" s="3">
        <f>Transport!J174</f>
        <v>2862</v>
      </c>
      <c r="W174" s="3">
        <f>Transport!K174</f>
        <v>1685</v>
      </c>
      <c r="X174" s="3">
        <f>Transport!L174</f>
        <v>683</v>
      </c>
    </row>
    <row r="175" spans="1:24" s="81" customFormat="1" x14ac:dyDescent="0.2">
      <c r="A175" s="77">
        <f t="shared" si="78"/>
        <v>40919.833333332921</v>
      </c>
      <c r="B175" s="78">
        <f t="shared" si="82"/>
        <v>2.447492224683435</v>
      </c>
      <c r="C175" s="78">
        <f t="shared" si="83"/>
        <v>2.507492224683435</v>
      </c>
      <c r="D175" s="78">
        <f t="shared" si="69"/>
        <v>2.4574922246834352</v>
      </c>
      <c r="E175" s="78">
        <f t="shared" si="80"/>
        <v>2.507492224683435</v>
      </c>
      <c r="F175" s="79">
        <f t="shared" si="81"/>
        <v>2.75E-2</v>
      </c>
      <c r="G175" s="80">
        <f t="shared" si="68"/>
        <v>2.75E-2</v>
      </c>
      <c r="H175" s="81">
        <v>31</v>
      </c>
      <c r="I175" s="82">
        <v>-0.14750906226998328</v>
      </c>
      <c r="K175" s="83">
        <v>2.4500000000000188E-2</v>
      </c>
      <c r="L175" s="84">
        <f>('[1]062'!$W$56*1000)/('[1]062'!$W$50*[1]Assumptions!$W$9)</f>
        <v>0.39699896617929403</v>
      </c>
      <c r="M175" s="85">
        <f t="shared" si="75"/>
        <v>0.73480000000000001</v>
      </c>
      <c r="N175" s="87">
        <f t="shared" si="77"/>
        <v>0.39699896617929403</v>
      </c>
      <c r="O175" s="81">
        <f t="shared" si="72"/>
        <v>4.7699999999999999E-2</v>
      </c>
      <c r="P175" s="81">
        <f t="shared" si="79"/>
        <v>3.0700000000000002E-2</v>
      </c>
      <c r="R175" s="81">
        <f>Transport!F175</f>
        <v>4926</v>
      </c>
      <c r="S175" s="81">
        <f>Transport!G175</f>
        <v>5732</v>
      </c>
      <c r="T175" s="81">
        <f>Transport!H175</f>
        <v>9342</v>
      </c>
      <c r="U175" s="81">
        <f>Transport!I175</f>
        <v>2563</v>
      </c>
      <c r="V175" s="81">
        <f>Transport!J175</f>
        <v>2862</v>
      </c>
      <c r="W175" s="81">
        <f>Transport!K175</f>
        <v>1685</v>
      </c>
      <c r="X175" s="81">
        <f>Transport!L175</f>
        <v>683</v>
      </c>
    </row>
    <row r="176" spans="1:24" x14ac:dyDescent="0.2">
      <c r="A176" s="10">
        <f t="shared" si="78"/>
        <v>40950.249999999585</v>
      </c>
      <c r="B176" s="19">
        <f t="shared" si="82"/>
        <v>2.7457401985444592</v>
      </c>
      <c r="C176" s="19">
        <f t="shared" si="83"/>
        <v>2.8057401985444592</v>
      </c>
      <c r="D176" s="19">
        <f t="shared" si="69"/>
        <v>2.7557401985444594</v>
      </c>
      <c r="E176" s="19">
        <f t="shared" si="80"/>
        <v>2.8057401985444592</v>
      </c>
      <c r="F176" s="2">
        <f t="shared" si="81"/>
        <v>2.75E-2</v>
      </c>
      <c r="G176" s="15">
        <f t="shared" si="68"/>
        <v>2.75E-2</v>
      </c>
      <c r="H176" s="3">
        <v>29</v>
      </c>
      <c r="I176" s="12">
        <v>-0.14753683908091553</v>
      </c>
      <c r="K176" s="44">
        <v>2.4500000000000188E-2</v>
      </c>
      <c r="L176" s="76">
        <f t="shared" si="71"/>
        <v>0.39699896617929403</v>
      </c>
      <c r="M176" s="8">
        <f t="shared" si="75"/>
        <v>0.73480000000000001</v>
      </c>
      <c r="N176" s="11">
        <f t="shared" si="77"/>
        <v>0.39699896617929403</v>
      </c>
      <c r="O176" s="3">
        <f t="shared" si="72"/>
        <v>4.7699999999999999E-2</v>
      </c>
      <c r="P176" s="3">
        <f t="shared" si="79"/>
        <v>3.0700000000000002E-2</v>
      </c>
      <c r="R176" s="3">
        <f>Transport!F176</f>
        <v>4926</v>
      </c>
      <c r="S176" s="3">
        <f>Transport!G176</f>
        <v>5732</v>
      </c>
      <c r="T176" s="3">
        <f>Transport!H176</f>
        <v>9342</v>
      </c>
      <c r="U176" s="3">
        <f>Transport!I176</f>
        <v>2563</v>
      </c>
      <c r="V176" s="3">
        <f>Transport!J176</f>
        <v>2862</v>
      </c>
      <c r="W176" s="3">
        <f>Transport!K176</f>
        <v>1685</v>
      </c>
      <c r="X176" s="3">
        <f>Transport!L176</f>
        <v>683</v>
      </c>
    </row>
    <row r="177" spans="1:24" x14ac:dyDescent="0.2">
      <c r="A177" s="10">
        <f t="shared" ref="A177:A192" si="84">+A176+365/12</f>
        <v>40980.66666666625</v>
      </c>
      <c r="B177" s="19">
        <f t="shared" si="82"/>
        <v>2.7457401985444592</v>
      </c>
      <c r="C177" s="19">
        <f t="shared" si="83"/>
        <v>2.8057401985444592</v>
      </c>
      <c r="D177" s="19">
        <f t="shared" si="69"/>
        <v>2.7557401985444594</v>
      </c>
      <c r="E177" s="19">
        <f t="shared" si="80"/>
        <v>2.8057401985444592</v>
      </c>
      <c r="F177" s="2">
        <f t="shared" si="81"/>
        <v>2.75E-2</v>
      </c>
      <c r="G177" s="15">
        <f t="shared" si="68"/>
        <v>2.75E-2</v>
      </c>
      <c r="H177" s="3">
        <v>31</v>
      </c>
      <c r="I177" s="12">
        <v>-0.12257260172499196</v>
      </c>
      <c r="K177" s="44">
        <v>1.9500000000000295E-2</v>
      </c>
      <c r="L177" s="76">
        <f t="shared" si="71"/>
        <v>0.39699896617929403</v>
      </c>
      <c r="M177" s="8">
        <f t="shared" si="75"/>
        <v>0.73480000000000001</v>
      </c>
      <c r="N177" s="11">
        <f t="shared" si="77"/>
        <v>0.39699896617929403</v>
      </c>
      <c r="O177" s="3">
        <f t="shared" si="72"/>
        <v>4.7699999999999999E-2</v>
      </c>
      <c r="P177" s="3">
        <f t="shared" si="79"/>
        <v>3.0700000000000002E-2</v>
      </c>
      <c r="R177" s="3">
        <f>Transport!F177</f>
        <v>4926</v>
      </c>
      <c r="S177" s="3">
        <f>Transport!G177</f>
        <v>5732</v>
      </c>
      <c r="T177" s="3">
        <f>Transport!H177</f>
        <v>9342</v>
      </c>
      <c r="U177" s="3">
        <f>Transport!I177</f>
        <v>2563</v>
      </c>
      <c r="V177" s="3">
        <f>Transport!J177</f>
        <v>2862</v>
      </c>
      <c r="W177" s="3">
        <f>Transport!K177</f>
        <v>1685</v>
      </c>
      <c r="X177" s="3">
        <f>Transport!L177</f>
        <v>683</v>
      </c>
    </row>
    <row r="178" spans="1:24" x14ac:dyDescent="0.2">
      <c r="A178" s="10">
        <f t="shared" si="84"/>
        <v>41011.083333332914</v>
      </c>
      <c r="B178" s="19">
        <f t="shared" si="82"/>
        <v>3.0439881724054856</v>
      </c>
      <c r="C178" s="19">
        <f t="shared" si="83"/>
        <v>3.1039881724054856</v>
      </c>
      <c r="D178" s="19">
        <f t="shared" si="69"/>
        <v>3.0539881724054858</v>
      </c>
      <c r="E178" s="19">
        <f t="shared" si="80"/>
        <v>3.1039881724054856</v>
      </c>
      <c r="F178" s="2">
        <f t="shared" si="81"/>
        <v>2.75E-2</v>
      </c>
      <c r="G178" s="15">
        <f t="shared" si="68"/>
        <v>2.75E-2</v>
      </c>
      <c r="H178" s="3">
        <v>30</v>
      </c>
      <c r="I178" s="12">
        <v>-7.3089615021687759E-2</v>
      </c>
      <c r="K178" s="44">
        <v>5.9999999999997833E-3</v>
      </c>
      <c r="L178" s="76">
        <f t="shared" si="71"/>
        <v>0.39699896617929403</v>
      </c>
      <c r="M178" s="8">
        <f t="shared" si="75"/>
        <v>0.73480000000000001</v>
      </c>
      <c r="N178" s="11">
        <f t="shared" si="77"/>
        <v>0.39699896617929403</v>
      </c>
      <c r="O178" s="3">
        <f t="shared" si="72"/>
        <v>4.7699999999999999E-2</v>
      </c>
      <c r="P178" s="3">
        <f t="shared" si="79"/>
        <v>3.0700000000000002E-2</v>
      </c>
      <c r="R178" s="3">
        <f>Transport!F178</f>
        <v>6933</v>
      </c>
      <c r="S178" s="3">
        <f>Transport!G178</f>
        <v>8798</v>
      </c>
      <c r="T178" s="3">
        <f>Transport!H178</f>
        <v>14269</v>
      </c>
      <c r="U178" s="3">
        <f>Transport!I178</f>
        <v>1880</v>
      </c>
      <c r="V178" s="3">
        <f>Transport!J178</f>
        <v>2073</v>
      </c>
      <c r="W178" s="3">
        <f>Transport!K178</f>
        <v>1258</v>
      </c>
      <c r="X178" s="3">
        <f>Transport!L178</f>
        <v>683</v>
      </c>
    </row>
    <row r="179" spans="1:24" x14ac:dyDescent="0.2">
      <c r="A179" s="10">
        <f t="shared" si="84"/>
        <v>41041.499999999578</v>
      </c>
      <c r="B179" s="19">
        <f t="shared" si="82"/>
        <v>3.2538663762336144</v>
      </c>
      <c r="C179" s="19">
        <f t="shared" si="83"/>
        <v>3.3138663762336145</v>
      </c>
      <c r="D179" s="19">
        <f t="shared" si="69"/>
        <v>3.2638663762336146</v>
      </c>
      <c r="E179" s="19">
        <f t="shared" si="80"/>
        <v>3.3138663762336145</v>
      </c>
      <c r="F179" s="2">
        <f t="shared" si="81"/>
        <v>2.75E-2</v>
      </c>
      <c r="G179" s="15">
        <f t="shared" si="68"/>
        <v>2.75E-2</v>
      </c>
      <c r="H179" s="3">
        <v>31</v>
      </c>
      <c r="I179" s="12">
        <v>-7.5643027010085628E-2</v>
      </c>
      <c r="K179" s="44">
        <v>5.9999999999997833E-3</v>
      </c>
      <c r="L179" s="76">
        <f t="shared" si="71"/>
        <v>0.39699896617929403</v>
      </c>
      <c r="M179" s="8">
        <f t="shared" si="75"/>
        <v>0.73480000000000001</v>
      </c>
      <c r="N179" s="11">
        <f t="shared" si="77"/>
        <v>0.39699896617929403</v>
      </c>
      <c r="O179" s="3">
        <f t="shared" si="72"/>
        <v>4.7699999999999999E-2</v>
      </c>
      <c r="P179" s="3">
        <f t="shared" si="79"/>
        <v>3.0700000000000002E-2</v>
      </c>
      <c r="R179" s="3">
        <f>Transport!F179</f>
        <v>8730</v>
      </c>
      <c r="S179" s="3">
        <f>Transport!G179</f>
        <v>10761</v>
      </c>
      <c r="T179" s="3">
        <f>Transport!H179</f>
        <v>15509</v>
      </c>
      <c r="U179" s="3">
        <f>Transport!I179</f>
        <v>1880</v>
      </c>
      <c r="V179" s="3">
        <f>Transport!J179</f>
        <v>2295</v>
      </c>
      <c r="W179" s="3">
        <f>Transport!K179</f>
        <v>1036</v>
      </c>
      <c r="X179" s="3">
        <f>Transport!L179</f>
        <v>683</v>
      </c>
    </row>
    <row r="180" spans="1:24" x14ac:dyDescent="0.2">
      <c r="A180" s="10">
        <f t="shared" si="84"/>
        <v>41071.916666666242</v>
      </c>
      <c r="B180" s="19">
        <f t="shared" si="82"/>
        <v>4.7009213605222913</v>
      </c>
      <c r="C180" s="19">
        <f t="shared" si="83"/>
        <v>4.7609213605222909</v>
      </c>
      <c r="D180" s="19">
        <f t="shared" si="69"/>
        <v>4.710921360522291</v>
      </c>
      <c r="E180" s="19">
        <f t="shared" si="80"/>
        <v>4.7609213605222909</v>
      </c>
      <c r="F180" s="2">
        <f t="shared" si="81"/>
        <v>2.75E-2</v>
      </c>
      <c r="G180" s="15">
        <f t="shared" si="68"/>
        <v>2.75E-2</v>
      </c>
      <c r="H180" s="3">
        <v>30</v>
      </c>
      <c r="I180" s="12">
        <v>-7.5646181823853187E-2</v>
      </c>
      <c r="K180" s="44">
        <v>5.9999999999997833E-3</v>
      </c>
      <c r="L180" s="76">
        <f t="shared" si="71"/>
        <v>0.39699896617929403</v>
      </c>
      <c r="M180" s="8">
        <f t="shared" si="75"/>
        <v>0.73480000000000001</v>
      </c>
      <c r="N180" s="11">
        <f t="shared" si="77"/>
        <v>0.39699896617929403</v>
      </c>
      <c r="O180" s="3">
        <f t="shared" si="72"/>
        <v>4.7699999999999999E-2</v>
      </c>
      <c r="P180" s="3">
        <f t="shared" si="79"/>
        <v>3.0700000000000002E-2</v>
      </c>
      <c r="R180" s="3">
        <f>Transport!F180</f>
        <v>8730</v>
      </c>
      <c r="S180" s="3">
        <f>Transport!G180</f>
        <v>10761</v>
      </c>
      <c r="T180" s="3">
        <f>Transport!H180</f>
        <v>15509</v>
      </c>
      <c r="U180" s="3">
        <f>Transport!I180</f>
        <v>1880</v>
      </c>
      <c r="V180" s="3">
        <f>Transport!J180</f>
        <v>2295</v>
      </c>
      <c r="W180" s="3">
        <f>Transport!K180</f>
        <v>1036</v>
      </c>
      <c r="X180" s="3">
        <f>Transport!L180</f>
        <v>683</v>
      </c>
    </row>
    <row r="181" spans="1:24" x14ac:dyDescent="0.2">
      <c r="A181" s="10">
        <f t="shared" si="84"/>
        <v>41102.333333332906</v>
      </c>
      <c r="B181" s="19">
        <f t="shared" si="82"/>
        <v>4.6898751392681799</v>
      </c>
      <c r="C181" s="19">
        <f t="shared" si="83"/>
        <v>4.7498751392681795</v>
      </c>
      <c r="D181" s="19">
        <f t="shared" si="69"/>
        <v>4.6998751392681797</v>
      </c>
      <c r="E181" s="19">
        <f t="shared" si="80"/>
        <v>4.7498751392681795</v>
      </c>
      <c r="F181" s="2">
        <f t="shared" si="81"/>
        <v>2.75E-2</v>
      </c>
      <c r="G181" s="15">
        <f t="shared" si="68"/>
        <v>2.75E-2</v>
      </c>
      <c r="H181" s="3">
        <v>31</v>
      </c>
      <c r="I181" s="12">
        <v>-8.0148074712113715E-2</v>
      </c>
      <c r="K181" s="44">
        <v>9.4999999999998419E-3</v>
      </c>
      <c r="L181" s="76">
        <f t="shared" ref="L181:L196" si="85">L180</f>
        <v>0.39699896617929403</v>
      </c>
      <c r="M181" s="8">
        <f t="shared" si="75"/>
        <v>0.73480000000000001</v>
      </c>
      <c r="N181" s="11">
        <f t="shared" si="77"/>
        <v>0.39699896617929403</v>
      </c>
      <c r="O181" s="3">
        <f t="shared" ref="O181:O196" si="86">O180</f>
        <v>4.7699999999999999E-2</v>
      </c>
      <c r="P181" s="3">
        <f t="shared" si="79"/>
        <v>3.0700000000000002E-2</v>
      </c>
      <c r="R181" s="3">
        <f>Transport!F181</f>
        <v>8730</v>
      </c>
      <c r="S181" s="3">
        <f>Transport!G181</f>
        <v>10761</v>
      </c>
      <c r="T181" s="3">
        <f>Transport!H181</f>
        <v>15509</v>
      </c>
      <c r="U181" s="3">
        <f>Transport!I181</f>
        <v>1880</v>
      </c>
      <c r="V181" s="3">
        <f>Transport!J181</f>
        <v>2295</v>
      </c>
      <c r="W181" s="3">
        <f>Transport!K181</f>
        <v>1036</v>
      </c>
      <c r="X181" s="3">
        <f>Transport!L181</f>
        <v>683</v>
      </c>
    </row>
    <row r="182" spans="1:24" x14ac:dyDescent="0.2">
      <c r="A182" s="10">
        <f t="shared" si="84"/>
        <v>41132.749999999571</v>
      </c>
      <c r="B182" s="19">
        <f t="shared" si="82"/>
        <v>4.0933791915461297</v>
      </c>
      <c r="C182" s="19">
        <f t="shared" si="83"/>
        <v>4.1533791915461293</v>
      </c>
      <c r="D182" s="19">
        <f t="shared" si="69"/>
        <v>4.1033791915461295</v>
      </c>
      <c r="E182" s="19">
        <f t="shared" si="80"/>
        <v>4.1533791915461293</v>
      </c>
      <c r="F182" s="2">
        <f t="shared" ref="F182:F196" si="87">+F181</f>
        <v>2.75E-2</v>
      </c>
      <c r="G182" s="15">
        <f t="shared" si="68"/>
        <v>2.75E-2</v>
      </c>
      <c r="H182" s="3">
        <v>31</v>
      </c>
      <c r="I182" s="12">
        <v>-8.015186048863443E-2</v>
      </c>
      <c r="K182" s="44">
        <v>9.4999999999996199E-3</v>
      </c>
      <c r="L182" s="76">
        <f t="shared" si="85"/>
        <v>0.39699896617929403</v>
      </c>
      <c r="M182" s="8">
        <f t="shared" si="75"/>
        <v>0.73480000000000001</v>
      </c>
      <c r="N182" s="11">
        <f t="shared" si="77"/>
        <v>0.39699896617929403</v>
      </c>
      <c r="O182" s="3">
        <f t="shared" si="86"/>
        <v>4.7699999999999999E-2</v>
      </c>
      <c r="P182" s="3">
        <f t="shared" si="79"/>
        <v>3.0700000000000002E-2</v>
      </c>
      <c r="R182" s="3">
        <f>Transport!F182</f>
        <v>8730</v>
      </c>
      <c r="S182" s="3">
        <f>Transport!G182</f>
        <v>10761</v>
      </c>
      <c r="T182" s="3">
        <f>Transport!H182</f>
        <v>15509</v>
      </c>
      <c r="U182" s="3">
        <f>Transport!I182</f>
        <v>1880</v>
      </c>
      <c r="V182" s="3">
        <f>Transport!J182</f>
        <v>2295</v>
      </c>
      <c r="W182" s="3">
        <f>Transport!K182</f>
        <v>1036</v>
      </c>
      <c r="X182" s="3">
        <f>Transport!L182</f>
        <v>683</v>
      </c>
    </row>
    <row r="183" spans="1:24" x14ac:dyDescent="0.2">
      <c r="A183" s="10">
        <f t="shared" si="84"/>
        <v>41163.166666666235</v>
      </c>
      <c r="B183" s="19">
        <f t="shared" ref="B183:B197" si="88">C183-0.06</f>
        <v>4.9439382281127591</v>
      </c>
      <c r="C183" s="19">
        <f t="shared" si="83"/>
        <v>5.0039382281127587</v>
      </c>
      <c r="D183" s="19">
        <f t="shared" si="69"/>
        <v>4.9539382281127589</v>
      </c>
      <c r="E183" s="19">
        <f t="shared" si="80"/>
        <v>5.0039382281127587</v>
      </c>
      <c r="F183" s="2">
        <f t="shared" si="87"/>
        <v>2.75E-2</v>
      </c>
      <c r="G183" s="15">
        <f t="shared" si="68"/>
        <v>2.75E-2</v>
      </c>
      <c r="H183" s="3">
        <v>30</v>
      </c>
      <c r="I183" s="12">
        <v>-8.0158170116169991E-2</v>
      </c>
      <c r="K183" s="44">
        <v>9.4999999999996199E-3</v>
      </c>
      <c r="L183" s="76">
        <f t="shared" si="85"/>
        <v>0.39699896617929403</v>
      </c>
      <c r="M183" s="8">
        <f t="shared" si="75"/>
        <v>0.73480000000000001</v>
      </c>
      <c r="N183" s="11">
        <f t="shared" si="77"/>
        <v>0.39699896617929403</v>
      </c>
      <c r="O183" s="3">
        <f t="shared" si="86"/>
        <v>4.7699999999999999E-2</v>
      </c>
      <c r="P183" s="3">
        <f t="shared" si="79"/>
        <v>3.0700000000000002E-2</v>
      </c>
      <c r="R183" s="3">
        <f>Transport!F183</f>
        <v>8730</v>
      </c>
      <c r="S183" s="3">
        <f>Transport!G183</f>
        <v>10761</v>
      </c>
      <c r="T183" s="3">
        <f>Transport!H183</f>
        <v>15509</v>
      </c>
      <c r="U183" s="3">
        <f>Transport!I183</f>
        <v>1880</v>
      </c>
      <c r="V183" s="3">
        <f>Transport!J183</f>
        <v>2295</v>
      </c>
      <c r="W183" s="3">
        <f>Transport!K183</f>
        <v>1036</v>
      </c>
      <c r="X183" s="3">
        <f>Transport!L183</f>
        <v>683</v>
      </c>
    </row>
    <row r="184" spans="1:24" x14ac:dyDescent="0.2">
      <c r="A184" s="10">
        <f t="shared" si="84"/>
        <v>41193.583333332899</v>
      </c>
      <c r="B184" s="19">
        <f t="shared" si="88"/>
        <v>5.6950812733923772</v>
      </c>
      <c r="C184" s="19">
        <f t="shared" si="83"/>
        <v>5.7550812733923769</v>
      </c>
      <c r="D184" s="19">
        <f t="shared" si="69"/>
        <v>5.705081273392377</v>
      </c>
      <c r="E184" s="19">
        <f t="shared" si="80"/>
        <v>5.7550812733923769</v>
      </c>
      <c r="F184" s="2">
        <f t="shared" si="87"/>
        <v>2.75E-2</v>
      </c>
      <c r="G184" s="15">
        <f t="shared" si="68"/>
        <v>2.75E-2</v>
      </c>
      <c r="H184" s="3">
        <v>31</v>
      </c>
      <c r="I184" s="12">
        <v>-8.2579893137861404E-2</v>
      </c>
      <c r="K184" s="44">
        <v>1.4499999999999957E-2</v>
      </c>
      <c r="L184" s="76">
        <f t="shared" si="85"/>
        <v>0.39699896617929403</v>
      </c>
      <c r="M184" s="8">
        <f t="shared" si="75"/>
        <v>0.73480000000000001</v>
      </c>
      <c r="N184" s="11">
        <f t="shared" si="77"/>
        <v>0.39699896617929403</v>
      </c>
      <c r="O184" s="3">
        <f t="shared" si="86"/>
        <v>4.7699999999999999E-2</v>
      </c>
      <c r="P184" s="3">
        <f t="shared" si="79"/>
        <v>3.0700000000000002E-2</v>
      </c>
      <c r="R184" s="3">
        <f>Transport!F184</f>
        <v>8730</v>
      </c>
      <c r="S184" s="3">
        <f>Transport!G184</f>
        <v>10361</v>
      </c>
      <c r="T184" s="3">
        <f>Transport!H184</f>
        <v>15909</v>
      </c>
      <c r="U184" s="3">
        <f>Transport!I184</f>
        <v>2830</v>
      </c>
      <c r="V184" s="3">
        <f>Transport!J184</f>
        <v>3500</v>
      </c>
      <c r="W184" s="3">
        <f>Transport!K184</f>
        <v>1521</v>
      </c>
      <c r="X184" s="3">
        <f>Transport!L184</f>
        <v>1001</v>
      </c>
    </row>
    <row r="185" spans="1:24" x14ac:dyDescent="0.2">
      <c r="A185" s="10">
        <f t="shared" si="84"/>
        <v>41223.999999999563</v>
      </c>
      <c r="B185" s="19">
        <f t="shared" si="88"/>
        <v>3.7840849964309924</v>
      </c>
      <c r="C185" s="19">
        <f t="shared" si="83"/>
        <v>3.8440849964309924</v>
      </c>
      <c r="D185" s="19">
        <f t="shared" si="69"/>
        <v>3.7940849964309926</v>
      </c>
      <c r="E185" s="19">
        <f t="shared" si="80"/>
        <v>3.8440849964309924</v>
      </c>
      <c r="F185" s="2">
        <f t="shared" si="87"/>
        <v>2.75E-2</v>
      </c>
      <c r="G185" s="15">
        <f t="shared" si="68"/>
        <v>2.75E-2</v>
      </c>
      <c r="H185" s="3">
        <v>30</v>
      </c>
      <c r="I185" s="12">
        <v>-0.1275521163269282</v>
      </c>
      <c r="K185" s="44">
        <v>1.9499999999999851E-2</v>
      </c>
      <c r="L185" s="76">
        <f t="shared" si="85"/>
        <v>0.39699896617929403</v>
      </c>
      <c r="M185" s="8">
        <f t="shared" si="75"/>
        <v>0.73480000000000001</v>
      </c>
      <c r="N185" s="11">
        <f t="shared" si="77"/>
        <v>0.39699896617929403</v>
      </c>
      <c r="O185" s="3">
        <f t="shared" si="86"/>
        <v>4.7699999999999999E-2</v>
      </c>
      <c r="P185" s="3">
        <f t="shared" si="79"/>
        <v>3.0700000000000002E-2</v>
      </c>
      <c r="R185" s="3">
        <f>Transport!F185</f>
        <v>4926</v>
      </c>
      <c r="S185" s="3">
        <f>Transport!G185</f>
        <v>5732</v>
      </c>
      <c r="T185" s="3">
        <f>Transport!H185</f>
        <v>9342</v>
      </c>
      <c r="U185" s="3">
        <f>Transport!I185</f>
        <v>2563</v>
      </c>
      <c r="V185" s="3">
        <f>Transport!J185</f>
        <v>2862</v>
      </c>
      <c r="W185" s="3">
        <f>Transport!K185</f>
        <v>1685</v>
      </c>
      <c r="X185" s="3">
        <f>Transport!L185</f>
        <v>683</v>
      </c>
    </row>
    <row r="186" spans="1:24" x14ac:dyDescent="0.2">
      <c r="A186" s="10">
        <f t="shared" si="84"/>
        <v>41254.416666666228</v>
      </c>
      <c r="B186" s="19">
        <f t="shared" si="88"/>
        <v>2.8120175260691327</v>
      </c>
      <c r="C186" s="19">
        <f t="shared" si="83"/>
        <v>2.8720175260691327</v>
      </c>
      <c r="D186" s="19">
        <f t="shared" si="69"/>
        <v>2.8220175260691329</v>
      </c>
      <c r="E186" s="19">
        <f t="shared" si="80"/>
        <v>2.8720175260691327</v>
      </c>
      <c r="F186" s="2">
        <f t="shared" si="87"/>
        <v>2.75E-2</v>
      </c>
      <c r="G186" s="15">
        <f t="shared" si="68"/>
        <v>2.75E-2</v>
      </c>
      <c r="H186" s="3">
        <v>31</v>
      </c>
      <c r="I186" s="12">
        <v>-0.16251461763216968</v>
      </c>
      <c r="K186" s="44">
        <v>2.4500000000000188E-2</v>
      </c>
      <c r="L186" s="76">
        <f t="shared" si="85"/>
        <v>0.39699896617929403</v>
      </c>
      <c r="M186" s="8">
        <f t="shared" ref="M186:M196" si="89">M185</f>
        <v>0.73480000000000001</v>
      </c>
      <c r="N186" s="11">
        <f t="shared" si="77"/>
        <v>0.39699896617929403</v>
      </c>
      <c r="O186" s="3">
        <f t="shared" si="86"/>
        <v>4.7699999999999999E-2</v>
      </c>
      <c r="P186" s="3">
        <f t="shared" si="79"/>
        <v>3.0700000000000002E-2</v>
      </c>
      <c r="R186" s="3">
        <f>Transport!F186</f>
        <v>4926</v>
      </c>
      <c r="S186" s="3">
        <f>Transport!G186</f>
        <v>5732</v>
      </c>
      <c r="T186" s="3">
        <f>Transport!H186</f>
        <v>9342</v>
      </c>
      <c r="U186" s="3">
        <f>Transport!I186</f>
        <v>2563</v>
      </c>
      <c r="V186" s="3">
        <f>Transport!J186</f>
        <v>2862</v>
      </c>
      <c r="W186" s="3">
        <f>Transport!K186</f>
        <v>1685</v>
      </c>
      <c r="X186" s="3">
        <f>Transport!L186</f>
        <v>683</v>
      </c>
    </row>
    <row r="187" spans="1:24" s="81" customFormat="1" x14ac:dyDescent="0.2">
      <c r="A187" s="77">
        <f t="shared" si="84"/>
        <v>41284.833333332892</v>
      </c>
      <c r="B187" s="78">
        <f t="shared" si="88"/>
        <v>2.4725671469302695</v>
      </c>
      <c r="C187" s="78">
        <f t="shared" si="83"/>
        <v>2.5325671469302695</v>
      </c>
      <c r="D187" s="78">
        <f t="shared" si="69"/>
        <v>2.4825671469302697</v>
      </c>
      <c r="E187" s="78">
        <f t="shared" si="80"/>
        <v>2.5325671469302695</v>
      </c>
      <c r="F187" s="79">
        <f t="shared" si="87"/>
        <v>2.75E-2</v>
      </c>
      <c r="G187" s="80">
        <f t="shared" si="68"/>
        <v>2.75E-2</v>
      </c>
      <c r="H187" s="81">
        <v>31</v>
      </c>
      <c r="I187" s="82">
        <v>-0.14750906226998328</v>
      </c>
      <c r="K187" s="83">
        <v>2.4500000000000188E-2</v>
      </c>
      <c r="L187" s="84">
        <f>('[1]062'!$X$56*1000)/('[1]062'!$X$50*[1]Assumptions!$X$9)</f>
        <v>0.39808663457978527</v>
      </c>
      <c r="M187" s="85">
        <f t="shared" si="89"/>
        <v>0.73480000000000001</v>
      </c>
      <c r="N187" s="87">
        <f t="shared" si="77"/>
        <v>0.39808663457978527</v>
      </c>
      <c r="O187" s="81">
        <f t="shared" si="86"/>
        <v>4.7699999999999999E-2</v>
      </c>
      <c r="P187" s="81">
        <f t="shared" si="79"/>
        <v>3.0700000000000002E-2</v>
      </c>
      <c r="R187" s="81">
        <f>Transport!F187</f>
        <v>4926</v>
      </c>
      <c r="S187" s="81">
        <f>Transport!G187</f>
        <v>5732</v>
      </c>
      <c r="T187" s="81">
        <f>Transport!H187</f>
        <v>9342</v>
      </c>
      <c r="U187" s="81">
        <f>Transport!I187</f>
        <v>2563</v>
      </c>
      <c r="V187" s="81">
        <f>Transport!J187</f>
        <v>2862</v>
      </c>
      <c r="W187" s="81">
        <f>Transport!K187</f>
        <v>1685</v>
      </c>
      <c r="X187" s="81">
        <f>Transport!L187</f>
        <v>683</v>
      </c>
    </row>
    <row r="188" spans="1:24" x14ac:dyDescent="0.2">
      <c r="A188" s="10">
        <f t="shared" si="84"/>
        <v>41315.249999999556</v>
      </c>
      <c r="B188" s="19">
        <f t="shared" si="88"/>
        <v>2.7737976005299037</v>
      </c>
      <c r="C188" s="19">
        <f t="shared" ref="C188:C212" si="90">C176*1.01</f>
        <v>2.8337976005299037</v>
      </c>
      <c r="D188" s="19">
        <f t="shared" si="69"/>
        <v>2.7837976005299039</v>
      </c>
      <c r="E188" s="19">
        <f t="shared" si="80"/>
        <v>2.8337976005299037</v>
      </c>
      <c r="F188" s="2">
        <f t="shared" si="87"/>
        <v>2.75E-2</v>
      </c>
      <c r="G188" s="15">
        <f t="shared" si="68"/>
        <v>2.75E-2</v>
      </c>
      <c r="H188" s="3">
        <v>28</v>
      </c>
      <c r="I188" s="12">
        <v>-0.14753683908091553</v>
      </c>
      <c r="K188" s="44">
        <v>2.4500000000000188E-2</v>
      </c>
      <c r="L188" s="76">
        <f t="shared" si="85"/>
        <v>0.39808663457978527</v>
      </c>
      <c r="M188" s="8">
        <f t="shared" si="89"/>
        <v>0.73480000000000001</v>
      </c>
      <c r="N188" s="11">
        <f t="shared" si="77"/>
        <v>0.39808663457978527</v>
      </c>
      <c r="O188" s="3">
        <f t="shared" si="86"/>
        <v>4.7699999999999999E-2</v>
      </c>
      <c r="P188" s="3">
        <f t="shared" si="79"/>
        <v>3.0700000000000002E-2</v>
      </c>
      <c r="R188" s="3">
        <f>Transport!F188</f>
        <v>4926</v>
      </c>
      <c r="S188" s="3">
        <f>Transport!G188</f>
        <v>5732</v>
      </c>
      <c r="T188" s="3">
        <f>Transport!H188</f>
        <v>9342</v>
      </c>
      <c r="U188" s="3">
        <f>Transport!I188</f>
        <v>2563</v>
      </c>
      <c r="V188" s="3">
        <f>Transport!J188</f>
        <v>2862</v>
      </c>
      <c r="W188" s="3">
        <f>Transport!K188</f>
        <v>1685</v>
      </c>
      <c r="X188" s="3">
        <f>Transport!L188</f>
        <v>683</v>
      </c>
    </row>
    <row r="189" spans="1:24" x14ac:dyDescent="0.2">
      <c r="A189" s="10">
        <f t="shared" si="84"/>
        <v>41345.66666666622</v>
      </c>
      <c r="B189" s="19">
        <f t="shared" si="88"/>
        <v>2.7737976005299037</v>
      </c>
      <c r="C189" s="19">
        <f t="shared" si="90"/>
        <v>2.8337976005299037</v>
      </c>
      <c r="D189" s="19">
        <f t="shared" si="69"/>
        <v>2.7837976005299039</v>
      </c>
      <c r="E189" s="19">
        <f t="shared" si="80"/>
        <v>2.8337976005299037</v>
      </c>
      <c r="F189" s="2">
        <f t="shared" si="87"/>
        <v>2.75E-2</v>
      </c>
      <c r="G189" s="15">
        <f t="shared" si="68"/>
        <v>2.75E-2</v>
      </c>
      <c r="H189" s="3">
        <v>31</v>
      </c>
      <c r="I189" s="12">
        <v>-0.12257260172499196</v>
      </c>
      <c r="K189" s="44">
        <v>1.9500000000000295E-2</v>
      </c>
      <c r="L189" s="76">
        <f t="shared" si="85"/>
        <v>0.39808663457978527</v>
      </c>
      <c r="M189" s="8">
        <f t="shared" si="89"/>
        <v>0.73480000000000001</v>
      </c>
      <c r="N189" s="11">
        <f t="shared" si="77"/>
        <v>0.39808663457978527</v>
      </c>
      <c r="O189" s="3">
        <f t="shared" si="86"/>
        <v>4.7699999999999999E-2</v>
      </c>
      <c r="P189" s="3">
        <f t="shared" si="79"/>
        <v>3.0700000000000002E-2</v>
      </c>
      <c r="R189" s="3">
        <f>Transport!F189</f>
        <v>4926</v>
      </c>
      <c r="S189" s="3">
        <f>Transport!G189</f>
        <v>5732</v>
      </c>
      <c r="T189" s="3">
        <f>Transport!H189</f>
        <v>9342</v>
      </c>
      <c r="U189" s="3">
        <f>Transport!I189</f>
        <v>2563</v>
      </c>
      <c r="V189" s="3">
        <f>Transport!J189</f>
        <v>2862</v>
      </c>
      <c r="W189" s="3">
        <f>Transport!K189</f>
        <v>1685</v>
      </c>
      <c r="X189" s="3">
        <f>Transport!L189</f>
        <v>683</v>
      </c>
    </row>
    <row r="190" spans="1:24" x14ac:dyDescent="0.2">
      <c r="A190" s="10">
        <f t="shared" si="84"/>
        <v>41376.083333332885</v>
      </c>
      <c r="B190" s="19">
        <f t="shared" si="88"/>
        <v>3.0750280541295405</v>
      </c>
      <c r="C190" s="19">
        <f t="shared" si="90"/>
        <v>3.1350280541295406</v>
      </c>
      <c r="D190" s="19">
        <f t="shared" si="69"/>
        <v>3.0850280541295407</v>
      </c>
      <c r="E190" s="19">
        <f t="shared" si="80"/>
        <v>3.1350280541295406</v>
      </c>
      <c r="F190" s="2">
        <f t="shared" si="87"/>
        <v>2.75E-2</v>
      </c>
      <c r="G190" s="15">
        <f t="shared" si="68"/>
        <v>2.75E-2</v>
      </c>
      <c r="H190" s="3">
        <v>30</v>
      </c>
      <c r="I190" s="12">
        <v>-7.3089615021687759E-2</v>
      </c>
      <c r="K190" s="44">
        <v>5.9999999999997833E-3</v>
      </c>
      <c r="L190" s="76">
        <f t="shared" si="85"/>
        <v>0.39808663457978527</v>
      </c>
      <c r="M190" s="8">
        <f t="shared" si="89"/>
        <v>0.73480000000000001</v>
      </c>
      <c r="N190" s="11">
        <f t="shared" si="77"/>
        <v>0.39808663457978527</v>
      </c>
      <c r="O190" s="3">
        <f t="shared" si="86"/>
        <v>4.7699999999999999E-2</v>
      </c>
      <c r="P190" s="3">
        <f t="shared" si="79"/>
        <v>3.0700000000000002E-2</v>
      </c>
      <c r="R190" s="3">
        <f>Transport!F190</f>
        <v>6933</v>
      </c>
      <c r="S190" s="3">
        <f>Transport!G190</f>
        <v>8798</v>
      </c>
      <c r="T190" s="3">
        <f>Transport!H190</f>
        <v>14269</v>
      </c>
      <c r="U190" s="3">
        <f>Transport!I190</f>
        <v>1880</v>
      </c>
      <c r="V190" s="3">
        <f>Transport!J190</f>
        <v>2073</v>
      </c>
      <c r="W190" s="3">
        <f>Transport!K190</f>
        <v>1258</v>
      </c>
      <c r="X190" s="3">
        <f>Transport!L190</f>
        <v>683</v>
      </c>
    </row>
    <row r="191" spans="1:24" x14ac:dyDescent="0.2">
      <c r="A191" s="10">
        <f t="shared" si="84"/>
        <v>41406.499999999549</v>
      </c>
      <c r="B191" s="19">
        <f t="shared" si="88"/>
        <v>3.2870050399959507</v>
      </c>
      <c r="C191" s="19">
        <f t="shared" si="90"/>
        <v>3.3470050399959508</v>
      </c>
      <c r="D191" s="19">
        <f t="shared" si="69"/>
        <v>3.297005039995951</v>
      </c>
      <c r="E191" s="19">
        <f t="shared" si="80"/>
        <v>3.3470050399959508</v>
      </c>
      <c r="F191" s="2">
        <f t="shared" si="87"/>
        <v>2.75E-2</v>
      </c>
      <c r="G191" s="15">
        <f t="shared" si="68"/>
        <v>2.75E-2</v>
      </c>
      <c r="H191" s="3">
        <v>31</v>
      </c>
      <c r="I191" s="12">
        <v>-7.5643027010085628E-2</v>
      </c>
      <c r="K191" s="44">
        <v>5.9999999999997833E-3</v>
      </c>
      <c r="L191" s="76">
        <f t="shared" si="85"/>
        <v>0.39808663457978527</v>
      </c>
      <c r="M191" s="8">
        <f t="shared" si="89"/>
        <v>0.73480000000000001</v>
      </c>
      <c r="N191" s="11">
        <f t="shared" ref="N191:N196" si="91">L191</f>
        <v>0.39808663457978527</v>
      </c>
      <c r="O191" s="3">
        <f t="shared" si="86"/>
        <v>4.7699999999999999E-2</v>
      </c>
      <c r="P191" s="3">
        <f t="shared" si="79"/>
        <v>3.0700000000000002E-2</v>
      </c>
      <c r="R191" s="3">
        <f>Transport!F191</f>
        <v>8730</v>
      </c>
      <c r="S191" s="3">
        <f>Transport!G191</f>
        <v>10761</v>
      </c>
      <c r="T191" s="3">
        <f>Transport!H191</f>
        <v>15509</v>
      </c>
      <c r="U191" s="3">
        <f>Transport!I191</f>
        <v>1880</v>
      </c>
      <c r="V191" s="3">
        <f>Transport!J191</f>
        <v>2295</v>
      </c>
      <c r="W191" s="3">
        <f>Transport!K191</f>
        <v>1036</v>
      </c>
      <c r="X191" s="3">
        <f>Transport!L191</f>
        <v>683</v>
      </c>
    </row>
    <row r="192" spans="1:24" x14ac:dyDescent="0.2">
      <c r="A192" s="10">
        <f t="shared" si="84"/>
        <v>41436.916666666213</v>
      </c>
      <c r="B192" s="19">
        <f t="shared" si="88"/>
        <v>4.7485305741275141</v>
      </c>
      <c r="C192" s="19">
        <f t="shared" si="90"/>
        <v>4.8085305741275137</v>
      </c>
      <c r="D192" s="19">
        <f t="shared" si="69"/>
        <v>4.7585305741275139</v>
      </c>
      <c r="E192" s="19">
        <f t="shared" si="80"/>
        <v>4.8085305741275137</v>
      </c>
      <c r="F192" s="2">
        <f t="shared" si="87"/>
        <v>2.75E-2</v>
      </c>
      <c r="G192" s="15">
        <f t="shared" si="68"/>
        <v>2.75E-2</v>
      </c>
      <c r="H192" s="3">
        <v>30</v>
      </c>
      <c r="I192" s="12">
        <v>-7.5646181823853187E-2</v>
      </c>
      <c r="K192" s="44">
        <v>5.9999999999997833E-3</v>
      </c>
      <c r="L192" s="76">
        <f t="shared" si="85"/>
        <v>0.39808663457978527</v>
      </c>
      <c r="M192" s="8">
        <f t="shared" si="89"/>
        <v>0.73480000000000001</v>
      </c>
      <c r="N192" s="11">
        <f t="shared" si="91"/>
        <v>0.39808663457978527</v>
      </c>
      <c r="O192" s="3">
        <f t="shared" si="86"/>
        <v>4.7699999999999999E-2</v>
      </c>
      <c r="P192" s="3">
        <f t="shared" si="79"/>
        <v>3.0700000000000002E-2</v>
      </c>
      <c r="R192" s="3">
        <f>Transport!F192</f>
        <v>8730</v>
      </c>
      <c r="S192" s="3">
        <f>Transport!G192</f>
        <v>10761</v>
      </c>
      <c r="T192" s="3">
        <f>Transport!H192</f>
        <v>15509</v>
      </c>
      <c r="U192" s="3">
        <f>Transport!I192</f>
        <v>1880</v>
      </c>
      <c r="V192" s="3">
        <f>Transport!J192</f>
        <v>2295</v>
      </c>
      <c r="W192" s="3">
        <f>Transport!K192</f>
        <v>1036</v>
      </c>
      <c r="X192" s="3">
        <f>Transport!L192</f>
        <v>683</v>
      </c>
    </row>
    <row r="193" spans="1:24" x14ac:dyDescent="0.2">
      <c r="A193" s="10">
        <f>+A192+365/12</f>
        <v>41467.333333332877</v>
      </c>
      <c r="B193" s="19">
        <f t="shared" si="88"/>
        <v>4.7373738906608613</v>
      </c>
      <c r="C193" s="19">
        <f t="shared" si="90"/>
        <v>4.797373890660861</v>
      </c>
      <c r="D193" s="19">
        <f t="shared" si="69"/>
        <v>4.7473738906608611</v>
      </c>
      <c r="E193" s="19">
        <f t="shared" si="80"/>
        <v>4.797373890660861</v>
      </c>
      <c r="F193" s="2">
        <f t="shared" si="87"/>
        <v>2.75E-2</v>
      </c>
      <c r="G193" s="15">
        <f t="shared" si="68"/>
        <v>2.75E-2</v>
      </c>
      <c r="H193" s="3">
        <v>31</v>
      </c>
      <c r="I193" s="12">
        <v>-8.0148074712113715E-2</v>
      </c>
      <c r="K193" s="44">
        <v>9.4999999999998419E-3</v>
      </c>
      <c r="L193" s="76">
        <f t="shared" si="85"/>
        <v>0.39808663457978527</v>
      </c>
      <c r="M193" s="8">
        <f t="shared" si="89"/>
        <v>0.73480000000000001</v>
      </c>
      <c r="N193" s="11">
        <f t="shared" si="91"/>
        <v>0.39808663457978527</v>
      </c>
      <c r="O193" s="3">
        <f t="shared" si="86"/>
        <v>4.7699999999999999E-2</v>
      </c>
      <c r="P193" s="3">
        <f t="shared" si="79"/>
        <v>3.0700000000000002E-2</v>
      </c>
      <c r="R193" s="3">
        <f>Transport!F193</f>
        <v>8730</v>
      </c>
      <c r="S193" s="3">
        <f>Transport!G193</f>
        <v>10761</v>
      </c>
      <c r="T193" s="3">
        <f>Transport!H193</f>
        <v>15509</v>
      </c>
      <c r="U193" s="3">
        <f>Transport!I193</f>
        <v>1880</v>
      </c>
      <c r="V193" s="3">
        <f>Transport!J193</f>
        <v>2295</v>
      </c>
      <c r="W193" s="3">
        <f>Transport!K193</f>
        <v>1036</v>
      </c>
      <c r="X193" s="3">
        <f>Transport!L193</f>
        <v>683</v>
      </c>
    </row>
    <row r="194" spans="1:24" x14ac:dyDescent="0.2">
      <c r="A194" s="10">
        <f>+A193+365/12</f>
        <v>41497.749999999542</v>
      </c>
      <c r="B194" s="19">
        <f t="shared" si="88"/>
        <v>4.1349129834615912</v>
      </c>
      <c r="C194" s="19">
        <f t="shared" si="90"/>
        <v>4.1949129834615908</v>
      </c>
      <c r="D194" s="19">
        <f t="shared" si="69"/>
        <v>4.144912983461591</v>
      </c>
      <c r="E194" s="19">
        <f t="shared" si="80"/>
        <v>4.1949129834615908</v>
      </c>
      <c r="F194" s="2">
        <f t="shared" si="87"/>
        <v>2.75E-2</v>
      </c>
      <c r="G194" s="15">
        <f t="shared" si="68"/>
        <v>2.75E-2</v>
      </c>
      <c r="H194" s="3">
        <v>31</v>
      </c>
      <c r="I194" s="12">
        <v>-8.015186048863443E-2</v>
      </c>
      <c r="K194" s="44">
        <v>9.4999999999996199E-3</v>
      </c>
      <c r="L194" s="76">
        <f t="shared" si="85"/>
        <v>0.39808663457978527</v>
      </c>
      <c r="M194" s="8">
        <f t="shared" si="89"/>
        <v>0.73480000000000001</v>
      </c>
      <c r="N194" s="11">
        <f t="shared" si="91"/>
        <v>0.39808663457978527</v>
      </c>
      <c r="O194" s="3">
        <f t="shared" si="86"/>
        <v>4.7699999999999999E-2</v>
      </c>
      <c r="P194" s="3">
        <f t="shared" si="79"/>
        <v>3.0700000000000002E-2</v>
      </c>
      <c r="R194" s="3">
        <f>Transport!F194</f>
        <v>8730</v>
      </c>
      <c r="S194" s="3">
        <f>Transport!G194</f>
        <v>10761</v>
      </c>
      <c r="T194" s="3">
        <f>Transport!H194</f>
        <v>15509</v>
      </c>
      <c r="U194" s="3">
        <f>Transport!I194</f>
        <v>1880</v>
      </c>
      <c r="V194" s="3">
        <f>Transport!J194</f>
        <v>2295</v>
      </c>
      <c r="W194" s="3">
        <f>Transport!K194</f>
        <v>1036</v>
      </c>
      <c r="X194" s="3">
        <f>Transport!L194</f>
        <v>683</v>
      </c>
    </row>
    <row r="195" spans="1:24" x14ac:dyDescent="0.2">
      <c r="A195" s="10">
        <f>+A194+365/12</f>
        <v>41528.166666666206</v>
      </c>
      <c r="B195" s="19">
        <f t="shared" si="88"/>
        <v>4.9939776103938867</v>
      </c>
      <c r="C195" s="19">
        <f t="shared" si="90"/>
        <v>5.0539776103938863</v>
      </c>
      <c r="D195" s="19">
        <f t="shared" si="69"/>
        <v>5.0039776103938864</v>
      </c>
      <c r="E195" s="19">
        <f t="shared" si="80"/>
        <v>5.0539776103938863</v>
      </c>
      <c r="F195" s="2">
        <f t="shared" si="87"/>
        <v>2.75E-2</v>
      </c>
      <c r="G195" s="15">
        <f t="shared" si="68"/>
        <v>2.75E-2</v>
      </c>
      <c r="H195" s="3">
        <v>30</v>
      </c>
      <c r="I195" s="12">
        <v>-8.0158170116169991E-2</v>
      </c>
      <c r="K195" s="44">
        <v>9.4999999999996199E-3</v>
      </c>
      <c r="L195" s="76">
        <f t="shared" si="85"/>
        <v>0.39808663457978527</v>
      </c>
      <c r="M195" s="8">
        <f t="shared" si="89"/>
        <v>0.73480000000000001</v>
      </c>
      <c r="N195" s="11">
        <f t="shared" si="91"/>
        <v>0.39808663457978527</v>
      </c>
      <c r="O195" s="3">
        <f t="shared" si="86"/>
        <v>4.7699999999999999E-2</v>
      </c>
      <c r="P195" s="3">
        <f t="shared" si="79"/>
        <v>3.0700000000000002E-2</v>
      </c>
      <c r="R195" s="3">
        <f>Transport!F195</f>
        <v>8730</v>
      </c>
      <c r="S195" s="3">
        <f>Transport!G195</f>
        <v>10761</v>
      </c>
      <c r="T195" s="3">
        <f>Transport!H195</f>
        <v>15509</v>
      </c>
      <c r="U195" s="3">
        <f>Transport!I195</f>
        <v>1880</v>
      </c>
      <c r="V195" s="3">
        <f>Transport!J195</f>
        <v>2295</v>
      </c>
      <c r="W195" s="3">
        <f>Transport!K195</f>
        <v>1036</v>
      </c>
      <c r="X195" s="3">
        <f>Transport!L195</f>
        <v>683</v>
      </c>
    </row>
    <row r="196" spans="1:24" x14ac:dyDescent="0.2">
      <c r="A196" s="10">
        <f>+A195+365/12</f>
        <v>41558.58333333287</v>
      </c>
      <c r="B196" s="19">
        <f t="shared" si="88"/>
        <v>5.7526320861263009</v>
      </c>
      <c r="C196" s="19">
        <f t="shared" si="90"/>
        <v>5.8126320861263006</v>
      </c>
      <c r="D196" s="19">
        <f t="shared" si="69"/>
        <v>5.7626320861263007</v>
      </c>
      <c r="E196" s="19">
        <f t="shared" si="80"/>
        <v>5.8126320861263006</v>
      </c>
      <c r="F196" s="2">
        <f t="shared" si="87"/>
        <v>2.75E-2</v>
      </c>
      <c r="G196" s="15">
        <f t="shared" si="68"/>
        <v>2.75E-2</v>
      </c>
      <c r="H196" s="3">
        <v>31</v>
      </c>
      <c r="I196" s="12">
        <v>-8.2579893137861404E-2</v>
      </c>
      <c r="K196" s="44">
        <v>1.4499999999999957E-2</v>
      </c>
      <c r="L196" s="76">
        <f t="shared" si="85"/>
        <v>0.39808663457978527</v>
      </c>
      <c r="M196" s="8">
        <f t="shared" si="89"/>
        <v>0.73480000000000001</v>
      </c>
      <c r="N196" s="11">
        <f t="shared" si="91"/>
        <v>0.39808663457978527</v>
      </c>
      <c r="O196" s="3">
        <f t="shared" si="86"/>
        <v>4.7699999999999999E-2</v>
      </c>
      <c r="P196" s="3">
        <f t="shared" si="79"/>
        <v>3.0700000000000002E-2</v>
      </c>
      <c r="R196" s="3">
        <f>Transport!F196</f>
        <v>8730</v>
      </c>
      <c r="S196" s="3">
        <f>Transport!G196</f>
        <v>10361</v>
      </c>
      <c r="T196" s="3">
        <f>Transport!H196</f>
        <v>15909</v>
      </c>
      <c r="U196" s="3">
        <f>Transport!I196</f>
        <v>2830</v>
      </c>
      <c r="V196" s="3">
        <f>Transport!J196</f>
        <v>3500</v>
      </c>
      <c r="W196" s="3">
        <f>Transport!K196</f>
        <v>1521</v>
      </c>
      <c r="X196" s="3">
        <f>Transport!L196</f>
        <v>1001</v>
      </c>
    </row>
    <row r="197" spans="1:24" x14ac:dyDescent="0.2">
      <c r="A197" s="10">
        <f t="shared" ref="A197:A212" si="92">+A196+365/12</f>
        <v>41588.999999999534</v>
      </c>
      <c r="B197" s="19">
        <f t="shared" si="88"/>
        <v>3.8225258463953025</v>
      </c>
      <c r="C197" s="19">
        <f t="shared" si="90"/>
        <v>3.8825258463953025</v>
      </c>
      <c r="D197" s="19">
        <f t="shared" si="69"/>
        <v>3.8325258463953027</v>
      </c>
      <c r="E197" s="19">
        <f t="shared" si="80"/>
        <v>3.8825258463953025</v>
      </c>
      <c r="F197" s="2">
        <f t="shared" ref="F197:F212" si="93">+F196</f>
        <v>2.75E-2</v>
      </c>
      <c r="G197" s="15">
        <f t="shared" si="68"/>
        <v>2.75E-2</v>
      </c>
      <c r="H197" s="3">
        <v>30</v>
      </c>
      <c r="I197" s="12"/>
      <c r="K197" s="44"/>
      <c r="L197" s="76">
        <f>L196</f>
        <v>0.39808663457978527</v>
      </c>
      <c r="M197" s="8">
        <f>M196</f>
        <v>0.73480000000000001</v>
      </c>
      <c r="N197" s="11">
        <f>L197</f>
        <v>0.39808663457978527</v>
      </c>
      <c r="O197" s="3">
        <f>O196</f>
        <v>4.7699999999999999E-2</v>
      </c>
      <c r="P197" s="3">
        <f>P196</f>
        <v>3.0700000000000002E-2</v>
      </c>
      <c r="R197" s="3">
        <f>Transport!F197</f>
        <v>4926</v>
      </c>
      <c r="S197" s="3">
        <f>Transport!G197</f>
        <v>5732</v>
      </c>
      <c r="T197" s="3">
        <f>Transport!H197</f>
        <v>9342</v>
      </c>
      <c r="U197" s="3">
        <f>Transport!I197</f>
        <v>0</v>
      </c>
      <c r="V197" s="3">
        <f>Transport!J197</f>
        <v>0</v>
      </c>
      <c r="W197" s="3">
        <f>Transport!K197</f>
        <v>0</v>
      </c>
      <c r="X197" s="3">
        <f>Transport!L197</f>
        <v>0</v>
      </c>
    </row>
    <row r="198" spans="1:24" x14ac:dyDescent="0.2">
      <c r="A198" s="10">
        <f t="shared" si="92"/>
        <v>41619.416666666199</v>
      </c>
      <c r="B198" s="19">
        <f t="shared" ref="B198:B212" si="94">C198-0.06</f>
        <v>2.8407377013298238</v>
      </c>
      <c r="C198" s="19">
        <f t="shared" si="90"/>
        <v>2.9007377013298239</v>
      </c>
      <c r="D198" s="19">
        <f t="shared" si="69"/>
        <v>2.8507377013298241</v>
      </c>
      <c r="E198" s="19">
        <f t="shared" si="80"/>
        <v>2.9007377013298239</v>
      </c>
      <c r="F198" s="2">
        <f t="shared" si="93"/>
        <v>2.75E-2</v>
      </c>
      <c r="G198" s="15">
        <f t="shared" si="68"/>
        <v>2.75E-2</v>
      </c>
      <c r="H198" s="3">
        <v>31</v>
      </c>
      <c r="I198" s="12"/>
      <c r="K198" s="44"/>
      <c r="L198" s="76">
        <f t="shared" ref="L198:L212" si="95">L197</f>
        <v>0.39808663457978527</v>
      </c>
      <c r="M198" s="8">
        <f t="shared" ref="M198:M212" si="96">M197</f>
        <v>0.73480000000000001</v>
      </c>
      <c r="N198" s="11">
        <f t="shared" ref="N198:N212" si="97">L198</f>
        <v>0.39808663457978527</v>
      </c>
      <c r="O198" s="3">
        <f t="shared" ref="O198:O212" si="98">O197</f>
        <v>4.7699999999999999E-2</v>
      </c>
      <c r="P198" s="3">
        <f t="shared" ref="P198:P212" si="99">P197</f>
        <v>3.0700000000000002E-2</v>
      </c>
      <c r="R198" s="3">
        <f>Transport!F198</f>
        <v>4926</v>
      </c>
      <c r="S198" s="3">
        <f>Transport!G198</f>
        <v>5732</v>
      </c>
      <c r="T198" s="3">
        <f>Transport!H198</f>
        <v>9342</v>
      </c>
      <c r="U198" s="3">
        <f>Transport!I198</f>
        <v>0</v>
      </c>
      <c r="V198" s="3">
        <f>Transport!J198</f>
        <v>0</v>
      </c>
      <c r="W198" s="3">
        <f>Transport!K198</f>
        <v>0</v>
      </c>
      <c r="X198" s="3">
        <f>Transport!L198</f>
        <v>0</v>
      </c>
    </row>
    <row r="199" spans="1:24" s="81" customFormat="1" x14ac:dyDescent="0.2">
      <c r="A199" s="77">
        <f t="shared" si="92"/>
        <v>41649.833333332863</v>
      </c>
      <c r="B199" s="78">
        <f t="shared" si="94"/>
        <v>2.4978928183995723</v>
      </c>
      <c r="C199" s="78">
        <f t="shared" si="90"/>
        <v>2.5578928183995724</v>
      </c>
      <c r="D199" s="78">
        <f t="shared" si="69"/>
        <v>2.5078928183995726</v>
      </c>
      <c r="E199" s="78">
        <f t="shared" si="80"/>
        <v>2.5578928183995724</v>
      </c>
      <c r="F199" s="79">
        <f t="shared" si="93"/>
        <v>2.75E-2</v>
      </c>
      <c r="G199" s="80">
        <f t="shared" si="68"/>
        <v>2.75E-2</v>
      </c>
      <c r="H199" s="81">
        <v>31</v>
      </c>
      <c r="L199" s="84">
        <f>('[1]062'!$Y$56*1000)/('[1]062'!$Y$50*[1]Assumptions!$Y$9)</f>
        <v>0.39808663457978527</v>
      </c>
      <c r="M199" s="85">
        <f t="shared" si="96"/>
        <v>0.73480000000000001</v>
      </c>
      <c r="N199" s="87">
        <f t="shared" si="97"/>
        <v>0.39808663457978527</v>
      </c>
      <c r="O199" s="81">
        <f t="shared" si="98"/>
        <v>4.7699999999999999E-2</v>
      </c>
      <c r="P199" s="81">
        <f t="shared" si="99"/>
        <v>3.0700000000000002E-2</v>
      </c>
      <c r="R199" s="81">
        <f>Transport!F199</f>
        <v>4926</v>
      </c>
      <c r="S199" s="81">
        <f>Transport!G199</f>
        <v>5732</v>
      </c>
      <c r="T199" s="81">
        <f>Transport!H199</f>
        <v>9342</v>
      </c>
    </row>
    <row r="200" spans="1:24" x14ac:dyDescent="0.2">
      <c r="A200" s="10">
        <f t="shared" si="92"/>
        <v>41680.249999999527</v>
      </c>
      <c r="B200" s="19">
        <f t="shared" si="94"/>
        <v>2.8021355765352025</v>
      </c>
      <c r="C200" s="19">
        <f t="shared" si="90"/>
        <v>2.8621355765352026</v>
      </c>
      <c r="D200" s="19">
        <f t="shared" si="69"/>
        <v>2.8121355765352027</v>
      </c>
      <c r="E200" s="19">
        <f t="shared" si="80"/>
        <v>2.8621355765352026</v>
      </c>
      <c r="F200" s="2">
        <f t="shared" si="93"/>
        <v>2.75E-2</v>
      </c>
      <c r="G200" s="15">
        <f t="shared" si="68"/>
        <v>2.75E-2</v>
      </c>
      <c r="H200" s="3">
        <v>28</v>
      </c>
      <c r="L200" s="76">
        <f t="shared" si="95"/>
        <v>0.39808663457978527</v>
      </c>
      <c r="M200" s="8">
        <f t="shared" si="96"/>
        <v>0.73480000000000001</v>
      </c>
      <c r="N200" s="11">
        <f t="shared" si="97"/>
        <v>0.39808663457978527</v>
      </c>
      <c r="O200" s="3">
        <f t="shared" si="98"/>
        <v>4.7699999999999999E-2</v>
      </c>
      <c r="P200" s="3">
        <f t="shared" si="99"/>
        <v>3.0700000000000002E-2</v>
      </c>
      <c r="R200" s="3">
        <f>Transport!F200</f>
        <v>4926</v>
      </c>
      <c r="S200" s="3">
        <f>Transport!G200</f>
        <v>5732</v>
      </c>
      <c r="T200" s="3">
        <f>Transport!H200</f>
        <v>9342</v>
      </c>
    </row>
    <row r="201" spans="1:24" x14ac:dyDescent="0.2">
      <c r="A201" s="10">
        <f t="shared" si="92"/>
        <v>41710.666666666191</v>
      </c>
      <c r="B201" s="19">
        <f t="shared" si="94"/>
        <v>2.8021355765352025</v>
      </c>
      <c r="C201" s="19">
        <f t="shared" si="90"/>
        <v>2.8621355765352026</v>
      </c>
      <c r="D201" s="19">
        <f t="shared" si="69"/>
        <v>2.8121355765352027</v>
      </c>
      <c r="E201" s="19">
        <f t="shared" si="80"/>
        <v>2.8621355765352026</v>
      </c>
      <c r="F201" s="2">
        <f t="shared" si="93"/>
        <v>2.75E-2</v>
      </c>
      <c r="G201" s="15">
        <f t="shared" si="68"/>
        <v>2.75E-2</v>
      </c>
      <c r="H201" s="3">
        <v>31</v>
      </c>
      <c r="L201" s="76">
        <f t="shared" si="95"/>
        <v>0.39808663457978527</v>
      </c>
      <c r="M201" s="8">
        <f t="shared" si="96"/>
        <v>0.73480000000000001</v>
      </c>
      <c r="N201" s="11">
        <f t="shared" si="97"/>
        <v>0.39808663457978527</v>
      </c>
      <c r="O201" s="3">
        <f t="shared" si="98"/>
        <v>4.7699999999999999E-2</v>
      </c>
      <c r="P201" s="3">
        <f t="shared" si="99"/>
        <v>3.0700000000000002E-2</v>
      </c>
      <c r="R201" s="3">
        <f>Transport!F201</f>
        <v>4926</v>
      </c>
      <c r="S201" s="3">
        <f>Transport!G201</f>
        <v>5732</v>
      </c>
      <c r="T201" s="3">
        <f>Transport!H201</f>
        <v>9342</v>
      </c>
    </row>
    <row r="202" spans="1:24" x14ac:dyDescent="0.2">
      <c r="A202" s="10">
        <f t="shared" si="92"/>
        <v>41741.083333332856</v>
      </c>
      <c r="B202" s="19">
        <f t="shared" si="94"/>
        <v>3.1063783346708358</v>
      </c>
      <c r="C202" s="19">
        <f t="shared" si="90"/>
        <v>3.1663783346708358</v>
      </c>
      <c r="D202" s="19">
        <f t="shared" si="69"/>
        <v>3.116378334670836</v>
      </c>
      <c r="E202" s="19">
        <f t="shared" si="80"/>
        <v>3.1663783346708358</v>
      </c>
      <c r="F202" s="2">
        <f t="shared" si="93"/>
        <v>2.75E-2</v>
      </c>
      <c r="G202" s="15">
        <f t="shared" si="68"/>
        <v>2.75E-2</v>
      </c>
      <c r="H202" s="3">
        <v>30</v>
      </c>
      <c r="L202" s="76">
        <f t="shared" si="95"/>
        <v>0.39808663457978527</v>
      </c>
      <c r="M202" s="8">
        <f t="shared" si="96"/>
        <v>0.73480000000000001</v>
      </c>
      <c r="N202" s="11">
        <f t="shared" si="97"/>
        <v>0.39808663457978527</v>
      </c>
      <c r="O202" s="3">
        <f t="shared" si="98"/>
        <v>4.7699999999999999E-2</v>
      </c>
      <c r="P202" s="3">
        <f t="shared" si="99"/>
        <v>3.0700000000000002E-2</v>
      </c>
      <c r="R202" s="3">
        <f>Transport!F202</f>
        <v>6933</v>
      </c>
      <c r="S202" s="3">
        <f>Transport!G202</f>
        <v>8798</v>
      </c>
      <c r="T202" s="3">
        <f>Transport!H202</f>
        <v>14269</v>
      </c>
    </row>
    <row r="203" spans="1:24" x14ac:dyDescent="0.2">
      <c r="A203" s="10">
        <f t="shared" si="92"/>
        <v>41771.49999999952</v>
      </c>
      <c r="B203" s="19">
        <f t="shared" si="94"/>
        <v>3.3204750903959104</v>
      </c>
      <c r="C203" s="19">
        <f t="shared" si="90"/>
        <v>3.3804750903959104</v>
      </c>
      <c r="D203" s="19">
        <f t="shared" si="69"/>
        <v>3.3304750903959106</v>
      </c>
      <c r="E203" s="19">
        <f t="shared" si="80"/>
        <v>3.3804750903959104</v>
      </c>
      <c r="F203" s="2">
        <f t="shared" si="93"/>
        <v>2.75E-2</v>
      </c>
      <c r="G203" s="15">
        <f t="shared" si="68"/>
        <v>2.75E-2</v>
      </c>
      <c r="H203" s="3">
        <v>31</v>
      </c>
      <c r="L203" s="76">
        <f t="shared" si="95"/>
        <v>0.39808663457978527</v>
      </c>
      <c r="M203" s="8">
        <f t="shared" si="96"/>
        <v>0.73480000000000001</v>
      </c>
      <c r="N203" s="11">
        <f t="shared" si="97"/>
        <v>0.39808663457978527</v>
      </c>
      <c r="O203" s="3">
        <f t="shared" si="98"/>
        <v>4.7699999999999999E-2</v>
      </c>
      <c r="P203" s="3">
        <f t="shared" si="99"/>
        <v>3.0700000000000002E-2</v>
      </c>
      <c r="R203" s="3">
        <f>Transport!F203</f>
        <v>8730</v>
      </c>
      <c r="S203" s="3">
        <f>Transport!G203</f>
        <v>10761</v>
      </c>
      <c r="T203" s="3">
        <f>Transport!H203</f>
        <v>15509</v>
      </c>
    </row>
    <row r="204" spans="1:24" x14ac:dyDescent="0.2">
      <c r="A204" s="10">
        <f t="shared" si="92"/>
        <v>41801.916666666184</v>
      </c>
      <c r="B204" s="19">
        <f t="shared" si="94"/>
        <v>4.7966158798687895</v>
      </c>
      <c r="C204" s="19">
        <f t="shared" si="90"/>
        <v>4.8566158798687891</v>
      </c>
      <c r="D204" s="19">
        <f t="shared" si="69"/>
        <v>4.8066158798687892</v>
      </c>
      <c r="E204" s="19">
        <f t="shared" si="80"/>
        <v>4.8566158798687891</v>
      </c>
      <c r="F204" s="2">
        <f t="shared" si="93"/>
        <v>2.75E-2</v>
      </c>
      <c r="G204" s="15">
        <f t="shared" ref="G204:G212" si="100">F204</f>
        <v>2.75E-2</v>
      </c>
      <c r="H204" s="3">
        <v>30</v>
      </c>
      <c r="L204" s="76">
        <f t="shared" si="95"/>
        <v>0.39808663457978527</v>
      </c>
      <c r="M204" s="8">
        <f t="shared" si="96"/>
        <v>0.73480000000000001</v>
      </c>
      <c r="N204" s="11">
        <f t="shared" si="97"/>
        <v>0.39808663457978527</v>
      </c>
      <c r="O204" s="3">
        <f t="shared" si="98"/>
        <v>4.7699999999999999E-2</v>
      </c>
      <c r="P204" s="3">
        <f t="shared" si="99"/>
        <v>3.0700000000000002E-2</v>
      </c>
      <c r="R204" s="3">
        <f>Transport!F204</f>
        <v>8730</v>
      </c>
      <c r="S204" s="3">
        <f>Transport!G204</f>
        <v>10761</v>
      </c>
      <c r="T204" s="3">
        <f>Transport!H204</f>
        <v>15509</v>
      </c>
    </row>
    <row r="205" spans="1:24" x14ac:dyDescent="0.2">
      <c r="A205" s="10">
        <f t="shared" si="92"/>
        <v>41832.333333332848</v>
      </c>
      <c r="B205" s="19">
        <f t="shared" si="94"/>
        <v>4.78534762956747</v>
      </c>
      <c r="C205" s="19">
        <f t="shared" si="90"/>
        <v>4.8453476295674696</v>
      </c>
      <c r="D205" s="19">
        <f t="shared" si="69"/>
        <v>4.7953476295674697</v>
      </c>
      <c r="E205" s="19">
        <f t="shared" si="80"/>
        <v>4.8453476295674696</v>
      </c>
      <c r="F205" s="2">
        <f t="shared" si="93"/>
        <v>2.75E-2</v>
      </c>
      <c r="G205" s="15">
        <f t="shared" si="100"/>
        <v>2.75E-2</v>
      </c>
      <c r="H205" s="3">
        <v>31</v>
      </c>
      <c r="L205" s="76">
        <f t="shared" si="95"/>
        <v>0.39808663457978527</v>
      </c>
      <c r="M205" s="8">
        <f t="shared" si="96"/>
        <v>0.73480000000000001</v>
      </c>
      <c r="N205" s="11">
        <f t="shared" si="97"/>
        <v>0.39808663457978527</v>
      </c>
      <c r="O205" s="3">
        <f t="shared" si="98"/>
        <v>4.7699999999999999E-2</v>
      </c>
      <c r="P205" s="3">
        <f t="shared" si="99"/>
        <v>3.0700000000000002E-2</v>
      </c>
      <c r="R205" s="3">
        <f>Transport!F205</f>
        <v>8730</v>
      </c>
      <c r="S205" s="3">
        <f>Transport!G205</f>
        <v>10761</v>
      </c>
      <c r="T205" s="3">
        <f>Transport!H205</f>
        <v>15509</v>
      </c>
    </row>
    <row r="206" spans="1:24" x14ac:dyDescent="0.2">
      <c r="A206" s="10">
        <f t="shared" si="92"/>
        <v>41862.749999999513</v>
      </c>
      <c r="B206" s="19">
        <f t="shared" si="94"/>
        <v>4.1768621132962069</v>
      </c>
      <c r="C206" s="19">
        <f t="shared" si="90"/>
        <v>4.2368621132962065</v>
      </c>
      <c r="D206" s="19">
        <f t="shared" si="69"/>
        <v>4.1868621132962067</v>
      </c>
      <c r="E206" s="19">
        <f t="shared" si="80"/>
        <v>4.2368621132962065</v>
      </c>
      <c r="F206" s="2">
        <f t="shared" si="93"/>
        <v>2.75E-2</v>
      </c>
      <c r="G206" s="15">
        <f t="shared" si="100"/>
        <v>2.75E-2</v>
      </c>
      <c r="H206" s="3">
        <v>31</v>
      </c>
      <c r="L206" s="76">
        <f t="shared" si="95"/>
        <v>0.39808663457978527</v>
      </c>
      <c r="M206" s="8">
        <f t="shared" si="96"/>
        <v>0.73480000000000001</v>
      </c>
      <c r="N206" s="11">
        <f t="shared" si="97"/>
        <v>0.39808663457978527</v>
      </c>
      <c r="O206" s="3">
        <f t="shared" si="98"/>
        <v>4.7699999999999999E-2</v>
      </c>
      <c r="P206" s="3">
        <f t="shared" si="99"/>
        <v>3.0700000000000002E-2</v>
      </c>
      <c r="R206" s="3">
        <f>Transport!F206</f>
        <v>8730</v>
      </c>
      <c r="S206" s="3">
        <f>Transport!G206</f>
        <v>10761</v>
      </c>
      <c r="T206" s="3">
        <f>Transport!H206</f>
        <v>15509</v>
      </c>
    </row>
    <row r="207" spans="1:24" x14ac:dyDescent="0.2">
      <c r="A207" s="10">
        <f t="shared" si="92"/>
        <v>41893.166666666177</v>
      </c>
      <c r="B207" s="19">
        <f t="shared" si="94"/>
        <v>5.0445173864978257</v>
      </c>
      <c r="C207" s="19">
        <f t="shared" si="90"/>
        <v>5.1045173864978253</v>
      </c>
      <c r="D207" s="19">
        <f t="shared" si="69"/>
        <v>5.0545173864978254</v>
      </c>
      <c r="E207" s="19">
        <f t="shared" si="80"/>
        <v>5.1045173864978253</v>
      </c>
      <c r="F207" s="2">
        <f t="shared" si="93"/>
        <v>2.75E-2</v>
      </c>
      <c r="G207" s="15">
        <f t="shared" si="100"/>
        <v>2.75E-2</v>
      </c>
      <c r="H207" s="3">
        <v>30</v>
      </c>
      <c r="L207" s="76">
        <f t="shared" si="95"/>
        <v>0.39808663457978527</v>
      </c>
      <c r="M207" s="8">
        <f t="shared" si="96"/>
        <v>0.73480000000000001</v>
      </c>
      <c r="N207" s="11">
        <f t="shared" si="97"/>
        <v>0.39808663457978527</v>
      </c>
      <c r="O207" s="3">
        <f t="shared" si="98"/>
        <v>4.7699999999999999E-2</v>
      </c>
      <c r="P207" s="3">
        <f t="shared" si="99"/>
        <v>3.0700000000000002E-2</v>
      </c>
      <c r="R207" s="3">
        <f>Transport!F207</f>
        <v>8730</v>
      </c>
      <c r="S207" s="3">
        <f>Transport!G207</f>
        <v>10761</v>
      </c>
      <c r="T207" s="3">
        <f>Transport!H207</f>
        <v>15509</v>
      </c>
    </row>
    <row r="208" spans="1:24" x14ac:dyDescent="0.2">
      <c r="A208" s="10">
        <f t="shared" si="92"/>
        <v>41923.583333332841</v>
      </c>
      <c r="B208" s="19">
        <f t="shared" si="94"/>
        <v>5.8107584069875644</v>
      </c>
      <c r="C208" s="19">
        <f t="shared" si="90"/>
        <v>5.870758406987564</v>
      </c>
      <c r="D208" s="19">
        <f>C208-0.05</f>
        <v>5.8207584069875642</v>
      </c>
      <c r="E208" s="19">
        <f t="shared" si="80"/>
        <v>5.870758406987564</v>
      </c>
      <c r="F208" s="2">
        <f t="shared" si="93"/>
        <v>2.75E-2</v>
      </c>
      <c r="G208" s="15">
        <f t="shared" si="100"/>
        <v>2.75E-2</v>
      </c>
      <c r="H208" s="3">
        <v>31</v>
      </c>
      <c r="L208" s="76">
        <f t="shared" si="95"/>
        <v>0.39808663457978527</v>
      </c>
      <c r="M208" s="8">
        <f t="shared" si="96"/>
        <v>0.73480000000000001</v>
      </c>
      <c r="N208" s="11">
        <f t="shared" si="97"/>
        <v>0.39808663457978527</v>
      </c>
      <c r="O208" s="3">
        <f t="shared" si="98"/>
        <v>4.7699999999999999E-2</v>
      </c>
      <c r="P208" s="3">
        <f t="shared" si="99"/>
        <v>3.0700000000000002E-2</v>
      </c>
      <c r="R208" s="3">
        <f>Transport!F208</f>
        <v>8730</v>
      </c>
      <c r="S208" s="3">
        <f>Transport!G208</f>
        <v>10361</v>
      </c>
      <c r="T208" s="3">
        <f>Transport!H208</f>
        <v>15909</v>
      </c>
    </row>
    <row r="209" spans="1:20" x14ac:dyDescent="0.2">
      <c r="A209" s="10">
        <f t="shared" si="92"/>
        <v>41953.999999999505</v>
      </c>
      <c r="B209" s="19">
        <f t="shared" si="94"/>
        <v>3.8613511048592555</v>
      </c>
      <c r="C209" s="19">
        <f t="shared" si="90"/>
        <v>3.9213511048592555</v>
      </c>
      <c r="D209" s="19">
        <f>C209-0.05</f>
        <v>3.8713511048592557</v>
      </c>
      <c r="E209" s="19">
        <f t="shared" si="80"/>
        <v>3.9213511048592555</v>
      </c>
      <c r="F209" s="2">
        <f t="shared" si="93"/>
        <v>2.75E-2</v>
      </c>
      <c r="G209" s="15">
        <f t="shared" si="100"/>
        <v>2.75E-2</v>
      </c>
      <c r="H209" s="3">
        <v>30</v>
      </c>
      <c r="L209" s="76">
        <f t="shared" si="95"/>
        <v>0.39808663457978527</v>
      </c>
      <c r="M209" s="8">
        <f t="shared" si="96"/>
        <v>0.73480000000000001</v>
      </c>
      <c r="N209" s="11">
        <f t="shared" si="97"/>
        <v>0.39808663457978527</v>
      </c>
      <c r="O209" s="3">
        <f t="shared" si="98"/>
        <v>4.7699999999999999E-2</v>
      </c>
      <c r="P209" s="3">
        <f t="shared" si="99"/>
        <v>3.0700000000000002E-2</v>
      </c>
      <c r="R209" s="3">
        <f>Transport!F209</f>
        <v>4926</v>
      </c>
      <c r="S209" s="3">
        <f>Transport!G209</f>
        <v>5732</v>
      </c>
      <c r="T209" s="3">
        <f>Transport!H209</f>
        <v>9342</v>
      </c>
    </row>
    <row r="210" spans="1:20" x14ac:dyDescent="0.2">
      <c r="A210" s="10">
        <f t="shared" si="92"/>
        <v>41984.416666666169</v>
      </c>
      <c r="B210" s="19">
        <f t="shared" si="94"/>
        <v>2.8697450783431222</v>
      </c>
      <c r="C210" s="19">
        <f t="shared" si="90"/>
        <v>2.9297450783431223</v>
      </c>
      <c r="D210" s="19">
        <f>C210-0.05</f>
        <v>2.8797450783431224</v>
      </c>
      <c r="E210" s="19">
        <f t="shared" si="80"/>
        <v>2.9297450783431223</v>
      </c>
      <c r="F210" s="2">
        <f t="shared" si="93"/>
        <v>2.75E-2</v>
      </c>
      <c r="G210" s="15">
        <f t="shared" si="100"/>
        <v>2.75E-2</v>
      </c>
      <c r="H210" s="3">
        <v>31</v>
      </c>
      <c r="L210" s="76">
        <f t="shared" si="95"/>
        <v>0.39808663457978527</v>
      </c>
      <c r="M210" s="8">
        <f t="shared" si="96"/>
        <v>0.73480000000000001</v>
      </c>
      <c r="N210" s="11">
        <f t="shared" si="97"/>
        <v>0.39808663457978527</v>
      </c>
      <c r="O210" s="3">
        <f t="shared" si="98"/>
        <v>4.7699999999999999E-2</v>
      </c>
      <c r="P210" s="3">
        <f t="shared" si="99"/>
        <v>3.0700000000000002E-2</v>
      </c>
      <c r="R210" s="3">
        <f>Transport!F210</f>
        <v>4926</v>
      </c>
      <c r="S210" s="3">
        <f>Transport!G210</f>
        <v>5732</v>
      </c>
      <c r="T210" s="3">
        <f>Transport!H210</f>
        <v>9342</v>
      </c>
    </row>
    <row r="211" spans="1:20" s="81" customFormat="1" x14ac:dyDescent="0.2">
      <c r="A211" s="77">
        <f t="shared" si="92"/>
        <v>42014.833333332834</v>
      </c>
      <c r="B211" s="78">
        <f t="shared" si="94"/>
        <v>2.5234717465835681</v>
      </c>
      <c r="C211" s="78">
        <f t="shared" si="90"/>
        <v>2.5834717465835682</v>
      </c>
      <c r="D211" s="78">
        <f>C211-0.05</f>
        <v>2.5334717465835683</v>
      </c>
      <c r="E211" s="78">
        <f t="shared" si="80"/>
        <v>2.5834717465835682</v>
      </c>
      <c r="F211" s="79">
        <f t="shared" si="93"/>
        <v>2.75E-2</v>
      </c>
      <c r="G211" s="80">
        <f t="shared" si="100"/>
        <v>2.75E-2</v>
      </c>
      <c r="H211" s="81">
        <v>31</v>
      </c>
      <c r="L211" s="84">
        <f>('[1]062'!$Z$56*1000)/('[1]062'!$Z$50*[1]Assumptions!$Z$9)</f>
        <v>0.39808663457978527</v>
      </c>
      <c r="M211" s="85">
        <f t="shared" si="96"/>
        <v>0.73480000000000001</v>
      </c>
      <c r="N211" s="87">
        <f t="shared" si="97"/>
        <v>0.39808663457978527</v>
      </c>
      <c r="O211" s="81">
        <f t="shared" si="98"/>
        <v>4.7699999999999999E-2</v>
      </c>
      <c r="P211" s="81">
        <f t="shared" si="99"/>
        <v>3.0700000000000002E-2</v>
      </c>
      <c r="R211" s="81">
        <f>Transport!F211</f>
        <v>4926</v>
      </c>
      <c r="S211" s="81">
        <f>Transport!G211</f>
        <v>5732</v>
      </c>
      <c r="T211" s="81">
        <f>Transport!H211</f>
        <v>9342</v>
      </c>
    </row>
    <row r="212" spans="1:20" x14ac:dyDescent="0.2">
      <c r="A212" s="10">
        <f t="shared" si="92"/>
        <v>42045.249999999498</v>
      </c>
      <c r="B212" s="19">
        <f t="shared" si="94"/>
        <v>2.8307569323005546</v>
      </c>
      <c r="C212" s="19">
        <f t="shared" si="90"/>
        <v>2.8907569323005546</v>
      </c>
      <c r="D212" s="19">
        <f>C212-0.05</f>
        <v>2.8407569323005548</v>
      </c>
      <c r="E212" s="19">
        <f t="shared" si="80"/>
        <v>2.8907569323005546</v>
      </c>
      <c r="F212" s="2">
        <f t="shared" si="93"/>
        <v>2.75E-2</v>
      </c>
      <c r="G212" s="15">
        <f t="shared" si="100"/>
        <v>2.75E-2</v>
      </c>
      <c r="H212" s="3">
        <v>28</v>
      </c>
      <c r="L212" s="76">
        <f t="shared" si="95"/>
        <v>0.39808663457978527</v>
      </c>
      <c r="M212" s="8">
        <f t="shared" si="96"/>
        <v>0.73480000000000001</v>
      </c>
      <c r="N212" s="11">
        <f t="shared" si="97"/>
        <v>0.39808663457978527</v>
      </c>
      <c r="O212" s="3">
        <f t="shared" si="98"/>
        <v>4.7699999999999999E-2</v>
      </c>
      <c r="P212" s="3">
        <f t="shared" si="99"/>
        <v>3.0700000000000002E-2</v>
      </c>
      <c r="R212" s="3">
        <f>Transport!F212</f>
        <v>4926</v>
      </c>
      <c r="S212" s="3">
        <f>Transport!G212</f>
        <v>5732</v>
      </c>
      <c r="T212" s="3">
        <f>Transport!H212</f>
        <v>9342</v>
      </c>
    </row>
    <row r="213" spans="1:20" x14ac:dyDescent="0.2">
      <c r="E213" s="3"/>
      <c r="F213" s="3"/>
    </row>
    <row r="214" spans="1:20" x14ac:dyDescent="0.2">
      <c r="E214" s="3"/>
      <c r="F214" s="3"/>
    </row>
    <row r="215" spans="1:20" x14ac:dyDescent="0.2">
      <c r="E215" s="3"/>
      <c r="F215" s="3"/>
    </row>
    <row r="216" spans="1:20" x14ac:dyDescent="0.2">
      <c r="E216" s="3"/>
      <c r="F216" s="3"/>
    </row>
    <row r="217" spans="1:20" x14ac:dyDescent="0.2">
      <c r="E217" s="3"/>
      <c r="F217" s="3"/>
    </row>
    <row r="218" spans="1:20" x14ac:dyDescent="0.2">
      <c r="E218" s="3"/>
      <c r="F218" s="3"/>
    </row>
    <row r="219" spans="1:20" x14ac:dyDescent="0.2">
      <c r="A219" s="3"/>
      <c r="E219" s="3"/>
      <c r="F219" s="3"/>
    </row>
    <row r="220" spans="1:20" x14ac:dyDescent="0.2">
      <c r="A220" s="3"/>
      <c r="E220" s="3"/>
      <c r="F220" s="3"/>
    </row>
    <row r="221" spans="1:20" x14ac:dyDescent="0.2">
      <c r="A221" s="3"/>
      <c r="E221" s="3"/>
      <c r="F221" s="3"/>
    </row>
    <row r="222" spans="1:20" x14ac:dyDescent="0.2">
      <c r="A222" s="3"/>
      <c r="E222" s="3"/>
      <c r="F222" s="3"/>
    </row>
    <row r="223" spans="1:20" x14ac:dyDescent="0.2">
      <c r="A223" s="3"/>
      <c r="E223" s="3"/>
      <c r="F223" s="3"/>
    </row>
    <row r="224" spans="1:20" x14ac:dyDescent="0.2">
      <c r="A224" s="3"/>
      <c r="E224" s="3"/>
      <c r="F224" s="3"/>
    </row>
    <row r="225" spans="1:6" x14ac:dyDescent="0.2">
      <c r="A225" s="3"/>
      <c r="E225" s="3"/>
      <c r="F225" s="3"/>
    </row>
    <row r="226" spans="1:6" x14ac:dyDescent="0.2">
      <c r="A226" s="3"/>
      <c r="E226" s="3"/>
      <c r="F226" s="3"/>
    </row>
    <row r="227" spans="1:6" x14ac:dyDescent="0.2">
      <c r="A227" s="3"/>
      <c r="E227" s="3"/>
      <c r="F227" s="3"/>
    </row>
    <row r="228" spans="1:6" x14ac:dyDescent="0.2">
      <c r="A228" s="3"/>
      <c r="E228" s="3"/>
      <c r="F228" s="3"/>
    </row>
    <row r="229" spans="1:6" x14ac:dyDescent="0.2">
      <c r="A229" s="3"/>
      <c r="E229" s="3"/>
      <c r="F229" s="3"/>
    </row>
    <row r="230" spans="1:6" x14ac:dyDescent="0.2">
      <c r="A230" s="3"/>
      <c r="E230" s="3"/>
      <c r="F230" s="3"/>
    </row>
    <row r="231" spans="1:6" x14ac:dyDescent="0.2">
      <c r="A231" s="3"/>
      <c r="E231" s="3"/>
      <c r="F231" s="3"/>
    </row>
    <row r="232" spans="1:6" x14ac:dyDescent="0.2">
      <c r="A232" s="3"/>
      <c r="E232" s="3"/>
      <c r="F232" s="3"/>
    </row>
    <row r="233" spans="1:6" x14ac:dyDescent="0.2">
      <c r="A233" s="3"/>
      <c r="E233" s="3"/>
      <c r="F233" s="3"/>
    </row>
    <row r="234" spans="1:6" x14ac:dyDescent="0.2">
      <c r="A234" s="3"/>
      <c r="E234" s="3"/>
      <c r="F234" s="3"/>
    </row>
    <row r="235" spans="1:6" x14ac:dyDescent="0.2">
      <c r="A235" s="3"/>
      <c r="E235" s="3"/>
      <c r="F235" s="3"/>
    </row>
    <row r="236" spans="1:6" x14ac:dyDescent="0.2">
      <c r="A236" s="3"/>
      <c r="E236" s="3"/>
      <c r="F236" s="3"/>
    </row>
    <row r="237" spans="1:6" x14ac:dyDescent="0.2">
      <c r="A237" s="3"/>
      <c r="E237" s="3"/>
      <c r="F237" s="3"/>
    </row>
    <row r="238" spans="1:6" x14ac:dyDescent="0.2">
      <c r="A238" s="3"/>
      <c r="E238" s="3"/>
      <c r="F238" s="3"/>
    </row>
    <row r="239" spans="1:6" x14ac:dyDescent="0.2">
      <c r="A239" s="3"/>
      <c r="E239" s="3"/>
      <c r="F239" s="3"/>
    </row>
    <row r="240" spans="1:6" x14ac:dyDescent="0.2">
      <c r="A240" s="3"/>
      <c r="E240" s="3"/>
      <c r="F240" s="3"/>
    </row>
    <row r="241" spans="1:6" x14ac:dyDescent="0.2">
      <c r="A241" s="3"/>
      <c r="E241" s="3"/>
      <c r="F241" s="3"/>
    </row>
    <row r="242" spans="1:6" x14ac:dyDescent="0.2">
      <c r="A242" s="3"/>
      <c r="E242" s="3"/>
      <c r="F242" s="3"/>
    </row>
    <row r="243" spans="1:6" x14ac:dyDescent="0.2">
      <c r="A243" s="3"/>
      <c r="E243" s="3"/>
      <c r="F243" s="3"/>
    </row>
    <row r="244" spans="1:6" x14ac:dyDescent="0.2">
      <c r="A244" s="3"/>
      <c r="E244" s="3"/>
      <c r="F244" s="3"/>
    </row>
    <row r="245" spans="1:6" x14ac:dyDescent="0.2">
      <c r="A245" s="3"/>
      <c r="E245" s="3"/>
      <c r="F245" s="3"/>
    </row>
    <row r="246" spans="1:6" x14ac:dyDescent="0.2">
      <c r="A246" s="3"/>
      <c r="E246" s="3"/>
      <c r="F246" s="3"/>
    </row>
    <row r="247" spans="1:6" x14ac:dyDescent="0.2">
      <c r="A247" s="3"/>
      <c r="E247" s="3"/>
      <c r="F247" s="3"/>
    </row>
    <row r="248" spans="1:6" x14ac:dyDescent="0.2">
      <c r="A248" s="3"/>
      <c r="E248" s="3"/>
      <c r="F248" s="3"/>
    </row>
    <row r="249" spans="1:6" x14ac:dyDescent="0.2">
      <c r="A249" s="3"/>
      <c r="E249" s="3"/>
      <c r="F249" s="3"/>
    </row>
    <row r="250" spans="1:6" x14ac:dyDescent="0.2">
      <c r="A250" s="3"/>
      <c r="E250" s="3"/>
      <c r="F250" s="3"/>
    </row>
    <row r="251" spans="1:6" x14ac:dyDescent="0.2">
      <c r="A251" s="3"/>
      <c r="E251" s="3"/>
      <c r="F251" s="3"/>
    </row>
    <row r="252" spans="1:6" x14ac:dyDescent="0.2">
      <c r="A252" s="3"/>
      <c r="E252" s="3"/>
      <c r="F252" s="3"/>
    </row>
    <row r="253" spans="1:6" x14ac:dyDescent="0.2">
      <c r="A253" s="3"/>
      <c r="E253" s="3"/>
      <c r="F253" s="3"/>
    </row>
    <row r="254" spans="1:6" x14ac:dyDescent="0.2">
      <c r="A254" s="3"/>
      <c r="E254" s="3"/>
      <c r="F254" s="3"/>
    </row>
    <row r="255" spans="1:6" x14ac:dyDescent="0.2">
      <c r="A255" s="3"/>
      <c r="E255" s="3"/>
      <c r="F255" s="3"/>
    </row>
    <row r="256" spans="1:6" x14ac:dyDescent="0.2">
      <c r="A256" s="3"/>
      <c r="E256" s="3"/>
      <c r="F256" s="3"/>
    </row>
    <row r="257" spans="1:6" x14ac:dyDescent="0.2">
      <c r="A257" s="3"/>
      <c r="E257" s="3"/>
      <c r="F257" s="3"/>
    </row>
    <row r="258" spans="1:6" x14ac:dyDescent="0.2">
      <c r="A258" s="3"/>
      <c r="E258" s="3"/>
      <c r="F258" s="3"/>
    </row>
    <row r="259" spans="1:6" x14ac:dyDescent="0.2">
      <c r="A259" s="3"/>
      <c r="E259" s="3"/>
      <c r="F259" s="3"/>
    </row>
    <row r="260" spans="1:6" x14ac:dyDescent="0.2">
      <c r="A260" s="3"/>
      <c r="E260" s="3"/>
      <c r="F260" s="3"/>
    </row>
    <row r="261" spans="1:6" x14ac:dyDescent="0.2">
      <c r="A261" s="3"/>
      <c r="E261" s="3"/>
      <c r="F261" s="3"/>
    </row>
    <row r="262" spans="1:6" x14ac:dyDescent="0.2">
      <c r="A262" s="3"/>
      <c r="E262" s="3"/>
      <c r="F262" s="3"/>
    </row>
    <row r="263" spans="1:6" x14ac:dyDescent="0.2">
      <c r="A263" s="3"/>
      <c r="E263" s="3"/>
      <c r="F263" s="3"/>
    </row>
    <row r="264" spans="1:6" x14ac:dyDescent="0.2">
      <c r="A264" s="3"/>
      <c r="E264" s="3"/>
      <c r="F264" s="3"/>
    </row>
    <row r="265" spans="1:6" x14ac:dyDescent="0.2">
      <c r="A265" s="3"/>
      <c r="E265" s="3"/>
      <c r="F265" s="3"/>
    </row>
    <row r="266" spans="1:6" x14ac:dyDescent="0.2">
      <c r="A266" s="3"/>
      <c r="E266" s="3"/>
      <c r="F266" s="3"/>
    </row>
    <row r="267" spans="1:6" x14ac:dyDescent="0.2">
      <c r="A267" s="3"/>
      <c r="E267" s="3"/>
      <c r="F267" s="3"/>
    </row>
    <row r="268" spans="1:6" x14ac:dyDescent="0.2">
      <c r="A268" s="3"/>
      <c r="E268" s="3"/>
      <c r="F268" s="3"/>
    </row>
  </sheetData>
  <printOptions horizontalCentered="1" gridLines="1" gridLinesSet="0"/>
  <pageMargins left="0.25" right="0.25" top="0.5" bottom="0.25" header="0" footer="0"/>
  <pageSetup paperSize="5" scale="95"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23"/>
  <sheetViews>
    <sheetView zoomScale="75" workbookViewId="0">
      <pane xSplit="1" ySplit="4" topLeftCell="Z9" activePane="bottomRight" state="frozen"/>
      <selection activeCell="B40" sqref="B40"/>
      <selection pane="topRight" activeCell="B40" sqref="B40"/>
      <selection pane="bottomLeft" activeCell="B40" sqref="B40"/>
      <selection pane="bottomRight" activeCell="AH26" sqref="AH26"/>
    </sheetView>
  </sheetViews>
  <sheetFormatPr defaultColWidth="9.109375" defaultRowHeight="10.199999999999999" x14ac:dyDescent="0.2"/>
  <cols>
    <col min="1" max="3" width="9.109375" style="3"/>
    <col min="4" max="7" width="9.109375" style="1"/>
    <col min="8" max="8" width="10.6640625" style="1" customWidth="1"/>
    <col min="9" max="13" width="9.109375" style="1"/>
    <col min="14" max="19" width="9.109375" style="3"/>
    <col min="20" max="24" width="9.109375" style="11"/>
    <col min="25" max="25" width="11" style="3" customWidth="1"/>
    <col min="26" max="26" width="8.6640625" style="3" customWidth="1"/>
    <col min="27" max="27" width="9" style="3" customWidth="1"/>
    <col min="28" max="28" width="9.33203125" style="3" customWidth="1"/>
    <col min="29" max="29" width="7" style="3" customWidth="1"/>
    <col min="30" max="30" width="6.5546875" style="3" customWidth="1"/>
    <col min="31" max="31" width="7" style="3" customWidth="1"/>
    <col min="32" max="32" width="6.33203125" style="3" customWidth="1"/>
    <col min="33" max="35" width="9.109375" style="3"/>
    <col min="36" max="38" width="6.6640625" style="3" customWidth="1"/>
    <col min="39" max="45" width="9.109375" style="3"/>
    <col min="46" max="46" width="9.5546875" style="3" customWidth="1"/>
    <col min="47" max="47" width="9.109375" style="3"/>
    <col min="48" max="49" width="9.109375" style="1"/>
    <col min="50" max="51" width="9.109375" style="3"/>
    <col min="52" max="52" width="9.88671875" style="3" customWidth="1"/>
    <col min="53" max="54" width="10.6640625" style="3" customWidth="1"/>
    <col min="55" max="56" width="10.5546875" style="3" customWidth="1"/>
    <col min="57" max="57" width="9.6640625" style="3" customWidth="1"/>
    <col min="58" max="58" width="9.88671875" style="3" customWidth="1"/>
    <col min="59" max="65" width="11.6640625" style="3" customWidth="1"/>
    <col min="66" max="66" width="11.6640625" style="1" customWidth="1"/>
    <col min="67" max="69" width="11.6640625" style="3" customWidth="1"/>
    <col min="70" max="98" width="9.109375" style="3"/>
    <col min="99" max="99" width="9.5546875" style="3" customWidth="1"/>
    <col min="100" max="16384" width="9.109375" style="3"/>
  </cols>
  <sheetData>
    <row r="1" spans="1:99" x14ac:dyDescent="0.2">
      <c r="BN1" s="3"/>
    </row>
    <row r="2" spans="1:99" ht="24.9" customHeight="1" x14ac:dyDescent="0.25">
      <c r="B2" s="5" t="s">
        <v>96</v>
      </c>
      <c r="C2" s="5"/>
      <c r="D2" s="16"/>
      <c r="E2" s="4"/>
      <c r="F2" s="4"/>
      <c r="G2" s="4"/>
      <c r="H2" s="4"/>
      <c r="I2" s="4"/>
      <c r="J2" s="4"/>
      <c r="K2" s="4"/>
      <c r="L2" s="4" t="s">
        <v>97</v>
      </c>
      <c r="M2" s="4"/>
      <c r="N2" s="5"/>
      <c r="O2" s="5"/>
      <c r="P2" s="5"/>
      <c r="Q2" s="5"/>
      <c r="R2" s="5"/>
      <c r="S2" s="5"/>
      <c r="T2" s="5"/>
      <c r="U2" s="17"/>
      <c r="V2" s="17"/>
      <c r="W2" s="17"/>
      <c r="X2" s="17"/>
      <c r="Y2" s="5"/>
      <c r="Z2" s="5"/>
      <c r="AA2" s="5"/>
      <c r="AB2" s="5"/>
      <c r="AC2" s="5"/>
      <c r="AD2" s="5" t="s">
        <v>98</v>
      </c>
      <c r="AE2" s="5"/>
      <c r="AF2" s="5"/>
      <c r="AG2" s="5"/>
      <c r="AH2" s="5"/>
      <c r="AI2" s="5"/>
      <c r="AJ2" s="5"/>
      <c r="AK2" s="5"/>
      <c r="AL2" s="5"/>
      <c r="AM2" s="5" t="s">
        <v>99</v>
      </c>
      <c r="AN2" s="5"/>
      <c r="AO2" s="5"/>
      <c r="AP2" s="5"/>
      <c r="AQ2" s="5"/>
      <c r="AR2" s="5" t="s">
        <v>100</v>
      </c>
      <c r="AS2" s="5"/>
      <c r="AT2" s="5"/>
      <c r="AU2" s="5"/>
      <c r="BN2" s="3"/>
    </row>
    <row r="3" spans="1:99" ht="24.9" customHeight="1" x14ac:dyDescent="0.25">
      <c r="B3" s="39" t="s">
        <v>101</v>
      </c>
      <c r="C3" s="5"/>
      <c r="D3" s="5"/>
      <c r="E3"/>
      <c r="F3" s="4" t="s">
        <v>102</v>
      </c>
      <c r="G3" s="4"/>
      <c r="H3" s="4"/>
      <c r="I3" s="3"/>
      <c r="J3" s="46"/>
      <c r="K3" s="46"/>
      <c r="L3" s="39" t="s">
        <v>103</v>
      </c>
      <c r="M3" s="4"/>
      <c r="N3" s="5"/>
      <c r="O3" s="31"/>
      <c r="P3" s="31"/>
      <c r="Q3" s="31"/>
      <c r="R3" s="31"/>
      <c r="S3"/>
      <c r="T3" s="31"/>
      <c r="U3" s="47"/>
      <c r="V3" s="47"/>
      <c r="W3" s="47"/>
      <c r="X3" s="47"/>
      <c r="Z3" s="31"/>
      <c r="AB3" s="31"/>
      <c r="AC3" s="31"/>
      <c r="AD3" s="46" t="s">
        <v>104</v>
      </c>
      <c r="AE3" s="46"/>
      <c r="AF3" s="31"/>
      <c r="AI3" s="31"/>
      <c r="AJ3" s="31"/>
      <c r="AK3" s="46" t="s">
        <v>104</v>
      </c>
      <c r="AL3" s="46"/>
      <c r="AM3" s="31"/>
      <c r="AN3"/>
      <c r="AO3" s="31"/>
      <c r="AP3" s="31"/>
      <c r="AQ3" s="31"/>
      <c r="AR3" s="31"/>
      <c r="AS3" s="31"/>
      <c r="AT3" s="31"/>
      <c r="AU3" s="31"/>
      <c r="BN3" s="3"/>
    </row>
    <row r="4" spans="1:99" s="8" customFormat="1" ht="40.799999999999997" x14ac:dyDescent="0.2">
      <c r="B4" s="49" t="s">
        <v>29</v>
      </c>
      <c r="C4" s="49" t="s">
        <v>30</v>
      </c>
      <c r="D4" s="49" t="s">
        <v>31</v>
      </c>
      <c r="E4" s="49" t="s">
        <v>105</v>
      </c>
      <c r="F4" s="49" t="s">
        <v>106</v>
      </c>
      <c r="G4" s="49" t="s">
        <v>107</v>
      </c>
      <c r="H4" s="49" t="s">
        <v>108</v>
      </c>
      <c r="I4" s="49" t="s">
        <v>109</v>
      </c>
      <c r="J4" s="49" t="s">
        <v>110</v>
      </c>
      <c r="K4" s="49" t="s">
        <v>72</v>
      </c>
      <c r="L4" s="49" t="s">
        <v>29</v>
      </c>
      <c r="M4" s="49" t="s">
        <v>30</v>
      </c>
      <c r="N4" s="49" t="s">
        <v>31</v>
      </c>
      <c r="O4" s="48" t="s">
        <v>111</v>
      </c>
      <c r="P4" s="48"/>
      <c r="Q4" s="48"/>
      <c r="R4" s="48"/>
      <c r="S4" s="49" t="s">
        <v>112</v>
      </c>
      <c r="T4" s="49" t="s">
        <v>113</v>
      </c>
      <c r="U4" s="49" t="s">
        <v>114</v>
      </c>
      <c r="V4" s="48" t="s">
        <v>115</v>
      </c>
      <c r="W4" s="48" t="s">
        <v>116</v>
      </c>
      <c r="X4" s="48" t="s">
        <v>117</v>
      </c>
      <c r="Y4" s="49" t="s">
        <v>109</v>
      </c>
      <c r="Z4" s="48" t="s">
        <v>118</v>
      </c>
      <c r="AA4" s="49" t="s">
        <v>119</v>
      </c>
      <c r="AB4" s="49" t="s">
        <v>110</v>
      </c>
      <c r="AC4" s="49" t="s">
        <v>72</v>
      </c>
      <c r="AD4" s="49" t="s">
        <v>29</v>
      </c>
      <c r="AE4" s="49" t="s">
        <v>30</v>
      </c>
      <c r="AF4" s="48" t="s">
        <v>31</v>
      </c>
      <c r="AG4" s="22" t="s">
        <v>120</v>
      </c>
      <c r="AH4" s="49" t="s">
        <v>109</v>
      </c>
      <c r="AI4" s="49" t="s">
        <v>110</v>
      </c>
      <c r="AJ4" s="49" t="s">
        <v>72</v>
      </c>
      <c r="AK4" s="49" t="s">
        <v>29</v>
      </c>
      <c r="AL4" s="49" t="s">
        <v>30</v>
      </c>
      <c r="AM4" s="48" t="s">
        <v>31</v>
      </c>
      <c r="AN4" s="22" t="s">
        <v>120</v>
      </c>
      <c r="AO4" s="49" t="s">
        <v>109</v>
      </c>
      <c r="AP4" s="49" t="s">
        <v>110</v>
      </c>
      <c r="AQ4" s="49" t="s">
        <v>72</v>
      </c>
      <c r="AR4" s="49" t="s">
        <v>109</v>
      </c>
      <c r="AS4" s="49" t="s">
        <v>21</v>
      </c>
      <c r="AT4" s="49" t="s">
        <v>110</v>
      </c>
      <c r="AU4" s="49" t="s">
        <v>72</v>
      </c>
      <c r="AV4" s="7" t="s">
        <v>121</v>
      </c>
      <c r="AW4" s="7" t="s">
        <v>122</v>
      </c>
      <c r="AY4" s="8" t="s">
        <v>123</v>
      </c>
    </row>
    <row r="5" spans="1:99" x14ac:dyDescent="0.2">
      <c r="A5" s="10">
        <v>35749</v>
      </c>
      <c r="B5" s="1">
        <v>0</v>
      </c>
      <c r="C5" s="1">
        <f>7710/30*0.9695</f>
        <v>249.16150000000002</v>
      </c>
      <c r="D5" s="1">
        <f>111924/30*0.9695</f>
        <v>3617.0106000000001</v>
      </c>
      <c r="E5" s="11">
        <f>((('Prices&amp;Fuel'!$B5*0.36+'Prices&amp;Fuel'!$C5*0.43+'Prices&amp;Fuel'!$D5*0.21))+0.03+0.05)/(1-'Prices&amp;Fuel'!F5)</f>
        <v>3.4097988653945328</v>
      </c>
      <c r="F5" s="1">
        <f>('Prices&amp;Fuel'!Y5+'Prices&amp;Fuel'!Z5+'Prices&amp;Fuel'!AA5)*'Prices&amp;Fuel'!H5*('Prices&amp;Fuel'!L5+'Prices&amp;Fuel'!O5)</f>
        <v>18724.875</v>
      </c>
      <c r="G5" s="1">
        <f>('Prices&amp;Fuel'!M5+'Prices&amp;Fuel'!P5)*'Prices&amp;Fuel'!H5*'Prices&amp;Fuel'!AD5</f>
        <v>18076.367999999999</v>
      </c>
      <c r="H5" s="1">
        <f>IF('Prices&amp;Fuel'!AE2&gt;(B5+C5+D5),0,(B5+C5+D5-'Prices&amp;Fuel'!AE5)*('Prices&amp;Fuel'!L5+'Prices&amp;Fuel'!O5)*'Prices&amp;Fuel'!H5)</f>
        <v>20705.980552500005</v>
      </c>
      <c r="I5" s="1">
        <f>((B5+C5+D5)*E5*'Prices&amp;Fuel'!H5)+F5+G5+H5</f>
        <v>452993.30075249996</v>
      </c>
      <c r="J5" s="1">
        <f>(((('Prices&amp;Fuel'!B5*B5+'Prices&amp;Fuel'!C5*C5+'Prices&amp;Fuel'!D5*D5)/(B5+C5+D5)+0.015)/(1-'Prices&amp;Fuel'!F5))*(B5+C5+D5)*'Prices&amp;Fuel'!H5)+F5+G5+H5</f>
        <v>442593.13355250005</v>
      </c>
      <c r="K5" s="1">
        <f>I5-J5</f>
        <v>10400.167199999909</v>
      </c>
      <c r="L5" s="1">
        <v>0</v>
      </c>
      <c r="M5" s="1">
        <f>5240/30</f>
        <v>174.66666666666666</v>
      </c>
      <c r="N5" s="1">
        <f>68880/30</f>
        <v>2296</v>
      </c>
      <c r="O5" s="1">
        <f>(L5+M5+N5)*'Prices&amp;Fuel'!H5</f>
        <v>74120</v>
      </c>
      <c r="P5" s="1">
        <f>IF(O5&gt;20000,20000,O5)</f>
        <v>20000</v>
      </c>
      <c r="Q5" s="1">
        <f>O5-P5-R5</f>
        <v>30000</v>
      </c>
      <c r="R5" s="1">
        <f>IF(O5&gt;49999,O5-50000,0)</f>
        <v>24120</v>
      </c>
      <c r="S5" s="11">
        <f>'Prices&amp;Fuel'!B5</f>
        <v>3.2</v>
      </c>
      <c r="T5" s="11">
        <f>'Prices&amp;Fuel'!C5</f>
        <v>3.26</v>
      </c>
      <c r="U5" s="11">
        <f>'Prices&amp;Fuel'!D5</f>
        <v>3.2</v>
      </c>
      <c r="V5" s="1">
        <f>P5*0.19+Q5*0.16+R5*0.14</f>
        <v>11976.8</v>
      </c>
      <c r="W5" s="11">
        <f>Y5/O5</f>
        <v>3.3658283864004317</v>
      </c>
      <c r="X5" s="11">
        <f>((L5*S5+M5*T5+N5*U5)/(L5+M5+N5))+0.015</f>
        <v>3.2192417701025371</v>
      </c>
      <c r="Y5" s="1">
        <f>((L5*S5+M5*T5+N5*U5)*'Prices&amp;Fuel'!H5)+V5</f>
        <v>249475.20000000001</v>
      </c>
      <c r="Z5" s="1">
        <v>21417</v>
      </c>
      <c r="AA5" s="1">
        <f>(W5-X5)*Z5/(1-'Prices&amp;Fuel'!F5)</f>
        <v>3238.2109966498283</v>
      </c>
      <c r="AB5" s="1">
        <f>(O5*X5)+AA5</f>
        <v>241848.41099664988</v>
      </c>
      <c r="AC5" s="1">
        <f>Y5-AB5</f>
        <v>7626.7890033501317</v>
      </c>
      <c r="AD5" s="1">
        <v>0</v>
      </c>
      <c r="AE5" s="1">
        <v>0</v>
      </c>
      <c r="AF5" s="1">
        <f>2909/30</f>
        <v>96.966666666666669</v>
      </c>
      <c r="AG5" s="11">
        <f>(('Prices&amp;Fuel'!$B5*0.36+'Prices&amp;Fuel'!$C5*0.43+'Prices&amp;Fuel'!$D5*0.21))+0.04</f>
        <v>3.2658</v>
      </c>
      <c r="AH5" s="1">
        <f>((AD5+AE5+AF5)*'Prices&amp;Fuel'!H5*('Index Price Deals'!AG5))+('Prices&amp;Fuel'!L5+'Prices&amp;Fuel'!O5)*(AD5+AE5+AF5)*(1-'Prices&amp;Fuel'!F5)*'Prices&amp;Fuel'!H5</f>
        <v>10677.67722125</v>
      </c>
      <c r="AI5" s="1">
        <f>((AD5*('Prices&amp;Fuel'!B5+0.015)+AE5*('Prices&amp;Fuel'!C5+0.015)+('Prices&amp;Fuel'!D5+0.015)*AF5)*'Prices&amp;Fuel'!H5)+(AD5+AE5+AF5)*(1-'Prices&amp;Fuel'!F5)*('Prices&amp;Fuel'!L5+'Prices&amp;Fuel'!O5)*'Prices&amp;Fuel'!H5</f>
        <v>10529.900021250001</v>
      </c>
      <c r="AJ5" s="1">
        <f>AH5-AI5</f>
        <v>147.77719999999863</v>
      </c>
      <c r="AK5" s="1">
        <v>0</v>
      </c>
      <c r="AL5" s="1">
        <v>0</v>
      </c>
      <c r="AM5" s="1">
        <f>7881/30</f>
        <v>262.7</v>
      </c>
      <c r="AN5" s="11">
        <f>(('Prices&amp;Fuel'!$B5*AK5+'Prices&amp;Fuel'!$C5*AL5+'Prices&amp;Fuel'!$D5*AM5)/(AK5+AL5+AM5))+0.03+0.015</f>
        <v>3.2450000000000001</v>
      </c>
      <c r="AO5" s="1">
        <f>(AK5+AL5+AM5)*AN5*'Prices&amp;Fuel'!H5</f>
        <v>25573.845000000001</v>
      </c>
      <c r="AP5" s="1">
        <f>(('Prices&amp;Fuel'!$B5+0.015)*AK5+('Prices&amp;Fuel'!$C5+0.015)*AL5+('Prices&amp;Fuel'!$D5+0.015)*AM5)*'Prices&amp;Fuel'!H5</f>
        <v>25337.415000000001</v>
      </c>
      <c r="AQ5" s="1">
        <f>AO5-AP5</f>
        <v>236.43000000000029</v>
      </c>
      <c r="AR5" s="13">
        <f>I5+Y5+AH5+AO5</f>
        <v>738720.02297375002</v>
      </c>
      <c r="AS5" s="29">
        <f>(B5+C5+D5+L5+M5+N5+((AD5+AE5+AF5)*(1-'Prices&amp;Fuel'!F5))+AK5+AL5+AM5)*0.005*'Prices&amp;Fuel'!H5</f>
        <v>1004.0321925</v>
      </c>
      <c r="AT5" s="1">
        <f>J5+AB5+AI5+AP5+AS5</f>
        <v>721312.89176289993</v>
      </c>
      <c r="AU5" s="13">
        <f>AR5-AT5</f>
        <v>17407.131210850086</v>
      </c>
      <c r="AV5" s="29">
        <f>((B5+C5+D5+AK5+AL5+AM5)*0.005)*'Prices&amp;Fuel'!H5</f>
        <v>619.33081500000003</v>
      </c>
      <c r="AW5" s="29">
        <f>((L5+M5+N5+(AD5+AE5+AF5)*(1-'Prices&amp;Fuel'!F5))*0.005)*'Prices&amp;Fuel'!H5</f>
        <v>384.70137749999998</v>
      </c>
      <c r="AX5" s="52">
        <f>AV5+AW5</f>
        <v>1004.0321925000001</v>
      </c>
      <c r="AY5" s="3">
        <f>(B5+C5+D5+L5+M5+N5+AD5+AE5+AF5+AK5+AL5+AM5)*'Prices&amp;Fuel'!H5</f>
        <v>200895.16299999997</v>
      </c>
      <c r="BI5" s="3">
        <v>5023</v>
      </c>
      <c r="BN5" s="3"/>
      <c r="BO5" s="3">
        <v>0.15</v>
      </c>
      <c r="BP5" s="3">
        <v>0.05</v>
      </c>
    </row>
    <row r="6" spans="1:99" x14ac:dyDescent="0.2">
      <c r="A6" s="10">
        <f t="shared" ref="A6:A37" si="0">+A5+365/12</f>
        <v>35779.416666666664</v>
      </c>
      <c r="B6" s="1">
        <v>1798.3333333333333</v>
      </c>
      <c r="C6" s="1">
        <v>1798.3333333333333</v>
      </c>
      <c r="D6" s="1">
        <v>1798.3333333333333</v>
      </c>
      <c r="E6" s="11">
        <f>((('Prices&amp;Fuel'!$B6*0.36+'Prices&amp;Fuel'!$C6*0.43+'Prices&amp;Fuel'!$D6*0.21))+0.03+0.05)/(1-'Prices&amp;Fuel'!F6)</f>
        <v>2.6626095925734909</v>
      </c>
      <c r="F6" s="1">
        <f>('Prices&amp;Fuel'!Y6+'Prices&amp;Fuel'!Z6+'Prices&amp;Fuel'!AA6)*'Prices&amp;Fuel'!H6*('Prices&amp;Fuel'!L6+'Prices&amp;Fuel'!O6)</f>
        <v>19349.037499999999</v>
      </c>
      <c r="G6" s="1">
        <f>('Prices&amp;Fuel'!M6+'Prices&amp;Fuel'!P6)*'Prices&amp;Fuel'!H6*'Prices&amp;Fuel'!AD6</f>
        <v>18678.9136</v>
      </c>
      <c r="H6" s="1">
        <f>IF('Prices&amp;Fuel'!AE3&gt;(B6+C6+D6),0,(B6+C6+D6-'Prices&amp;Fuel'!AE6)*('Prices&amp;Fuel'!L6+'Prices&amp;Fuel'!O6)*'Prices&amp;Fuel'!H6)</f>
        <v>41183.034999999996</v>
      </c>
      <c r="I6" s="1">
        <f>((B6+C6+D6)*E6*'Prices&amp;Fuel'!H6)+F6+G6+H6</f>
        <v>524519.12740995351</v>
      </c>
      <c r="J6" s="1">
        <f>(((('Prices&amp;Fuel'!B6*B6+'Prices&amp;Fuel'!C6*C6+'Prices&amp;Fuel'!D6*D6)/(B6+C6+D6)+0.015)/(1-'Prices&amp;Fuel'!F6))*(B6+C6+D6)*'Prices&amp;Fuel'!H6)+F6+G6+H6</f>
        <v>512489.67786551482</v>
      </c>
      <c r="K6" s="1">
        <f t="shared" ref="K6:K16" si="1">I6-J6</f>
        <v>12029.449544438685</v>
      </c>
      <c r="L6" s="1">
        <v>645</v>
      </c>
      <c r="M6" s="1">
        <v>968</v>
      </c>
      <c r="N6" s="1">
        <v>850</v>
      </c>
      <c r="O6" s="1">
        <f>(L6+M6+N6)*'Prices&amp;Fuel'!H6</f>
        <v>76353</v>
      </c>
      <c r="P6" s="1">
        <f t="shared" ref="P6:P21" si="2">IF(O6&gt;20000,20000,O6)</f>
        <v>20000</v>
      </c>
      <c r="Q6" s="1">
        <f t="shared" ref="Q6:Q21" si="3">O6-P6-R6</f>
        <v>30000</v>
      </c>
      <c r="R6" s="1">
        <f t="shared" ref="R6:R21" si="4">IF(O6&gt;49999,O6-50000,0)</f>
        <v>26353</v>
      </c>
      <c r="S6" s="11">
        <f>'Prices&amp;Fuel'!B6</f>
        <v>2.4500000000000002</v>
      </c>
      <c r="T6" s="11">
        <f>'Prices&amp;Fuel'!C6</f>
        <v>2.5499999999999998</v>
      </c>
      <c r="U6" s="11">
        <f>'Prices&amp;Fuel'!D6</f>
        <v>2.4900000000000002</v>
      </c>
      <c r="V6" s="1">
        <f t="shared" ref="V6:V21" si="5">P6*0.19+Q6*0.16+R6*0.14</f>
        <v>12289.42</v>
      </c>
      <c r="W6" s="11">
        <f t="shared" ref="W6:W21" si="6">Y6/O6</f>
        <v>2.6640612680575746</v>
      </c>
      <c r="X6" s="11">
        <f t="shared" ref="X6:X21" si="7">((L6*S6+M6*T6+N6*U6)/(L6+M6+N6))+0.015</f>
        <v>2.5181059683313034</v>
      </c>
      <c r="Y6" s="1">
        <f>((L6*S6+M6*T6+N6*U6)*'Prices&amp;Fuel'!H6)+V6</f>
        <v>203409.07</v>
      </c>
      <c r="Z6" s="1">
        <v>28406</v>
      </c>
      <c r="AA6" s="1">
        <f>(W6-X6)*Z6/(1-'Prices&amp;Fuel'!F6)</f>
        <v>4276.4375905358011</v>
      </c>
      <c r="AB6" s="1">
        <f t="shared" ref="AB6:AB21" si="8">(O6*X6)+AA6</f>
        <v>196541.3825905358</v>
      </c>
      <c r="AC6" s="1">
        <f t="shared" ref="AC6:AC21" si="9">Y6-AB6</f>
        <v>6867.6874094642117</v>
      </c>
      <c r="AD6" s="1"/>
      <c r="AE6" s="1"/>
      <c r="AF6" s="1"/>
      <c r="AG6" s="11"/>
      <c r="AH6" s="1"/>
      <c r="AI6" s="1"/>
      <c r="AJ6" s="1"/>
      <c r="AK6" s="1">
        <v>167.66666666666666</v>
      </c>
      <c r="AL6" s="1">
        <v>167.66666666666666</v>
      </c>
      <c r="AM6" s="1">
        <v>167.66666666666666</v>
      </c>
      <c r="AN6" s="11">
        <f>(('Prices&amp;Fuel'!$B6*AK6+'Prices&amp;Fuel'!$C6*AL6+'Prices&amp;Fuel'!$D6*AM6)/(AK6+AL6+AM6))+0.03+0.015</f>
        <v>2.5416666666666665</v>
      </c>
      <c r="AO6" s="1">
        <f>(AK6+AL6+AM6)*AN6*'Prices&amp;Fuel'!H6</f>
        <v>39632.208333333328</v>
      </c>
      <c r="AP6" s="1">
        <f>(('Prices&amp;Fuel'!$B6+0.015)*AK6+('Prices&amp;Fuel'!$C6+0.015)*AL6+('Prices&amp;Fuel'!$D6+0.015)*AM6)*'Prices&amp;Fuel'!H6</f>
        <v>39164.418333333335</v>
      </c>
      <c r="AQ6" s="1">
        <f t="shared" ref="AQ6:AQ21" si="10">AO6-AP6</f>
        <v>467.7899999999936</v>
      </c>
      <c r="AR6" s="13">
        <f t="shared" ref="AR6:AR21" si="11">I6+Y6+AH6+AO6</f>
        <v>767560.40574328683</v>
      </c>
      <c r="AS6" s="1">
        <f>(B6+C6+D6+L6+M6+N6+((AD6+AE6+AF6)*(1-'Prices&amp;Fuel'!F6))+AK6+AL6+AM6)*0.005*'Prices&amp;Fuel'!H6</f>
        <v>1295.9549999999999</v>
      </c>
      <c r="AT6" s="1">
        <f t="shared" ref="AT6:AT21" si="12">J6+AB6+AI6+AP6+AS6</f>
        <v>749491.43378938385</v>
      </c>
      <c r="AU6" s="13">
        <f t="shared" ref="AU6:AU21" si="13">AR6-AT6</f>
        <v>18068.971953902976</v>
      </c>
      <c r="AV6" s="29">
        <f>((B6+C6+D6+AK6+AL6+AM6)*0.005)*'Prices&amp;Fuel'!H6</f>
        <v>914.19000000000017</v>
      </c>
      <c r="AW6" s="29">
        <f>((L6+M6+N6+(AD6+AE6+AF6)*(1-'Prices&amp;Fuel'!F6))*0.005)*'Prices&amp;Fuel'!H6</f>
        <v>381.76499999999999</v>
      </c>
      <c r="AX6" s="52">
        <f t="shared" ref="AX6:AX35" si="14">AV6+AW6</f>
        <v>1295.9550000000002</v>
      </c>
      <c r="AY6" s="3">
        <f>(B6+C6+D6+L6+M6+N6+AD6+AE6+AF6+AK6+AL6+AM6)*'Prices&amp;Fuel'!H6</f>
        <v>259191</v>
      </c>
      <c r="AZ6" s="3">
        <f>SUM(AY5:AY6)</f>
        <v>460086.16299999994</v>
      </c>
      <c r="BN6" s="3"/>
      <c r="CU6" s="1">
        <f>SUM(CT5:CT6)</f>
        <v>0</v>
      </c>
    </row>
    <row r="7" spans="1:99" x14ac:dyDescent="0.2">
      <c r="A7" s="10">
        <f t="shared" si="0"/>
        <v>35809.833333333328</v>
      </c>
      <c r="B7" s="1">
        <v>1498.6666666666667</v>
      </c>
      <c r="C7" s="1">
        <v>1498.6666666666667</v>
      </c>
      <c r="D7" s="1">
        <v>1498.6666666666667</v>
      </c>
      <c r="E7" s="11">
        <f>((('Prices&amp;Fuel'!$B7*0.36+'Prices&amp;Fuel'!$C7*0.43+'Prices&amp;Fuel'!$D7*0.21))+0.03+0.05)/(1-'Prices&amp;Fuel'!F7)</f>
        <v>2.3974213512119644</v>
      </c>
      <c r="F7" s="1">
        <f>('Prices&amp;Fuel'!Y7+'Prices&amp;Fuel'!Z7+'Prices&amp;Fuel'!AA7)*'Prices&amp;Fuel'!H7*('Prices&amp;Fuel'!L7+'Prices&amp;Fuel'!O7)</f>
        <v>19349.037499999999</v>
      </c>
      <c r="G7" s="1">
        <f>('Prices&amp;Fuel'!M7+'Prices&amp;Fuel'!P7)*'Prices&amp;Fuel'!H7*'Prices&amp;Fuel'!AD7</f>
        <v>18678.9136</v>
      </c>
      <c r="H7" s="1">
        <f>IF('Prices&amp;Fuel'!AE4&gt;(B7+C7+D7),0,(B7+C7+D7-'Prices&amp;Fuel'!AE7)*('Prices&amp;Fuel'!L7+'Prices&amp;Fuel'!O7)*'Prices&amp;Fuel'!H7)</f>
        <v>29547.727499999997</v>
      </c>
      <c r="I7" s="1">
        <f>((B7+C7+D7)*E7*'Prices&amp;Fuel'!H7)+F7+G7+H7</f>
        <v>401718.67684651871</v>
      </c>
      <c r="J7" s="1">
        <f>(((('Prices&amp;Fuel'!B7*B7+'Prices&amp;Fuel'!C7*C7+'Prices&amp;Fuel'!D7*D7)/(B7+C7+D7)+0.015)/(1-'Prices&amp;Fuel'!F7))*(B7+C7+D7)*'Prices&amp;Fuel'!H7)+F7+G7+H7</f>
        <v>391756.06024002057</v>
      </c>
      <c r="K7" s="1">
        <f t="shared" si="1"/>
        <v>9962.6166064981371</v>
      </c>
      <c r="L7" s="1">
        <v>645</v>
      </c>
      <c r="M7" s="1">
        <v>968</v>
      </c>
      <c r="N7" s="1">
        <v>790</v>
      </c>
      <c r="O7" s="1">
        <f>(L7+M7+N7)*'Prices&amp;Fuel'!H7</f>
        <v>74493</v>
      </c>
      <c r="P7" s="1">
        <f t="shared" si="2"/>
        <v>20000</v>
      </c>
      <c r="Q7" s="1">
        <f t="shared" si="3"/>
        <v>30000</v>
      </c>
      <c r="R7" s="1">
        <f t="shared" si="4"/>
        <v>24493</v>
      </c>
      <c r="S7" s="11">
        <f>'Prices&amp;Fuel'!B7</f>
        <v>2.21</v>
      </c>
      <c r="T7" s="11">
        <f>'Prices&amp;Fuel'!C7</f>
        <v>2.2799999999999998</v>
      </c>
      <c r="U7" s="11">
        <f>'Prices&amp;Fuel'!D7</f>
        <v>2.23</v>
      </c>
      <c r="V7" s="1">
        <f t="shared" si="5"/>
        <v>12029.02</v>
      </c>
      <c r="W7" s="11">
        <f t="shared" si="6"/>
        <v>2.4062517283503144</v>
      </c>
      <c r="X7" s="11">
        <f t="shared" si="7"/>
        <v>2.2597732001664586</v>
      </c>
      <c r="Y7" s="1">
        <f>((L7*S7+M7*T7+N7*U7)*'Prices&amp;Fuel'!H7)+V7</f>
        <v>179248.90999999997</v>
      </c>
      <c r="Z7" s="1">
        <v>27553</v>
      </c>
      <c r="AA7" s="1">
        <f>(W7-X7)*Z7/(1-'Prices&amp;Fuel'!F7)</f>
        <v>4162.8910645175665</v>
      </c>
      <c r="AB7" s="1">
        <f t="shared" si="8"/>
        <v>172500.17606451758</v>
      </c>
      <c r="AC7" s="1">
        <f t="shared" si="9"/>
        <v>6748.7339354823926</v>
      </c>
      <c r="AD7" s="1"/>
      <c r="AE7" s="1"/>
      <c r="AF7" s="1"/>
      <c r="AG7" s="11"/>
      <c r="AH7" s="1"/>
      <c r="AI7" s="1"/>
      <c r="AJ7" s="1"/>
      <c r="AK7" s="1">
        <v>194.66666666666666</v>
      </c>
      <c r="AL7" s="1">
        <v>194.66666666666666</v>
      </c>
      <c r="AM7" s="1">
        <v>194.66666666666666</v>
      </c>
      <c r="AN7" s="11">
        <f>(('Prices&amp;Fuel'!$B7*AK7+'Prices&amp;Fuel'!$C7*AL7+'Prices&amp;Fuel'!$D7*AM7)/(AK7+AL7+AM7))+0.03+0.015</f>
        <v>2.2849999999999997</v>
      </c>
      <c r="AO7" s="1">
        <f>(AK7+AL7+AM7)*AN7*'Prices&amp;Fuel'!H7</f>
        <v>41367.639999999992</v>
      </c>
      <c r="AP7" s="1">
        <f>(('Prices&amp;Fuel'!$B7+0.015)*AK7+('Prices&amp;Fuel'!$C7+0.015)*AL7+('Prices&amp;Fuel'!$D7+0.015)*AM7)*'Prices&amp;Fuel'!H7</f>
        <v>40824.520000000004</v>
      </c>
      <c r="AQ7" s="1">
        <f t="shared" si="10"/>
        <v>543.11999999998807</v>
      </c>
      <c r="AR7" s="13">
        <f t="shared" si="11"/>
        <v>622335.22684651869</v>
      </c>
      <c r="AS7" s="1">
        <f>(B7+C7+D7+L7+M7+N7+((AD7+AE7+AF7)*(1-'Prices&amp;Fuel'!F7))+AK7+AL7+AM7)*0.005*'Prices&amp;Fuel'!H7</f>
        <v>1159.8650000000002</v>
      </c>
      <c r="AT7" s="1">
        <f t="shared" si="12"/>
        <v>606240.6213045381</v>
      </c>
      <c r="AU7" s="13">
        <f t="shared" si="13"/>
        <v>16094.605541980593</v>
      </c>
      <c r="AV7" s="29">
        <f>((B7+C7+D7+AK7+AL7+AM7)*0.005)*'Prices&amp;Fuel'!H7</f>
        <v>787.4000000000002</v>
      </c>
      <c r="AW7" s="29">
        <f>((L7+M7+N7+(AD7+AE7+AF7)*(1-'Prices&amp;Fuel'!F7))*0.005)*'Prices&amp;Fuel'!H7</f>
        <v>372.46500000000003</v>
      </c>
      <c r="AX7" s="52">
        <f t="shared" si="14"/>
        <v>1159.8650000000002</v>
      </c>
      <c r="AY7" s="3">
        <f>(B7+C7+D7+L7+M7+N7+AD7+AE7+AF7+AK7+AL7+AM7)*'Prices&amp;Fuel'!H7</f>
        <v>231973.00000000003</v>
      </c>
      <c r="AZ7" s="1"/>
      <c r="BA7" s="1"/>
      <c r="BB7" s="1"/>
      <c r="BC7" s="1"/>
      <c r="BD7" s="1"/>
      <c r="BE7" s="13"/>
      <c r="BF7" s="13"/>
      <c r="BG7" s="13"/>
      <c r="BH7" s="13"/>
      <c r="BI7" s="13"/>
      <c r="BJ7" s="6"/>
      <c r="BK7" s="6"/>
      <c r="BL7" s="6"/>
      <c r="BM7" s="6"/>
      <c r="BN7" s="6"/>
      <c r="BO7" s="6"/>
      <c r="BP7" s="6"/>
      <c r="BQ7" s="6"/>
      <c r="BR7" s="6"/>
      <c r="BW7" s="3">
        <v>120</v>
      </c>
    </row>
    <row r="8" spans="1:99" x14ac:dyDescent="0.2">
      <c r="A8" s="10">
        <f t="shared" si="0"/>
        <v>35840.249999999993</v>
      </c>
      <c r="B8" s="1">
        <f>134197/28/3</f>
        <v>1597.5833333333333</v>
      </c>
      <c r="C8" s="1">
        <f>B8</f>
        <v>1597.5833333333333</v>
      </c>
      <c r="D8" s="1">
        <f>C8</f>
        <v>1597.5833333333333</v>
      </c>
      <c r="E8" s="11">
        <f>((('Prices&amp;Fuel'!$B8*0.36+'Prices&amp;Fuel'!$C8*0.43+'Prices&amp;Fuel'!$D8*0.21))+0.03+0.05)/(1-'Prices&amp;Fuel'!F8)</f>
        <v>2.1168123393316192</v>
      </c>
      <c r="F8" s="1">
        <f>('Prices&amp;Fuel'!Y8+'Prices&amp;Fuel'!Z8+'Prices&amp;Fuel'!AA8)*'Prices&amp;Fuel'!H8*('Prices&amp;Fuel'!L8+'Prices&amp;Fuel'!O8)</f>
        <v>17476.55</v>
      </c>
      <c r="G8" s="1">
        <f>('Prices&amp;Fuel'!M8+'Prices&amp;Fuel'!P8)*'Prices&amp;Fuel'!H8*'Prices&amp;Fuel'!AD8</f>
        <v>16871.2768</v>
      </c>
      <c r="H8" s="1">
        <f>IF('Prices&amp;Fuel'!AE5&gt;(B8+C8+D8),0,(B8+C8+D8-'Prices&amp;Fuel'!AE8)*('Prices&amp;Fuel'!L8+'Prices&amp;Fuel'!O8)*'Prices&amp;Fuel'!H8)</f>
        <v>30157.2775</v>
      </c>
      <c r="I8" s="1">
        <f>((B8+C8+D8)*E8*'Prices&amp;Fuel'!H8)+F8+G8+H8</f>
        <v>348574.9698012853</v>
      </c>
      <c r="J8" s="1">
        <f>(((('Prices&amp;Fuel'!B8*B8+'Prices&amp;Fuel'!C8*C8+'Prices&amp;Fuel'!D8*D8)/(B8+C8+D8)+0.015)/(1-'Prices&amp;Fuel'!F8))*(B8+C8+D8)*'Prices&amp;Fuel'!H8)+F8+G8+H8</f>
        <v>338878.74783041986</v>
      </c>
      <c r="K8" s="1">
        <f t="shared" si="1"/>
        <v>9696.2219708654447</v>
      </c>
      <c r="L8" s="1">
        <v>714</v>
      </c>
      <c r="M8" s="1">
        <v>1071</v>
      </c>
      <c r="N8" s="1">
        <v>91.392857140000004</v>
      </c>
      <c r="O8" s="1">
        <f>(L8+M8+N8)*'Prices&amp;Fuel'!H8</f>
        <v>52538.999999920001</v>
      </c>
      <c r="P8" s="1">
        <f t="shared" si="2"/>
        <v>20000</v>
      </c>
      <c r="Q8" s="1">
        <f t="shared" si="3"/>
        <v>30000</v>
      </c>
      <c r="R8" s="1">
        <f t="shared" si="4"/>
        <v>2538.9999999200008</v>
      </c>
      <c r="S8" s="11">
        <f>'Prices&amp;Fuel'!B8</f>
        <v>1.94</v>
      </c>
      <c r="T8" s="11">
        <f>'Prices&amp;Fuel'!C8</f>
        <v>2.02</v>
      </c>
      <c r="U8" s="11">
        <f>'Prices&amp;Fuel'!D8</f>
        <v>1.96</v>
      </c>
      <c r="V8" s="1">
        <f t="shared" si="5"/>
        <v>8955.4599999887996</v>
      </c>
      <c r="W8" s="11">
        <f t="shared" si="6"/>
        <v>2.1570897809247334</v>
      </c>
      <c r="X8" s="11">
        <f t="shared" si="7"/>
        <v>2.0016362130988816</v>
      </c>
      <c r="Y8" s="1">
        <f>((L8*S8+M8*T8+N8*U8)*'Prices&amp;Fuel'!H8)+V8</f>
        <v>113331.33999983199</v>
      </c>
      <c r="Z8" s="1">
        <v>21772</v>
      </c>
      <c r="AA8" s="1">
        <f>(W8-X8)*Z8/(1-'Prices&amp;Fuel'!F8)</f>
        <v>3480.2417261742353</v>
      </c>
      <c r="AB8" s="1">
        <f t="shared" si="8"/>
        <v>108644.20672601624</v>
      </c>
      <c r="AC8" s="1">
        <f t="shared" si="9"/>
        <v>4687.1332738157507</v>
      </c>
      <c r="AD8" s="1"/>
      <c r="AE8" s="1"/>
      <c r="AF8" s="1"/>
      <c r="AG8" s="11"/>
      <c r="AH8" s="1"/>
      <c r="AI8" s="1"/>
      <c r="AJ8" s="1"/>
      <c r="AK8" s="1">
        <v>132</v>
      </c>
      <c r="AL8" s="1">
        <v>132</v>
      </c>
      <c r="AM8" s="1">
        <v>132</v>
      </c>
      <c r="AN8" s="11">
        <f>(('Prices&amp;Fuel'!$B8*AK8+'Prices&amp;Fuel'!$C8*AL8+'Prices&amp;Fuel'!$D8*AM8)/(AK8+AL8+AM8))+0.03+0.015</f>
        <v>2.0183333333333335</v>
      </c>
      <c r="AO8" s="1">
        <f>(AK8+AL8+AM8)*AN8*'Prices&amp;Fuel'!H8</f>
        <v>22379.280000000002</v>
      </c>
      <c r="AP8" s="1">
        <f>(('Prices&amp;Fuel'!$B8+0.015)*AK8+('Prices&amp;Fuel'!$C8+0.015)*AL8+('Prices&amp;Fuel'!$D8+0.015)*AM8)*'Prices&amp;Fuel'!H8</f>
        <v>22046.640000000003</v>
      </c>
      <c r="AQ8" s="1">
        <f t="shared" si="10"/>
        <v>332.63999999999942</v>
      </c>
      <c r="AR8" s="13">
        <f t="shared" si="11"/>
        <v>484285.58980111731</v>
      </c>
      <c r="AS8" s="1">
        <f>(B8+C8+D8+L8+M8+N8+((AD8+AE8+AF8)*(1-'Prices&amp;Fuel'!F8))+AK8+AL8+AM8)*0.005*'Prices&amp;Fuel'!H8</f>
        <v>989.11999999960005</v>
      </c>
      <c r="AT8" s="1">
        <f t="shared" si="12"/>
        <v>470558.71455643571</v>
      </c>
      <c r="AU8" s="13">
        <f t="shared" si="13"/>
        <v>13726.875244681607</v>
      </c>
      <c r="AV8" s="29">
        <f>((B8+C8+D8+AK8+AL8+AM8)*0.005)*'Prices&amp;Fuel'!H8</f>
        <v>726.42500000000007</v>
      </c>
      <c r="AW8" s="29">
        <f>((L8+M8+N8+(AD8+AE8+AF8)*(1-'Prices&amp;Fuel'!F8))*0.005)*'Prices&amp;Fuel'!H8</f>
        <v>262.69499999959999</v>
      </c>
      <c r="AX8" s="52">
        <f t="shared" si="14"/>
        <v>989.11999999960005</v>
      </c>
      <c r="AY8" s="3">
        <f>(B8+C8+D8+L8+M8+N8+AD8+AE8+AF8+AK8+AL8+AM8)*'Prices&amp;Fuel'!H8</f>
        <v>197823.99999991999</v>
      </c>
      <c r="AZ8" s="1"/>
      <c r="BA8" s="1"/>
      <c r="BB8" s="1"/>
      <c r="BC8" s="1"/>
      <c r="BD8" s="1"/>
      <c r="BE8" s="13"/>
      <c r="BF8" s="13"/>
      <c r="BG8" s="13"/>
      <c r="BH8" s="13"/>
      <c r="BI8" s="13"/>
      <c r="BJ8" s="6"/>
      <c r="BK8" s="6"/>
      <c r="BL8" s="6"/>
      <c r="BM8" s="6"/>
      <c r="BN8" s="6"/>
      <c r="BO8" s="6"/>
      <c r="BP8" s="6"/>
      <c r="BQ8" s="6"/>
      <c r="BR8" s="6"/>
    </row>
    <row r="9" spans="1:99" x14ac:dyDescent="0.2">
      <c r="A9" s="10">
        <f t="shared" si="0"/>
        <v>35870.666666666657</v>
      </c>
      <c r="B9" s="1">
        <v>0</v>
      </c>
      <c r="C9" s="1">
        <f>73664/31</f>
        <v>2376.2580645161293</v>
      </c>
      <c r="D9" s="1">
        <f>26256/31</f>
        <v>846.9677419354839</v>
      </c>
      <c r="E9" s="11">
        <f>((('Prices&amp;Fuel'!$B9*0.36+'Prices&amp;Fuel'!$C9*0.43+'Prices&amp;Fuel'!$D9*0.21))+0.03+0.05)/(1-'Prices&amp;Fuel'!F9)</f>
        <v>2.3607197943444724</v>
      </c>
      <c r="F9" s="1">
        <f>('Prices&amp;Fuel'!Y9+'Prices&amp;Fuel'!Z9+'Prices&amp;Fuel'!AA9)*'Prices&amp;Fuel'!H9*('Prices&amp;Fuel'!L9+'Prices&amp;Fuel'!O9)</f>
        <v>19349.037499999999</v>
      </c>
      <c r="G9" s="1">
        <f>('Prices&amp;Fuel'!M9+'Prices&amp;Fuel'!P9)*'Prices&amp;Fuel'!H9*'Prices&amp;Fuel'!AD9</f>
        <v>18678.9136</v>
      </c>
      <c r="H9" s="1">
        <f>IF('Prices&amp;Fuel'!AE6&gt;(B9+C9+D9),0,(B9+C9+D9-'Prices&amp;Fuel'!AE9)*('Prices&amp;Fuel'!L9+'Prices&amp;Fuel'!O9)*'Prices&amp;Fuel'!H9)</f>
        <v>13074.847500000003</v>
      </c>
      <c r="I9" s="1">
        <f>((B9+C9+D9)*E9*'Prices&amp;Fuel'!H9)+F9+G9+H9</f>
        <v>286985.92045089975</v>
      </c>
      <c r="J9" s="1">
        <f>(((('Prices&amp;Fuel'!B9*B9+'Prices&amp;Fuel'!C9*C9+'Prices&amp;Fuel'!D9*D9)/(B9+C9+D9)+0.015)/(1-'Prices&amp;Fuel'!F9))*(B9+C9+D9)*'Prices&amp;Fuel'!H9)+F9+G9+H9</f>
        <v>282201.4515562983</v>
      </c>
      <c r="K9" s="1">
        <f t="shared" si="1"/>
        <v>4784.4688946014503</v>
      </c>
      <c r="L9" s="1">
        <v>0</v>
      </c>
      <c r="M9" s="1">
        <v>0</v>
      </c>
      <c r="N9" s="1">
        <f>57425/31</f>
        <v>1852.4193548387098</v>
      </c>
      <c r="O9" s="1">
        <f>(L9+M9+N9)*'Prices&amp;Fuel'!H9</f>
        <v>57425</v>
      </c>
      <c r="P9" s="1">
        <f t="shared" si="2"/>
        <v>20000</v>
      </c>
      <c r="Q9" s="1">
        <f t="shared" si="3"/>
        <v>30000</v>
      </c>
      <c r="R9" s="1">
        <f t="shared" si="4"/>
        <v>7425</v>
      </c>
      <c r="S9" s="11">
        <f>'Prices&amp;Fuel'!B9</f>
        <v>2.19</v>
      </c>
      <c r="T9" s="11">
        <f>'Prices&amp;Fuel'!C9</f>
        <v>2.25</v>
      </c>
      <c r="U9" s="11">
        <f>'Prices&amp;Fuel'!D9</f>
        <v>2.19</v>
      </c>
      <c r="V9" s="1">
        <f t="shared" si="5"/>
        <v>9639.5</v>
      </c>
      <c r="W9" s="11">
        <f t="shared" si="6"/>
        <v>2.3578624292555506</v>
      </c>
      <c r="X9" s="11">
        <f t="shared" si="7"/>
        <v>2.2050000000000001</v>
      </c>
      <c r="Y9" s="1">
        <f>((L9*S9+M9*T9+N9*U9)*'Prices&amp;Fuel'!H9)+V9</f>
        <v>135400.25</v>
      </c>
      <c r="Z9" s="1">
        <v>16381</v>
      </c>
      <c r="AA9" s="1">
        <f>(W9-X9)*Z9/(1-'Prices&amp;Fuel'!F9)</f>
        <v>2574.847767234111</v>
      </c>
      <c r="AB9" s="1">
        <f t="shared" si="8"/>
        <v>129196.97276723411</v>
      </c>
      <c r="AC9" s="1">
        <f t="shared" si="9"/>
        <v>6203.2772327658895</v>
      </c>
      <c r="AD9" s="1"/>
      <c r="AE9" s="1"/>
      <c r="AF9" s="1"/>
      <c r="AG9" s="11"/>
      <c r="AH9" s="1"/>
      <c r="AI9" s="1"/>
      <c r="AJ9" s="1"/>
      <c r="AK9" s="1">
        <v>0</v>
      </c>
      <c r="AL9" s="1">
        <v>0</v>
      </c>
      <c r="AM9" s="1">
        <v>412.09677419354841</v>
      </c>
      <c r="AN9" s="11">
        <f>(('Prices&amp;Fuel'!$B9*AK9+'Prices&amp;Fuel'!$C9*AL9+'Prices&amp;Fuel'!$D9*AM9)/(AK9+AL9+AM9))+0.03+0.015</f>
        <v>2.2349999999999999</v>
      </c>
      <c r="AO9" s="1">
        <f>(AK9+AL9+AM9)*AN9*'Prices&amp;Fuel'!H9</f>
        <v>28552.125</v>
      </c>
      <c r="AP9" s="1">
        <f>(('Prices&amp;Fuel'!$B9+0.015)*AK9+('Prices&amp;Fuel'!$C9+0.015)*AL9+('Prices&amp;Fuel'!$D9+0.015)*AM9)*'Prices&amp;Fuel'!H9</f>
        <v>28168.875000000004</v>
      </c>
      <c r="AQ9" s="1">
        <f t="shared" si="10"/>
        <v>383.24999999999636</v>
      </c>
      <c r="AR9" s="13">
        <f t="shared" si="11"/>
        <v>450938.29545089975</v>
      </c>
      <c r="AS9" s="1">
        <f>(B9+C9+D9+L9+M9+N9+((AD9+AE9+AF9)*(1-'Prices&amp;Fuel'!F9))+AK9+AL9+AM9)*0.005*'Prices&amp;Fuel'!H9</f>
        <v>850.6</v>
      </c>
      <c r="AT9" s="1">
        <f t="shared" si="12"/>
        <v>440417.89932353236</v>
      </c>
      <c r="AU9" s="13">
        <f t="shared" si="13"/>
        <v>10520.396127367392</v>
      </c>
      <c r="AV9" s="29">
        <f>((B9+C9+D9+AK9+AL9+AM9)*0.005)*'Prices&amp;Fuel'!H9</f>
        <v>563.47500000000014</v>
      </c>
      <c r="AW9" s="29">
        <f>((L9+M9+N9+(AD9+AE9+AF9)*(1-'Prices&amp;Fuel'!F9))*0.005)*'Prices&amp;Fuel'!H9</f>
        <v>287.12500000000006</v>
      </c>
      <c r="AX9" s="52">
        <f t="shared" si="14"/>
        <v>850.60000000000014</v>
      </c>
      <c r="AY9" s="3">
        <f>(B9+C9+D9+L9+M9+N9+AD9+AE9+AF9+AK9+AL9+AM9)*'Prices&amp;Fuel'!H9</f>
        <v>170120</v>
      </c>
      <c r="AZ9" s="1"/>
      <c r="BA9" s="1"/>
      <c r="BB9" s="1"/>
      <c r="BC9" s="1"/>
      <c r="BD9" s="1"/>
      <c r="BE9" s="13"/>
      <c r="BF9" s="13"/>
      <c r="BG9" s="13"/>
      <c r="BH9" s="13"/>
      <c r="BI9" s="13"/>
      <c r="BJ9" s="6"/>
      <c r="BK9" s="6"/>
      <c r="BL9" s="6"/>
      <c r="BM9" s="6"/>
      <c r="BN9" s="6"/>
      <c r="BO9" s="6"/>
      <c r="BP9" s="6"/>
      <c r="BQ9" s="6"/>
      <c r="BR9" s="6"/>
    </row>
    <row r="10" spans="1:99" x14ac:dyDescent="0.2">
      <c r="A10" s="10">
        <f t="shared" si="0"/>
        <v>35901.083333333321</v>
      </c>
      <c r="B10" s="1">
        <v>1531.6666666666667</v>
      </c>
      <c r="C10" s="1">
        <v>1531.6666666666667</v>
      </c>
      <c r="D10" s="1">
        <v>1531.6666666666667</v>
      </c>
      <c r="E10" s="11">
        <f>((('Prices&amp;Fuel'!$B10*0.36+'Prices&amp;Fuel'!$C10*0.43+'Prices&amp;Fuel'!$D10*0.21))+0.03+0.05)/(1-'Prices&amp;Fuel'!F10)</f>
        <v>2.4356743318831566</v>
      </c>
      <c r="F10" s="1">
        <f>('Prices&amp;Fuel'!Y10+'Prices&amp;Fuel'!Z10+'Prices&amp;Fuel'!AA10)*'Prices&amp;Fuel'!H10*('Prices&amp;Fuel'!L10+'Prices&amp;Fuel'!O10)</f>
        <v>19433.504999999997</v>
      </c>
      <c r="G10" s="1">
        <f>('Prices&amp;Fuel'!M10+'Prices&amp;Fuel'!P10)*'Prices&amp;Fuel'!H10*'Prices&amp;Fuel'!AD10</f>
        <v>18416.7</v>
      </c>
      <c r="H10" s="1">
        <f>IF('Prices&amp;Fuel'!AE7&gt;(B10+C10+D10),0,(B10+C10+D10-'Prices&amp;Fuel'!AE10)*('Prices&amp;Fuel'!L10+'Prices&amp;Fuel'!O10)*'Prices&amp;Fuel'!H10)</f>
        <v>30963.617999999999</v>
      </c>
      <c r="I10" s="1">
        <f>((B10+C10+D10)*E10*'Prices&amp;Fuel'!H10)+F10+G10+H10</f>
        <v>404571.52965009317</v>
      </c>
      <c r="J10" s="1">
        <f>(((('Prices&amp;Fuel'!B10*B10+'Prices&amp;Fuel'!C10*C10+'Prices&amp;Fuel'!D10*D10)/(B10+C10+D10)+0.015)/(1-'Prices&amp;Fuel'!F10))*(B10+C10+D10)*'Prices&amp;Fuel'!H10)+F10+G10+H10</f>
        <v>395090.23692169046</v>
      </c>
      <c r="K10" s="1">
        <f t="shared" si="1"/>
        <v>9481.2927284027101</v>
      </c>
      <c r="L10" s="1">
        <v>667</v>
      </c>
      <c r="M10" s="1">
        <v>993</v>
      </c>
      <c r="N10" s="1"/>
      <c r="O10" s="1">
        <f>(L10+M10+N10)*'Prices&amp;Fuel'!H10</f>
        <v>49800</v>
      </c>
      <c r="P10" s="1">
        <f t="shared" si="2"/>
        <v>20000</v>
      </c>
      <c r="Q10" s="1">
        <f t="shared" si="3"/>
        <v>29800</v>
      </c>
      <c r="R10" s="1">
        <f t="shared" si="4"/>
        <v>0</v>
      </c>
      <c r="S10" s="11">
        <f>'Prices&amp;Fuel'!B10</f>
        <v>2.25</v>
      </c>
      <c r="T10" s="11">
        <f>'Prices&amp;Fuel'!C10</f>
        <v>2.29</v>
      </c>
      <c r="U10" s="11">
        <f>'Prices&amp;Fuel'!D10</f>
        <v>2.27</v>
      </c>
      <c r="V10" s="1">
        <f t="shared" si="5"/>
        <v>8568</v>
      </c>
      <c r="W10" s="11">
        <f t="shared" si="6"/>
        <v>2.4459759036144582</v>
      </c>
      <c r="X10" s="11">
        <f t="shared" si="7"/>
        <v>2.2889277108433737</v>
      </c>
      <c r="Y10" s="1">
        <f>((L10*S10+M10*T10+N10*U10)*'Prices&amp;Fuel'!H10)+V10</f>
        <v>121809.60000000001</v>
      </c>
      <c r="Z10" s="1">
        <v>16214</v>
      </c>
      <c r="AA10" s="1">
        <f>(W10-X10)*Z10/(1-'Prices&amp;Fuel'!F10)</f>
        <v>2637.641804009078</v>
      </c>
      <c r="AB10" s="1">
        <f t="shared" si="8"/>
        <v>116626.24180400909</v>
      </c>
      <c r="AC10" s="1">
        <f t="shared" si="9"/>
        <v>5183.3581959909206</v>
      </c>
      <c r="AD10" s="1"/>
      <c r="AE10" s="1"/>
      <c r="AF10" s="1"/>
      <c r="AG10" s="11"/>
      <c r="AH10" s="1"/>
      <c r="AI10" s="1"/>
      <c r="AJ10" s="1"/>
      <c r="AK10" s="1">
        <v>148</v>
      </c>
      <c r="AL10" s="1">
        <v>148.33333333333334</v>
      </c>
      <c r="AM10" s="1">
        <v>148.33333333333334</v>
      </c>
      <c r="AN10" s="11">
        <f>(('Prices&amp;Fuel'!$B10*AK10+'Prices&amp;Fuel'!$C10*AL10+'Prices&amp;Fuel'!$D10*AM10)/(AK10+AL10+AM10))+0.03+0.015</f>
        <v>2.3150149925037478</v>
      </c>
      <c r="AO10" s="1">
        <f>(AK10+AL10+AM10)*AN10*'Prices&amp;Fuel'!H10</f>
        <v>30882.300000000003</v>
      </c>
      <c r="AP10" s="1">
        <f>(('Prices&amp;Fuel'!$B10+0.015)*AK10+('Prices&amp;Fuel'!$C10+0.015)*AL10+('Prices&amp;Fuel'!$D10+0.015)*AM10)*'Prices&amp;Fuel'!H10</f>
        <v>30482.100000000002</v>
      </c>
      <c r="AQ10" s="1">
        <f t="shared" si="10"/>
        <v>400.20000000000073</v>
      </c>
      <c r="AR10" s="13">
        <f t="shared" si="11"/>
        <v>557263.4296500932</v>
      </c>
      <c r="AS10" s="1">
        <f>(B10+C10+D10+L10+M10+N10+((AD10+AE10+AF10)*(1-'Prices&amp;Fuel'!F10))+AK10+AL10+AM10)*0.005*'Prices&amp;Fuel'!H10</f>
        <v>1004.9499999999998</v>
      </c>
      <c r="AT10" s="1">
        <f t="shared" si="12"/>
        <v>543203.52872569952</v>
      </c>
      <c r="AU10" s="13">
        <f t="shared" si="13"/>
        <v>14059.900924393674</v>
      </c>
      <c r="AV10" s="29">
        <f>((B10+C10+D10+AK10+AL10+AM10)*0.005)*'Prices&amp;Fuel'!H10</f>
        <v>755.94999999999993</v>
      </c>
      <c r="AW10" s="29">
        <f>((L10+M10+N10+(AD10+AE10+AF10)*(1-'Prices&amp;Fuel'!F10))*0.005)*'Prices&amp;Fuel'!H10</f>
        <v>249.00000000000003</v>
      </c>
      <c r="AX10" s="52">
        <f t="shared" si="14"/>
        <v>1004.9499999999999</v>
      </c>
      <c r="AY10" s="3">
        <f>(B10+C10+D10+L10+M10+N10+AD10+AE10+AF10+AK10+AL10+AM10)*'Prices&amp;Fuel'!H10</f>
        <v>200989.99999999997</v>
      </c>
      <c r="AZ10" s="1"/>
      <c r="BA10" s="1"/>
      <c r="BB10" s="1"/>
      <c r="BC10" s="1"/>
      <c r="BD10" s="1"/>
      <c r="BE10" s="13"/>
      <c r="BF10" s="13"/>
      <c r="BG10" s="13"/>
      <c r="BH10" s="13"/>
      <c r="BI10" s="13"/>
      <c r="BJ10" s="6"/>
      <c r="BK10" s="6"/>
      <c r="BL10" s="6"/>
      <c r="BM10" s="6"/>
      <c r="BN10" s="6"/>
      <c r="BO10" s="6"/>
      <c r="BP10" s="6"/>
      <c r="BQ10" s="6"/>
      <c r="BR10" s="6"/>
    </row>
    <row r="11" spans="1:99" x14ac:dyDescent="0.2">
      <c r="A11" s="10">
        <f t="shared" si="0"/>
        <v>35931.499999999985</v>
      </c>
      <c r="B11" s="1">
        <v>1536.6666666666667</v>
      </c>
      <c r="C11" s="1">
        <v>1536.6666666666667</v>
      </c>
      <c r="D11" s="1">
        <v>1536.6666666666667</v>
      </c>
      <c r="E11" s="11">
        <f>((('Prices&amp;Fuel'!$B11*0.36+'Prices&amp;Fuel'!$C11*0.43+'Prices&amp;Fuel'!$D11*0.21))+0.03+0.05)/(1-'Prices&amp;Fuel'!F11)</f>
        <v>2.3760305028854076</v>
      </c>
      <c r="F11" s="1">
        <f>('Prices&amp;Fuel'!Y11+'Prices&amp;Fuel'!Z11+'Prices&amp;Fuel'!AA11)*'Prices&amp;Fuel'!H11*('Prices&amp;Fuel'!L11+'Prices&amp;Fuel'!O11)</f>
        <v>20081.288499999999</v>
      </c>
      <c r="G11" s="1">
        <f>('Prices&amp;Fuel'!M11+'Prices&amp;Fuel'!P11)*'Prices&amp;Fuel'!H11*'Prices&amp;Fuel'!AD11</f>
        <v>19030.59</v>
      </c>
      <c r="H11" s="1">
        <f>IF('Prices&amp;Fuel'!AE8&gt;(B11+C11+D11),0,(B11+C11+D11-'Prices&amp;Fuel'!AE11)*('Prices&amp;Fuel'!L11+'Prices&amp;Fuel'!O11)*'Prices&amp;Fuel'!H11)</f>
        <v>32197.223099999996</v>
      </c>
      <c r="I11" s="1">
        <f>((B11+C11+D11)*E11*'Prices&amp;Fuel'!H11)+F11+G11+H11</f>
        <v>410867.62076735363</v>
      </c>
      <c r="J11" s="1">
        <f>(((('Prices&amp;Fuel'!B11*B11+'Prices&amp;Fuel'!C11*C11+'Prices&amp;Fuel'!D11*D11)/(B11+C11+D11)+0.015)/(1-'Prices&amp;Fuel'!F11))*(B11+C11+D11)*'Prices&amp;Fuel'!H11)+F11+G11+H11</f>
        <v>400946.58785996161</v>
      </c>
      <c r="K11" s="1">
        <f t="shared" si="1"/>
        <v>9921.0329073920147</v>
      </c>
      <c r="L11" s="1">
        <v>645</v>
      </c>
      <c r="M11" s="1">
        <v>352.4</v>
      </c>
      <c r="N11" s="1"/>
      <c r="O11" s="1">
        <f>(L11+M11+N11)*'Prices&amp;Fuel'!H11</f>
        <v>30919.399999999998</v>
      </c>
      <c r="P11" s="1">
        <f t="shared" si="2"/>
        <v>20000</v>
      </c>
      <c r="Q11" s="1">
        <f t="shared" si="3"/>
        <v>10919.399999999998</v>
      </c>
      <c r="R11" s="1">
        <f t="shared" si="4"/>
        <v>0</v>
      </c>
      <c r="S11" s="11">
        <f>'Prices&amp;Fuel'!B11</f>
        <v>2.2000000000000002</v>
      </c>
      <c r="T11" s="11">
        <f>'Prices&amp;Fuel'!C11</f>
        <v>2.25</v>
      </c>
      <c r="U11" s="11">
        <f>'Prices&amp;Fuel'!D11</f>
        <v>2.2200000000000002</v>
      </c>
      <c r="V11" s="1">
        <f t="shared" si="5"/>
        <v>5547.1039999999994</v>
      </c>
      <c r="W11" s="11">
        <f t="shared" si="6"/>
        <v>2.3970712238917966</v>
      </c>
      <c r="X11" s="11">
        <f t="shared" si="7"/>
        <v>2.2326659314216966</v>
      </c>
      <c r="Y11" s="1">
        <f>((L11*S11+M11*T11+N11*U11)*'Prices&amp;Fuel'!H11)+V11</f>
        <v>74116.004000000015</v>
      </c>
      <c r="Z11" s="1">
        <v>6000</v>
      </c>
      <c r="AA11" s="1">
        <f>(W11-X11)*Z11/(1-'Prices&amp;Fuel'!F11)</f>
        <v>1016.5207696007834</v>
      </c>
      <c r="AB11" s="1">
        <f t="shared" si="8"/>
        <v>70049.211769600792</v>
      </c>
      <c r="AC11" s="1">
        <f t="shared" si="9"/>
        <v>4066.7922303992236</v>
      </c>
      <c r="AD11" s="1"/>
      <c r="AE11" s="1"/>
      <c r="AF11" s="1"/>
      <c r="AG11" s="11"/>
      <c r="AH11" s="1"/>
      <c r="AI11" s="1"/>
      <c r="AJ11" s="1"/>
      <c r="AK11" s="1">
        <v>62</v>
      </c>
      <c r="AL11" s="1">
        <v>62.333333333333336</v>
      </c>
      <c r="AM11" s="1">
        <v>62.333333333333336</v>
      </c>
      <c r="AN11" s="11">
        <f>(('Prices&amp;Fuel'!$B11*AK11+'Prices&amp;Fuel'!$C11*AL11+'Prices&amp;Fuel'!$D11*AM11)/(AK11+AL11+AM11))+0.03+0.015</f>
        <v>2.2683749999999994</v>
      </c>
      <c r="AO11" s="1">
        <f>(AK11+AL11+AM11)*AN11*'Prices&amp;Fuel'!H11</f>
        <v>13126.329999999998</v>
      </c>
      <c r="AP11" s="1">
        <f>(('Prices&amp;Fuel'!$B11+0.015)*AK11+('Prices&amp;Fuel'!$C11+0.015)*AL11+('Prices&amp;Fuel'!$D11+0.015)*AM11)*'Prices&amp;Fuel'!H11</f>
        <v>12952.730000000001</v>
      </c>
      <c r="AQ11" s="1">
        <f t="shared" si="10"/>
        <v>173.59999999999673</v>
      </c>
      <c r="AR11" s="13">
        <f t="shared" si="11"/>
        <v>498109.95476735366</v>
      </c>
      <c r="AS11" s="1">
        <f>(B11+C11+D11+L11+M11+N11+((AD11+AE11+AF11)*(1-'Prices&amp;Fuel'!F11))+AK11+AL11+AM11)*0.005*'Prices&amp;Fuel'!H11</f>
        <v>898.08033333333321</v>
      </c>
      <c r="AT11" s="1">
        <f t="shared" si="12"/>
        <v>484846.60996289575</v>
      </c>
      <c r="AU11" s="13">
        <f t="shared" si="13"/>
        <v>13263.344804457913</v>
      </c>
      <c r="AV11" s="29">
        <f>((B11+C11+D11+AK11+AL11+AM11)*0.005)*'Prices&amp;Fuel'!H11</f>
        <v>743.48333333333323</v>
      </c>
      <c r="AW11" s="29">
        <f>((L11+M11+N11+(AD11+AE11+AF11)*(1-'Prices&amp;Fuel'!F11))*0.005)*'Prices&amp;Fuel'!H11</f>
        <v>154.59700000000001</v>
      </c>
      <c r="AX11" s="52">
        <f t="shared" si="14"/>
        <v>898.08033333333321</v>
      </c>
      <c r="AY11" s="3">
        <f>(B11+C11+D11+L11+M11+N11+AD11+AE11+AF11+AK11+AL11+AM11)*'Prices&amp;Fuel'!H11</f>
        <v>179616.06666666665</v>
      </c>
      <c r="AZ11" s="1"/>
      <c r="BA11" s="1"/>
      <c r="BB11" s="1"/>
      <c r="BC11" s="1"/>
      <c r="BD11" s="1"/>
      <c r="BE11" s="13"/>
      <c r="BF11" s="13"/>
      <c r="BG11" s="13"/>
      <c r="BH11" s="13"/>
      <c r="BI11" s="13"/>
      <c r="BJ11" s="6"/>
      <c r="BK11" s="6"/>
      <c r="BL11" s="6"/>
      <c r="BM11" s="6"/>
      <c r="BN11" s="6"/>
      <c r="BO11" s="6"/>
      <c r="BP11" s="6"/>
      <c r="BQ11" s="6"/>
      <c r="BR11" s="6"/>
    </row>
    <row r="12" spans="1:99" x14ac:dyDescent="0.2">
      <c r="A12" s="10">
        <f t="shared" si="0"/>
        <v>35961.91666666665</v>
      </c>
      <c r="B12" s="1">
        <v>1220.6666666666667</v>
      </c>
      <c r="C12" s="1">
        <v>1220.6666666666667</v>
      </c>
      <c r="D12" s="1">
        <v>1220.6666666666667</v>
      </c>
      <c r="E12" s="11">
        <f>((('Prices&amp;Fuel'!$B12*0.36+'Prices&amp;Fuel'!$C12*0.43+'Prices&amp;Fuel'!$D12*0.21))+0.03+0.05)/(1-'Prices&amp;Fuel'!F12)</f>
        <v>2.1449917559769163</v>
      </c>
      <c r="F12" s="1">
        <f>('Prices&amp;Fuel'!Y12+'Prices&amp;Fuel'!Z12+'Prices&amp;Fuel'!AA12)*'Prices&amp;Fuel'!H12*('Prices&amp;Fuel'!L12+'Prices&amp;Fuel'!O12)</f>
        <v>19433.504999999997</v>
      </c>
      <c r="G12" s="1">
        <f>('Prices&amp;Fuel'!M12+'Prices&amp;Fuel'!P12)*'Prices&amp;Fuel'!H12*'Prices&amp;Fuel'!AD12</f>
        <v>18416.7</v>
      </c>
      <c r="H12" s="1">
        <f>IF('Prices&amp;Fuel'!AE9&gt;(B12+C12+D12),0,(B12+C12+D12-'Prices&amp;Fuel'!AE12)*('Prices&amp;Fuel'!L12+'Prices&amp;Fuel'!O12)*'Prices&amp;Fuel'!H12)</f>
        <v>18835.550999999999</v>
      </c>
      <c r="I12" s="1">
        <f>((B12+C12+D12)*E12*'Prices&amp;Fuel'!H12)+F12+G12+H12</f>
        <v>292334.55031162401</v>
      </c>
      <c r="J12" s="1">
        <f>(((('Prices&amp;Fuel'!B12*B12+'Prices&amp;Fuel'!C12*C12+'Prices&amp;Fuel'!D12*D12)/(B12+C12+D12)+0.015)/(1-'Prices&amp;Fuel'!F12))*(B12+C12+D12)*'Prices&amp;Fuel'!H12)+F12+G12+H12</f>
        <v>284428.64553009061</v>
      </c>
      <c r="K12" s="1">
        <f t="shared" si="1"/>
        <v>7905.9047815334052</v>
      </c>
      <c r="L12" s="1">
        <v>667</v>
      </c>
      <c r="M12" s="1">
        <v>729</v>
      </c>
      <c r="N12" s="1"/>
      <c r="O12" s="1">
        <f>(L12+M12+N12)*'Prices&amp;Fuel'!H12</f>
        <v>41880</v>
      </c>
      <c r="P12" s="1">
        <f t="shared" si="2"/>
        <v>20000</v>
      </c>
      <c r="Q12" s="1">
        <f t="shared" si="3"/>
        <v>21880</v>
      </c>
      <c r="R12" s="1">
        <f t="shared" si="4"/>
        <v>0</v>
      </c>
      <c r="S12" s="11">
        <f>'Prices&amp;Fuel'!B12</f>
        <v>1.98</v>
      </c>
      <c r="T12" s="11">
        <f>'Prices&amp;Fuel'!C12</f>
        <v>2.0299999999999998</v>
      </c>
      <c r="U12" s="11">
        <f>'Prices&amp;Fuel'!D12</f>
        <v>1.98</v>
      </c>
      <c r="V12" s="1">
        <f t="shared" si="5"/>
        <v>7300.8</v>
      </c>
      <c r="W12" s="11">
        <f t="shared" si="6"/>
        <v>2.1804369627507163</v>
      </c>
      <c r="X12" s="11">
        <f t="shared" si="7"/>
        <v>2.0211103151862462</v>
      </c>
      <c r="Y12" s="1">
        <f>((L12*S12+M12*T12+N12*U12)*'Prices&amp;Fuel'!H12)+V12</f>
        <v>91316.7</v>
      </c>
      <c r="Z12" s="1">
        <v>14309</v>
      </c>
      <c r="AA12" s="1">
        <f>(W12-X12)*Z12/(1-'Prices&amp;Fuel'!F12)</f>
        <v>2349.345630667769</v>
      </c>
      <c r="AB12" s="1">
        <f t="shared" si="8"/>
        <v>86993.44563066776</v>
      </c>
      <c r="AC12" s="1">
        <f t="shared" si="9"/>
        <v>4323.2543693322368</v>
      </c>
      <c r="AD12" s="1"/>
      <c r="AE12" s="1"/>
      <c r="AF12" s="1"/>
      <c r="AG12" s="11"/>
      <c r="AH12" s="1"/>
      <c r="AI12" s="1"/>
      <c r="AJ12" s="1"/>
      <c r="AK12" s="1">
        <v>48</v>
      </c>
      <c r="AL12" s="1">
        <v>48.333333333333336</v>
      </c>
      <c r="AM12" s="1">
        <v>48.333333333333336</v>
      </c>
      <c r="AN12" s="11">
        <f>(('Prices&amp;Fuel'!$B12*AK12+'Prices&amp;Fuel'!$C12*AL12+'Prices&amp;Fuel'!$D12*AM12)/(AK12+AL12+AM12))+0.03+0.015</f>
        <v>2.0417050691244234</v>
      </c>
      <c r="AO12" s="1">
        <f>(AK12+AL12+AM12)*AN12*'Prices&amp;Fuel'!H12</f>
        <v>8860.9999999999982</v>
      </c>
      <c r="AP12" s="1">
        <f>(('Prices&amp;Fuel'!$B12+0.015)*AK12+('Prices&amp;Fuel'!$C12+0.015)*AL12+('Prices&amp;Fuel'!$D12+0.015)*AM12)*'Prices&amp;Fuel'!H12</f>
        <v>8730.7999999999993</v>
      </c>
      <c r="AQ12" s="1">
        <f t="shared" si="10"/>
        <v>130.19999999999891</v>
      </c>
      <c r="AR12" s="13">
        <f t="shared" si="11"/>
        <v>392512.25031162403</v>
      </c>
      <c r="AS12" s="1">
        <f>(B12+C12+D12+L12+M12+N12+((AD12+AE12+AF12)*(1-'Prices&amp;Fuel'!F12))+AK12+AL12+AM12)*0.005*'Prices&amp;Fuel'!H12</f>
        <v>780.4</v>
      </c>
      <c r="AT12" s="1">
        <f t="shared" si="12"/>
        <v>380933.29116075841</v>
      </c>
      <c r="AU12" s="13">
        <f t="shared" si="13"/>
        <v>11578.959150865616</v>
      </c>
      <c r="AV12" s="29">
        <f>((B12+C12+D12+AK12+AL12+AM12)*0.005)*'Prices&amp;Fuel'!H12</f>
        <v>571</v>
      </c>
      <c r="AW12" s="29">
        <f>((L12+M12+N12+(AD12+AE12+AF12)*(1-'Prices&amp;Fuel'!F12))*0.005)*'Prices&amp;Fuel'!H12</f>
        <v>209.4</v>
      </c>
      <c r="AX12" s="52">
        <f t="shared" si="14"/>
        <v>780.4</v>
      </c>
      <c r="AY12" s="3">
        <f>(B12+C12+D12+L12+M12+N12+AD12+AE12+AF12+AK12+AL12+AM12)*'Prices&amp;Fuel'!H12</f>
        <v>156079.99999999997</v>
      </c>
      <c r="AZ12" s="1"/>
      <c r="BA12" s="1"/>
      <c r="BB12" s="1"/>
      <c r="BC12" s="1"/>
      <c r="BD12" s="1"/>
      <c r="BE12" s="1"/>
      <c r="BF12" s="1"/>
      <c r="BG12" s="1"/>
      <c r="BH12" s="1"/>
      <c r="BI12" s="1"/>
      <c r="BJ12" s="6"/>
      <c r="BK12" s="6"/>
      <c r="BL12" s="6"/>
      <c r="BM12" s="6"/>
      <c r="BN12" s="6"/>
      <c r="BO12" s="6"/>
      <c r="BP12" s="6"/>
      <c r="BQ12" s="6"/>
      <c r="BR12" s="6"/>
    </row>
    <row r="13" spans="1:99" x14ac:dyDescent="0.2">
      <c r="A13" s="10">
        <f t="shared" si="0"/>
        <v>35992.333333333314</v>
      </c>
      <c r="B13" s="1">
        <v>1281</v>
      </c>
      <c r="C13" s="1">
        <v>1281</v>
      </c>
      <c r="D13" s="1">
        <v>1281</v>
      </c>
      <c r="E13" s="11">
        <f>((('Prices&amp;Fuel'!$B13*0.36+'Prices&amp;Fuel'!$C13*0.43+'Prices&amp;Fuel'!$D13*0.21))+0.03+0.05)/(1-'Prices&amp;Fuel'!F13)</f>
        <v>2.4807295960428686</v>
      </c>
      <c r="F13" s="1">
        <f>('Prices&amp;Fuel'!Y13+'Prices&amp;Fuel'!Z13+'Prices&amp;Fuel'!AA13)*'Prices&amp;Fuel'!H13*('Prices&amp;Fuel'!L13+'Prices&amp;Fuel'!O13)</f>
        <v>20081.288499999999</v>
      </c>
      <c r="G13" s="1">
        <f>('Prices&amp;Fuel'!M13+'Prices&amp;Fuel'!P13)*'Prices&amp;Fuel'!H13*'Prices&amp;Fuel'!AD13</f>
        <v>19030.59</v>
      </c>
      <c r="H13" s="1">
        <f>IF('Prices&amp;Fuel'!AE10&gt;(B13+C13+D13),0,(B13+C13+D13-'Prices&amp;Fuel'!AE13)*('Prices&amp;Fuel'!L13+'Prices&amp;Fuel'!O13)*'Prices&amp;Fuel'!H13)</f>
        <v>21894.649000000001</v>
      </c>
      <c r="I13" s="1">
        <f>((B13+C13+D13)*E13*'Prices&amp;Fuel'!H13)+F13+G13+H13</f>
        <v>356543.2864653751</v>
      </c>
      <c r="J13" s="1">
        <f>(((('Prices&amp;Fuel'!B13*B13+'Prices&amp;Fuel'!C13*C13+'Prices&amp;Fuel'!D13*D13)/(B13+C13+D13)+0.015)/(1-'Prices&amp;Fuel'!F13))*(B13+C13+D13)*'Prices&amp;Fuel'!H13)+F13+G13+H13</f>
        <v>347667.2395774938</v>
      </c>
      <c r="K13" s="1">
        <f t="shared" si="1"/>
        <v>8876.0468878812972</v>
      </c>
      <c r="L13" s="1">
        <v>645</v>
      </c>
      <c r="M13" s="1">
        <v>764</v>
      </c>
      <c r="N13" s="1"/>
      <c r="O13" s="1">
        <f>(L13+M13+N13)*'Prices&amp;Fuel'!H13</f>
        <v>43679</v>
      </c>
      <c r="P13" s="1">
        <f t="shared" si="2"/>
        <v>20000</v>
      </c>
      <c r="Q13" s="1">
        <f t="shared" si="3"/>
        <v>23679</v>
      </c>
      <c r="R13" s="1">
        <f t="shared" si="4"/>
        <v>0</v>
      </c>
      <c r="S13" s="11">
        <f>'Prices&amp;Fuel'!B13</f>
        <v>2.31</v>
      </c>
      <c r="T13" s="11">
        <f>'Prices&amp;Fuel'!C13</f>
        <v>2.36</v>
      </c>
      <c r="U13" s="11">
        <f>'Prices&amp;Fuel'!D13</f>
        <v>2.29</v>
      </c>
      <c r="V13" s="1">
        <f t="shared" si="5"/>
        <v>7588.6399999999994</v>
      </c>
      <c r="W13" s="11">
        <f t="shared" si="6"/>
        <v>2.5108480047620136</v>
      </c>
      <c r="X13" s="11">
        <f t="shared" si="7"/>
        <v>2.3521114265436478</v>
      </c>
      <c r="Y13" s="1">
        <f>((L13*S13+M13*T13+N13*U13)*'Prices&amp;Fuel'!H13)+V13</f>
        <v>109671.32999999999</v>
      </c>
      <c r="Z13" s="1">
        <v>13698</v>
      </c>
      <c r="AA13" s="1">
        <f>(W13-X13)*Z13/(1-'Prices&amp;Fuel'!F13)</f>
        <v>2240.6983186677403</v>
      </c>
      <c r="AB13" s="1">
        <f t="shared" si="8"/>
        <v>104978.57331866772</v>
      </c>
      <c r="AC13" s="1">
        <f t="shared" si="9"/>
        <v>4692.7566813322628</v>
      </c>
      <c r="AD13" s="1"/>
      <c r="AE13" s="1"/>
      <c r="AF13" s="1"/>
      <c r="AG13" s="11"/>
      <c r="AH13" s="1"/>
      <c r="AI13" s="1"/>
      <c r="AJ13" s="1"/>
      <c r="AK13" s="1">
        <v>150</v>
      </c>
      <c r="AL13" s="1">
        <v>149.66666666666666</v>
      </c>
      <c r="AM13" s="1">
        <v>149.66666666666666</v>
      </c>
      <c r="AN13" s="11">
        <f>(('Prices&amp;Fuel'!$B13*AK13+'Prices&amp;Fuel'!$C13*AL13+'Prices&amp;Fuel'!$D13*AM13)/(AK13+AL13+AM13))+0.03+0.015</f>
        <v>2.3649925816023742</v>
      </c>
      <c r="AO13" s="1">
        <f>(AK13+AL13+AM13)*AN13*'Prices&amp;Fuel'!H13</f>
        <v>32942.770000000004</v>
      </c>
      <c r="AP13" s="1">
        <f>(('Prices&amp;Fuel'!$B13+0.015)*AK13+('Prices&amp;Fuel'!$C13+0.015)*AL13+('Prices&amp;Fuel'!$D13+0.015)*AM13)*'Prices&amp;Fuel'!H13</f>
        <v>32524.890000000003</v>
      </c>
      <c r="AQ13" s="1">
        <f t="shared" si="10"/>
        <v>417.88000000000102</v>
      </c>
      <c r="AR13" s="13">
        <f t="shared" si="11"/>
        <v>499157.38646537508</v>
      </c>
      <c r="AS13" s="1">
        <f>(B13+C13+D13+L13+M13+N13+((AD13+AE13+AF13)*(1-'Prices&amp;Fuel'!F13))+AK13+AL13+AM13)*0.005*'Prices&amp;Fuel'!H13</f>
        <v>883.70666666666682</v>
      </c>
      <c r="AT13" s="1">
        <f t="shared" si="12"/>
        <v>486054.40956282819</v>
      </c>
      <c r="AU13" s="13">
        <f t="shared" si="13"/>
        <v>13102.976902546885</v>
      </c>
      <c r="AV13" s="29">
        <f>((B13+C13+D13+AK13+AL13+AM13)*0.005)*'Prices&amp;Fuel'!H13</f>
        <v>665.31166666666672</v>
      </c>
      <c r="AW13" s="29">
        <f>((L13+M13+N13+(AD13+AE13+AF13)*(1-'Prices&amp;Fuel'!F13))*0.005)*'Prices&amp;Fuel'!H13</f>
        <v>218.39500000000001</v>
      </c>
      <c r="AX13" s="52">
        <f t="shared" si="14"/>
        <v>883.70666666666671</v>
      </c>
      <c r="AY13" s="3">
        <f>(B13+C13+D13+L13+M13+N13+AD13+AE13+AF13+AK13+AL13+AM13)*'Prices&amp;Fuel'!H13</f>
        <v>176741.33333333334</v>
      </c>
      <c r="AZ13" s="1"/>
      <c r="BA13" s="1"/>
      <c r="BB13" s="1"/>
      <c r="BC13" s="1"/>
      <c r="BD13" s="1"/>
      <c r="BE13" s="1"/>
      <c r="BF13" s="1"/>
      <c r="BG13" s="1"/>
      <c r="BH13" s="1"/>
      <c r="BI13" s="1"/>
      <c r="BJ13" s="6"/>
      <c r="BK13" s="6"/>
      <c r="BL13" s="6"/>
      <c r="BM13" s="6"/>
      <c r="BN13" s="6"/>
      <c r="BO13" s="6"/>
      <c r="BP13" s="6"/>
      <c r="BQ13" s="6"/>
      <c r="BR13" s="6"/>
    </row>
    <row r="14" spans="1:99" x14ac:dyDescent="0.2">
      <c r="A14" s="10">
        <f t="shared" si="0"/>
        <v>36022.749999999978</v>
      </c>
      <c r="B14" s="1">
        <v>1794.3333333333333</v>
      </c>
      <c r="C14" s="1">
        <v>1794.3333333333333</v>
      </c>
      <c r="D14" s="1">
        <v>1794.3333333333333</v>
      </c>
      <c r="E14" s="11">
        <f>((('Prices&amp;Fuel'!$B14*0.36+'Prices&amp;Fuel'!$C14*0.43+'Prices&amp;Fuel'!$D14*0.21))+0.03+0.05)/(1-'Prices&amp;Fuel'!F14)</f>
        <v>2.0257625721352022</v>
      </c>
      <c r="F14" s="1">
        <f>('Prices&amp;Fuel'!Y14+'Prices&amp;Fuel'!Z14+'Prices&amp;Fuel'!AA14)*'Prices&amp;Fuel'!H14*('Prices&amp;Fuel'!L14+'Prices&amp;Fuel'!O14)</f>
        <v>20081.288499999999</v>
      </c>
      <c r="G14" s="1">
        <f>('Prices&amp;Fuel'!M14+'Prices&amp;Fuel'!P14)*'Prices&amp;Fuel'!H14*'Prices&amp;Fuel'!AD14</f>
        <v>19030.59</v>
      </c>
      <c r="H14" s="1">
        <f>IF('Prices&amp;Fuel'!AE11&gt;(B14+C14+D14),0,(B14+C14+D14-'Prices&amp;Fuel'!AE14)*('Prices&amp;Fuel'!L14+'Prices&amp;Fuel'!O14)*'Prices&amp;Fuel'!H14)</f>
        <v>42580.390999999996</v>
      </c>
      <c r="I14" s="1">
        <f>((B14+C14+D14)*E14*'Prices&amp;Fuel'!H14)+F14+G14+H14</f>
        <v>419737.34719991765</v>
      </c>
      <c r="J14" s="1">
        <f>(((('Prices&amp;Fuel'!B14*B14+'Prices&amp;Fuel'!C14*C14+'Prices&amp;Fuel'!D14*D14)/(B14+C14+D14)+0.015)/(1-'Prices&amp;Fuel'!F14))*(B14+C14+D14)*'Prices&amp;Fuel'!H14)+F14+G14+H14</f>
        <v>407562.35915375105</v>
      </c>
      <c r="K14" s="1">
        <f t="shared" si="1"/>
        <v>12174.988046166603</v>
      </c>
      <c r="L14" s="1">
        <v>0</v>
      </c>
      <c r="M14" s="1">
        <f>30198/31</f>
        <v>974.12903225806451</v>
      </c>
      <c r="N14" s="1">
        <f>159/31</f>
        <v>5.129032258064516</v>
      </c>
      <c r="O14" s="1">
        <f>(L14+M14+N14)*'Prices&amp;Fuel'!H14</f>
        <v>30357</v>
      </c>
      <c r="P14" s="1">
        <f t="shared" si="2"/>
        <v>20000</v>
      </c>
      <c r="Q14" s="1">
        <f t="shared" si="3"/>
        <v>10357</v>
      </c>
      <c r="R14" s="1">
        <f t="shared" si="4"/>
        <v>0</v>
      </c>
      <c r="S14" s="11">
        <f>'Prices&amp;Fuel'!B14</f>
        <v>1.86</v>
      </c>
      <c r="T14" s="11">
        <f>'Prices&amp;Fuel'!C14</f>
        <v>1.92</v>
      </c>
      <c r="U14" s="11">
        <f>'Prices&amp;Fuel'!D14</f>
        <v>1.86</v>
      </c>
      <c r="V14" s="1">
        <f t="shared" si="5"/>
        <v>5457.12</v>
      </c>
      <c r="W14" s="11">
        <f t="shared" si="6"/>
        <v>2.0994505385907698</v>
      </c>
      <c r="X14" s="11">
        <f t="shared" si="7"/>
        <v>1.9346857396975985</v>
      </c>
      <c r="Y14" s="1">
        <f>((L14*S14+M14*T14+N14*U14)*'Prices&amp;Fuel'!H14)+V14</f>
        <v>63733.02</v>
      </c>
      <c r="Z14" s="1">
        <v>13818</v>
      </c>
      <c r="AA14" s="1">
        <f>(W14-X14)*Z14/(1-'Prices&amp;Fuel'!F14)</f>
        <v>2346.1665201008254</v>
      </c>
      <c r="AB14" s="1">
        <f t="shared" si="8"/>
        <v>61077.421520100819</v>
      </c>
      <c r="AC14" s="1">
        <f t="shared" si="9"/>
        <v>2655.5984798991776</v>
      </c>
      <c r="AD14" s="1"/>
      <c r="AE14" s="1"/>
      <c r="AF14" s="1"/>
      <c r="AG14" s="11"/>
      <c r="AH14" s="1"/>
      <c r="AI14" s="1"/>
      <c r="AJ14" s="1"/>
      <c r="AK14" s="1">
        <v>106</v>
      </c>
      <c r="AL14" s="1">
        <v>106.33333333333333</v>
      </c>
      <c r="AM14" s="1">
        <v>106.33333333333333</v>
      </c>
      <c r="AN14" s="11">
        <f>(('Prices&amp;Fuel'!$B14*AK14+'Prices&amp;Fuel'!$C14*AL14+'Prices&amp;Fuel'!$D14*AM14)/(AK14+AL14+AM14))+0.03+0.015</f>
        <v>1.9250209205020923</v>
      </c>
      <c r="AO14" s="1">
        <f>(AK14+AL14+AM14)*AN14*'Prices&amp;Fuel'!H14</f>
        <v>19016.640000000003</v>
      </c>
      <c r="AP14" s="1">
        <f>(('Prices&amp;Fuel'!$B14+0.015)*AK14+('Prices&amp;Fuel'!$C14+0.015)*AL14+('Prices&amp;Fuel'!$D14+0.015)*AM14)*'Prices&amp;Fuel'!H14</f>
        <v>18720.28</v>
      </c>
      <c r="AQ14" s="1">
        <f t="shared" si="10"/>
        <v>296.36000000000422</v>
      </c>
      <c r="AR14" s="13">
        <f t="shared" si="11"/>
        <v>502487.00719991769</v>
      </c>
      <c r="AS14" s="1">
        <f>(B14+C14+D14+L14+M14+N14+((AD14+AE14+AF14)*(1-'Prices&amp;Fuel'!F14))+AK14+AL14+AM14)*0.005*'Prices&amp;Fuel'!H14</f>
        <v>1035.5433333333331</v>
      </c>
      <c r="AT14" s="1">
        <f t="shared" si="12"/>
        <v>488395.6040071852</v>
      </c>
      <c r="AU14" s="13">
        <f t="shared" si="13"/>
        <v>14091.403192732483</v>
      </c>
      <c r="AV14" s="29">
        <f>((B14+C14+D14+AK14+AL14+AM14)*0.005)*'Prices&amp;Fuel'!H14</f>
        <v>883.75833333333321</v>
      </c>
      <c r="AW14" s="29">
        <f>((L14+M14+N14+(AD14+AE14+AF14)*(1-'Prices&amp;Fuel'!F14))*0.005)*'Prices&amp;Fuel'!H14</f>
        <v>151.785</v>
      </c>
      <c r="AX14" s="52">
        <f t="shared" si="14"/>
        <v>1035.5433333333333</v>
      </c>
      <c r="AY14" s="3">
        <f>(B14+C14+D14+L14+M14+N14+AD14+AE14+AF14+AK14+AL14+AM14)*'Prices&amp;Fuel'!H14</f>
        <v>207108.66666666663</v>
      </c>
      <c r="AZ14" s="1"/>
      <c r="BA14" s="1"/>
      <c r="BB14" s="1"/>
      <c r="BC14" s="1"/>
      <c r="BD14" s="1"/>
      <c r="BE14" s="1"/>
      <c r="BF14" s="1"/>
      <c r="BG14" s="1"/>
      <c r="BH14" s="1"/>
      <c r="BI14" s="1"/>
      <c r="BJ14" s="6"/>
      <c r="BK14" s="6"/>
      <c r="BL14" s="6"/>
      <c r="BM14" s="6"/>
      <c r="BN14" s="6"/>
      <c r="BO14" s="6"/>
      <c r="BP14" s="6"/>
      <c r="BQ14" s="6"/>
      <c r="BR14" s="6"/>
    </row>
    <row r="15" spans="1:99" x14ac:dyDescent="0.2">
      <c r="A15" s="10">
        <f t="shared" si="0"/>
        <v>36053.166666666642</v>
      </c>
      <c r="B15" s="1">
        <v>1580.3333333333333</v>
      </c>
      <c r="C15" s="1">
        <v>1580.3333333333333</v>
      </c>
      <c r="D15" s="1">
        <v>1580.3333333333333</v>
      </c>
      <c r="E15" s="11">
        <f>((('Prices&amp;Fuel'!$B15*0.36+'Prices&amp;Fuel'!$C15*0.43+'Prices&amp;Fuel'!$D15*0.21))+0.03+0.05)/(1-'Prices&amp;Fuel'!F15)</f>
        <v>1.7180544105523496</v>
      </c>
      <c r="F15" s="1">
        <f>('Prices&amp;Fuel'!Y15+'Prices&amp;Fuel'!Z15+'Prices&amp;Fuel'!AA15)*'Prices&amp;Fuel'!H15*('Prices&amp;Fuel'!L15+'Prices&amp;Fuel'!O15)</f>
        <v>19433.504999999997</v>
      </c>
      <c r="G15" s="1">
        <f>('Prices&amp;Fuel'!M15+'Prices&amp;Fuel'!P15)*'Prices&amp;Fuel'!H15*'Prices&amp;Fuel'!AD15</f>
        <v>18416.7</v>
      </c>
      <c r="H15" s="1">
        <f>IF('Prices&amp;Fuel'!AE12&gt;(B15+C15+D15),0,(B15+C15+D15-'Prices&amp;Fuel'!AE15)*('Prices&amp;Fuel'!L15+'Prices&amp;Fuel'!O15)*'Prices&amp;Fuel'!H15)</f>
        <v>32861.472000000002</v>
      </c>
      <c r="I15" s="1">
        <f>((B15+C15+D15)*E15*'Prices&amp;Fuel'!H15)+F15+G15+H15</f>
        <v>315070.55581286072</v>
      </c>
      <c r="J15" s="1">
        <f>(((('Prices&amp;Fuel'!B15*B15+'Prices&amp;Fuel'!C15*C15+'Prices&amp;Fuel'!D15*D15)/(B15+C15+D15)+0.015)/(1-'Prices&amp;Fuel'!F15))*(B15+C15+D15)*'Prices&amp;Fuel'!H15)+F15+G15+H15</f>
        <v>304976.87691755977</v>
      </c>
      <c r="K15" s="1">
        <f t="shared" si="1"/>
        <v>10093.678895300953</v>
      </c>
      <c r="L15" s="1">
        <v>667</v>
      </c>
      <c r="M15" s="1">
        <v>741</v>
      </c>
      <c r="N15" s="1"/>
      <c r="O15" s="1">
        <f>(L15+M15+N15)*'Prices&amp;Fuel'!H15</f>
        <v>42240</v>
      </c>
      <c r="P15" s="1">
        <f t="shared" si="2"/>
        <v>20000</v>
      </c>
      <c r="Q15" s="1">
        <f t="shared" si="3"/>
        <v>22240</v>
      </c>
      <c r="R15" s="1">
        <f t="shared" si="4"/>
        <v>0</v>
      </c>
      <c r="S15" s="11">
        <f>'Prices&amp;Fuel'!B15</f>
        <v>1.57</v>
      </c>
      <c r="T15" s="11">
        <f>'Prices&amp;Fuel'!C15</f>
        <v>1.61</v>
      </c>
      <c r="U15" s="11">
        <f>'Prices&amp;Fuel'!D15</f>
        <v>1.57</v>
      </c>
      <c r="V15" s="1">
        <f t="shared" si="5"/>
        <v>7358.4</v>
      </c>
      <c r="W15" s="11">
        <f t="shared" si="6"/>
        <v>1.7652556818181817</v>
      </c>
      <c r="X15" s="11">
        <f t="shared" si="7"/>
        <v>1.6060511363636361</v>
      </c>
      <c r="Y15" s="1">
        <f>((L15*S15+M15*T15+N15*U15)*'Prices&amp;Fuel'!H15)+V15</f>
        <v>74564.399999999994</v>
      </c>
      <c r="Z15" s="1">
        <v>13408</v>
      </c>
      <c r="AA15" s="1">
        <f>(W15-X15)*Z15/(1-'Prices&amp;Fuel'!F15)</f>
        <v>2199.7264483249669</v>
      </c>
      <c r="AB15" s="1">
        <f t="shared" si="8"/>
        <v>70039.326448324951</v>
      </c>
      <c r="AC15" s="1">
        <f t="shared" si="9"/>
        <v>4525.0735516750428</v>
      </c>
      <c r="AD15" s="1"/>
      <c r="AE15" s="1"/>
      <c r="AF15" s="1"/>
      <c r="AG15" s="11"/>
      <c r="AH15" s="1"/>
      <c r="AI15" s="1"/>
      <c r="AJ15" s="1"/>
      <c r="AK15" s="1">
        <v>173</v>
      </c>
      <c r="AL15" s="1">
        <v>172.66666666666666</v>
      </c>
      <c r="AM15" s="1">
        <v>172.66666666666666</v>
      </c>
      <c r="AN15" s="11">
        <f>(('Prices&amp;Fuel'!$B15*AK15+'Prices&amp;Fuel'!$C15*AL15+'Prices&amp;Fuel'!$D15*AM15)/(AK15+AL15+AM15))+0.03+0.015</f>
        <v>1.6283247588424441</v>
      </c>
      <c r="AO15" s="1">
        <f>(AK15+AL15+AM15)*AN15*'Prices&amp;Fuel'!H15</f>
        <v>25320.450000000004</v>
      </c>
      <c r="AP15" s="1">
        <f>(('Prices&amp;Fuel'!$B15+0.015)*AK15+('Prices&amp;Fuel'!$C15+0.015)*AL15+('Prices&amp;Fuel'!$D15+0.015)*AM15)*'Prices&amp;Fuel'!H15</f>
        <v>24853.949999999997</v>
      </c>
      <c r="AQ15" s="1">
        <f t="shared" si="10"/>
        <v>466.50000000000728</v>
      </c>
      <c r="AR15" s="13">
        <f t="shared" si="11"/>
        <v>414955.40581286076</v>
      </c>
      <c r="AS15" s="1">
        <f>(B15+C15+D15+L15+M15+N15+((AD15+AE15+AF15)*(1-'Prices&amp;Fuel'!F15))+AK15+AL15+AM15)*0.005*'Prices&amp;Fuel'!H15</f>
        <v>1000.1000000000001</v>
      </c>
      <c r="AT15" s="1">
        <f t="shared" si="12"/>
        <v>400870.25336588471</v>
      </c>
      <c r="AU15" s="13">
        <f t="shared" si="13"/>
        <v>14085.152446976048</v>
      </c>
      <c r="AV15" s="29">
        <f>((B15+C15+D15+AK15+AL15+AM15)*0.005)*'Prices&amp;Fuel'!H15</f>
        <v>788.90000000000009</v>
      </c>
      <c r="AW15" s="29">
        <f>((L15+M15+N15+(AD15+AE15+AF15)*(1-'Prices&amp;Fuel'!F15))*0.005)*'Prices&amp;Fuel'!H15</f>
        <v>211.2</v>
      </c>
      <c r="AX15" s="52">
        <f t="shared" si="14"/>
        <v>1000.1000000000001</v>
      </c>
      <c r="AY15" s="3">
        <f>(B15+C15+D15+L15+M15+N15+AD15+AE15+AF15+AK15+AL15+AM15)*'Prices&amp;Fuel'!H15</f>
        <v>200020.00000000003</v>
      </c>
      <c r="AZ15" s="1"/>
      <c r="BA15" s="1"/>
      <c r="BB15" s="1"/>
      <c r="BC15" s="1"/>
      <c r="BD15" s="1"/>
      <c r="BE15" s="1"/>
      <c r="BF15" s="1"/>
      <c r="BG15" s="1"/>
      <c r="BH15" s="1"/>
      <c r="BI15" s="1"/>
      <c r="BJ15" s="6"/>
      <c r="BK15" s="6"/>
      <c r="BL15" s="6"/>
      <c r="BM15" s="6"/>
      <c r="BN15" s="6"/>
      <c r="BO15" s="6"/>
      <c r="BP15" s="6"/>
      <c r="BQ15" s="6"/>
      <c r="BR15" s="6"/>
    </row>
    <row r="16" spans="1:99" x14ac:dyDescent="0.2">
      <c r="A16" s="10">
        <f t="shared" si="0"/>
        <v>36083.583333333307</v>
      </c>
      <c r="B16" s="1">
        <v>1423.3333333333333</v>
      </c>
      <c r="C16" s="1">
        <v>1423.3333333333333</v>
      </c>
      <c r="D16" s="1">
        <v>1423.3333333333333</v>
      </c>
      <c r="E16" s="11">
        <f>((('Prices&amp;Fuel'!$B16*0.36+'Prices&amp;Fuel'!$C16*0.43+'Prices&amp;Fuel'!$D16*0.21))+0.03+0.05)/(1-'Prices&amp;Fuel'!F16)</f>
        <v>2.1401811445039107</v>
      </c>
      <c r="F16" s="1">
        <f>('Prices&amp;Fuel'!Y16+'Prices&amp;Fuel'!Z16+'Prices&amp;Fuel'!AA16)*'Prices&amp;Fuel'!H16*('Prices&amp;Fuel'!L16+'Prices&amp;Fuel'!O16)</f>
        <v>27697.235199999999</v>
      </c>
      <c r="G16" s="1">
        <f>('Prices&amp;Fuel'!M16+'Prices&amp;Fuel'!P16)*'Prices&amp;Fuel'!H16*'Prices&amp;Fuel'!AD16</f>
        <v>18458.559399999998</v>
      </c>
      <c r="H16" s="1">
        <f>IF('Prices&amp;Fuel'!AE13&gt;(B16+C16+D16),0,(B16+C16+D16-'Prices&amp;Fuel'!AE16)*('Prices&amp;Fuel'!L16+'Prices&amp;Fuel'!O16)*'Prices&amp;Fuel'!H16)</f>
        <v>17184.415999999997</v>
      </c>
      <c r="I16" s="1">
        <f>((B16+C16+D16)*E16*'Prices&amp;Fuel'!H16)+F16+G16+H16</f>
        <v>346635.98869798263</v>
      </c>
      <c r="J16" s="1">
        <f>(((('Prices&amp;Fuel'!B16*B16+'Prices&amp;Fuel'!C16*C16+'Prices&amp;Fuel'!D16*D16)/(B16+C16+D16)+0.015)/(1-'Prices&amp;Fuel'!F16))*(B16+C16+D16)*'Prices&amp;Fuel'!H16)+F16+G16+H16</f>
        <v>336953.92337617674</v>
      </c>
      <c r="K16" s="1">
        <f t="shared" si="1"/>
        <v>9682.0653218058869</v>
      </c>
      <c r="L16" s="1">
        <f>30877/31</f>
        <v>996.0322580645161</v>
      </c>
      <c r="M16" s="1">
        <v>0</v>
      </c>
      <c r="N16" s="1"/>
      <c r="O16" s="1">
        <f>(L16+M16+N16)*'Prices&amp;Fuel'!H16</f>
        <v>30877</v>
      </c>
      <c r="P16" s="1">
        <f t="shared" si="2"/>
        <v>20000</v>
      </c>
      <c r="Q16" s="1">
        <f t="shared" si="3"/>
        <v>10877</v>
      </c>
      <c r="R16" s="1">
        <f t="shared" si="4"/>
        <v>0</v>
      </c>
      <c r="S16" s="11">
        <f>'Prices&amp;Fuel'!B16</f>
        <v>1.98</v>
      </c>
      <c r="T16" s="11">
        <f>'Prices&amp;Fuel'!C16</f>
        <v>2.0299999999999998</v>
      </c>
      <c r="U16" s="11">
        <f>'Prices&amp;Fuel'!D16</f>
        <v>1.97</v>
      </c>
      <c r="V16" s="1">
        <f t="shared" si="5"/>
        <v>5540.32</v>
      </c>
      <c r="W16" s="11">
        <f t="shared" si="6"/>
        <v>2.1594319396314408</v>
      </c>
      <c r="X16" s="11">
        <f t="shared" si="7"/>
        <v>1.9949999999999999</v>
      </c>
      <c r="Y16" s="1">
        <f>((L16*S16+M16*T16+N16*U16)*'Prices&amp;Fuel'!H16)+V16</f>
        <v>66676.78</v>
      </c>
      <c r="Z16" s="1">
        <v>14167</v>
      </c>
      <c r="AA16" s="1">
        <f>(W16-X16)*Z16</f>
        <v>2329.507288758623</v>
      </c>
      <c r="AB16" s="1">
        <f t="shared" si="8"/>
        <v>63929.122288758619</v>
      </c>
      <c r="AC16" s="1">
        <f t="shared" si="9"/>
        <v>2747.6577112413797</v>
      </c>
      <c r="AD16" s="1"/>
      <c r="AE16" s="1"/>
      <c r="AF16" s="1"/>
      <c r="AG16" s="11"/>
      <c r="AH16" s="1"/>
      <c r="AI16" s="1"/>
      <c r="AJ16" s="1"/>
      <c r="AK16" s="1">
        <v>146</v>
      </c>
      <c r="AL16" s="1">
        <v>145.66666666666666</v>
      </c>
      <c r="AM16" s="1">
        <v>145.66666666666666</v>
      </c>
      <c r="AN16" s="11">
        <f>(('Prices&amp;Fuel'!$B16*AK16+'Prices&amp;Fuel'!$C16*AL16+'Prices&amp;Fuel'!$D16*AM16)/(AK16+AL16+AM16))+0.03+0.015</f>
        <v>2.0383231707317075</v>
      </c>
      <c r="AO16" s="1">
        <f>(AK16+AL16+AM16)*AN16*'Prices&amp;Fuel'!H16</f>
        <v>27634.226666666666</v>
      </c>
      <c r="AP16" s="1">
        <f>(('Prices&amp;Fuel'!$B16+0.015)*AK16+('Prices&amp;Fuel'!$C16+0.015)*AL16+('Prices&amp;Fuel'!$D16+0.015)*AM16)*'Prices&amp;Fuel'!H16</f>
        <v>27227.506666666664</v>
      </c>
      <c r="AQ16" s="1">
        <f t="shared" si="10"/>
        <v>406.72000000000116</v>
      </c>
      <c r="AR16" s="13">
        <f t="shared" si="11"/>
        <v>440946.99536464934</v>
      </c>
      <c r="AS16" s="1">
        <f>(B16+C16+D16+L16+M16+N16+((AD16+AE16+AF16)*(1-'Prices&amp;Fuel'!F16))+AK16+AL16+AM16)*0.005*'Prices&amp;Fuel'!H16</f>
        <v>884.02166666666676</v>
      </c>
      <c r="AT16" s="1">
        <f t="shared" si="12"/>
        <v>428994.57399826869</v>
      </c>
      <c r="AU16" s="13">
        <f t="shared" si="13"/>
        <v>11952.421366380644</v>
      </c>
      <c r="AV16" s="29">
        <f>((B16+C16+D16+AK16+AL16+AM16)*0.005)*'Prices&amp;Fuel'!H16</f>
        <v>729.63666666666677</v>
      </c>
      <c r="AW16" s="29">
        <f>((L16+M16+N16+(AD16+AE16+AF16)*(1-'Prices&amp;Fuel'!F16))*0.005)*'Prices&amp;Fuel'!H16</f>
        <v>154.38500000000002</v>
      </c>
      <c r="AX16" s="52">
        <f t="shared" si="14"/>
        <v>884.02166666666676</v>
      </c>
      <c r="AY16" s="3">
        <f>(B16+C16+D16+L16+M16+N16+AD16+AE16+AF16+AK16+AL16+AM16)*'Prices&amp;Fuel'!H16</f>
        <v>176804.33333333334</v>
      </c>
      <c r="AZ16" s="1"/>
      <c r="BA16" s="1"/>
      <c r="BB16" s="1"/>
      <c r="BC16" s="1"/>
      <c r="BD16" s="1"/>
      <c r="BE16" s="1"/>
      <c r="BF16" s="1"/>
      <c r="BG16" s="1"/>
      <c r="BH16" s="1"/>
      <c r="BI16" s="1"/>
      <c r="BJ16" s="6"/>
      <c r="BK16" s="6"/>
      <c r="BL16" s="6"/>
      <c r="BM16" s="6"/>
      <c r="BN16" s="6"/>
      <c r="BO16" s="6"/>
      <c r="BP16" s="6"/>
      <c r="BQ16" s="6"/>
      <c r="BR16" s="6"/>
    </row>
    <row r="17" spans="1:74" x14ac:dyDescent="0.2">
      <c r="A17" s="10">
        <f t="shared" si="0"/>
        <v>36113.999999999971</v>
      </c>
      <c r="B17" s="10"/>
      <c r="C17" s="10"/>
      <c r="E17" s="11"/>
      <c r="F17" s="11"/>
      <c r="G17" s="11"/>
      <c r="H17" s="11"/>
      <c r="L17" s="1">
        <f>37262/30</f>
        <v>1242.0666666666666</v>
      </c>
      <c r="M17" s="1">
        <v>0</v>
      </c>
      <c r="N17" s="1">
        <v>0</v>
      </c>
      <c r="O17" s="1">
        <f>(L17+M17+N17)*'Prices&amp;Fuel'!H17</f>
        <v>37262</v>
      </c>
      <c r="P17" s="1">
        <f t="shared" si="2"/>
        <v>20000</v>
      </c>
      <c r="Q17" s="1">
        <f t="shared" si="3"/>
        <v>17262</v>
      </c>
      <c r="R17" s="1">
        <f t="shared" si="4"/>
        <v>0</v>
      </c>
      <c r="S17" s="11">
        <f>'Prices&amp;Fuel'!B17</f>
        <v>1.92</v>
      </c>
      <c r="T17" s="11">
        <f>'Prices&amp;Fuel'!C17</f>
        <v>1.99</v>
      </c>
      <c r="U17" s="11">
        <f>'Prices&amp;Fuel'!D17</f>
        <v>1.91</v>
      </c>
      <c r="V17" s="1">
        <f t="shared" si="5"/>
        <v>6561.92</v>
      </c>
      <c r="W17" s="11">
        <f t="shared" si="6"/>
        <v>2.0961021952659542</v>
      </c>
      <c r="X17" s="11">
        <f t="shared" si="7"/>
        <v>1.9349999999999996</v>
      </c>
      <c r="Y17" s="1">
        <f>((L17*S17+M17*T17+N17*U17)*'Prices&amp;Fuel'!H17)+V17</f>
        <v>78104.959999999992</v>
      </c>
      <c r="Z17" s="1">
        <f>13118+1972</f>
        <v>15090</v>
      </c>
      <c r="AA17" s="1">
        <f>(W17-X17)*Z17/(1-'Prices&amp;Fuel'!F17)</f>
        <v>2502.0915258987798</v>
      </c>
      <c r="AB17" s="1">
        <f t="shared" si="8"/>
        <v>74604.061525898767</v>
      </c>
      <c r="AC17" s="1">
        <f t="shared" si="9"/>
        <v>3500.8984741012246</v>
      </c>
      <c r="AD17" s="1"/>
      <c r="AE17" s="1"/>
      <c r="AF17" s="1"/>
      <c r="AG17" s="11"/>
      <c r="AH17" s="1"/>
      <c r="AI17" s="1"/>
      <c r="AJ17" s="1"/>
      <c r="AK17" s="1">
        <v>121</v>
      </c>
      <c r="AL17" s="1">
        <v>121</v>
      </c>
      <c r="AM17" s="1">
        <v>121</v>
      </c>
      <c r="AN17" s="11">
        <f>(('Prices&amp;Fuel'!$B17*AK17+'Prices&amp;Fuel'!$C17*AL17+'Prices&amp;Fuel'!$D17*AM17)/(AK17+AL17+AM17))+0.03+0.015</f>
        <v>1.9850000000000001</v>
      </c>
      <c r="AO17" s="1">
        <f>(AK17+AL17+AM17)*AN17*'Prices&amp;Fuel'!H17</f>
        <v>21616.65</v>
      </c>
      <c r="AP17" s="1">
        <f>(('Prices&amp;Fuel'!$B17+0.015)*AK17+('Prices&amp;Fuel'!$C17+0.015)*AL17+('Prices&amp;Fuel'!$D17+0.015)*AM17)*'Prices&amp;Fuel'!H17</f>
        <v>21289.949999999997</v>
      </c>
      <c r="AQ17" s="1">
        <f t="shared" si="10"/>
        <v>326.70000000000437</v>
      </c>
      <c r="AR17" s="13">
        <f t="shared" si="11"/>
        <v>99721.609999999986</v>
      </c>
      <c r="AS17" s="1">
        <f>(B17+C17+D17+L17+M17+N17+((AD17+AE17+AF17)*(1-'Prices&amp;Fuel'!F17))+AK17+AL17+AM17)*0.005*'Prices&amp;Fuel'!H17</f>
        <v>240.75999999999996</v>
      </c>
      <c r="AT17" s="1">
        <f t="shared" si="12"/>
        <v>96134.771525898759</v>
      </c>
      <c r="AU17" s="13">
        <f t="shared" si="13"/>
        <v>3586.8384741012269</v>
      </c>
      <c r="AV17" s="29">
        <f>((B17+C17+D17+AK17+AL17+AM17)*0.005)*'Prices&amp;Fuel'!H17</f>
        <v>54.449999999999996</v>
      </c>
      <c r="AW17" s="29">
        <f>((L17+M17+N17+(AD17+AE17+AF17)*(1-'Prices&amp;Fuel'!F17))*0.005)*'Prices&amp;Fuel'!H17</f>
        <v>186.30999999999997</v>
      </c>
      <c r="AX17" s="52">
        <f t="shared" si="14"/>
        <v>240.75999999999996</v>
      </c>
      <c r="AY17" s="3">
        <f>(B17+C17+D17+L17+M17+N17+AD17+AE17+AF17+AK17+AL17+AM17)*'Prices&amp;Fuel'!H17</f>
        <v>48152</v>
      </c>
      <c r="AZ17" s="1"/>
      <c r="BA17" s="1"/>
      <c r="BB17" s="1"/>
      <c r="BC17" s="1"/>
      <c r="BD17" s="1"/>
      <c r="BE17" s="13"/>
      <c r="BF17" s="13"/>
      <c r="BG17" s="13"/>
      <c r="BH17" s="13"/>
      <c r="BI17" s="13"/>
      <c r="BJ17" s="6"/>
      <c r="BK17" s="6"/>
      <c r="BL17" s="6"/>
      <c r="BM17" s="6"/>
      <c r="BN17" s="6"/>
      <c r="BO17" s="6"/>
      <c r="BP17" s="6"/>
      <c r="BQ17" s="6"/>
      <c r="BR17" s="6"/>
      <c r="BV17" s="14"/>
    </row>
    <row r="18" spans="1:74" x14ac:dyDescent="0.2">
      <c r="A18" s="10">
        <f t="shared" si="0"/>
        <v>36144.416666666635</v>
      </c>
      <c r="B18" s="10"/>
      <c r="C18" s="10"/>
      <c r="E18" s="11"/>
      <c r="F18" s="11"/>
      <c r="G18" s="11"/>
      <c r="H18" s="11"/>
      <c r="I18" s="11"/>
      <c r="J18" s="11"/>
      <c r="L18" s="1">
        <v>645</v>
      </c>
      <c r="M18" s="1">
        <v>968</v>
      </c>
      <c r="N18" s="1">
        <v>850</v>
      </c>
      <c r="O18" s="1">
        <f>(L18+M18+N18)*'Prices&amp;Fuel'!H18</f>
        <v>76353</v>
      </c>
      <c r="P18" s="1">
        <f t="shared" si="2"/>
        <v>20000</v>
      </c>
      <c r="Q18" s="1">
        <f t="shared" si="3"/>
        <v>30000</v>
      </c>
      <c r="R18" s="1">
        <f t="shared" si="4"/>
        <v>26353</v>
      </c>
      <c r="S18" s="11">
        <f>'Prices&amp;Fuel'!B18</f>
        <v>2.0699999999999998</v>
      </c>
      <c r="T18" s="11">
        <f>'Prices&amp;Fuel'!C18</f>
        <v>2.12</v>
      </c>
      <c r="U18" s="11">
        <f>'Prices&amp;Fuel'!D18</f>
        <v>2.0699999999999998</v>
      </c>
      <c r="V18" s="1">
        <f t="shared" si="5"/>
        <v>12289.42</v>
      </c>
      <c r="W18" s="11">
        <f t="shared" si="6"/>
        <v>2.2506061320445827</v>
      </c>
      <c r="X18" s="11">
        <f t="shared" si="7"/>
        <v>2.1046508323183111</v>
      </c>
      <c r="Y18" s="1">
        <f>((L18*S18+M18*T18+N18*U18)*'Prices&amp;Fuel'!H18)+V18</f>
        <v>171840.53000000003</v>
      </c>
      <c r="Z18" s="1">
        <v>28406</v>
      </c>
      <c r="AA18" s="1">
        <f>(W18-X18)*Z18/(1-'Prices&amp;Fuel'!F18)</f>
        <v>4267.1945698069903</v>
      </c>
      <c r="AB18" s="1">
        <f t="shared" si="8"/>
        <v>164963.599569807</v>
      </c>
      <c r="AC18" s="1">
        <f t="shared" si="9"/>
        <v>6876.9304301930242</v>
      </c>
      <c r="AD18" s="1"/>
      <c r="AE18" s="1"/>
      <c r="AF18" s="1"/>
      <c r="AG18" s="11"/>
      <c r="AH18" s="1"/>
      <c r="AI18" s="1"/>
      <c r="AJ18" s="1"/>
      <c r="AK18" s="1">
        <v>168</v>
      </c>
      <c r="AL18" s="1">
        <v>167.66666666666666</v>
      </c>
      <c r="AM18" s="1">
        <v>167.66666666666666</v>
      </c>
      <c r="AN18" s="11">
        <f>(('Prices&amp;Fuel'!$B18*AK18+'Prices&amp;Fuel'!$C18*AL18+'Prices&amp;Fuel'!$D18*AM18)/(AK18+AL18+AM18))+0.03+0.015</f>
        <v>2.1316556291390731</v>
      </c>
      <c r="AO18" s="1">
        <f>(AK18+AL18+AM18)*AN18*'Prices&amp;Fuel'!H18</f>
        <v>33260.933333333334</v>
      </c>
      <c r="AP18" s="1">
        <f>(('Prices&amp;Fuel'!$B18+0.015)*AK18+('Prices&amp;Fuel'!$C18+0.015)*AL18+('Prices&amp;Fuel'!$D18+0.015)*AM18)*'Prices&amp;Fuel'!H18</f>
        <v>32792.833333333328</v>
      </c>
      <c r="AQ18" s="1">
        <f t="shared" si="10"/>
        <v>468.10000000000582</v>
      </c>
      <c r="AR18" s="13">
        <f t="shared" si="11"/>
        <v>205101.46333333338</v>
      </c>
      <c r="AS18" s="1">
        <f>(B18+C18+D18+L18+M18+N18+((AD18+AE18+AF18)*(1-'Prices&amp;Fuel'!F18))+AK18+AL18+AM18)*0.005*'Prices&amp;Fuel'!H18</f>
        <v>459.78166666666664</v>
      </c>
      <c r="AT18" s="1">
        <f t="shared" si="12"/>
        <v>198216.21456980699</v>
      </c>
      <c r="AU18" s="13">
        <f t="shared" si="13"/>
        <v>6885.2487635263824</v>
      </c>
      <c r="AV18" s="29">
        <f>((B18+C18+D18+AK18+AL18+AM18)*0.005)*'Prices&amp;Fuel'!H18</f>
        <v>78.016666666666652</v>
      </c>
      <c r="AW18" s="29">
        <f>((L18+M18+N18+(AD18+AE18+AF18)*(1-'Prices&amp;Fuel'!F18))*0.005)*'Prices&amp;Fuel'!H18</f>
        <v>381.76499999999999</v>
      </c>
      <c r="AX18" s="52">
        <f t="shared" si="14"/>
        <v>459.78166666666664</v>
      </c>
      <c r="AY18" s="3">
        <f>(B18+C18+D18+L18+M18+N18+AD18+AE18+AF18+AK18+AL18+AM18)*'Prices&amp;Fuel'!H18</f>
        <v>91956.333333333328</v>
      </c>
      <c r="AZ18" s="1">
        <f>SUM(AY7:AY18)/365</f>
        <v>5581.8787214609665</v>
      </c>
      <c r="BA18" s="1"/>
      <c r="BB18" s="1"/>
      <c r="BC18" s="1"/>
      <c r="BD18" s="1"/>
      <c r="BE18" s="13"/>
      <c r="BF18" s="13"/>
      <c r="BG18" s="13"/>
      <c r="BH18" s="13"/>
      <c r="BI18" s="13"/>
      <c r="BJ18" s="6"/>
      <c r="BK18" s="6"/>
      <c r="BL18" s="6"/>
      <c r="BM18" s="6"/>
      <c r="BN18" s="6"/>
      <c r="BO18" s="6"/>
      <c r="BP18" s="6"/>
      <c r="BQ18" s="6"/>
      <c r="BR18" s="6"/>
      <c r="BV18" s="14"/>
    </row>
    <row r="19" spans="1:74" x14ac:dyDescent="0.2">
      <c r="A19" s="10">
        <f t="shared" si="0"/>
        <v>36174.833333333299</v>
      </c>
      <c r="B19" s="10"/>
      <c r="C19" s="10"/>
      <c r="E19" s="11"/>
      <c r="F19" s="11"/>
      <c r="G19" s="11"/>
      <c r="H19" s="11"/>
      <c r="I19" s="11"/>
      <c r="J19" s="11"/>
      <c r="K19" s="34"/>
      <c r="L19" s="1">
        <f>$O19/3/'Prices&amp;Fuel'!$H19</f>
        <v>665.32258064516134</v>
      </c>
      <c r="M19" s="1">
        <f>$O19/3/'Prices&amp;Fuel'!$H19</f>
        <v>665.32258064516134</v>
      </c>
      <c r="N19" s="1">
        <f>$O19/3/'Prices&amp;Fuel'!$H19</f>
        <v>665.32258064516134</v>
      </c>
      <c r="O19" s="1">
        <v>61875</v>
      </c>
      <c r="P19" s="1">
        <f t="shared" si="2"/>
        <v>20000</v>
      </c>
      <c r="Q19" s="1">
        <f t="shared" si="3"/>
        <v>30000</v>
      </c>
      <c r="R19" s="1">
        <f t="shared" si="4"/>
        <v>11875</v>
      </c>
      <c r="S19" s="11">
        <f>'Prices&amp;Fuel'!B19</f>
        <v>1.73</v>
      </c>
      <c r="T19" s="11">
        <f>'Prices&amp;Fuel'!C19</f>
        <v>1.78</v>
      </c>
      <c r="U19" s="11">
        <f>'Prices&amp;Fuel'!D19</f>
        <v>1.73</v>
      </c>
      <c r="V19" s="1">
        <f t="shared" si="5"/>
        <v>10262.5</v>
      </c>
      <c r="W19" s="11">
        <f t="shared" si="6"/>
        <v>1.9125252525252523</v>
      </c>
      <c r="X19" s="11">
        <f t="shared" si="7"/>
        <v>1.7616666666666665</v>
      </c>
      <c r="Y19" s="1">
        <f>((L19*S19+M19*T19+N19*U19)*'Prices&amp;Fuel'!H19)+V19</f>
        <v>118337.49999999999</v>
      </c>
      <c r="Z19" s="1">
        <v>24742</v>
      </c>
      <c r="AA19" s="1">
        <f>(W19-X19)*Z19/(1-'Prices&amp;Fuel'!F19)</f>
        <v>3828.2493654493642</v>
      </c>
      <c r="AB19" s="1">
        <f t="shared" si="8"/>
        <v>112831.37436544934</v>
      </c>
      <c r="AC19" s="1">
        <f t="shared" si="9"/>
        <v>5506.1256345506408</v>
      </c>
      <c r="AD19" s="1"/>
      <c r="AE19" s="1"/>
      <c r="AF19" s="1"/>
      <c r="AG19" s="11"/>
      <c r="AH19" s="1"/>
      <c r="AI19" s="1"/>
      <c r="AJ19" s="1"/>
      <c r="AK19" s="1">
        <v>108</v>
      </c>
      <c r="AL19" s="1">
        <f t="shared" ref="AL19:AM35" si="15">AK19</f>
        <v>108</v>
      </c>
      <c r="AM19" s="1">
        <f t="shared" si="15"/>
        <v>108</v>
      </c>
      <c r="AN19" s="11">
        <f>(('Prices&amp;Fuel'!$B19*AK19+'Prices&amp;Fuel'!$C19*AL19+'Prices&amp;Fuel'!$D19*AM19)/(AK19+AL19+AM19))+0.03+0.015</f>
        <v>1.7916666666666667</v>
      </c>
      <c r="AO19" s="1">
        <f>(AK19+AL19+AM19)*AN19*'Prices&amp;Fuel'!H19</f>
        <v>17995.5</v>
      </c>
      <c r="AP19" s="1">
        <f>(('Prices&amp;Fuel'!$B19+0.015)*AK19+('Prices&amp;Fuel'!$C19+0.015)*AL19+('Prices&amp;Fuel'!$D19+0.015)*AM19)*'Prices&amp;Fuel'!H19</f>
        <v>17694.18</v>
      </c>
      <c r="AQ19" s="1">
        <f t="shared" si="10"/>
        <v>301.31999999999971</v>
      </c>
      <c r="AR19" s="13">
        <f t="shared" si="11"/>
        <v>136333</v>
      </c>
      <c r="AS19" s="1">
        <f>(B19+C19+D19+L19+M19+N19+((AD19+AE19+AF19)*(1-'Prices&amp;Fuel'!F19))+AK19+AL19+AM19)*0.005*'Prices&amp;Fuel'!H19</f>
        <v>359.59499999999997</v>
      </c>
      <c r="AT19" s="1">
        <f t="shared" si="12"/>
        <v>130885.14936544935</v>
      </c>
      <c r="AU19" s="13">
        <f t="shared" si="13"/>
        <v>5447.8506345506466</v>
      </c>
      <c r="AV19" s="29">
        <f>((B19+C19+D19+AK19+AL19+AM19)*0.005)*'Prices&amp;Fuel'!H19</f>
        <v>50.220000000000006</v>
      </c>
      <c r="AW19" s="29">
        <f>((L19+M19+N19+(AD19+AE19+AF19)*(1-'Prices&amp;Fuel'!F19))*0.005)*'Prices&amp;Fuel'!H19</f>
        <v>309.375</v>
      </c>
      <c r="AX19" s="52">
        <f t="shared" si="14"/>
        <v>359.59500000000003</v>
      </c>
      <c r="AY19" s="3">
        <f>(B19+C19+D19+L19+M19+N19+AD19+AE19+AF19+AK19+AL19+AM19)*'Prices&amp;Fuel'!H19</f>
        <v>71919</v>
      </c>
      <c r="BA19" s="1">
        <f>(AK19+AL19+AM19)*'Prices&amp;Fuel'!H19</f>
        <v>10044</v>
      </c>
      <c r="BB19" s="1"/>
      <c r="BC19" s="1"/>
      <c r="BD19" s="1"/>
      <c r="BE19" s="13"/>
      <c r="BF19" s="13"/>
      <c r="BG19" s="13"/>
      <c r="BH19" s="13"/>
      <c r="BI19" s="13"/>
      <c r="BJ19" s="6"/>
      <c r="BK19" s="6"/>
      <c r="BL19" s="6"/>
      <c r="BM19" s="6"/>
      <c r="BN19" s="6"/>
      <c r="BO19" s="6"/>
      <c r="BP19" s="6"/>
      <c r="BQ19" s="6"/>
      <c r="BR19" s="6"/>
      <c r="BV19" s="14"/>
    </row>
    <row r="20" spans="1:74" x14ac:dyDescent="0.2">
      <c r="A20" s="10">
        <f t="shared" si="0"/>
        <v>36205.249999999964</v>
      </c>
      <c r="B20" s="10"/>
      <c r="C20" s="10"/>
      <c r="E20" s="11"/>
      <c r="F20" s="11"/>
      <c r="G20" s="11"/>
      <c r="H20" s="11"/>
      <c r="I20" s="11"/>
      <c r="J20" s="11"/>
      <c r="K20" s="11"/>
      <c r="L20" s="1">
        <f>$O20/3/'Prices&amp;Fuel'!$H20</f>
        <v>674.42857142857144</v>
      </c>
      <c r="M20" s="1">
        <f>$O20/3/'Prices&amp;Fuel'!$H20</f>
        <v>674.42857142857144</v>
      </c>
      <c r="N20" s="1">
        <f>$O20/3/'Prices&amp;Fuel'!$H20</f>
        <v>674.42857142857144</v>
      </c>
      <c r="O20" s="1">
        <v>56652</v>
      </c>
      <c r="P20" s="1">
        <f t="shared" si="2"/>
        <v>20000</v>
      </c>
      <c r="Q20" s="1">
        <f t="shared" si="3"/>
        <v>30000</v>
      </c>
      <c r="R20" s="1">
        <f t="shared" si="4"/>
        <v>6652</v>
      </c>
      <c r="S20" s="11">
        <f>'Prices&amp;Fuel'!B20</f>
        <v>1.74</v>
      </c>
      <c r="T20" s="11">
        <f>'Prices&amp;Fuel'!C20</f>
        <v>1.77</v>
      </c>
      <c r="U20" s="11">
        <f>'Prices&amp;Fuel'!D20</f>
        <v>1.74</v>
      </c>
      <c r="V20" s="1">
        <f t="shared" si="5"/>
        <v>9531.2800000000007</v>
      </c>
      <c r="W20" s="11">
        <f t="shared" si="6"/>
        <v>1.9182426039680858</v>
      </c>
      <c r="X20" s="11">
        <f t="shared" si="7"/>
        <v>1.7649999999999999</v>
      </c>
      <c r="Y20" s="1">
        <f>((L20*S20+M20*T20+N20*U20)*'Prices&amp;Fuel'!H20)+V20</f>
        <v>108672.28</v>
      </c>
      <c r="Z20" s="1">
        <v>22858</v>
      </c>
      <c r="AA20" s="1">
        <f>(W20-X20)*Z20/(1-'Prices&amp;Fuel'!F20)</f>
        <v>3592.635324617956</v>
      </c>
      <c r="AB20" s="1">
        <f t="shared" si="8"/>
        <v>103583.41532461795</v>
      </c>
      <c r="AC20" s="1">
        <f t="shared" si="9"/>
        <v>5088.8646753820503</v>
      </c>
      <c r="AD20" s="1"/>
      <c r="AE20" s="1"/>
      <c r="AF20" s="1"/>
      <c r="AG20" s="11"/>
      <c r="AH20" s="1"/>
      <c r="AI20" s="1"/>
      <c r="AJ20" s="1"/>
      <c r="AK20" s="1">
        <v>184</v>
      </c>
      <c r="AL20" s="1">
        <f t="shared" si="15"/>
        <v>184</v>
      </c>
      <c r="AM20" s="1">
        <f t="shared" si="15"/>
        <v>184</v>
      </c>
      <c r="AN20" s="11">
        <f>(('Prices&amp;Fuel'!$B20*AK20+'Prices&amp;Fuel'!$C20*AL20+'Prices&amp;Fuel'!$D20*AM20)/(AK20+AL20+AM20))+0.03+0.015</f>
        <v>1.7949999999999999</v>
      </c>
      <c r="AO20" s="1">
        <f>(AK20+AL20+AM20)*AN20*'Prices&amp;Fuel'!H20</f>
        <v>27743.519999999997</v>
      </c>
      <c r="AP20" s="1">
        <f>(('Prices&amp;Fuel'!$B20+0.015)*AK20+('Prices&amp;Fuel'!$C20+0.015)*AL20+('Prices&amp;Fuel'!$D20+0.015)*AM20)*'Prices&amp;Fuel'!H20</f>
        <v>27279.839999999997</v>
      </c>
      <c r="AQ20" s="1">
        <f t="shared" si="10"/>
        <v>463.68000000000029</v>
      </c>
      <c r="AR20" s="13">
        <f t="shared" si="11"/>
        <v>136415.79999999999</v>
      </c>
      <c r="AS20" s="1">
        <f>(B20+C20+D20+L20+M20+N20+((AD20+AE20+AF20)*(1-'Prices&amp;Fuel'!F20))+AK20+AL20+AM20)*0.005*'Prices&amp;Fuel'!H20</f>
        <v>360.53999999999996</v>
      </c>
      <c r="AT20" s="1">
        <f t="shared" si="12"/>
        <v>131223.79532461794</v>
      </c>
      <c r="AU20" s="13">
        <f t="shared" si="13"/>
        <v>5192.0046753820498</v>
      </c>
      <c r="AV20" s="29">
        <f>((B20+C20+D20+AK20+AL20+AM20)*0.005)*'Prices&amp;Fuel'!H20</f>
        <v>77.28</v>
      </c>
      <c r="AW20" s="29">
        <f>((L20+M20+N20+(AD20+AE20+AF20)*(1-'Prices&amp;Fuel'!F20))*0.005)*'Prices&amp;Fuel'!H20</f>
        <v>283.26</v>
      </c>
      <c r="AX20" s="52">
        <f t="shared" si="14"/>
        <v>360.53999999999996</v>
      </c>
      <c r="AY20" s="3">
        <f>(B20+C20+D20+L20+M20+N20+AD20+AE20+AF20+AK20+AL20+AM20)*'Prices&amp;Fuel'!H20</f>
        <v>72108</v>
      </c>
      <c r="AZ20" s="1"/>
      <c r="BA20" s="1">
        <f>(AK20+AL20+AM20)*'Prices&amp;Fuel'!H20</f>
        <v>15456</v>
      </c>
      <c r="BB20" s="1"/>
      <c r="BC20" s="1"/>
      <c r="BD20" s="1"/>
      <c r="BE20" s="13"/>
      <c r="BF20" s="13"/>
      <c r="BG20" s="13"/>
      <c r="BH20" s="13"/>
      <c r="BI20" s="13"/>
      <c r="BJ20" s="6"/>
      <c r="BK20" s="6"/>
      <c r="BL20" s="6"/>
      <c r="BM20" s="6"/>
      <c r="BN20" s="6"/>
      <c r="BO20" s="6"/>
      <c r="BP20" s="6"/>
      <c r="BQ20" s="6"/>
      <c r="BR20" s="6"/>
      <c r="BV20" s="14"/>
    </row>
    <row r="21" spans="1:74" x14ac:dyDescent="0.2">
      <c r="A21" s="10">
        <f t="shared" si="0"/>
        <v>36235.666666666628</v>
      </c>
      <c r="B21" s="10"/>
      <c r="C21" s="10"/>
      <c r="E21" s="11"/>
      <c r="F21" s="11"/>
      <c r="G21" s="11"/>
      <c r="H21" s="11"/>
      <c r="I21" s="11"/>
      <c r="J21" s="11"/>
      <c r="K21" s="11"/>
      <c r="L21" s="1">
        <f>$O21/3/'Prices&amp;Fuel'!$H21</f>
        <v>627.23655913978496</v>
      </c>
      <c r="M21" s="1">
        <f>$O21/3/'Prices&amp;Fuel'!$H21</f>
        <v>627.23655913978496</v>
      </c>
      <c r="N21" s="1">
        <f>$O21/3/'Prices&amp;Fuel'!$H21</f>
        <v>627.23655913978496</v>
      </c>
      <c r="O21" s="1">
        <v>58333</v>
      </c>
      <c r="P21" s="1">
        <f t="shared" si="2"/>
        <v>20000</v>
      </c>
      <c r="Q21" s="1">
        <f t="shared" si="3"/>
        <v>30000</v>
      </c>
      <c r="R21" s="1">
        <f t="shared" si="4"/>
        <v>8333</v>
      </c>
      <c r="S21" s="11">
        <f>'Prices&amp;Fuel'!B21</f>
        <v>1.59</v>
      </c>
      <c r="T21" s="11">
        <f>'Prices&amp;Fuel'!C21</f>
        <v>1.63</v>
      </c>
      <c r="U21" s="11">
        <f>'Prices&amp;Fuel'!D21</f>
        <v>1.6</v>
      </c>
      <c r="V21" s="1">
        <f t="shared" si="5"/>
        <v>9766.6200000000008</v>
      </c>
      <c r="W21" s="11">
        <f t="shared" si="6"/>
        <v>1.7740953948308278</v>
      </c>
      <c r="X21" s="11">
        <f t="shared" si="7"/>
        <v>1.6216666666666666</v>
      </c>
      <c r="Y21" s="1">
        <f>((L21*S21+M21*T21+N21*U21)*'Prices&amp;Fuel'!H21)+V21</f>
        <v>103488.30666666667</v>
      </c>
      <c r="Z21" s="1">
        <v>22188</v>
      </c>
      <c r="AA21" s="1">
        <f>(W21-X21)*Z21/(1-'Prices&amp;Fuel'!F21)</f>
        <v>3468.8088415450343</v>
      </c>
      <c r="AB21" s="1">
        <f t="shared" si="8"/>
        <v>98065.490508211689</v>
      </c>
      <c r="AC21" s="1">
        <f t="shared" si="9"/>
        <v>5422.8161584549816</v>
      </c>
      <c r="AD21" s="1"/>
      <c r="AE21" s="1"/>
      <c r="AF21" s="1"/>
      <c r="AG21" s="11"/>
      <c r="AH21" s="1"/>
      <c r="AI21" s="1"/>
      <c r="AJ21" s="1"/>
      <c r="AK21" s="1">
        <v>120</v>
      </c>
      <c r="AL21" s="1">
        <f t="shared" si="15"/>
        <v>120</v>
      </c>
      <c r="AM21" s="1">
        <f t="shared" si="15"/>
        <v>120</v>
      </c>
      <c r="AN21" s="11">
        <f>(('Prices&amp;Fuel'!$B21*AK21+'Prices&amp;Fuel'!$C21*AL21+'Prices&amp;Fuel'!$D21*AM21)/(AK21+AL21+AM21))+0.03+0.015</f>
        <v>1.6516666666666666</v>
      </c>
      <c r="AO21" s="1">
        <f>(AK21+AL21+AM21)*AN21*'Prices&amp;Fuel'!H21</f>
        <v>18432.600000000002</v>
      </c>
      <c r="AP21" s="1">
        <f>(('Prices&amp;Fuel'!$B21+0.015)*AK21+('Prices&amp;Fuel'!$C21+0.015)*AL21+('Prices&amp;Fuel'!$D21+0.015)*AM21)*'Prices&amp;Fuel'!H21</f>
        <v>18097.8</v>
      </c>
      <c r="AQ21" s="1">
        <f t="shared" si="10"/>
        <v>334.80000000000291</v>
      </c>
      <c r="AR21" s="13">
        <f t="shared" si="11"/>
        <v>121920.90666666668</v>
      </c>
      <c r="AS21" s="1">
        <f>(B21+C21+D21+L21+M21+N21+((AD21+AE21+AF21)*(1-'Prices&amp;Fuel'!F21))+AK21+AL21+AM21)*0.005*'Prices&amp;Fuel'!H21</f>
        <v>347.46500000000009</v>
      </c>
      <c r="AT21" s="1">
        <f t="shared" si="12"/>
        <v>116510.75550821169</v>
      </c>
      <c r="AU21" s="13">
        <f t="shared" si="13"/>
        <v>5410.151158454988</v>
      </c>
      <c r="AV21" s="29">
        <f>((B21+C21+D21+AK21+AL21+AM21)*0.005)*'Prices&amp;Fuel'!H21</f>
        <v>55.800000000000004</v>
      </c>
      <c r="AW21" s="29">
        <f>((L21+M21+N21+(AD21+AE21+AF21)*(1-'Prices&amp;Fuel'!F21))*0.005)*'Prices&amp;Fuel'!H21</f>
        <v>291.66499999999996</v>
      </c>
      <c r="AX21" s="52">
        <f t="shared" si="14"/>
        <v>347.46499999999997</v>
      </c>
      <c r="AY21" s="3">
        <f>(B21+C21+D21+L21+M21+N21+AD21+AE21+AF21+AK21+AL21+AM21)*'Prices&amp;Fuel'!H21</f>
        <v>69493.000000000015</v>
      </c>
      <c r="AZ21" s="1"/>
      <c r="BA21" s="1">
        <f>(AK21+AL21+AM21)*'Prices&amp;Fuel'!H21</f>
        <v>11160</v>
      </c>
      <c r="BB21" s="1"/>
      <c r="BC21" s="1"/>
      <c r="BD21" s="1"/>
      <c r="BE21" s="13"/>
      <c r="BF21" s="13"/>
      <c r="BG21" s="13"/>
      <c r="BH21" s="13"/>
      <c r="BI21" s="13"/>
      <c r="BJ21" s="6"/>
      <c r="BK21" s="6"/>
      <c r="BL21" s="6"/>
      <c r="BM21" s="6"/>
      <c r="BN21" s="6"/>
      <c r="BO21" s="6"/>
      <c r="BP21" s="6"/>
      <c r="BQ21" s="6"/>
      <c r="BR21" s="6"/>
      <c r="BV21" s="14"/>
    </row>
    <row r="22" spans="1:74" x14ac:dyDescent="0.2">
      <c r="A22" s="10">
        <f t="shared" si="0"/>
        <v>36266.083333333292</v>
      </c>
      <c r="B22" s="10"/>
      <c r="C22" s="10"/>
      <c r="E22" s="11"/>
      <c r="F22" s="11"/>
      <c r="G22" s="11"/>
      <c r="H22" s="11"/>
      <c r="I22" s="11"/>
      <c r="J22" s="11"/>
      <c r="K22" s="11"/>
      <c r="L22" s="1">
        <f>$O22/3/'Prices&amp;Fuel'!$H22</f>
        <v>416.42222222222222</v>
      </c>
      <c r="M22" s="1">
        <f>$O22/3/'Prices&amp;Fuel'!$H22</f>
        <v>416.42222222222222</v>
      </c>
      <c r="N22" s="1">
        <f>$O22/3/'Prices&amp;Fuel'!$H22</f>
        <v>416.42222222222222</v>
      </c>
      <c r="O22" s="1">
        <v>37478</v>
      </c>
      <c r="P22" s="1">
        <f t="shared" ref="P22:P28" si="16">IF(O22&gt;20000,20000,O22)</f>
        <v>20000</v>
      </c>
      <c r="Q22" s="1">
        <f t="shared" ref="Q22:Q28" si="17">O22-P22-R22</f>
        <v>17478</v>
      </c>
      <c r="R22" s="1">
        <f t="shared" ref="R22:R28" si="18">IF(O22&gt;49999,O22-50000,0)</f>
        <v>0</v>
      </c>
      <c r="S22" s="11">
        <f>'Prices&amp;Fuel'!B22</f>
        <v>1.84</v>
      </c>
      <c r="T22" s="11">
        <f>'Prices&amp;Fuel'!C22</f>
        <v>1.88</v>
      </c>
      <c r="U22" s="11">
        <f>'Prices&amp;Fuel'!D22</f>
        <v>1.85</v>
      </c>
      <c r="V22" s="1">
        <f t="shared" ref="V22:V28" si="19">P22*0.19+Q22*0.16+R22*0.14</f>
        <v>6596.48</v>
      </c>
      <c r="W22" s="11">
        <f t="shared" ref="W22:W28" si="20">Y22/O22</f>
        <v>2.0326760588434105</v>
      </c>
      <c r="X22" s="11">
        <f t="shared" ref="X22:X28" si="21">((L22*S22+M22*T22+N22*U22)/(L22+M22+N22))+0.015</f>
        <v>1.8716666666666666</v>
      </c>
      <c r="Y22" s="1">
        <f>((L22*S22+M22*T22+N22*U22)*'Prices&amp;Fuel'!H22)+V22</f>
        <v>76180.633333333331</v>
      </c>
      <c r="Z22" s="1">
        <v>14859</v>
      </c>
      <c r="AA22" s="1">
        <f>(W22-X22)*Z22/(1-'Prices&amp;Fuel'!F22)</f>
        <v>2453.7831367735776</v>
      </c>
      <c r="AB22" s="1">
        <f t="shared" ref="AB22:AB28" si="22">(O22*X22)+AA22</f>
        <v>72600.106470106912</v>
      </c>
      <c r="AC22" s="1">
        <f t="shared" ref="AC22:AC28" si="23">Y22-AB22</f>
        <v>3580.5268632264197</v>
      </c>
      <c r="AD22" s="1"/>
      <c r="AE22" s="1"/>
      <c r="AF22" s="1"/>
      <c r="AG22" s="11"/>
      <c r="AH22" s="1"/>
      <c r="AI22" s="1"/>
      <c r="AJ22" s="1"/>
      <c r="AK22" s="1">
        <v>125</v>
      </c>
      <c r="AL22" s="1">
        <f t="shared" si="15"/>
        <v>125</v>
      </c>
      <c r="AM22" s="1">
        <f t="shared" si="15"/>
        <v>125</v>
      </c>
      <c r="AN22" s="11">
        <f>(('Prices&amp;Fuel'!$B22*AK22+'Prices&amp;Fuel'!$C22*AL22+'Prices&amp;Fuel'!$D22*AM22)/(AK22+AL22+AM22))+0.03+0.015</f>
        <v>1.9016666666666666</v>
      </c>
      <c r="AO22" s="1">
        <f>(AK22+AL22+AM22)*AN22*'Prices&amp;Fuel'!H22</f>
        <v>21393.75</v>
      </c>
      <c r="AP22" s="1">
        <f>(('Prices&amp;Fuel'!$B22+0.015)*AK22+('Prices&amp;Fuel'!$C22+0.015)*AL22+('Prices&amp;Fuel'!$D22+0.015)*AM22)*'Prices&amp;Fuel'!H22</f>
        <v>21056.25</v>
      </c>
      <c r="AQ22" s="1">
        <f t="shared" ref="AQ22:AQ35" si="24">AO22-AP22</f>
        <v>337.5</v>
      </c>
      <c r="AR22" s="13">
        <f t="shared" ref="AR22:AR35" si="25">I22+Y22+AH22+AO22</f>
        <v>97574.383333333331</v>
      </c>
      <c r="AS22" s="1">
        <f>(B22+C22+D22+L22+M22+N22+((AD22+AE22+AF22)*(1-'Prices&amp;Fuel'!F22))+AK22+AL22+AM22)*0.005*'Prices&amp;Fuel'!H22</f>
        <v>243.64000000000001</v>
      </c>
      <c r="AT22" s="1">
        <f t="shared" ref="AT22:AT35" si="26">J22+AB22+AI22+AP22+AS22</f>
        <v>93899.996470106911</v>
      </c>
      <c r="AU22" s="13">
        <f t="shared" ref="AU22:AU35" si="27">AR22-AT22</f>
        <v>3674.3868632264202</v>
      </c>
      <c r="AV22" s="29">
        <f>((B22+C22+D22+AK22+AL22+AM22)*0.005)*'Prices&amp;Fuel'!H22</f>
        <v>56.25</v>
      </c>
      <c r="AW22" s="29">
        <f>((L22+M22+N22+(AD22+AE22+AF22)*(1-'Prices&amp;Fuel'!F22))*0.005)*'Prices&amp;Fuel'!H22</f>
        <v>187.39</v>
      </c>
      <c r="AX22" s="52">
        <f t="shared" si="14"/>
        <v>243.64</v>
      </c>
      <c r="AY22" s="3">
        <f>(B22+C22+D22+L22+M22+N22+AD22+AE22+AF22+AK22+AL22+AM22)*'Prices&amp;Fuel'!H22</f>
        <v>48728</v>
      </c>
      <c r="AZ22" s="1"/>
      <c r="BA22" s="1">
        <f>(AK22+AL22+AM22)*'Prices&amp;Fuel'!H22</f>
        <v>11250</v>
      </c>
      <c r="BB22" s="1"/>
      <c r="BC22" s="1"/>
      <c r="BD22" s="1"/>
      <c r="BE22" s="13"/>
      <c r="BF22" s="13"/>
      <c r="BG22" s="13"/>
      <c r="BH22" s="13"/>
      <c r="BI22" s="13"/>
      <c r="BJ22" s="6"/>
      <c r="BK22" s="6"/>
      <c r="BL22" s="6"/>
      <c r="BM22" s="6"/>
      <c r="BN22" s="6"/>
      <c r="BO22" s="6"/>
      <c r="BP22" s="6"/>
      <c r="BQ22" s="6"/>
      <c r="BR22" s="6"/>
      <c r="BV22" s="14"/>
    </row>
    <row r="23" spans="1:74" x14ac:dyDescent="0.2">
      <c r="A23" s="10">
        <f t="shared" si="0"/>
        <v>36296.499999999956</v>
      </c>
      <c r="B23" s="10"/>
      <c r="C23" s="10"/>
      <c r="E23" s="11"/>
      <c r="F23" s="11"/>
      <c r="G23" s="11"/>
      <c r="H23" s="11"/>
      <c r="I23" s="11"/>
      <c r="J23" s="11"/>
      <c r="K23" s="11"/>
      <c r="L23" s="1">
        <f>$O23/3/'Prices&amp;Fuel'!$H23</f>
        <v>325.08602150537632</v>
      </c>
      <c r="M23" s="1">
        <f>$O23/3/'Prices&amp;Fuel'!$H23</f>
        <v>325.08602150537632</v>
      </c>
      <c r="N23" s="1">
        <f>$O23/3/'Prices&amp;Fuel'!$H23</f>
        <v>325.08602150537632</v>
      </c>
      <c r="O23" s="1">
        <v>30233</v>
      </c>
      <c r="P23" s="1">
        <f t="shared" si="16"/>
        <v>20000</v>
      </c>
      <c r="Q23" s="1">
        <f t="shared" si="17"/>
        <v>10233</v>
      </c>
      <c r="R23" s="1">
        <f t="shared" si="18"/>
        <v>0</v>
      </c>
      <c r="S23" s="11">
        <f>'Prices&amp;Fuel'!B23</f>
        <v>2.2999999999999998</v>
      </c>
      <c r="T23" s="11">
        <f>'Prices&amp;Fuel'!C23</f>
        <v>2.35</v>
      </c>
      <c r="U23" s="11">
        <f>'Prices&amp;Fuel'!D23</f>
        <v>2.2999999999999998</v>
      </c>
      <c r="V23" s="1">
        <f t="shared" si="19"/>
        <v>5437.28</v>
      </c>
      <c r="W23" s="11">
        <f t="shared" si="20"/>
        <v>2.4965125304578879</v>
      </c>
      <c r="X23" s="11">
        <f t="shared" si="21"/>
        <v>2.3316666666666666</v>
      </c>
      <c r="Y23" s="1">
        <f>((L23*S23+M23*T23+N23*U23)*'Prices&amp;Fuel'!H23)+V23</f>
        <v>75477.063333333324</v>
      </c>
      <c r="Z23" s="1">
        <v>13155</v>
      </c>
      <c r="AA23" s="1">
        <f>(W23-X23)*Z23/(1-'Prices&amp;Fuel'!F23)</f>
        <v>2235.6158125500174</v>
      </c>
      <c r="AB23" s="1">
        <f t="shared" si="22"/>
        <v>72728.894145883358</v>
      </c>
      <c r="AC23" s="1">
        <f t="shared" si="23"/>
        <v>2748.1691874499666</v>
      </c>
      <c r="AD23" s="1"/>
      <c r="AE23" s="1"/>
      <c r="AF23" s="1"/>
      <c r="AG23" s="11"/>
      <c r="AH23" s="1"/>
      <c r="AI23" s="1"/>
      <c r="AJ23" s="1"/>
      <c r="AK23" s="1">
        <v>97</v>
      </c>
      <c r="AL23" s="1">
        <f t="shared" si="15"/>
        <v>97</v>
      </c>
      <c r="AM23" s="1">
        <f t="shared" si="15"/>
        <v>97</v>
      </c>
      <c r="AN23" s="11">
        <f>(('Prices&amp;Fuel'!$B23*AK23+'Prices&amp;Fuel'!$C23*AL23+'Prices&amp;Fuel'!$D23*AM23)/(AK23+AL23+AM23))+0.03+0.015</f>
        <v>2.3616666666666664</v>
      </c>
      <c r="AO23" s="1">
        <f>(AK23+AL23+AM23)*AN23*'Prices&amp;Fuel'!H23</f>
        <v>21304.594999999998</v>
      </c>
      <c r="AP23" s="1">
        <f>(('Prices&amp;Fuel'!$B23+0.015)*AK23+('Prices&amp;Fuel'!$C23+0.015)*AL23+('Prices&amp;Fuel'!$D23+0.015)*AM23)*'Prices&amp;Fuel'!H23</f>
        <v>21033.965000000004</v>
      </c>
      <c r="AQ23" s="1">
        <f t="shared" si="24"/>
        <v>270.62999999999374</v>
      </c>
      <c r="AR23" s="13">
        <f t="shared" si="25"/>
        <v>96781.658333333326</v>
      </c>
      <c r="AS23" s="1">
        <f>(B23+C23+D23+L23+M23+N23+((AD23+AE23+AF23)*(1-'Prices&amp;Fuel'!F23))+AK23+AL23+AM23)*0.005*'Prices&amp;Fuel'!H23</f>
        <v>196.26999999999998</v>
      </c>
      <c r="AT23" s="1">
        <f t="shared" si="26"/>
        <v>93959.129145883358</v>
      </c>
      <c r="AU23" s="13">
        <f t="shared" si="27"/>
        <v>2822.5291874499671</v>
      </c>
      <c r="AV23" s="29">
        <f>((B23+C23+D23+AK23+AL23+AM23)*0.005)*'Prices&amp;Fuel'!H23</f>
        <v>45.105000000000004</v>
      </c>
      <c r="AW23" s="29">
        <f>((L23+M23+N23+(AD23+AE23+AF23)*(1-'Prices&amp;Fuel'!F23))*0.005)*'Prices&amp;Fuel'!H23</f>
        <v>151.16499999999999</v>
      </c>
      <c r="AX23" s="52">
        <f t="shared" si="14"/>
        <v>196.26999999999998</v>
      </c>
      <c r="AY23" s="3">
        <f>(B23+C23+D23+L23+M23+N23+AD23+AE23+AF23+AK23+AL23+AM23)*'Prices&amp;Fuel'!H23</f>
        <v>39254</v>
      </c>
      <c r="AZ23" s="1"/>
      <c r="BA23" s="1">
        <f>(AK23+AL23+AM23)*'Prices&amp;Fuel'!H23</f>
        <v>9021</v>
      </c>
      <c r="BB23" s="1"/>
      <c r="BC23" s="1"/>
      <c r="BD23" s="1"/>
      <c r="BE23" s="13"/>
      <c r="BF23" s="13"/>
      <c r="BG23" s="13"/>
      <c r="BH23" s="13"/>
      <c r="BI23" s="13"/>
      <c r="BJ23" s="6"/>
      <c r="BK23" s="6"/>
      <c r="BL23" s="6"/>
      <c r="BM23" s="6"/>
      <c r="BN23" s="6"/>
      <c r="BO23" s="6"/>
      <c r="BP23" s="6"/>
      <c r="BQ23" s="6"/>
      <c r="BR23" s="6"/>
      <c r="BV23" s="14"/>
    </row>
    <row r="24" spans="1:74" x14ac:dyDescent="0.2">
      <c r="A24" s="10">
        <f t="shared" si="0"/>
        <v>36326.916666666621</v>
      </c>
      <c r="B24" s="10"/>
      <c r="C24" s="10"/>
      <c r="E24" s="11"/>
      <c r="F24" s="11"/>
      <c r="G24" s="11"/>
      <c r="H24" s="11"/>
      <c r="I24" s="11"/>
      <c r="J24" s="11"/>
      <c r="K24" s="11"/>
      <c r="L24" s="1">
        <f>$O24/3/'Prices&amp;Fuel'!$H24</f>
        <v>293.31111111111113</v>
      </c>
      <c r="M24" s="1">
        <f>$O24/3/'Prices&amp;Fuel'!$H24</f>
        <v>293.31111111111113</v>
      </c>
      <c r="N24" s="1">
        <f>$O24/3/'Prices&amp;Fuel'!$H24</f>
        <v>293.31111111111113</v>
      </c>
      <c r="O24" s="1">
        <v>26398</v>
      </c>
      <c r="P24" s="1">
        <f t="shared" si="16"/>
        <v>20000</v>
      </c>
      <c r="Q24" s="1">
        <f t="shared" si="17"/>
        <v>6398</v>
      </c>
      <c r="R24" s="1">
        <f t="shared" si="18"/>
        <v>0</v>
      </c>
      <c r="S24" s="11">
        <f>'Prices&amp;Fuel'!B24</f>
        <v>2.2000000000000002</v>
      </c>
      <c r="T24" s="11">
        <f>'Prices&amp;Fuel'!C24</f>
        <v>2.23</v>
      </c>
      <c r="U24" s="11">
        <f>'Prices&amp;Fuel'!D24</f>
        <v>2.21</v>
      </c>
      <c r="V24" s="1">
        <f t="shared" si="19"/>
        <v>4823.68</v>
      </c>
      <c r="W24" s="11">
        <f t="shared" si="20"/>
        <v>2.3960623279541378</v>
      </c>
      <c r="X24" s="11">
        <f t="shared" si="21"/>
        <v>2.2283333333333335</v>
      </c>
      <c r="Y24" s="1">
        <f>((L24*S24+M24*T24+N24*U24)*'Prices&amp;Fuel'!H24)+V24</f>
        <v>63251.253333333334</v>
      </c>
      <c r="Z24" s="1">
        <v>12483</v>
      </c>
      <c r="AA24" s="1">
        <f>(W24-X24)*Z24/(1-'Prices&amp;Fuel'!F24)</f>
        <v>2158.516535929381</v>
      </c>
      <c r="AB24" s="1">
        <f t="shared" si="22"/>
        <v>60982.059869262717</v>
      </c>
      <c r="AC24" s="1">
        <f t="shared" si="23"/>
        <v>2269.1934640706168</v>
      </c>
      <c r="AD24" s="1"/>
      <c r="AE24" s="1"/>
      <c r="AF24" s="1"/>
      <c r="AG24" s="11"/>
      <c r="AH24" s="1"/>
      <c r="AI24" s="1"/>
      <c r="AJ24" s="1"/>
      <c r="AK24" s="1">
        <v>82</v>
      </c>
      <c r="AL24" s="1">
        <f t="shared" si="15"/>
        <v>82</v>
      </c>
      <c r="AM24" s="1">
        <f t="shared" si="15"/>
        <v>82</v>
      </c>
      <c r="AN24" s="11">
        <f>(('Prices&amp;Fuel'!$B24*AK24+'Prices&amp;Fuel'!$C24*AL24+'Prices&amp;Fuel'!$D24*AM24)/(AK24+AL24+AM24))+0.03+0.015</f>
        <v>2.2583333333333333</v>
      </c>
      <c r="AO24" s="1">
        <f>(AK24+AL24+AM24)*AN24*'Prices&amp;Fuel'!H24</f>
        <v>16666.5</v>
      </c>
      <c r="AP24" s="1">
        <f>(('Prices&amp;Fuel'!$B24+0.015)*AK24+('Prices&amp;Fuel'!$C24+0.015)*AL24+('Prices&amp;Fuel'!$D24+0.015)*AM24)*'Prices&amp;Fuel'!H24</f>
        <v>16445.100000000002</v>
      </c>
      <c r="AQ24" s="1">
        <f t="shared" si="24"/>
        <v>221.39999999999782</v>
      </c>
      <c r="AR24" s="13">
        <f t="shared" si="25"/>
        <v>79917.753333333327</v>
      </c>
      <c r="AS24" s="1">
        <f>(B24+C24+D24+L24+M24+N24+((AD24+AE24+AF24)*(1-'Prices&amp;Fuel'!F24))+AK24+AL24+AM24)*0.005*'Prices&amp;Fuel'!H24</f>
        <v>168.89000000000001</v>
      </c>
      <c r="AT24" s="1">
        <f t="shared" si="26"/>
        <v>77596.049869262715</v>
      </c>
      <c r="AU24" s="13">
        <f t="shared" si="27"/>
        <v>2321.7034640706115</v>
      </c>
      <c r="AV24" s="29">
        <f>((B24+C24+D24+AK24+AL24+AM24)*0.005)*'Prices&amp;Fuel'!H24</f>
        <v>36.9</v>
      </c>
      <c r="AW24" s="29">
        <f>((L24+M24+N24+(AD24+AE24+AF24)*(1-'Prices&amp;Fuel'!F24))*0.005)*'Prices&amp;Fuel'!H24</f>
        <v>131.99000000000004</v>
      </c>
      <c r="AX24" s="52">
        <f t="shared" si="14"/>
        <v>168.89000000000004</v>
      </c>
      <c r="AY24" s="3">
        <f>(B24+C24+D24+L24+M24+N24+AD24+AE24+AF24+AK24+AL24+AM24)*'Prices&amp;Fuel'!H24</f>
        <v>33778</v>
      </c>
      <c r="AZ24" s="1"/>
      <c r="BA24" s="1">
        <f>(AK24+AL24+AM24)*'Prices&amp;Fuel'!H24</f>
        <v>7380</v>
      </c>
      <c r="BB24" s="1"/>
      <c r="BC24" s="1"/>
      <c r="BD24" s="1"/>
      <c r="BE24" s="1"/>
      <c r="BF24" s="1"/>
      <c r="BG24" s="1"/>
      <c r="BH24" s="1"/>
      <c r="BI24" s="1"/>
      <c r="BJ24" s="6"/>
      <c r="BK24" s="6"/>
      <c r="BL24" s="6"/>
      <c r="BM24" s="6"/>
      <c r="BN24" s="6"/>
      <c r="BO24" s="6"/>
      <c r="BP24" s="6"/>
      <c r="BQ24" s="6"/>
      <c r="BR24" s="6"/>
      <c r="BV24" s="14"/>
    </row>
    <row r="25" spans="1:74" x14ac:dyDescent="0.2">
      <c r="A25" s="10">
        <f t="shared" si="0"/>
        <v>36357.333333333285</v>
      </c>
      <c r="B25" s="10"/>
      <c r="C25" s="10"/>
      <c r="E25" s="11"/>
      <c r="F25" s="11"/>
      <c r="G25" s="11"/>
      <c r="H25" s="11"/>
      <c r="I25" s="11"/>
      <c r="J25" s="11"/>
      <c r="K25" s="11"/>
      <c r="L25" s="1">
        <f>$O25/3/'Prices&amp;Fuel'!$H25</f>
        <v>348.07526881720435</v>
      </c>
      <c r="M25" s="1">
        <f>$O25/3/'Prices&amp;Fuel'!$H25</f>
        <v>348.07526881720435</v>
      </c>
      <c r="N25" s="1">
        <f>$O25/3/'Prices&amp;Fuel'!$H25</f>
        <v>348.07526881720435</v>
      </c>
      <c r="O25" s="1">
        <v>32371</v>
      </c>
      <c r="P25" s="1">
        <f t="shared" si="16"/>
        <v>20000</v>
      </c>
      <c r="Q25" s="1">
        <f t="shared" si="17"/>
        <v>12371</v>
      </c>
      <c r="R25" s="1">
        <f t="shared" si="18"/>
        <v>0</v>
      </c>
      <c r="S25" s="11">
        <f>'Prices&amp;Fuel'!B25</f>
        <v>2.2400000000000002</v>
      </c>
      <c r="T25" s="11">
        <f>'Prices&amp;Fuel'!C25</f>
        <v>2.27</v>
      </c>
      <c r="U25" s="11">
        <f>'Prices&amp;Fuel'!D25</f>
        <v>2.2400000000000002</v>
      </c>
      <c r="V25" s="1">
        <f t="shared" si="19"/>
        <v>5779.3600000000006</v>
      </c>
      <c r="W25" s="11">
        <f t="shared" si="20"/>
        <v>2.4285351085848448</v>
      </c>
      <c r="X25" s="11">
        <f t="shared" si="21"/>
        <v>2.2650000000000001</v>
      </c>
      <c r="Y25" s="1">
        <f>((L25*S25+M25*T25+N25*U25)*'Prices&amp;Fuel'!H25)+V25</f>
        <v>78614.110000000015</v>
      </c>
      <c r="Z25" s="1">
        <v>14483</v>
      </c>
      <c r="AA25" s="1">
        <f>(W25-X25)*Z25/(1-'Prices&amp;Fuel'!F25)</f>
        <v>2441.7309047776339</v>
      </c>
      <c r="AB25" s="1">
        <f t="shared" si="22"/>
        <v>75762.045904777638</v>
      </c>
      <c r="AC25" s="1">
        <f t="shared" si="23"/>
        <v>2852.0640952223766</v>
      </c>
      <c r="AD25" s="1"/>
      <c r="AE25" s="1"/>
      <c r="AF25" s="1"/>
      <c r="AG25" s="11"/>
      <c r="AH25" s="1"/>
      <c r="AI25" s="1"/>
      <c r="AJ25" s="1"/>
      <c r="AK25" s="1">
        <v>73</v>
      </c>
      <c r="AL25" s="1">
        <f t="shared" si="15"/>
        <v>73</v>
      </c>
      <c r="AM25" s="1">
        <f t="shared" si="15"/>
        <v>73</v>
      </c>
      <c r="AN25" s="11">
        <f>(('Prices&amp;Fuel'!$B25*AK25+'Prices&amp;Fuel'!$C25*AL25+'Prices&amp;Fuel'!$D25*AM25)/(AK25+AL25+AM25))+0.03+0.015</f>
        <v>2.2949999999999999</v>
      </c>
      <c r="AO25" s="1">
        <f>(AK25+AL25+AM25)*AN25*'Prices&amp;Fuel'!H25</f>
        <v>15580.754999999999</v>
      </c>
      <c r="AP25" s="1">
        <f>(('Prices&amp;Fuel'!$B25+0.015)*AK25+('Prices&amp;Fuel'!$C25+0.015)*AL25+('Prices&amp;Fuel'!$D25+0.015)*AM25)*'Prices&amp;Fuel'!H25</f>
        <v>15377.085000000003</v>
      </c>
      <c r="AQ25" s="1">
        <f t="shared" si="24"/>
        <v>203.66999999999643</v>
      </c>
      <c r="AR25" s="13">
        <f t="shared" si="25"/>
        <v>94194.86500000002</v>
      </c>
      <c r="AS25" s="1">
        <f>(B25+C25+D25+L25+M25+N25+((AD25+AE25+AF25)*(1-'Prices&amp;Fuel'!F25))+AK25+AL25+AM25)*0.005*'Prices&amp;Fuel'!H25</f>
        <v>195.80000000000004</v>
      </c>
      <c r="AT25" s="1">
        <f t="shared" si="26"/>
        <v>91334.930904777648</v>
      </c>
      <c r="AU25" s="13">
        <f t="shared" si="27"/>
        <v>2859.934095222372</v>
      </c>
      <c r="AV25" s="29">
        <f>((B25+C25+D25+AK25+AL25+AM25)*0.005)*'Prices&amp;Fuel'!H25</f>
        <v>33.945</v>
      </c>
      <c r="AW25" s="29">
        <f>((L25+M25+N25+(AD25+AE25+AF25)*(1-'Prices&amp;Fuel'!F25))*0.005)*'Prices&amp;Fuel'!H25</f>
        <v>161.85500000000005</v>
      </c>
      <c r="AX25" s="52">
        <f t="shared" si="14"/>
        <v>195.80000000000004</v>
      </c>
      <c r="AY25" s="3">
        <f>(B25+C25+D25+L25+M25+N25+AD25+AE25+AF25+AK25+AL25+AM25)*'Prices&amp;Fuel'!H25</f>
        <v>39160.000000000007</v>
      </c>
      <c r="AZ25" s="1"/>
      <c r="BA25" s="1">
        <f>(AK25+AL25+AM25)*'Prices&amp;Fuel'!H25</f>
        <v>6789</v>
      </c>
      <c r="BB25" s="1"/>
      <c r="BC25" s="1"/>
      <c r="BD25" s="1"/>
      <c r="BE25" s="1"/>
      <c r="BF25" s="1"/>
      <c r="BG25" s="1"/>
      <c r="BH25" s="1"/>
      <c r="BI25" s="1"/>
      <c r="BJ25" s="6"/>
      <c r="BK25" s="6"/>
      <c r="BL25" s="6"/>
      <c r="BM25" s="6"/>
      <c r="BN25" s="6"/>
      <c r="BO25" s="6"/>
      <c r="BP25" s="6"/>
      <c r="BQ25" s="6"/>
      <c r="BR25" s="6"/>
      <c r="BV25" s="14"/>
    </row>
    <row r="26" spans="1:74" x14ac:dyDescent="0.2">
      <c r="A26" s="10">
        <f t="shared" si="0"/>
        <v>36387.749999999949</v>
      </c>
      <c r="B26" s="10"/>
      <c r="C26" s="10"/>
      <c r="E26" s="11"/>
      <c r="F26" s="11"/>
      <c r="G26" s="11"/>
      <c r="H26" s="11"/>
      <c r="I26" s="11"/>
      <c r="J26" s="11"/>
      <c r="K26" s="11"/>
      <c r="L26" s="1">
        <f>$O26/3/'Prices&amp;Fuel'!$H26</f>
        <v>329.02150537634407</v>
      </c>
      <c r="M26" s="1">
        <f>$O26/3/'Prices&amp;Fuel'!$H26</f>
        <v>329.02150537634407</v>
      </c>
      <c r="N26" s="1">
        <f>$O26/3/'Prices&amp;Fuel'!$H26</f>
        <v>329.02150537634407</v>
      </c>
      <c r="O26" s="1">
        <v>30599</v>
      </c>
      <c r="P26" s="1">
        <f t="shared" si="16"/>
        <v>20000</v>
      </c>
      <c r="Q26" s="1">
        <f t="shared" si="17"/>
        <v>10599</v>
      </c>
      <c r="R26" s="1">
        <f t="shared" si="18"/>
        <v>0</v>
      </c>
      <c r="S26" s="11">
        <f>'Prices&amp;Fuel'!B26</f>
        <v>2.57</v>
      </c>
      <c r="T26" s="11">
        <f>'Prices&amp;Fuel'!C26</f>
        <v>2.61</v>
      </c>
      <c r="U26" s="11">
        <f>'Prices&amp;Fuel'!D26</f>
        <v>2.57</v>
      </c>
      <c r="V26" s="1">
        <f t="shared" si="19"/>
        <v>5495.84</v>
      </c>
      <c r="W26" s="11">
        <f t="shared" si="20"/>
        <v>2.7629418172707161</v>
      </c>
      <c r="X26" s="11">
        <f t="shared" si="21"/>
        <v>2.5983333333333332</v>
      </c>
      <c r="Y26" s="1">
        <f>((L26*S26+M26*T26+N26*U26)*'Prices&amp;Fuel'!H26)+V26</f>
        <v>84543.256666666639</v>
      </c>
      <c r="Z26" s="1">
        <v>13894</v>
      </c>
      <c r="AA26" s="1">
        <f>(W26-X26)*Z26/(1-'Prices&amp;Fuel'!F26)</f>
        <v>2357.8044080680393</v>
      </c>
      <c r="AB26" s="1">
        <f t="shared" si="22"/>
        <v>81864.206074734699</v>
      </c>
      <c r="AC26" s="1">
        <f t="shared" si="23"/>
        <v>2679.0505919319403</v>
      </c>
      <c r="AD26" s="1"/>
      <c r="AE26" s="1"/>
      <c r="AF26" s="1"/>
      <c r="AG26" s="11"/>
      <c r="AH26" s="1"/>
      <c r="AI26" s="1"/>
      <c r="AJ26" s="1"/>
      <c r="AK26" s="1">
        <v>15</v>
      </c>
      <c r="AL26" s="1">
        <f t="shared" si="15"/>
        <v>15</v>
      </c>
      <c r="AM26" s="1">
        <f t="shared" si="15"/>
        <v>15</v>
      </c>
      <c r="AN26" s="11">
        <f>(('Prices&amp;Fuel'!$B26*AK26+'Prices&amp;Fuel'!$C26*AL26+'Prices&amp;Fuel'!$D26*AM26)/(AK26+AL26+AM26))+0.03+0.015</f>
        <v>2.628333333333333</v>
      </c>
      <c r="AO26" s="1">
        <f>(AK26+AL26+AM26)*AN26*'Prices&amp;Fuel'!H26</f>
        <v>3666.5249999999992</v>
      </c>
      <c r="AP26" s="1">
        <f>(('Prices&amp;Fuel'!$B26+0.015)*AK26+('Prices&amp;Fuel'!$C26+0.015)*AL26+('Prices&amp;Fuel'!$D26+0.015)*AM26)*'Prices&amp;Fuel'!H26</f>
        <v>3624.6750000000002</v>
      </c>
      <c r="AQ26" s="1">
        <f t="shared" si="24"/>
        <v>41.849999999999</v>
      </c>
      <c r="AR26" s="13">
        <f t="shared" si="25"/>
        <v>88209.781666666633</v>
      </c>
      <c r="AS26" s="1">
        <f>(B26+C26+D26+L26+M26+N26+((AD26+AE26+AF26)*(1-'Prices&amp;Fuel'!F26))+AK26+AL26+AM26)*0.005*'Prices&amp;Fuel'!H26</f>
        <v>159.97</v>
      </c>
      <c r="AT26" s="1">
        <f t="shared" si="26"/>
        <v>85648.851074734703</v>
      </c>
      <c r="AU26" s="13">
        <f t="shared" si="27"/>
        <v>2560.9305919319304</v>
      </c>
      <c r="AV26" s="29">
        <f>((B26+C26+D26+AK26+AL26+AM26)*0.005)*'Prices&amp;Fuel'!H26</f>
        <v>6.9750000000000005</v>
      </c>
      <c r="AW26" s="29">
        <f>((L26+M26+N26+(AD26+AE26+AF26)*(1-'Prices&amp;Fuel'!F26))*0.005)*'Prices&amp;Fuel'!H26</f>
        <v>152.995</v>
      </c>
      <c r="AX26" s="52">
        <f t="shared" si="14"/>
        <v>159.97</v>
      </c>
      <c r="AY26" s="3">
        <f>(B26+C26+D26+L26+M26+N26+AD26+AE26+AF26+AK26+AL26+AM26)*'Prices&amp;Fuel'!H26</f>
        <v>31994</v>
      </c>
      <c r="AZ26" s="1"/>
      <c r="BA26" s="1">
        <f>(AK26+AL26+AM26)*'Prices&amp;Fuel'!H26</f>
        <v>1395</v>
      </c>
      <c r="BB26" s="1"/>
      <c r="BC26" s="1"/>
      <c r="BD26" s="1"/>
      <c r="BE26" s="1"/>
      <c r="BF26" s="1"/>
      <c r="BG26" s="1"/>
      <c r="BH26" s="1"/>
      <c r="BI26" s="1"/>
      <c r="BJ26" s="1"/>
      <c r="BK26" s="1"/>
      <c r="BL26" s="1"/>
      <c r="BN26" s="3"/>
      <c r="BV26" s="14"/>
    </row>
    <row r="27" spans="1:74" x14ac:dyDescent="0.2">
      <c r="A27" s="10">
        <f t="shared" si="0"/>
        <v>36418.166666666613</v>
      </c>
      <c r="B27" s="10"/>
      <c r="C27" s="10"/>
      <c r="E27" s="11"/>
      <c r="F27" s="11"/>
      <c r="G27" s="11"/>
      <c r="H27" s="11"/>
      <c r="I27" s="11"/>
      <c r="J27" s="11"/>
      <c r="K27" s="11"/>
      <c r="L27" s="1">
        <f>$O27/3/'Prices&amp;Fuel'!$H27</f>
        <v>342.23333333333335</v>
      </c>
      <c r="M27" s="1">
        <f>$O27/3/'Prices&amp;Fuel'!$H27</f>
        <v>342.23333333333335</v>
      </c>
      <c r="N27" s="1">
        <f>$O27/3/'Prices&amp;Fuel'!$H27</f>
        <v>342.23333333333335</v>
      </c>
      <c r="O27" s="1">
        <v>30801</v>
      </c>
      <c r="P27" s="1">
        <f t="shared" si="16"/>
        <v>20000</v>
      </c>
      <c r="Q27" s="1">
        <f t="shared" si="17"/>
        <v>10801</v>
      </c>
      <c r="R27" s="1">
        <f t="shared" si="18"/>
        <v>0</v>
      </c>
      <c r="S27" s="11">
        <f>'Prices&amp;Fuel'!B27</f>
        <v>2.86</v>
      </c>
      <c r="T27" s="11">
        <f>'Prices&amp;Fuel'!C27</f>
        <v>2.9</v>
      </c>
      <c r="U27" s="11">
        <f>'Prices&amp;Fuel'!D27</f>
        <v>2.86</v>
      </c>
      <c r="V27" s="1">
        <f t="shared" si="19"/>
        <v>5528.16</v>
      </c>
      <c r="W27" s="11">
        <f t="shared" si="20"/>
        <v>3.0528132203499885</v>
      </c>
      <c r="X27" s="11">
        <f t="shared" si="21"/>
        <v>2.8883333333333332</v>
      </c>
      <c r="Y27" s="1">
        <f>((L27*S27+M27*T27+N27*U27)*'Prices&amp;Fuel'!H27)+V27</f>
        <v>94029.7</v>
      </c>
      <c r="Z27" s="1">
        <v>13169</v>
      </c>
      <c r="AA27" s="1">
        <f>(W27-X27)*Z27/(1-'Prices&amp;Fuel'!F27)</f>
        <v>2233.0264248683852</v>
      </c>
      <c r="AB27" s="1">
        <f t="shared" si="22"/>
        <v>91196.581424868375</v>
      </c>
      <c r="AC27" s="1">
        <f t="shared" si="23"/>
        <v>2833.1185751316225</v>
      </c>
      <c r="AD27" s="1"/>
      <c r="AE27" s="1"/>
      <c r="AF27" s="1"/>
      <c r="AG27" s="11"/>
      <c r="AH27" s="1"/>
      <c r="AI27" s="1"/>
      <c r="AJ27" s="1"/>
      <c r="AK27" s="1">
        <v>70</v>
      </c>
      <c r="AL27" s="1">
        <f t="shared" si="15"/>
        <v>70</v>
      </c>
      <c r="AM27" s="1">
        <f t="shared" si="15"/>
        <v>70</v>
      </c>
      <c r="AN27" s="11">
        <f>(('Prices&amp;Fuel'!$B27*AK27+'Prices&amp;Fuel'!$C27*AL27+'Prices&amp;Fuel'!$D27*AM27)/(AK27+AL27+AM27))+0.03+0.015</f>
        <v>2.918333333333333</v>
      </c>
      <c r="AO27" s="1">
        <f>(AK27+AL27+AM27)*AN27*'Prices&amp;Fuel'!H27</f>
        <v>18385.499999999996</v>
      </c>
      <c r="AP27" s="1">
        <f>(('Prices&amp;Fuel'!$B27+0.015)*AK27+('Prices&amp;Fuel'!$C27+0.015)*AL27+('Prices&amp;Fuel'!$D27+0.015)*AM27)*'Prices&amp;Fuel'!H27</f>
        <v>18196.5</v>
      </c>
      <c r="AQ27" s="1">
        <f t="shared" si="24"/>
        <v>188.99999999999636</v>
      </c>
      <c r="AR27" s="13">
        <f t="shared" si="25"/>
        <v>112415.2</v>
      </c>
      <c r="AS27" s="1">
        <f>(B27+C27+D27+L27+M27+N27+((AD27+AE27+AF27)*(1-'Prices&amp;Fuel'!F27))+AK27+AL27+AM27)*0.005*'Prices&amp;Fuel'!H27</f>
        <v>185.50500000000002</v>
      </c>
      <c r="AT27" s="1">
        <f t="shared" si="26"/>
        <v>109578.58642486838</v>
      </c>
      <c r="AU27" s="13">
        <f t="shared" si="27"/>
        <v>2836.6135751316178</v>
      </c>
      <c r="AV27" s="29">
        <f>((B27+C27+D27+AK27+AL27+AM27)*0.005)*'Prices&amp;Fuel'!H27</f>
        <v>31.5</v>
      </c>
      <c r="AW27" s="29">
        <f>((L27+M27+N27+(AD27+AE27+AF27)*(1-'Prices&amp;Fuel'!F27))*0.005)*'Prices&amp;Fuel'!H27</f>
        <v>154.00500000000002</v>
      </c>
      <c r="AX27" s="52">
        <f t="shared" si="14"/>
        <v>185.50500000000002</v>
      </c>
      <c r="AY27" s="3">
        <f>(B27+C27+D27+L27+M27+N27+AD27+AE27+AF27+AK27+AL27+AM27)*'Prices&amp;Fuel'!H27</f>
        <v>37101</v>
      </c>
      <c r="AZ27" s="1"/>
      <c r="BA27" s="1">
        <f>(AK27+AL27+AM27)*'Prices&amp;Fuel'!H27</f>
        <v>6300</v>
      </c>
      <c r="BB27" s="1"/>
      <c r="BC27" s="1"/>
      <c r="BD27" s="1"/>
      <c r="BE27" s="1"/>
      <c r="BF27" s="1"/>
      <c r="BG27" s="1"/>
      <c r="BH27" s="1"/>
      <c r="BI27" s="1"/>
      <c r="BJ27" s="1"/>
      <c r="BK27" s="1"/>
      <c r="BL27" s="1"/>
      <c r="BN27" s="3"/>
      <c r="BV27" s="14"/>
    </row>
    <row r="28" spans="1:74" x14ac:dyDescent="0.2">
      <c r="A28" s="10">
        <f t="shared" si="0"/>
        <v>36448.583333333278</v>
      </c>
      <c r="B28" s="10"/>
      <c r="C28" s="10"/>
      <c r="E28" s="11"/>
      <c r="F28" s="11"/>
      <c r="G28" s="11"/>
      <c r="H28" s="11"/>
      <c r="I28" s="11"/>
      <c r="J28" s="11"/>
      <c r="K28" s="11"/>
      <c r="L28" s="1">
        <f>$O28/3/'Prices&amp;Fuel'!$H28</f>
        <v>405.69892473118279</v>
      </c>
      <c r="M28" s="1">
        <f>$O28/3/'Prices&amp;Fuel'!$H28</f>
        <v>405.69892473118279</v>
      </c>
      <c r="N28" s="1">
        <f>$O28/3/'Prices&amp;Fuel'!$H28</f>
        <v>405.69892473118279</v>
      </c>
      <c r="O28" s="1">
        <v>37730</v>
      </c>
      <c r="P28" s="1">
        <f t="shared" si="16"/>
        <v>20000</v>
      </c>
      <c r="Q28" s="1">
        <f t="shared" si="17"/>
        <v>17730</v>
      </c>
      <c r="R28" s="1">
        <f t="shared" si="18"/>
        <v>0</v>
      </c>
      <c r="S28" s="11">
        <f>'Prices&amp;Fuel'!B28</f>
        <v>2.4900000000000002</v>
      </c>
      <c r="T28" s="11">
        <f>'Prices&amp;Fuel'!C28</f>
        <v>2.5299999999999998</v>
      </c>
      <c r="U28" s="11">
        <f>'Prices&amp;Fuel'!D28</f>
        <v>2.4900000000000002</v>
      </c>
      <c r="V28" s="1">
        <f t="shared" si="19"/>
        <v>6636.8</v>
      </c>
      <c r="W28" s="11">
        <f t="shared" si="20"/>
        <v>2.67923579821539</v>
      </c>
      <c r="X28" s="11">
        <f t="shared" si="21"/>
        <v>2.5183333333333335</v>
      </c>
      <c r="Y28" s="1">
        <f>((L28*S28+M28*T28+N28*U28)*'Prices&amp;Fuel'!H28)+V28</f>
        <v>101087.56666666667</v>
      </c>
      <c r="Z28" s="1">
        <v>14442</v>
      </c>
      <c r="AA28" s="1">
        <f>(W28-X28)*Z28/(1-'Prices&amp;Fuel'!F28)</f>
        <v>2389.4636481508073</v>
      </c>
      <c r="AB28" s="1">
        <f t="shared" si="22"/>
        <v>97406.18031481748</v>
      </c>
      <c r="AC28" s="1">
        <f t="shared" si="23"/>
        <v>3681.3863518491853</v>
      </c>
      <c r="AD28" s="1"/>
      <c r="AE28" s="1"/>
      <c r="AF28" s="1"/>
      <c r="AG28" s="11"/>
      <c r="AH28" s="1"/>
      <c r="AI28" s="1"/>
      <c r="AJ28" s="1"/>
      <c r="AK28" s="1">
        <v>131</v>
      </c>
      <c r="AL28" s="1">
        <f t="shared" si="15"/>
        <v>131</v>
      </c>
      <c r="AM28" s="1">
        <f t="shared" si="15"/>
        <v>131</v>
      </c>
      <c r="AN28" s="11">
        <f>(('Prices&amp;Fuel'!$B28*AK28+'Prices&amp;Fuel'!$C28*AL28+'Prices&amp;Fuel'!$D28*AM28)/(AK28+AL28+AM28))+0.03+0.015</f>
        <v>2.5483333333333333</v>
      </c>
      <c r="AO28" s="1">
        <f>(AK28+AL28+AM28)*AN28*'Prices&amp;Fuel'!H28</f>
        <v>31046.345000000001</v>
      </c>
      <c r="AP28" s="1">
        <f>(('Prices&amp;Fuel'!$B28+0.015)*AK28+('Prices&amp;Fuel'!$C28+0.015)*AL28+('Prices&amp;Fuel'!$D28+0.015)*AM28)*'Prices&amp;Fuel'!H28</f>
        <v>30680.854999999996</v>
      </c>
      <c r="AQ28" s="1">
        <f t="shared" si="24"/>
        <v>365.49000000000524</v>
      </c>
      <c r="AR28" s="13">
        <f t="shared" si="25"/>
        <v>132133.91166666668</v>
      </c>
      <c r="AS28" s="1">
        <f>(B28+C28+D28+L28+M28+N28+((AD28+AE28+AF28)*(1-'Prices&amp;Fuel'!F28))+AK28+AL28+AM28)*0.005*'Prices&amp;Fuel'!H28</f>
        <v>249.565</v>
      </c>
      <c r="AT28" s="1">
        <f t="shared" si="26"/>
        <v>128336.60031481748</v>
      </c>
      <c r="AU28" s="13">
        <f t="shared" si="27"/>
        <v>3797.3113518492028</v>
      </c>
      <c r="AV28" s="29">
        <f>((B28+C28+D28+AK28+AL28+AM28)*0.005)*'Prices&amp;Fuel'!H28</f>
        <v>60.914999999999999</v>
      </c>
      <c r="AW28" s="29">
        <f>((L28+M28+N28+(AD28+AE28+AF28)*(1-'Prices&amp;Fuel'!F28))*0.005)*'Prices&amp;Fuel'!H28</f>
        <v>188.64999999999998</v>
      </c>
      <c r="AX28" s="52">
        <f t="shared" si="14"/>
        <v>249.56499999999997</v>
      </c>
      <c r="AY28" s="3">
        <f>(B28+C28+D28+L28+M28+N28+AD28+AE28+AF28+AK28+AL28+AM28)*'Prices&amp;Fuel'!H28</f>
        <v>49913</v>
      </c>
      <c r="AZ28" s="1"/>
      <c r="BA28" s="1">
        <f>(AK28+AL28+AM28)*'Prices&amp;Fuel'!H28</f>
        <v>12183</v>
      </c>
      <c r="BB28" s="1"/>
      <c r="BC28" s="1"/>
      <c r="BD28" s="1"/>
      <c r="BE28" s="1"/>
      <c r="BF28" s="1"/>
      <c r="BG28" s="1"/>
      <c r="BH28" s="1"/>
      <c r="BI28" s="1"/>
      <c r="BJ28" s="1"/>
      <c r="BK28" s="1"/>
      <c r="BL28" s="1"/>
      <c r="BN28" s="3"/>
      <c r="BV28" s="14"/>
    </row>
    <row r="29" spans="1:74" x14ac:dyDescent="0.2">
      <c r="A29" s="10">
        <f t="shared" si="0"/>
        <v>36478.999999999942</v>
      </c>
      <c r="B29" s="10"/>
      <c r="C29" s="10"/>
      <c r="E29" s="11"/>
      <c r="F29" s="11"/>
      <c r="G29" s="11"/>
      <c r="H29" s="11"/>
      <c r="I29" s="11"/>
      <c r="J29" s="11"/>
      <c r="K29" s="11"/>
      <c r="N29" s="1"/>
      <c r="O29" s="1"/>
      <c r="P29" s="1"/>
      <c r="Q29" s="1"/>
      <c r="R29" s="1"/>
      <c r="S29" s="11"/>
      <c r="Y29" s="1"/>
      <c r="Z29" s="1"/>
      <c r="AA29" s="1"/>
      <c r="AB29" s="1"/>
      <c r="AC29" s="1"/>
      <c r="AD29" s="1"/>
      <c r="AE29" s="1"/>
      <c r="AF29" s="1"/>
      <c r="AG29" s="11"/>
      <c r="AH29" s="1"/>
      <c r="AI29" s="1"/>
      <c r="AJ29" s="1"/>
      <c r="AK29" s="1">
        <v>59</v>
      </c>
      <c r="AL29" s="1">
        <f t="shared" si="15"/>
        <v>59</v>
      </c>
      <c r="AM29" s="1">
        <f t="shared" si="15"/>
        <v>59</v>
      </c>
      <c r="AN29" s="11">
        <f>(('Prices&amp;Fuel'!$B29*AK29+'Prices&amp;Fuel'!$C29*AL29+'Prices&amp;Fuel'!$D29*AM29)/(AK29+AL29+AM29))+0.03+0.015</f>
        <v>3.0383333333333331</v>
      </c>
      <c r="AO29" s="1">
        <f>(AK29+AL29+AM29)*AN29*'Prices&amp;Fuel'!H29</f>
        <v>16133.55</v>
      </c>
      <c r="AP29" s="1">
        <f>(('Prices&amp;Fuel'!$B29+0.015)*AK29+('Prices&amp;Fuel'!$C29+0.015)*AL29+('Prices&amp;Fuel'!$D29+0.015)*AM29)*'Prices&amp;Fuel'!H29</f>
        <v>15974.25</v>
      </c>
      <c r="AQ29" s="1">
        <f t="shared" si="24"/>
        <v>159.29999999999927</v>
      </c>
      <c r="AR29" s="13">
        <f t="shared" si="25"/>
        <v>16133.55</v>
      </c>
      <c r="AS29" s="1">
        <f>(B29+C29+D29+L29+M29+N29+((AD29+AE29+AF29)*(1-'Prices&amp;Fuel'!F29))+AK29+AL29+AM29)*0.005*'Prices&amp;Fuel'!H29</f>
        <v>26.55</v>
      </c>
      <c r="AT29" s="1">
        <f t="shared" si="26"/>
        <v>16000.8</v>
      </c>
      <c r="AU29" s="13">
        <f t="shared" si="27"/>
        <v>132.75</v>
      </c>
      <c r="AV29" s="29">
        <f>((B29+C29+D29+AK29+AL29+AM29)*0.005)*'Prices&amp;Fuel'!H29</f>
        <v>26.55</v>
      </c>
      <c r="AW29" s="29">
        <f>((L29+M29+N29+(AD29+AE29+AF29)*(1-'Prices&amp;Fuel'!F29))*0.005)*'Prices&amp;Fuel'!H29</f>
        <v>0</v>
      </c>
      <c r="AX29" s="52">
        <f t="shared" si="14"/>
        <v>26.55</v>
      </c>
      <c r="AY29" s="3">
        <f>(B29+C29+D29+L29+M29+N29+AD29+AE29+AF29+AK29+AL29+AM29)*'Prices&amp;Fuel'!H29</f>
        <v>5310</v>
      </c>
      <c r="AZ29" s="1"/>
      <c r="BA29" s="1">
        <f>(AK29+AL29+AM29)*'Prices&amp;Fuel'!H29</f>
        <v>5310</v>
      </c>
      <c r="BB29" s="1"/>
      <c r="BC29" s="1"/>
      <c r="BD29" s="1"/>
      <c r="BE29" s="1"/>
      <c r="BF29" s="13"/>
      <c r="BG29" s="1"/>
      <c r="BH29" s="1"/>
      <c r="BI29" s="13"/>
      <c r="BJ29" s="13"/>
      <c r="BK29" s="13"/>
      <c r="BL29" s="13"/>
      <c r="BN29" s="3"/>
      <c r="BV29" s="14"/>
    </row>
    <row r="30" spans="1:74" x14ac:dyDescent="0.2">
      <c r="A30" s="10">
        <f t="shared" si="0"/>
        <v>36509.416666666606</v>
      </c>
      <c r="B30" s="10"/>
      <c r="C30" s="10"/>
      <c r="E30" s="11"/>
      <c r="F30" s="11"/>
      <c r="G30" s="11"/>
      <c r="H30" s="11"/>
      <c r="I30" s="11"/>
      <c r="J30" s="11"/>
      <c r="K30" s="11"/>
      <c r="N30" s="1"/>
      <c r="O30" s="1"/>
      <c r="P30" s="1"/>
      <c r="Q30" s="1"/>
      <c r="R30" s="1"/>
      <c r="S30" s="11"/>
      <c r="Y30" s="1"/>
      <c r="Z30" s="1"/>
      <c r="AA30" s="1"/>
      <c r="AB30" s="1"/>
      <c r="AC30" s="1"/>
      <c r="AD30" s="1"/>
      <c r="AE30" s="1"/>
      <c r="AF30" s="1"/>
      <c r="AG30" s="11"/>
      <c r="AH30" s="1"/>
      <c r="AI30" s="1"/>
      <c r="AJ30" s="1"/>
      <c r="AK30" s="1">
        <v>93</v>
      </c>
      <c r="AL30" s="1">
        <f t="shared" si="15"/>
        <v>93</v>
      </c>
      <c r="AM30" s="1">
        <f t="shared" si="15"/>
        <v>93</v>
      </c>
      <c r="AN30" s="11">
        <f>(('Prices&amp;Fuel'!$B30*AK30+'Prices&amp;Fuel'!$C30*AL30+'Prices&amp;Fuel'!$D30*AM30)/(AK30+AL30+AM30))+0.03+0.015</f>
        <v>2.1583333333333337</v>
      </c>
      <c r="AO30" s="1">
        <f>(AK30+AL30+AM30)*AN30*'Prices&amp;Fuel'!H30</f>
        <v>18667.425000000003</v>
      </c>
      <c r="AP30" s="1">
        <f>(('Prices&amp;Fuel'!$B30+0.015)*AK30+('Prices&amp;Fuel'!$C30+0.015)*AL30+('Prices&amp;Fuel'!$D30+0.015)*AM30)*'Prices&amp;Fuel'!H30</f>
        <v>18407.955000000002</v>
      </c>
      <c r="AQ30" s="1">
        <f t="shared" si="24"/>
        <v>259.47000000000116</v>
      </c>
      <c r="AR30" s="13">
        <f t="shared" si="25"/>
        <v>18667.425000000003</v>
      </c>
      <c r="AS30" s="1">
        <f>(B30+C30+D30+L30+M30+N30+((AD30+AE30+AF30)*(1-'Prices&amp;Fuel'!F30))+AK30+AL30+AM30)*0.005*'Prices&amp;Fuel'!H30</f>
        <v>43.244999999999997</v>
      </c>
      <c r="AT30" s="1">
        <f t="shared" si="26"/>
        <v>18451.2</v>
      </c>
      <c r="AU30" s="13">
        <f t="shared" si="27"/>
        <v>216.22500000000218</v>
      </c>
      <c r="AV30" s="29">
        <f>((B30+C30+D30+AK30+AL30+AM30)*0.005)*'Prices&amp;Fuel'!H30</f>
        <v>43.244999999999997</v>
      </c>
      <c r="AW30" s="29">
        <f>((L30+M30+N30+(AD30+AE30+AF30)*(1-'Prices&amp;Fuel'!F30))*0.005)*'Prices&amp;Fuel'!H30</f>
        <v>0</v>
      </c>
      <c r="AX30" s="52">
        <f t="shared" si="14"/>
        <v>43.244999999999997</v>
      </c>
      <c r="AY30" s="3">
        <f>(B30+C30+D30+L30+M30+N30+AD30+AE30+AF30+AK30+AL30+AM30)*'Prices&amp;Fuel'!H30</f>
        <v>8649</v>
      </c>
      <c r="AZ30" s="1">
        <f>SUM(AY19:AY30)/365</f>
        <v>1390.1561643835616</v>
      </c>
      <c r="BA30" s="1">
        <f>(AK30+AL30+AM30)*'Prices&amp;Fuel'!H30</f>
        <v>8649</v>
      </c>
      <c r="BB30" s="1"/>
      <c r="BC30" s="1"/>
      <c r="BD30" s="1"/>
      <c r="BE30" s="1"/>
      <c r="BF30" s="13"/>
      <c r="BG30" s="1"/>
      <c r="BH30" s="1"/>
      <c r="BI30" s="13"/>
      <c r="BJ30" s="13"/>
      <c r="BK30" s="13"/>
      <c r="BL30" s="13"/>
      <c r="BN30" s="3"/>
      <c r="BV30" s="14"/>
    </row>
    <row r="31" spans="1:74" x14ac:dyDescent="0.2">
      <c r="A31" s="10">
        <f t="shared" si="0"/>
        <v>36539.83333333327</v>
      </c>
      <c r="B31" s="10"/>
      <c r="C31" s="10"/>
      <c r="E31" s="11"/>
      <c r="F31" s="11"/>
      <c r="G31" s="11"/>
      <c r="H31" s="11"/>
      <c r="I31" s="11"/>
      <c r="J31" s="11"/>
      <c r="K31" s="11"/>
      <c r="N31" s="1"/>
      <c r="O31" s="1"/>
      <c r="P31" s="1"/>
      <c r="Q31" s="1"/>
      <c r="R31" s="1"/>
      <c r="S31" s="11"/>
      <c r="Y31" s="12"/>
      <c r="Z31" s="1"/>
      <c r="AA31" s="12"/>
      <c r="AB31" s="12"/>
      <c r="AC31" s="1"/>
      <c r="AD31" s="1"/>
      <c r="AE31" s="1"/>
      <c r="AF31" s="1"/>
      <c r="AG31" s="11"/>
      <c r="AH31" s="1"/>
      <c r="AI31" s="1"/>
      <c r="AJ31" s="1"/>
      <c r="AK31" s="1">
        <v>108</v>
      </c>
      <c r="AL31" s="1">
        <f t="shared" si="15"/>
        <v>108</v>
      </c>
      <c r="AM31" s="1">
        <f t="shared" si="15"/>
        <v>108</v>
      </c>
      <c r="AN31" s="11">
        <f>(('Prices&amp;Fuel'!$B31*AK31+'Prices&amp;Fuel'!$C31*AL31+'Prices&amp;Fuel'!$D31*AM31)/(AK31+AL31+AM31))+0.03+0.015</f>
        <v>2.3683333333333332</v>
      </c>
      <c r="AO31" s="1">
        <f>(AK31+AL31+AM31)*AN31*'Prices&amp;Fuel'!H31</f>
        <v>23787.539999999997</v>
      </c>
      <c r="AP31" s="1">
        <f>(('Prices&amp;Fuel'!$B31+0.015)*AK31+('Prices&amp;Fuel'!$C31+0.015)*AL31+('Prices&amp;Fuel'!$D31+0.015)*AM31)*'Prices&amp;Fuel'!H31</f>
        <v>23486.220000000005</v>
      </c>
      <c r="AQ31" s="1">
        <f t="shared" si="24"/>
        <v>301.31999999999243</v>
      </c>
      <c r="AR31" s="13">
        <f t="shared" si="25"/>
        <v>23787.539999999997</v>
      </c>
      <c r="AS31" s="1">
        <f>(B31+C31+D31+L31+M31+N31+((AD31+AE31+AF31)*(1-'Prices&amp;Fuel'!F31))+AK31+AL31+AM31)*0.005*'Prices&amp;Fuel'!H31</f>
        <v>50.220000000000006</v>
      </c>
      <c r="AT31" s="1">
        <f t="shared" si="26"/>
        <v>23536.440000000006</v>
      </c>
      <c r="AU31" s="13">
        <f t="shared" si="27"/>
        <v>251.09999999999127</v>
      </c>
      <c r="AV31" s="29">
        <f>((B31+C31+D31+AK31+AL31+AM31)*0.005)*'Prices&amp;Fuel'!H31</f>
        <v>50.220000000000006</v>
      </c>
      <c r="AW31" s="29">
        <f>((L31+M31+N31+(AD31+AE31+AF31)*(1-'Prices&amp;Fuel'!F31))*0.005)*'Prices&amp;Fuel'!H31</f>
        <v>0</v>
      </c>
      <c r="AX31" s="52">
        <f t="shared" si="14"/>
        <v>50.220000000000006</v>
      </c>
      <c r="AY31" s="3">
        <f>(B31+C31+D31+L31+M31+N31+AD31+AE31+AF31+AK31+AL31+AM31)*'Prices&amp;Fuel'!H31</f>
        <v>10044</v>
      </c>
      <c r="AZ31" s="1"/>
      <c r="BA31" s="1">
        <f>(AK31+AL31+AM31)*'Prices&amp;Fuel'!H31</f>
        <v>10044</v>
      </c>
      <c r="BB31" s="1"/>
      <c r="BC31" s="1"/>
      <c r="BE31" s="1"/>
      <c r="BF31" s="13"/>
      <c r="BG31" s="1"/>
      <c r="BH31" s="1"/>
      <c r="BI31" s="13"/>
      <c r="BJ31" s="13"/>
      <c r="BK31" s="13"/>
      <c r="BL31" s="13"/>
      <c r="BN31" s="3"/>
      <c r="BV31" s="14"/>
    </row>
    <row r="32" spans="1:74" x14ac:dyDescent="0.2">
      <c r="A32" s="10">
        <f t="shared" si="0"/>
        <v>36570.249999999935</v>
      </c>
      <c r="B32" s="10"/>
      <c r="C32" s="10"/>
      <c r="E32" s="11"/>
      <c r="F32" s="11"/>
      <c r="G32" s="11"/>
      <c r="H32" s="11"/>
      <c r="I32" s="11"/>
      <c r="J32" s="11"/>
      <c r="K32" s="11"/>
      <c r="N32" s="1"/>
      <c r="O32" s="1"/>
      <c r="P32" s="1"/>
      <c r="Q32" s="1"/>
      <c r="R32" s="1"/>
      <c r="S32" s="11"/>
      <c r="Y32" s="12"/>
      <c r="Z32" s="1"/>
      <c r="AA32" s="12"/>
      <c r="AB32" s="12"/>
      <c r="AC32" s="12"/>
      <c r="AD32" s="1"/>
      <c r="AE32" s="1"/>
      <c r="AF32" s="1"/>
      <c r="AG32" s="11"/>
      <c r="AH32" s="1"/>
      <c r="AI32" s="1"/>
      <c r="AJ32" s="1"/>
      <c r="AK32" s="1">
        <v>184</v>
      </c>
      <c r="AL32" s="1">
        <f t="shared" si="15"/>
        <v>184</v>
      </c>
      <c r="AM32" s="1">
        <f t="shared" si="15"/>
        <v>184</v>
      </c>
      <c r="AN32" s="11">
        <f>(('Prices&amp;Fuel'!$B32*AK32+'Prices&amp;Fuel'!$C32*AL32+'Prices&amp;Fuel'!$D32*AM32)/(AK32+AL32+AM32))+0.03+0.015</f>
        <v>2.6383333333333332</v>
      </c>
      <c r="AO32" s="1">
        <f>(AK32+AL32+AM32)*AN32*'Prices&amp;Fuel'!H32</f>
        <v>42234.439999999995</v>
      </c>
      <c r="AP32" s="1">
        <f>(('Prices&amp;Fuel'!$B32+0.015)*AK32+('Prices&amp;Fuel'!$C32+0.015)*AL32+('Prices&amp;Fuel'!$D32+0.015)*AM32)*'Prices&amp;Fuel'!H32</f>
        <v>41754.200000000004</v>
      </c>
      <c r="AQ32" s="1">
        <f t="shared" si="24"/>
        <v>480.23999999999069</v>
      </c>
      <c r="AR32" s="13">
        <f t="shared" si="25"/>
        <v>42234.439999999995</v>
      </c>
      <c r="AS32" s="1">
        <f>(B32+C32+D32+L32+M32+N32+((AD32+AE32+AF32)*(1-'Prices&amp;Fuel'!F32))+AK32+AL32+AM32)*0.005*'Prices&amp;Fuel'!H32</f>
        <v>80.040000000000006</v>
      </c>
      <c r="AT32" s="1">
        <f t="shared" si="26"/>
        <v>41834.240000000005</v>
      </c>
      <c r="AU32" s="13">
        <f t="shared" si="27"/>
        <v>400.19999999998981</v>
      </c>
      <c r="AV32" s="29">
        <f>((B32+C32+D32+AK32+AL32+AM32)*0.005)*'Prices&amp;Fuel'!H32</f>
        <v>80.040000000000006</v>
      </c>
      <c r="AW32" s="29">
        <f>((L32+M32+N32+(AD32+AE32+AF32)*(1-'Prices&amp;Fuel'!F32))*0.005)*'Prices&amp;Fuel'!H32</f>
        <v>0</v>
      </c>
      <c r="AX32" s="52">
        <f t="shared" si="14"/>
        <v>80.040000000000006</v>
      </c>
      <c r="AY32" s="3">
        <f>(B32+C32+D32+L32+M32+N32+AD32+AE32+AF32+AK32+AL32+AM32)*'Prices&amp;Fuel'!H32</f>
        <v>16008</v>
      </c>
      <c r="AZ32" s="1"/>
      <c r="BA32" s="1">
        <f>(AK32+AL32+AM32)*'Prices&amp;Fuel'!H32</f>
        <v>16008</v>
      </c>
      <c r="BB32" s="1"/>
      <c r="BC32" s="1"/>
      <c r="BE32" s="1"/>
      <c r="BG32" s="1"/>
      <c r="BH32" s="1"/>
      <c r="BN32" s="3"/>
      <c r="BV32" s="14"/>
    </row>
    <row r="33" spans="1:74" x14ac:dyDescent="0.2">
      <c r="A33" s="10">
        <f t="shared" si="0"/>
        <v>36600.666666666599</v>
      </c>
      <c r="B33" s="10"/>
      <c r="C33" s="10"/>
      <c r="E33" s="11"/>
      <c r="F33" s="11"/>
      <c r="G33" s="11"/>
      <c r="H33" s="11"/>
      <c r="I33" s="11"/>
      <c r="J33" s="11"/>
      <c r="K33" s="11"/>
      <c r="N33" s="1"/>
      <c r="O33" s="1"/>
      <c r="P33" s="1"/>
      <c r="Q33" s="1"/>
      <c r="R33" s="1"/>
      <c r="S33" s="11"/>
      <c r="Y33" s="12"/>
      <c r="Z33" s="1"/>
      <c r="AA33" s="12"/>
      <c r="AB33" s="12"/>
      <c r="AC33" s="12"/>
      <c r="AD33" s="1"/>
      <c r="AE33" s="1"/>
      <c r="AF33" s="1"/>
      <c r="AG33" s="11"/>
      <c r="AH33" s="1"/>
      <c r="AI33" s="1"/>
      <c r="AJ33" s="1"/>
      <c r="AK33" s="1">
        <v>120</v>
      </c>
      <c r="AL33" s="1">
        <f t="shared" si="15"/>
        <v>120</v>
      </c>
      <c r="AM33" s="1">
        <f t="shared" si="15"/>
        <v>120</v>
      </c>
      <c r="AN33" s="11">
        <f>(('Prices&amp;Fuel'!$B33*AK33+'Prices&amp;Fuel'!$C33*AL33+'Prices&amp;Fuel'!$D33*AM33)/(AK33+AL33+AM33))+0.03+0.015</f>
        <v>2.6349999999999998</v>
      </c>
      <c r="AO33" s="1">
        <f>(AK33+AL33+AM33)*AN33*'Prices&amp;Fuel'!H33</f>
        <v>29406.6</v>
      </c>
      <c r="AP33" s="1">
        <f>(('Prices&amp;Fuel'!$B33+0.015)*AK33+('Prices&amp;Fuel'!$C33+0.015)*AL33+('Prices&amp;Fuel'!$D33+0.015)*AM33)*'Prices&amp;Fuel'!H33</f>
        <v>29071.800000000007</v>
      </c>
      <c r="AQ33" s="1">
        <f t="shared" si="24"/>
        <v>334.799999999992</v>
      </c>
      <c r="AR33" s="13">
        <f t="shared" si="25"/>
        <v>29406.6</v>
      </c>
      <c r="AS33" s="1">
        <f>(B33+C33+D33+L33+M33+N33+((AD33+AE33+AF33)*(1-'Prices&amp;Fuel'!F33))+AK33+AL33+AM33)*0.005*'Prices&amp;Fuel'!H33</f>
        <v>55.800000000000004</v>
      </c>
      <c r="AT33" s="1">
        <f t="shared" si="26"/>
        <v>29127.600000000006</v>
      </c>
      <c r="AU33" s="13">
        <f t="shared" si="27"/>
        <v>278.99999999999272</v>
      </c>
      <c r="AV33" s="29">
        <f>((B33+C33+D33+AK33+AL33+AM33)*0.005)*'Prices&amp;Fuel'!H33</f>
        <v>55.800000000000004</v>
      </c>
      <c r="AW33" s="29">
        <f>((L33+M33+N33+(AD33+AE33+AF33)*(1-'Prices&amp;Fuel'!F33))*0.005)*'Prices&amp;Fuel'!H33</f>
        <v>0</v>
      </c>
      <c r="AX33" s="52">
        <f t="shared" si="14"/>
        <v>55.800000000000004</v>
      </c>
      <c r="AY33" s="3">
        <f>(B33+C33+D33+L33+M33+N33+AD33+AE33+AF33+AK33+AL33+AM33)*'Prices&amp;Fuel'!H33</f>
        <v>11160</v>
      </c>
      <c r="AZ33" s="1"/>
      <c r="BA33" s="1">
        <f>(AK33+AL33+AM33)*'Prices&amp;Fuel'!H33</f>
        <v>11160</v>
      </c>
      <c r="BB33" s="1"/>
      <c r="BC33" s="1"/>
      <c r="BE33" s="1"/>
      <c r="BG33" s="1"/>
      <c r="BH33" s="1"/>
      <c r="BN33" s="3"/>
      <c r="BV33" s="14"/>
    </row>
    <row r="34" spans="1:74" x14ac:dyDescent="0.2">
      <c r="A34" s="10">
        <f t="shared" si="0"/>
        <v>36631.083333333263</v>
      </c>
      <c r="B34" s="10"/>
      <c r="C34" s="10"/>
      <c r="E34" s="11"/>
      <c r="F34" s="11"/>
      <c r="G34" s="11"/>
      <c r="H34" s="11"/>
      <c r="I34" s="11"/>
      <c r="J34" s="11"/>
      <c r="K34" s="11"/>
      <c r="N34" s="1"/>
      <c r="O34" s="1"/>
      <c r="P34" s="1"/>
      <c r="Q34" s="1"/>
      <c r="R34" s="1"/>
      <c r="S34" s="11"/>
      <c r="Y34" s="12"/>
      <c r="Z34" s="1"/>
      <c r="AA34" s="12"/>
      <c r="AB34" s="12"/>
      <c r="AC34" s="12"/>
      <c r="AD34" s="1"/>
      <c r="AE34" s="1"/>
      <c r="AF34" s="1"/>
      <c r="AG34" s="11"/>
      <c r="AH34" s="1"/>
      <c r="AI34" s="1"/>
      <c r="AJ34" s="1"/>
      <c r="AK34" s="1">
        <v>125</v>
      </c>
      <c r="AL34" s="1">
        <f t="shared" si="15"/>
        <v>125</v>
      </c>
      <c r="AM34" s="1">
        <f t="shared" si="15"/>
        <v>125</v>
      </c>
      <c r="AN34" s="11">
        <f>(('Prices&amp;Fuel'!$B34*AK34+'Prices&amp;Fuel'!$C34*AL34+'Prices&amp;Fuel'!$D34*AM34)/(AK34+AL34+AM34))+0.03+0.015</f>
        <v>2.9049999999999998</v>
      </c>
      <c r="AO34" s="1">
        <f>(AK34+AL34+AM34)*AN34*'Prices&amp;Fuel'!H34</f>
        <v>32681.25</v>
      </c>
      <c r="AP34" s="1">
        <f>(('Prices&amp;Fuel'!$B34+0.015)*AK34+('Prices&amp;Fuel'!$C34+0.015)*AL34+('Prices&amp;Fuel'!$D34+0.015)*AM34)*'Prices&amp;Fuel'!H34</f>
        <v>32343.75</v>
      </c>
      <c r="AQ34" s="1">
        <f t="shared" si="24"/>
        <v>337.5</v>
      </c>
      <c r="AR34" s="13">
        <f t="shared" si="25"/>
        <v>32681.25</v>
      </c>
      <c r="AS34" s="1">
        <f>(B34+C34+D34+L34+M34+N34+((AD34+AE34+AF34)*(1-'Prices&amp;Fuel'!F34))+AK34+AL34+AM34)*0.005*'Prices&amp;Fuel'!H34</f>
        <v>56.25</v>
      </c>
      <c r="AT34" s="1">
        <f t="shared" si="26"/>
        <v>32400</v>
      </c>
      <c r="AU34" s="13">
        <f t="shared" si="27"/>
        <v>281.25</v>
      </c>
      <c r="AV34" s="29">
        <f>((B34+C34+D34+AK34+AL34+AM34)*0.005)*'Prices&amp;Fuel'!H34</f>
        <v>56.25</v>
      </c>
      <c r="AW34" s="29">
        <f>((L34+M34+N34+(AD34+AE34+AF34)*(1-'Prices&amp;Fuel'!F34))*0.005)*'Prices&amp;Fuel'!H34</f>
        <v>0</v>
      </c>
      <c r="AX34" s="52">
        <f t="shared" si="14"/>
        <v>56.25</v>
      </c>
      <c r="AY34" s="3">
        <f>(B34+C34+D34+L34+M34+N34+AD34+AE34+AF34+AK34+AL34+AM34)*'Prices&amp;Fuel'!H34</f>
        <v>11250</v>
      </c>
      <c r="AZ34" s="1"/>
      <c r="BA34" s="1">
        <f>(AK34+AL34+AM34)*'Prices&amp;Fuel'!H34</f>
        <v>11250</v>
      </c>
      <c r="BB34" s="1"/>
      <c r="BC34" s="1"/>
      <c r="BE34" s="1"/>
      <c r="BG34" s="1"/>
      <c r="BH34" s="1"/>
      <c r="BN34" s="3"/>
      <c r="BV34" s="14"/>
    </row>
    <row r="35" spans="1:74" x14ac:dyDescent="0.2">
      <c r="A35" s="10">
        <f t="shared" si="0"/>
        <v>36661.499999999927</v>
      </c>
      <c r="B35" s="10"/>
      <c r="C35" s="10"/>
      <c r="E35" s="11"/>
      <c r="F35" s="11"/>
      <c r="G35" s="11"/>
      <c r="H35" s="11"/>
      <c r="I35" s="11"/>
      <c r="J35" s="11"/>
      <c r="K35" s="11"/>
      <c r="N35" s="1"/>
      <c r="O35" s="1"/>
      <c r="P35" s="1"/>
      <c r="Q35" s="1"/>
      <c r="R35" s="1"/>
      <c r="S35" s="11"/>
      <c r="Y35" s="12"/>
      <c r="Z35" s="1"/>
      <c r="AA35" s="12"/>
      <c r="AB35" s="12"/>
      <c r="AC35" s="12"/>
      <c r="AD35" s="1"/>
      <c r="AE35" s="1"/>
      <c r="AF35" s="1"/>
      <c r="AG35" s="11"/>
      <c r="AH35" s="1"/>
      <c r="AI35" s="1"/>
      <c r="AJ35" s="1"/>
      <c r="AK35" s="1">
        <v>97</v>
      </c>
      <c r="AL35" s="1">
        <f t="shared" si="15"/>
        <v>97</v>
      </c>
      <c r="AM35" s="1">
        <f t="shared" si="15"/>
        <v>97</v>
      </c>
      <c r="AN35" s="11">
        <f>(('Prices&amp;Fuel'!$B35*AK35+'Prices&amp;Fuel'!$C35*AL35+'Prices&amp;Fuel'!$D35*AM35)/(AK35+AL35+AM35))+0.03+0.015</f>
        <v>3.1016666666666666</v>
      </c>
      <c r="AO35" s="1">
        <f>(AK35+AL35+AM35)*AN35*'Prices&amp;Fuel'!H35</f>
        <v>27980.134999999998</v>
      </c>
      <c r="AP35" s="1">
        <f>(('Prices&amp;Fuel'!$B35+0.015)*AK35+('Prices&amp;Fuel'!$C35+0.015)*AL35+('Prices&amp;Fuel'!$D35+0.015)*AM35)*'Prices&amp;Fuel'!H35</f>
        <v>27709.505000000001</v>
      </c>
      <c r="AQ35" s="1">
        <f t="shared" si="24"/>
        <v>270.62999999999738</v>
      </c>
      <c r="AR35" s="13">
        <f t="shared" si="25"/>
        <v>27980.134999999998</v>
      </c>
      <c r="AS35" s="1">
        <f>(B35+C35+D35+L35+M35+N35+((AD35+AE35+AF35)*(1-'Prices&amp;Fuel'!F35))+AK35+AL35+AM35)*0.005*'Prices&amp;Fuel'!H35</f>
        <v>45.105000000000004</v>
      </c>
      <c r="AT35" s="1">
        <f t="shared" si="26"/>
        <v>27754.61</v>
      </c>
      <c r="AU35" s="13">
        <f t="shared" si="27"/>
        <v>225.52499999999782</v>
      </c>
      <c r="AV35" s="29">
        <f>((B35+C35+D35+AK35+AL35+AM35)*0.005)*'Prices&amp;Fuel'!H35</f>
        <v>45.105000000000004</v>
      </c>
      <c r="AW35" s="29">
        <f>((L35+M35+N35+(AD35+AE35+AF35)*(1-'Prices&amp;Fuel'!F35))*0.005)*'Prices&amp;Fuel'!H35</f>
        <v>0</v>
      </c>
      <c r="AX35" s="52">
        <f t="shared" si="14"/>
        <v>45.105000000000004</v>
      </c>
      <c r="AY35" s="3">
        <f>(B35+C35+D35+L35+M35+N35+AD35+AE35+AF35+AK35+AL35+AM35)*'Prices&amp;Fuel'!H35</f>
        <v>9021</v>
      </c>
      <c r="AZ35" s="1">
        <f>SUM(AY31:AY35)/366</f>
        <v>157.05737704918033</v>
      </c>
      <c r="BA35" s="1">
        <f>(AK35+AL35+AM35)*'Prices&amp;Fuel'!H35</f>
        <v>9021</v>
      </c>
      <c r="BB35" s="1"/>
      <c r="BC35" s="1"/>
      <c r="BE35" s="1"/>
      <c r="BG35" s="1"/>
      <c r="BH35" s="1"/>
      <c r="BN35" s="3"/>
      <c r="BV35" s="14"/>
    </row>
    <row r="36" spans="1:74" x14ac:dyDescent="0.2">
      <c r="A36" s="10">
        <f t="shared" si="0"/>
        <v>36691.916666666591</v>
      </c>
      <c r="B36" s="10"/>
      <c r="C36" s="10"/>
      <c r="E36" s="11"/>
      <c r="F36" s="11"/>
      <c r="G36" s="11"/>
      <c r="H36" s="11"/>
      <c r="I36" s="11"/>
      <c r="J36" s="11"/>
      <c r="K36" s="11"/>
      <c r="N36" s="1"/>
      <c r="O36" s="1"/>
      <c r="P36" s="1"/>
      <c r="Q36" s="1"/>
      <c r="R36" s="1"/>
      <c r="S36" s="11"/>
      <c r="Y36" s="12"/>
      <c r="Z36" s="1"/>
      <c r="AA36" s="12"/>
      <c r="AB36" s="12"/>
      <c r="AC36" s="12"/>
      <c r="AD36" s="1"/>
      <c r="AE36" s="1"/>
      <c r="AF36" s="1"/>
      <c r="AG36" s="11"/>
      <c r="AH36" s="1"/>
      <c r="AI36" s="1"/>
      <c r="AJ36" s="1"/>
      <c r="AK36" s="1"/>
      <c r="AL36" s="1"/>
      <c r="AM36" s="1"/>
      <c r="AN36" s="1"/>
      <c r="AO36" s="1"/>
      <c r="AP36" s="1"/>
      <c r="AQ36" s="1"/>
      <c r="AR36" s="13"/>
      <c r="AS36" s="1"/>
      <c r="AT36" s="1"/>
      <c r="AU36" s="13"/>
      <c r="AX36" s="1"/>
      <c r="AY36" s="1"/>
      <c r="AZ36" s="1"/>
      <c r="BB36" s="1"/>
      <c r="BC36" s="1"/>
      <c r="BE36" s="1"/>
      <c r="BG36" s="1"/>
      <c r="BH36" s="1"/>
      <c r="BN36" s="3"/>
      <c r="BV36" s="14"/>
    </row>
    <row r="37" spans="1:74" x14ac:dyDescent="0.2">
      <c r="A37" s="10">
        <f t="shared" si="0"/>
        <v>36722.333333333256</v>
      </c>
      <c r="B37" s="10"/>
      <c r="C37" s="10"/>
      <c r="E37" s="11"/>
      <c r="F37" s="11"/>
      <c r="G37" s="11"/>
      <c r="H37" s="11"/>
      <c r="I37" s="11"/>
      <c r="J37" s="11"/>
      <c r="K37" s="11"/>
      <c r="N37" s="1"/>
      <c r="O37" s="1"/>
      <c r="P37" s="1"/>
      <c r="Q37" s="1"/>
      <c r="R37" s="1"/>
      <c r="S37" s="11"/>
      <c r="Y37" s="12"/>
      <c r="Z37" s="1"/>
      <c r="AA37" s="12"/>
      <c r="AB37" s="12"/>
      <c r="AC37" s="12"/>
      <c r="AD37" s="1"/>
      <c r="AE37" s="1"/>
      <c r="AF37" s="1"/>
      <c r="AG37" s="11"/>
      <c r="AH37" s="1"/>
      <c r="AI37" s="1"/>
      <c r="AJ37" s="1"/>
      <c r="AK37" s="1"/>
      <c r="AL37" s="1"/>
      <c r="AM37" s="1"/>
      <c r="AN37" s="1"/>
      <c r="AO37" s="1"/>
      <c r="AP37" s="1"/>
      <c r="AQ37" s="1"/>
      <c r="AR37" s="13"/>
      <c r="AS37" s="1"/>
      <c r="AT37" s="1"/>
      <c r="AU37" s="13"/>
      <c r="AX37" s="1"/>
      <c r="AY37" s="1"/>
      <c r="AZ37" s="1"/>
      <c r="BB37" s="1"/>
      <c r="BC37" s="1"/>
      <c r="BE37" s="1"/>
      <c r="BG37" s="1"/>
      <c r="BH37" s="1"/>
      <c r="BN37" s="3"/>
      <c r="BV37" s="14"/>
    </row>
    <row r="38" spans="1:74" x14ac:dyDescent="0.2">
      <c r="A38" s="10">
        <f t="shared" ref="A38:A69" si="28">+A37+365/12</f>
        <v>36752.74999999992</v>
      </c>
      <c r="B38" s="10"/>
      <c r="C38" s="10"/>
      <c r="E38" s="11"/>
      <c r="F38" s="11"/>
      <c r="G38" s="11"/>
      <c r="H38" s="11"/>
      <c r="I38" s="11"/>
      <c r="J38" s="11"/>
      <c r="K38" s="11"/>
      <c r="N38" s="1"/>
      <c r="O38" s="1"/>
      <c r="P38" s="1"/>
      <c r="Q38" s="1"/>
      <c r="R38" s="1"/>
      <c r="S38" s="11"/>
      <c r="Y38" s="12"/>
      <c r="Z38" s="1"/>
      <c r="AA38" s="12"/>
      <c r="AB38" s="12"/>
      <c r="AC38" s="12"/>
      <c r="AD38" s="1"/>
      <c r="AE38" s="1"/>
      <c r="AF38" s="1"/>
      <c r="AG38" s="11"/>
      <c r="AH38" s="1"/>
      <c r="AI38" s="1"/>
      <c r="AJ38" s="1"/>
      <c r="AK38" s="1"/>
      <c r="AL38" s="1"/>
      <c r="AM38" s="1"/>
      <c r="AN38" s="1"/>
      <c r="AO38" s="1"/>
      <c r="AP38" s="1"/>
      <c r="AQ38" s="1"/>
      <c r="AR38" s="13"/>
      <c r="AS38" s="1"/>
      <c r="AT38" s="1"/>
      <c r="AU38" s="13"/>
      <c r="AX38" s="1"/>
      <c r="AY38" s="1"/>
      <c r="AZ38" s="1"/>
      <c r="BB38" s="1"/>
      <c r="BC38" s="1"/>
      <c r="BE38" s="1"/>
      <c r="BG38" s="1"/>
      <c r="BN38" s="3"/>
      <c r="BV38" s="14"/>
    </row>
    <row r="39" spans="1:74" x14ac:dyDescent="0.2">
      <c r="A39" s="10">
        <f t="shared" si="28"/>
        <v>36783.166666666584</v>
      </c>
      <c r="B39" s="10"/>
      <c r="C39" s="10"/>
      <c r="E39" s="11"/>
      <c r="F39" s="11"/>
      <c r="G39" s="11"/>
      <c r="H39" s="11"/>
      <c r="I39" s="11"/>
      <c r="J39" s="11"/>
      <c r="K39" s="11"/>
      <c r="N39" s="1"/>
      <c r="O39" s="1"/>
      <c r="P39" s="1"/>
      <c r="Q39" s="1"/>
      <c r="R39" s="1"/>
      <c r="S39" s="11"/>
      <c r="Y39" s="12"/>
      <c r="Z39" s="1"/>
      <c r="AA39" s="12"/>
      <c r="AB39" s="12"/>
      <c r="AC39" s="12"/>
      <c r="AD39" s="1"/>
      <c r="AE39" s="1"/>
      <c r="AF39" s="1"/>
      <c r="AG39" s="11"/>
      <c r="AH39" s="1"/>
      <c r="AI39" s="1"/>
      <c r="AJ39" s="1"/>
      <c r="AK39" s="1"/>
      <c r="AL39" s="1"/>
      <c r="AM39" s="1"/>
      <c r="AN39" s="1"/>
      <c r="AO39" s="1"/>
      <c r="AP39" s="1"/>
      <c r="AQ39" s="1"/>
      <c r="AR39" s="13"/>
      <c r="AS39" s="1"/>
      <c r="AT39" s="1"/>
      <c r="AU39" s="13"/>
      <c r="AX39" s="1"/>
      <c r="AY39" s="1"/>
      <c r="AZ39" s="1"/>
      <c r="BB39" s="1"/>
      <c r="BC39" s="1"/>
      <c r="BE39" s="1"/>
      <c r="BG39" s="1"/>
      <c r="BN39" s="3"/>
      <c r="BV39" s="14"/>
    </row>
    <row r="40" spans="1:74" x14ac:dyDescent="0.2">
      <c r="A40" s="10">
        <f t="shared" si="28"/>
        <v>36813.583333333248</v>
      </c>
      <c r="B40" s="10"/>
      <c r="C40" s="10"/>
      <c r="E40" s="11"/>
      <c r="F40" s="11"/>
      <c r="G40" s="11"/>
      <c r="H40" s="11"/>
      <c r="I40" s="11"/>
      <c r="J40" s="11"/>
      <c r="K40" s="11"/>
      <c r="N40" s="1"/>
      <c r="O40" s="1"/>
      <c r="P40" s="1"/>
      <c r="Q40" s="1"/>
      <c r="R40" s="1"/>
      <c r="S40" s="11"/>
      <c r="Y40" s="12"/>
      <c r="Z40" s="1"/>
      <c r="AA40" s="12"/>
      <c r="AB40" s="12"/>
      <c r="AC40" s="12"/>
      <c r="AD40" s="1"/>
      <c r="AE40" s="1"/>
      <c r="AF40" s="1"/>
      <c r="AG40" s="11"/>
      <c r="AH40" s="1"/>
      <c r="AI40" s="1"/>
      <c r="AJ40" s="1"/>
      <c r="AK40" s="1"/>
      <c r="AL40" s="1"/>
      <c r="AM40" s="1"/>
      <c r="AN40" s="1"/>
      <c r="AO40" s="1"/>
      <c r="AP40" s="1"/>
      <c r="AQ40" s="1"/>
      <c r="AR40" s="13"/>
      <c r="AS40" s="1"/>
      <c r="AT40" s="1"/>
      <c r="AU40" s="13"/>
      <c r="AX40" s="1"/>
      <c r="AY40" s="1"/>
      <c r="AZ40" s="1"/>
      <c r="BB40" s="1"/>
      <c r="BC40" s="1"/>
      <c r="BE40" s="1"/>
      <c r="BG40" s="1"/>
      <c r="BN40" s="3"/>
      <c r="BV40" s="14"/>
    </row>
    <row r="41" spans="1:74" x14ac:dyDescent="0.2">
      <c r="A41" s="10">
        <f t="shared" si="28"/>
        <v>36843.999999999913</v>
      </c>
      <c r="B41" s="10"/>
      <c r="C41" s="10"/>
      <c r="E41" s="11"/>
      <c r="F41" s="11"/>
      <c r="G41" s="11"/>
      <c r="H41" s="11"/>
      <c r="I41" s="11"/>
      <c r="J41" s="11"/>
      <c r="K41" s="11"/>
      <c r="N41" s="1"/>
      <c r="O41" s="1"/>
      <c r="P41" s="1"/>
      <c r="Q41" s="1"/>
      <c r="R41" s="1"/>
      <c r="S41" s="11"/>
      <c r="Y41" s="12"/>
      <c r="Z41" s="1"/>
      <c r="AA41" s="12"/>
      <c r="AB41" s="12"/>
      <c r="AC41" s="12"/>
      <c r="AD41" s="1"/>
      <c r="AE41" s="1"/>
      <c r="AF41" s="1"/>
      <c r="AG41" s="11"/>
      <c r="AH41" s="1"/>
      <c r="AI41" s="1"/>
      <c r="AJ41" s="1"/>
      <c r="AK41" s="1"/>
      <c r="AL41" s="1"/>
      <c r="AM41" s="1"/>
      <c r="AN41" s="1"/>
      <c r="AO41" s="1"/>
      <c r="AP41" s="1"/>
      <c r="AQ41" s="1"/>
      <c r="AR41" s="13"/>
      <c r="AS41" s="1"/>
      <c r="AT41" s="1"/>
      <c r="AU41" s="13"/>
      <c r="AX41" s="1"/>
      <c r="AY41" s="1"/>
      <c r="AZ41" s="1"/>
      <c r="BB41" s="1"/>
      <c r="BC41" s="1"/>
      <c r="BE41" s="1"/>
      <c r="BG41" s="1"/>
      <c r="BN41" s="3"/>
      <c r="BV41" s="14"/>
    </row>
    <row r="42" spans="1:74" x14ac:dyDescent="0.2">
      <c r="A42" s="10">
        <f t="shared" si="28"/>
        <v>36874.416666666577</v>
      </c>
      <c r="B42" s="10"/>
      <c r="C42" s="10"/>
      <c r="E42" s="11"/>
      <c r="F42" s="11"/>
      <c r="G42" s="11"/>
      <c r="H42" s="11"/>
      <c r="I42" s="11"/>
      <c r="J42" s="11"/>
      <c r="K42" s="11"/>
      <c r="N42" s="1"/>
      <c r="O42" s="1"/>
      <c r="P42" s="1"/>
      <c r="Q42" s="1"/>
      <c r="R42" s="1"/>
      <c r="S42" s="11"/>
      <c r="Y42" s="12"/>
      <c r="Z42" s="1"/>
      <c r="AA42" s="12"/>
      <c r="AB42" s="12"/>
      <c r="AC42" s="12"/>
      <c r="AD42" s="1"/>
      <c r="AE42" s="1"/>
      <c r="AF42" s="1"/>
      <c r="AG42" s="11"/>
      <c r="AH42" s="1"/>
      <c r="AI42" s="1"/>
      <c r="AJ42" s="1"/>
      <c r="AK42" s="1"/>
      <c r="AL42" s="1"/>
      <c r="AM42" s="1"/>
      <c r="AN42" s="1"/>
      <c r="AO42" s="1"/>
      <c r="AP42" s="1"/>
      <c r="AQ42" s="1"/>
      <c r="AR42" s="13"/>
      <c r="AS42" s="1"/>
      <c r="AT42" s="1"/>
      <c r="AU42" s="13"/>
      <c r="AX42" s="1"/>
      <c r="AY42" s="1"/>
      <c r="AZ42" s="1"/>
      <c r="BB42" s="1"/>
      <c r="BC42" s="1"/>
      <c r="BE42" s="1"/>
      <c r="BG42" s="1"/>
      <c r="BN42" s="3"/>
      <c r="BV42" s="14"/>
    </row>
    <row r="43" spans="1:74" x14ac:dyDescent="0.2">
      <c r="A43" s="10">
        <f t="shared" si="28"/>
        <v>36904.833333333241</v>
      </c>
      <c r="B43" s="10"/>
      <c r="C43" s="10"/>
      <c r="E43" s="11"/>
      <c r="F43" s="11"/>
      <c r="G43" s="11"/>
      <c r="H43" s="11"/>
      <c r="I43" s="11"/>
      <c r="J43" s="11"/>
      <c r="K43" s="11"/>
      <c r="N43" s="1"/>
      <c r="O43" s="1"/>
      <c r="P43" s="1"/>
      <c r="Q43" s="1"/>
      <c r="R43" s="1"/>
      <c r="S43" s="11"/>
      <c r="Y43" s="12"/>
      <c r="Z43" s="1"/>
      <c r="AA43" s="12"/>
      <c r="AB43" s="12"/>
      <c r="AC43" s="12"/>
      <c r="AD43" s="1"/>
      <c r="AE43" s="1"/>
      <c r="AF43" s="1"/>
      <c r="AG43" s="11"/>
      <c r="AH43" s="1"/>
      <c r="AI43" s="1"/>
      <c r="AJ43" s="1"/>
      <c r="AK43" s="1"/>
      <c r="AL43" s="1"/>
      <c r="AM43" s="1"/>
      <c r="AN43" s="1"/>
      <c r="AO43" s="1"/>
      <c r="AP43" s="1"/>
      <c r="AQ43" s="1"/>
      <c r="AR43" s="13"/>
      <c r="AS43" s="1"/>
      <c r="AT43" s="1"/>
      <c r="AU43" s="13"/>
      <c r="AX43" s="1"/>
      <c r="AY43" s="1"/>
      <c r="AZ43" s="1"/>
      <c r="BB43" s="1"/>
      <c r="BC43" s="1"/>
      <c r="BE43" s="1"/>
      <c r="BG43" s="1"/>
      <c r="BN43" s="3"/>
      <c r="BV43" s="14"/>
    </row>
    <row r="44" spans="1:74" x14ac:dyDescent="0.2">
      <c r="A44" s="10">
        <f t="shared" si="28"/>
        <v>36935.249999999905</v>
      </c>
      <c r="B44" s="10"/>
      <c r="C44" s="10"/>
      <c r="E44" s="11"/>
      <c r="F44" s="11"/>
      <c r="G44" s="11"/>
      <c r="H44" s="11"/>
      <c r="I44" s="11"/>
      <c r="J44" s="11"/>
      <c r="K44" s="11"/>
      <c r="N44" s="1"/>
      <c r="O44" s="1"/>
      <c r="P44" s="1"/>
      <c r="Q44" s="1"/>
      <c r="R44" s="1"/>
      <c r="S44" s="11"/>
      <c r="Y44" s="12"/>
      <c r="Z44" s="1"/>
      <c r="AA44" s="12"/>
      <c r="AB44" s="12"/>
      <c r="AC44" s="12"/>
      <c r="AD44" s="1"/>
      <c r="AE44" s="1"/>
      <c r="AF44" s="1"/>
      <c r="AG44" s="11"/>
      <c r="AH44" s="1"/>
      <c r="AI44" s="1"/>
      <c r="AJ44" s="1"/>
      <c r="AK44" s="1"/>
      <c r="AL44" s="1"/>
      <c r="AM44" s="1"/>
      <c r="AN44" s="1"/>
      <c r="AO44" s="1"/>
      <c r="AP44" s="1"/>
      <c r="AQ44" s="1"/>
      <c r="AR44" s="13"/>
      <c r="AS44" s="1"/>
      <c r="AT44" s="1"/>
      <c r="AU44" s="13"/>
      <c r="AX44" s="1"/>
      <c r="AY44" s="1"/>
      <c r="AZ44" s="1"/>
      <c r="BB44" s="1"/>
      <c r="BC44" s="1"/>
      <c r="BE44" s="1"/>
      <c r="BG44" s="1"/>
      <c r="BN44" s="3"/>
      <c r="BV44" s="14"/>
    </row>
    <row r="45" spans="1:74" x14ac:dyDescent="0.2">
      <c r="A45" s="10">
        <f t="shared" si="28"/>
        <v>36965.66666666657</v>
      </c>
      <c r="B45" s="10"/>
      <c r="C45" s="10"/>
      <c r="E45" s="11"/>
      <c r="F45" s="11"/>
      <c r="G45" s="11"/>
      <c r="H45" s="11"/>
      <c r="I45" s="11"/>
      <c r="J45" s="11"/>
      <c r="K45" s="11"/>
      <c r="N45" s="1"/>
      <c r="O45" s="1"/>
      <c r="P45" s="1"/>
      <c r="Q45" s="1"/>
      <c r="R45" s="1"/>
      <c r="S45" s="11"/>
      <c r="Y45" s="12"/>
      <c r="Z45" s="1"/>
      <c r="AA45" s="12"/>
      <c r="AB45" s="12"/>
      <c r="AC45" s="12"/>
      <c r="AD45" s="1"/>
      <c r="AE45" s="1"/>
      <c r="AF45" s="1"/>
      <c r="AG45" s="11"/>
      <c r="AH45" s="1"/>
      <c r="AI45" s="1"/>
      <c r="AJ45" s="1"/>
      <c r="AK45" s="1"/>
      <c r="AL45" s="1"/>
      <c r="AM45" s="1"/>
      <c r="AN45" s="1"/>
      <c r="AO45" s="1"/>
      <c r="AP45" s="1"/>
      <c r="AQ45" s="1"/>
      <c r="AR45" s="13"/>
      <c r="AS45" s="1"/>
      <c r="AT45" s="1"/>
      <c r="AU45" s="13"/>
      <c r="AX45" s="1"/>
      <c r="AY45" s="1"/>
      <c r="AZ45" s="1"/>
      <c r="BB45" s="1"/>
      <c r="BC45" s="1"/>
      <c r="BE45" s="1"/>
      <c r="BG45" s="1"/>
      <c r="BN45" s="3"/>
      <c r="BV45" s="14"/>
    </row>
    <row r="46" spans="1:74" x14ac:dyDescent="0.2">
      <c r="A46" s="10">
        <f t="shared" si="28"/>
        <v>36996.083333333234</v>
      </c>
      <c r="B46" s="10"/>
      <c r="C46" s="10"/>
      <c r="E46" s="11"/>
      <c r="F46" s="11"/>
      <c r="G46" s="11"/>
      <c r="H46" s="11"/>
      <c r="I46" s="11"/>
      <c r="J46" s="11"/>
      <c r="K46" s="11"/>
      <c r="N46" s="1"/>
      <c r="O46" s="1"/>
      <c r="P46" s="1"/>
      <c r="Q46" s="1"/>
      <c r="R46" s="1"/>
      <c r="S46" s="11"/>
      <c r="Y46" s="12"/>
      <c r="Z46" s="1"/>
      <c r="AA46" s="12"/>
      <c r="AB46" s="12"/>
      <c r="AC46" s="12"/>
      <c r="AD46" s="1"/>
      <c r="AE46" s="1"/>
      <c r="AF46" s="1"/>
      <c r="AG46" s="11"/>
      <c r="AH46" s="1"/>
      <c r="AI46" s="1"/>
      <c r="AJ46" s="1"/>
      <c r="AK46" s="1"/>
      <c r="AL46" s="1"/>
      <c r="AM46" s="1"/>
      <c r="AN46" s="1"/>
      <c r="AO46" s="1"/>
      <c r="AP46" s="1"/>
      <c r="AQ46" s="1"/>
      <c r="AR46" s="13"/>
      <c r="AS46" s="1"/>
      <c r="AT46" s="1"/>
      <c r="AU46" s="13"/>
      <c r="AX46" s="1"/>
      <c r="AY46" s="1"/>
      <c r="AZ46" s="1"/>
      <c r="BB46" s="1"/>
      <c r="BC46" s="1"/>
      <c r="BE46" s="1"/>
      <c r="BG46" s="1"/>
      <c r="BN46" s="3"/>
      <c r="BV46" s="14"/>
    </row>
    <row r="47" spans="1:74" x14ac:dyDescent="0.2">
      <c r="A47" s="10">
        <f t="shared" si="28"/>
        <v>37026.499999999898</v>
      </c>
      <c r="B47" s="10"/>
      <c r="C47" s="10"/>
      <c r="E47" s="11"/>
      <c r="F47" s="11"/>
      <c r="G47" s="11"/>
      <c r="H47" s="11"/>
      <c r="I47" s="11"/>
      <c r="J47" s="11"/>
      <c r="K47" s="11"/>
      <c r="N47" s="1"/>
      <c r="O47" s="1"/>
      <c r="P47" s="1"/>
      <c r="Q47" s="1"/>
      <c r="R47" s="1"/>
      <c r="S47" s="11"/>
      <c r="Y47" s="12"/>
      <c r="Z47" s="1"/>
      <c r="AA47" s="12"/>
      <c r="AB47" s="12"/>
      <c r="AC47" s="12"/>
      <c r="AD47" s="1"/>
      <c r="AE47" s="1"/>
      <c r="AF47" s="1"/>
      <c r="AG47" s="11"/>
      <c r="AH47" s="1"/>
      <c r="AI47" s="1"/>
      <c r="AJ47" s="1"/>
      <c r="AK47" s="1"/>
      <c r="AL47" s="1"/>
      <c r="AM47" s="1"/>
      <c r="AN47" s="1"/>
      <c r="AO47" s="1"/>
      <c r="AP47" s="1"/>
      <c r="AQ47" s="1"/>
      <c r="AR47" s="13"/>
      <c r="AS47" s="1"/>
      <c r="AT47" s="1"/>
      <c r="AU47" s="13"/>
      <c r="AX47" s="1"/>
      <c r="AY47" s="1"/>
      <c r="AZ47" s="1"/>
      <c r="BB47" s="1"/>
      <c r="BC47" s="1"/>
      <c r="BE47" s="1"/>
      <c r="BG47" s="1"/>
      <c r="BN47" s="3"/>
      <c r="BV47" s="14"/>
    </row>
    <row r="48" spans="1:74" x14ac:dyDescent="0.2">
      <c r="A48" s="10">
        <f t="shared" si="28"/>
        <v>37056.916666666562</v>
      </c>
      <c r="B48" s="10"/>
      <c r="C48" s="10"/>
      <c r="E48" s="11"/>
      <c r="F48" s="11"/>
      <c r="G48" s="11"/>
      <c r="H48" s="11"/>
      <c r="I48" s="11"/>
      <c r="J48" s="11"/>
      <c r="K48" s="11"/>
      <c r="N48" s="1"/>
      <c r="O48" s="1"/>
      <c r="P48" s="1"/>
      <c r="Q48" s="1"/>
      <c r="R48" s="1"/>
      <c r="S48" s="11"/>
      <c r="Y48" s="12"/>
      <c r="Z48" s="1"/>
      <c r="AA48" s="12"/>
      <c r="AB48" s="12"/>
      <c r="AC48" s="12"/>
      <c r="AD48" s="1"/>
      <c r="AE48" s="1"/>
      <c r="AF48" s="1"/>
      <c r="AG48" s="11"/>
      <c r="AH48" s="1"/>
      <c r="AI48" s="1"/>
      <c r="AJ48" s="1"/>
      <c r="AK48" s="1"/>
      <c r="AL48" s="1"/>
      <c r="AM48" s="1"/>
      <c r="AN48" s="1"/>
      <c r="AO48" s="1"/>
      <c r="AP48" s="1"/>
      <c r="AQ48" s="1"/>
      <c r="AR48" s="13"/>
      <c r="AS48" s="1"/>
      <c r="AT48" s="1"/>
      <c r="AU48" s="13"/>
      <c r="AX48" s="1"/>
      <c r="AY48" s="1"/>
      <c r="AZ48" s="1"/>
      <c r="BB48" s="1"/>
      <c r="BC48" s="1"/>
      <c r="BE48" s="1"/>
      <c r="BG48" s="1"/>
      <c r="BN48" s="3"/>
      <c r="BV48" s="14"/>
    </row>
    <row r="49" spans="1:74" x14ac:dyDescent="0.2">
      <c r="A49" s="10">
        <f t="shared" si="28"/>
        <v>37087.333333333227</v>
      </c>
      <c r="B49" s="10"/>
      <c r="C49" s="10"/>
      <c r="E49" s="11"/>
      <c r="F49" s="11"/>
      <c r="G49" s="11"/>
      <c r="H49" s="11"/>
      <c r="I49" s="11"/>
      <c r="J49" s="11"/>
      <c r="K49" s="11"/>
      <c r="N49" s="1"/>
      <c r="O49" s="1"/>
      <c r="P49" s="1"/>
      <c r="Q49" s="1"/>
      <c r="R49" s="1"/>
      <c r="S49" s="11"/>
      <c r="Y49" s="12"/>
      <c r="Z49" s="1"/>
      <c r="AA49" s="12"/>
      <c r="AB49" s="12"/>
      <c r="AC49" s="12"/>
      <c r="AD49" s="1"/>
      <c r="AE49" s="1"/>
      <c r="AF49" s="1"/>
      <c r="AG49" s="11"/>
      <c r="AH49" s="1"/>
      <c r="AI49" s="1"/>
      <c r="AJ49" s="1"/>
      <c r="AK49" s="1"/>
      <c r="AL49" s="1"/>
      <c r="AM49" s="1"/>
      <c r="AN49" s="1"/>
      <c r="AO49" s="1"/>
      <c r="AP49" s="1"/>
      <c r="AQ49" s="1"/>
      <c r="AR49" s="13"/>
      <c r="AS49" s="1"/>
      <c r="AT49" s="1"/>
      <c r="AU49" s="13"/>
      <c r="AX49" s="1"/>
      <c r="AY49" s="1"/>
      <c r="AZ49" s="1"/>
      <c r="BB49" s="1"/>
      <c r="BC49" s="1"/>
      <c r="BE49" s="1"/>
      <c r="BG49" s="1"/>
      <c r="BN49" s="3"/>
      <c r="BV49" s="14"/>
    </row>
    <row r="50" spans="1:74" x14ac:dyDescent="0.2">
      <c r="A50" s="10">
        <f t="shared" si="28"/>
        <v>37117.749999999891</v>
      </c>
      <c r="B50" s="10"/>
      <c r="C50" s="10"/>
      <c r="E50" s="11"/>
      <c r="F50" s="11"/>
      <c r="G50" s="11"/>
      <c r="H50" s="11"/>
      <c r="I50" s="11"/>
      <c r="J50" s="11"/>
      <c r="K50" s="11"/>
      <c r="N50" s="1"/>
      <c r="O50" s="1"/>
      <c r="P50" s="1"/>
      <c r="Q50" s="1"/>
      <c r="R50" s="1"/>
      <c r="S50" s="11"/>
      <c r="Y50" s="12"/>
      <c r="Z50" s="1"/>
      <c r="AA50" s="12"/>
      <c r="AB50" s="12"/>
      <c r="AC50" s="12"/>
      <c r="AD50" s="1"/>
      <c r="AE50" s="1"/>
      <c r="AF50" s="1"/>
      <c r="AG50" s="11"/>
      <c r="AH50" s="1"/>
      <c r="AI50" s="1"/>
      <c r="AJ50" s="1"/>
      <c r="AK50" s="1"/>
      <c r="AL50" s="1"/>
      <c r="AM50" s="1"/>
      <c r="AN50" s="1"/>
      <c r="AO50" s="1"/>
      <c r="AP50" s="1"/>
      <c r="AQ50" s="1"/>
      <c r="AR50" s="13"/>
      <c r="AS50" s="1"/>
      <c r="AT50" s="1"/>
      <c r="AU50" s="13"/>
      <c r="AX50" s="1"/>
      <c r="AY50" s="1"/>
      <c r="AZ50" s="1"/>
      <c r="BB50" s="1"/>
      <c r="BC50" s="1"/>
      <c r="BE50" s="1"/>
      <c r="BG50" s="1"/>
      <c r="BN50" s="3"/>
      <c r="BV50" s="14"/>
    </row>
    <row r="51" spans="1:74" x14ac:dyDescent="0.2">
      <c r="A51" s="10">
        <f t="shared" si="28"/>
        <v>37148.166666666555</v>
      </c>
      <c r="B51" s="10"/>
      <c r="C51" s="10"/>
      <c r="E51" s="11"/>
      <c r="F51" s="11"/>
      <c r="G51" s="11"/>
      <c r="H51" s="11"/>
      <c r="I51" s="11"/>
      <c r="J51" s="11"/>
      <c r="K51" s="11"/>
      <c r="N51" s="1"/>
      <c r="O51" s="1"/>
      <c r="P51" s="1"/>
      <c r="Q51" s="1"/>
      <c r="R51" s="1"/>
      <c r="S51" s="11"/>
      <c r="Y51" s="12"/>
      <c r="Z51" s="1"/>
      <c r="AA51" s="12"/>
      <c r="AB51" s="12"/>
      <c r="AC51" s="12"/>
      <c r="AD51" s="1"/>
      <c r="AE51" s="1"/>
      <c r="AF51" s="1"/>
      <c r="AG51" s="11"/>
      <c r="AH51" s="1"/>
      <c r="AI51" s="1"/>
      <c r="AJ51" s="1"/>
      <c r="AK51" s="1"/>
      <c r="AL51" s="1"/>
      <c r="AM51" s="1"/>
      <c r="AN51" s="1"/>
      <c r="AO51" s="1"/>
      <c r="AP51" s="1"/>
      <c r="AQ51" s="1"/>
      <c r="AR51" s="13"/>
      <c r="AS51" s="1"/>
      <c r="AT51" s="1"/>
      <c r="AU51" s="13"/>
      <c r="AX51" s="1"/>
      <c r="AY51" s="1"/>
      <c r="AZ51" s="1"/>
      <c r="BB51" s="1"/>
      <c r="BC51" s="1"/>
      <c r="BE51" s="1"/>
      <c r="BG51" s="1"/>
      <c r="BN51" s="3"/>
      <c r="BV51" s="14"/>
    </row>
    <row r="52" spans="1:74" x14ac:dyDescent="0.2">
      <c r="A52" s="10">
        <f t="shared" si="28"/>
        <v>37178.583333333219</v>
      </c>
      <c r="B52" s="10"/>
      <c r="C52" s="10"/>
      <c r="E52" s="11"/>
      <c r="F52" s="11"/>
      <c r="G52" s="11"/>
      <c r="H52" s="11"/>
      <c r="I52" s="11"/>
      <c r="J52" s="11"/>
      <c r="K52" s="11"/>
      <c r="N52" s="1"/>
      <c r="O52" s="1"/>
      <c r="P52" s="1"/>
      <c r="Q52" s="1"/>
      <c r="R52" s="1"/>
      <c r="S52" s="11"/>
      <c r="Y52" s="12"/>
      <c r="Z52" s="1"/>
      <c r="AA52" s="12"/>
      <c r="AB52" s="12"/>
      <c r="AC52" s="12"/>
      <c r="AD52" s="1"/>
      <c r="AE52" s="1"/>
      <c r="AF52" s="1"/>
      <c r="AG52" s="11"/>
      <c r="AH52" s="1"/>
      <c r="AI52" s="1"/>
      <c r="AJ52" s="1"/>
      <c r="AK52" s="1"/>
      <c r="AL52" s="1"/>
      <c r="AM52" s="1"/>
      <c r="AN52" s="1"/>
      <c r="AO52" s="1"/>
      <c r="AP52" s="1"/>
      <c r="AQ52" s="1"/>
      <c r="AR52" s="13"/>
      <c r="AS52" s="1"/>
      <c r="AT52" s="1"/>
      <c r="AU52" s="13"/>
      <c r="AX52" s="1"/>
      <c r="AY52" s="1"/>
      <c r="AZ52" s="1"/>
      <c r="BB52" s="1"/>
      <c r="BC52" s="1"/>
      <c r="BE52" s="1"/>
      <c r="BG52" s="1"/>
      <c r="BN52" s="3"/>
      <c r="BV52" s="14"/>
    </row>
    <row r="53" spans="1:74" x14ac:dyDescent="0.2">
      <c r="A53" s="10">
        <f t="shared" si="28"/>
        <v>37208.999999999884</v>
      </c>
      <c r="B53" s="10"/>
      <c r="C53" s="10"/>
      <c r="E53" s="11"/>
      <c r="F53" s="11"/>
      <c r="G53" s="11"/>
      <c r="H53" s="11"/>
      <c r="I53" s="11"/>
      <c r="J53" s="11"/>
      <c r="K53" s="11"/>
      <c r="N53" s="1"/>
      <c r="O53" s="1"/>
      <c r="P53" s="1"/>
      <c r="Q53" s="1"/>
      <c r="R53" s="1"/>
      <c r="S53" s="11"/>
      <c r="Y53" s="12"/>
      <c r="Z53" s="1"/>
      <c r="AA53" s="12"/>
      <c r="AB53" s="12"/>
      <c r="AC53" s="12"/>
      <c r="AD53" s="1"/>
      <c r="AE53" s="1"/>
      <c r="AF53" s="1"/>
      <c r="AG53" s="11"/>
      <c r="AH53" s="1"/>
      <c r="AI53" s="1"/>
      <c r="AJ53" s="1"/>
      <c r="AK53" s="1"/>
      <c r="AL53" s="1"/>
      <c r="AM53" s="1"/>
      <c r="AN53" s="1"/>
      <c r="AO53" s="1"/>
      <c r="AP53" s="1"/>
      <c r="AQ53" s="1"/>
      <c r="AR53" s="13"/>
      <c r="AS53" s="1"/>
      <c r="AT53" s="1"/>
      <c r="AU53" s="13"/>
      <c r="AX53" s="1"/>
      <c r="AY53" s="1"/>
      <c r="AZ53" s="1"/>
      <c r="BB53" s="1"/>
      <c r="BC53" s="1"/>
      <c r="BE53" s="1"/>
      <c r="BG53" s="1"/>
      <c r="BN53" s="3"/>
      <c r="BV53" s="14"/>
    </row>
    <row r="54" spans="1:74" x14ac:dyDescent="0.2">
      <c r="A54" s="10">
        <f t="shared" si="28"/>
        <v>37239.416666666548</v>
      </c>
      <c r="B54" s="10"/>
      <c r="C54" s="10"/>
      <c r="E54" s="11"/>
      <c r="F54" s="11"/>
      <c r="G54" s="11"/>
      <c r="H54" s="11"/>
      <c r="I54" s="11"/>
      <c r="J54" s="11"/>
      <c r="K54" s="11"/>
      <c r="N54" s="1"/>
      <c r="O54" s="1"/>
      <c r="P54" s="1"/>
      <c r="Q54" s="1"/>
      <c r="R54" s="1"/>
      <c r="S54" s="11"/>
      <c r="Y54" s="12"/>
      <c r="Z54" s="1"/>
      <c r="AA54" s="12"/>
      <c r="AB54" s="12"/>
      <c r="AC54" s="12"/>
      <c r="AD54" s="1"/>
      <c r="AE54" s="1"/>
      <c r="AF54" s="1"/>
      <c r="AG54" s="11"/>
      <c r="AH54" s="1"/>
      <c r="AI54" s="1"/>
      <c r="AJ54" s="1"/>
      <c r="AK54" s="1"/>
      <c r="AL54" s="1"/>
      <c r="AM54" s="1"/>
      <c r="AN54" s="1"/>
      <c r="AO54" s="1"/>
      <c r="AP54" s="1"/>
      <c r="AQ54" s="1"/>
      <c r="AR54" s="13"/>
      <c r="AS54" s="1"/>
      <c r="AT54" s="1"/>
      <c r="AU54" s="13"/>
      <c r="AX54" s="1"/>
      <c r="AY54" s="1"/>
      <c r="AZ54" s="1"/>
      <c r="BB54" s="1"/>
      <c r="BC54" s="1"/>
      <c r="BE54" s="1"/>
      <c r="BG54" s="1"/>
      <c r="BN54" s="3"/>
      <c r="BV54" s="14"/>
    </row>
    <row r="55" spans="1:74" x14ac:dyDescent="0.2">
      <c r="A55" s="10">
        <f t="shared" si="28"/>
        <v>37269.833333333212</v>
      </c>
      <c r="B55" s="10"/>
      <c r="C55" s="10"/>
      <c r="E55" s="11"/>
      <c r="F55" s="11"/>
      <c r="G55" s="11"/>
      <c r="H55" s="11"/>
      <c r="I55" s="11"/>
      <c r="J55" s="11"/>
      <c r="K55" s="11"/>
      <c r="N55" s="1"/>
      <c r="O55" s="1"/>
      <c r="P55" s="1"/>
      <c r="Q55" s="1"/>
      <c r="R55" s="1"/>
      <c r="S55" s="11"/>
      <c r="Y55" s="12"/>
      <c r="Z55" s="1"/>
      <c r="AA55" s="12"/>
      <c r="AB55" s="12"/>
      <c r="AC55" s="12"/>
      <c r="AD55" s="1"/>
      <c r="AE55" s="1"/>
      <c r="AF55" s="1"/>
      <c r="AG55" s="11"/>
      <c r="AH55" s="1"/>
      <c r="AI55" s="1"/>
      <c r="AJ55" s="1"/>
      <c r="AK55" s="1"/>
      <c r="AL55" s="1"/>
      <c r="AM55" s="1"/>
      <c r="AN55" s="1"/>
      <c r="AO55" s="1"/>
      <c r="AP55" s="1"/>
      <c r="AQ55" s="1"/>
      <c r="AR55" s="13"/>
      <c r="AS55" s="1"/>
      <c r="AT55" s="1"/>
      <c r="AU55" s="13"/>
      <c r="AX55" s="1"/>
      <c r="AY55" s="1"/>
      <c r="AZ55" s="1"/>
      <c r="BB55" s="1"/>
      <c r="BC55" s="1"/>
      <c r="BE55" s="1"/>
      <c r="BG55" s="1"/>
      <c r="BN55" s="3"/>
      <c r="BV55" s="14"/>
    </row>
    <row r="56" spans="1:74" x14ac:dyDescent="0.2">
      <c r="A56" s="10">
        <f t="shared" si="28"/>
        <v>37300.249999999876</v>
      </c>
      <c r="B56" s="10"/>
      <c r="C56" s="10"/>
      <c r="E56" s="11"/>
      <c r="F56" s="11"/>
      <c r="G56" s="11"/>
      <c r="H56" s="11"/>
      <c r="I56" s="11"/>
      <c r="J56" s="11"/>
      <c r="K56" s="11"/>
      <c r="N56" s="1"/>
      <c r="O56" s="1"/>
      <c r="P56" s="1"/>
      <c r="Q56" s="1"/>
      <c r="R56" s="1"/>
      <c r="S56" s="11"/>
      <c r="Y56" s="12"/>
      <c r="Z56" s="1"/>
      <c r="AA56" s="12"/>
      <c r="AB56" s="12"/>
      <c r="AC56" s="12"/>
      <c r="AD56" s="1"/>
      <c r="AE56" s="1"/>
      <c r="AF56" s="1"/>
      <c r="AG56" s="11"/>
      <c r="AH56" s="1"/>
      <c r="AI56" s="1"/>
      <c r="AJ56" s="1"/>
      <c r="AK56" s="1"/>
      <c r="AL56" s="1"/>
      <c r="AM56" s="1"/>
      <c r="AN56" s="1"/>
      <c r="AO56" s="1"/>
      <c r="AP56" s="1"/>
      <c r="AQ56" s="1"/>
      <c r="AR56" s="13"/>
      <c r="AS56" s="1"/>
      <c r="AT56" s="1"/>
      <c r="AU56" s="13"/>
      <c r="AX56" s="1"/>
      <c r="AY56" s="1"/>
      <c r="AZ56" s="1"/>
      <c r="BB56" s="1"/>
      <c r="BC56" s="1"/>
      <c r="BE56" s="1"/>
      <c r="BG56" s="1"/>
      <c r="BN56" s="3"/>
      <c r="BV56" s="14"/>
    </row>
    <row r="57" spans="1:74" x14ac:dyDescent="0.2">
      <c r="A57" s="10">
        <f t="shared" si="28"/>
        <v>37330.666666666541</v>
      </c>
      <c r="B57" s="10"/>
      <c r="C57" s="10"/>
      <c r="E57" s="11"/>
      <c r="F57" s="11"/>
      <c r="G57" s="11"/>
      <c r="H57" s="11"/>
      <c r="I57" s="11"/>
      <c r="J57" s="11"/>
      <c r="K57" s="11"/>
      <c r="N57" s="1"/>
      <c r="O57" s="1"/>
      <c r="P57" s="1"/>
      <c r="Q57" s="1"/>
      <c r="R57" s="1"/>
      <c r="S57" s="11"/>
      <c r="Y57" s="12"/>
      <c r="Z57" s="1"/>
      <c r="AA57" s="12"/>
      <c r="AB57" s="12"/>
      <c r="AC57" s="12"/>
      <c r="AD57" s="1"/>
      <c r="AE57" s="1"/>
      <c r="AF57" s="1"/>
      <c r="AG57" s="11"/>
      <c r="AH57" s="1"/>
      <c r="AI57" s="1"/>
      <c r="AJ57" s="1"/>
      <c r="AK57" s="1"/>
      <c r="AL57" s="1"/>
      <c r="AM57" s="1"/>
      <c r="AN57" s="1"/>
      <c r="AO57" s="1"/>
      <c r="AP57" s="1"/>
      <c r="AQ57" s="1"/>
      <c r="AR57" s="13"/>
      <c r="AS57" s="1"/>
      <c r="AT57" s="1"/>
      <c r="AU57" s="13"/>
      <c r="AX57" s="1"/>
      <c r="AY57" s="1"/>
      <c r="AZ57" s="1"/>
      <c r="BB57" s="1"/>
      <c r="BC57" s="1"/>
      <c r="BE57" s="1"/>
      <c r="BG57" s="1"/>
      <c r="BN57" s="3"/>
      <c r="BV57" s="14"/>
    </row>
    <row r="58" spans="1:74" x14ac:dyDescent="0.2">
      <c r="A58" s="10">
        <f t="shared" si="28"/>
        <v>37361.083333333205</v>
      </c>
      <c r="B58" s="10"/>
      <c r="C58" s="10"/>
      <c r="E58" s="11"/>
      <c r="F58" s="11"/>
      <c r="G58" s="11"/>
      <c r="H58" s="11"/>
      <c r="I58" s="11"/>
      <c r="J58" s="11"/>
      <c r="K58" s="11"/>
      <c r="N58" s="1"/>
      <c r="O58" s="1"/>
      <c r="P58" s="1"/>
      <c r="Q58" s="1"/>
      <c r="R58" s="1"/>
      <c r="S58" s="11"/>
      <c r="Y58" s="12"/>
      <c r="Z58" s="1"/>
      <c r="AA58" s="12"/>
      <c r="AB58" s="12"/>
      <c r="AC58" s="12"/>
      <c r="AD58" s="1"/>
      <c r="AE58" s="1"/>
      <c r="AF58" s="1"/>
      <c r="AG58" s="11"/>
      <c r="AH58" s="1"/>
      <c r="AI58" s="1"/>
      <c r="AJ58" s="1"/>
      <c r="AK58" s="1"/>
      <c r="AL58" s="1"/>
      <c r="AM58" s="1"/>
      <c r="AN58" s="1"/>
      <c r="AO58" s="1"/>
      <c r="AP58" s="1"/>
      <c r="AQ58" s="1"/>
      <c r="AR58" s="13"/>
      <c r="AS58" s="1"/>
      <c r="AT58" s="1"/>
      <c r="AU58" s="13"/>
      <c r="AX58" s="1"/>
      <c r="AY58" s="1"/>
      <c r="AZ58" s="1"/>
      <c r="BB58" s="1"/>
      <c r="BC58" s="1"/>
      <c r="BE58" s="1"/>
      <c r="BG58" s="1"/>
      <c r="BN58" s="3"/>
      <c r="BV58" s="14"/>
    </row>
    <row r="59" spans="1:74" x14ac:dyDescent="0.2">
      <c r="A59" s="10">
        <f t="shared" si="28"/>
        <v>37391.499999999869</v>
      </c>
      <c r="B59" s="10"/>
      <c r="C59" s="10"/>
      <c r="E59" s="11"/>
      <c r="F59" s="11"/>
      <c r="G59" s="11"/>
      <c r="H59" s="11"/>
      <c r="I59" s="11"/>
      <c r="J59" s="11"/>
      <c r="K59" s="11"/>
      <c r="N59" s="1"/>
      <c r="O59" s="1"/>
      <c r="P59" s="1"/>
      <c r="Q59" s="1"/>
      <c r="R59" s="1"/>
      <c r="S59" s="11"/>
      <c r="Y59" s="12"/>
      <c r="Z59" s="1"/>
      <c r="AA59" s="12"/>
      <c r="AB59" s="12"/>
      <c r="AC59" s="12"/>
      <c r="AD59" s="1"/>
      <c r="AE59" s="1"/>
      <c r="AF59" s="1"/>
      <c r="AG59" s="11"/>
      <c r="AH59" s="1"/>
      <c r="AI59" s="1"/>
      <c r="AJ59" s="1"/>
      <c r="AK59" s="1"/>
      <c r="AL59" s="1"/>
      <c r="AM59" s="1"/>
      <c r="AN59" s="1"/>
      <c r="AO59" s="1"/>
      <c r="AP59" s="1"/>
      <c r="AQ59" s="1"/>
      <c r="AR59" s="13"/>
      <c r="AS59" s="1"/>
      <c r="AT59" s="1"/>
      <c r="AU59" s="13"/>
      <c r="AX59" s="1"/>
      <c r="AY59" s="1"/>
      <c r="AZ59" s="1"/>
      <c r="BB59" s="1"/>
      <c r="BC59" s="1"/>
      <c r="BE59" s="1"/>
      <c r="BG59" s="1"/>
      <c r="BN59" s="3"/>
      <c r="BV59" s="14"/>
    </row>
    <row r="60" spans="1:74" x14ac:dyDescent="0.2">
      <c r="A60" s="10">
        <f t="shared" si="28"/>
        <v>37421.916666666533</v>
      </c>
      <c r="B60" s="10"/>
      <c r="C60" s="10"/>
      <c r="E60" s="11"/>
      <c r="F60" s="11"/>
      <c r="G60" s="11"/>
      <c r="H60" s="11"/>
      <c r="I60" s="11"/>
      <c r="J60" s="11"/>
      <c r="K60" s="11"/>
      <c r="N60" s="1"/>
      <c r="O60" s="1"/>
      <c r="P60" s="1"/>
      <c r="Q60" s="1"/>
      <c r="R60" s="1"/>
      <c r="S60" s="11"/>
      <c r="Y60" s="12"/>
      <c r="Z60" s="1"/>
      <c r="AA60" s="12"/>
      <c r="AB60" s="12"/>
      <c r="AC60" s="12"/>
      <c r="AD60" s="1"/>
      <c r="AE60" s="1"/>
      <c r="AF60" s="1"/>
      <c r="AG60" s="11"/>
      <c r="AH60" s="1"/>
      <c r="AI60" s="1"/>
      <c r="AJ60" s="1"/>
      <c r="AK60" s="1"/>
      <c r="AL60" s="1"/>
      <c r="AM60" s="1"/>
      <c r="AN60" s="1"/>
      <c r="AO60" s="1"/>
      <c r="AP60" s="1"/>
      <c r="AQ60" s="1"/>
      <c r="AR60" s="13"/>
      <c r="AS60" s="1"/>
      <c r="AT60" s="1"/>
      <c r="AU60" s="13"/>
      <c r="AX60" s="1"/>
      <c r="AY60" s="1"/>
      <c r="AZ60" s="1"/>
      <c r="BB60" s="1"/>
      <c r="BC60" s="1"/>
      <c r="BE60" s="1"/>
      <c r="BG60" s="1"/>
      <c r="BN60" s="3"/>
      <c r="BV60" s="14"/>
    </row>
    <row r="61" spans="1:74" x14ac:dyDescent="0.2">
      <c r="A61" s="10">
        <f t="shared" si="28"/>
        <v>37452.333333333198</v>
      </c>
      <c r="B61" s="10"/>
      <c r="C61" s="10"/>
      <c r="E61" s="11"/>
      <c r="F61" s="11"/>
      <c r="G61" s="11"/>
      <c r="H61" s="11"/>
      <c r="I61" s="11"/>
      <c r="J61" s="11"/>
      <c r="K61" s="11"/>
      <c r="N61" s="1"/>
      <c r="O61" s="1"/>
      <c r="P61" s="1"/>
      <c r="Q61" s="1"/>
      <c r="R61" s="1"/>
      <c r="S61" s="11"/>
      <c r="Y61" s="12"/>
      <c r="Z61" s="1"/>
      <c r="AA61" s="12"/>
      <c r="AB61" s="12"/>
      <c r="AC61" s="12"/>
      <c r="AD61" s="1"/>
      <c r="AE61" s="1"/>
      <c r="AF61" s="1"/>
      <c r="AG61" s="11"/>
      <c r="AH61" s="1"/>
      <c r="AI61" s="1"/>
      <c r="AJ61" s="1"/>
      <c r="AK61" s="1"/>
      <c r="AL61" s="1"/>
      <c r="AM61" s="1"/>
      <c r="AN61" s="1"/>
      <c r="AO61" s="1"/>
      <c r="AP61" s="1"/>
      <c r="AQ61" s="1"/>
      <c r="AR61" s="13"/>
      <c r="AS61" s="1"/>
      <c r="AT61" s="1"/>
      <c r="AU61" s="13"/>
      <c r="AX61" s="1"/>
      <c r="AY61" s="1"/>
      <c r="AZ61" s="1"/>
      <c r="BB61" s="1"/>
      <c r="BC61" s="1"/>
      <c r="BE61" s="1"/>
      <c r="BG61" s="1"/>
      <c r="BN61" s="3"/>
      <c r="BV61" s="14"/>
    </row>
    <row r="62" spans="1:74" x14ac:dyDescent="0.2">
      <c r="A62" s="10">
        <f t="shared" si="28"/>
        <v>37482.749999999862</v>
      </c>
      <c r="B62" s="10"/>
      <c r="C62" s="10"/>
      <c r="E62" s="11"/>
      <c r="F62" s="11"/>
      <c r="G62" s="11"/>
      <c r="H62" s="11"/>
      <c r="I62" s="11"/>
      <c r="J62" s="11"/>
      <c r="K62" s="11"/>
      <c r="N62" s="1"/>
      <c r="O62" s="1"/>
      <c r="P62" s="1"/>
      <c r="Q62" s="1"/>
      <c r="R62" s="1"/>
      <c r="S62" s="11"/>
      <c r="Y62" s="12"/>
      <c r="Z62" s="1"/>
      <c r="AA62" s="12"/>
      <c r="AB62" s="12"/>
      <c r="AC62" s="12"/>
      <c r="AD62" s="1"/>
      <c r="AE62" s="1"/>
      <c r="AF62" s="1"/>
      <c r="AG62" s="11"/>
      <c r="AH62" s="1"/>
      <c r="AI62" s="1"/>
      <c r="AJ62" s="1"/>
      <c r="AK62" s="1"/>
      <c r="AL62" s="1"/>
      <c r="AM62" s="1"/>
      <c r="AN62" s="1"/>
      <c r="AO62" s="1"/>
      <c r="AP62" s="1"/>
      <c r="AQ62" s="1"/>
      <c r="AR62" s="13"/>
      <c r="AS62" s="1"/>
      <c r="AT62" s="1"/>
      <c r="AU62" s="13"/>
      <c r="AX62" s="1"/>
      <c r="AY62" s="1"/>
      <c r="AZ62" s="1"/>
      <c r="BB62" s="1"/>
      <c r="BC62" s="1"/>
      <c r="BE62" s="1"/>
      <c r="BG62" s="1"/>
      <c r="BN62" s="3"/>
      <c r="BV62" s="14"/>
    </row>
    <row r="63" spans="1:74" x14ac:dyDescent="0.2">
      <c r="A63" s="10">
        <f t="shared" si="28"/>
        <v>37513.166666666526</v>
      </c>
      <c r="B63" s="10"/>
      <c r="C63" s="10"/>
      <c r="E63" s="11"/>
      <c r="F63" s="11"/>
      <c r="G63" s="11"/>
      <c r="H63" s="11"/>
      <c r="I63" s="11"/>
      <c r="J63" s="11"/>
      <c r="K63" s="11"/>
      <c r="N63" s="1"/>
      <c r="O63" s="1"/>
      <c r="P63" s="1"/>
      <c r="Q63" s="1"/>
      <c r="R63" s="1"/>
      <c r="S63" s="11"/>
      <c r="Y63" s="12"/>
      <c r="Z63" s="1"/>
      <c r="AA63" s="12"/>
      <c r="AB63" s="12"/>
      <c r="AC63" s="12"/>
      <c r="AD63" s="1"/>
      <c r="AE63" s="1"/>
      <c r="AF63" s="1"/>
      <c r="AG63" s="11"/>
      <c r="AH63" s="1"/>
      <c r="AI63" s="1"/>
      <c r="AJ63" s="1"/>
      <c r="AK63" s="1"/>
      <c r="AL63" s="1"/>
      <c r="AM63" s="1"/>
      <c r="AN63" s="1"/>
      <c r="AO63" s="1"/>
      <c r="AP63" s="1"/>
      <c r="AQ63" s="1"/>
      <c r="AR63" s="13"/>
      <c r="AS63" s="1"/>
      <c r="AT63" s="1"/>
      <c r="AU63" s="13"/>
      <c r="AX63" s="1"/>
      <c r="AY63" s="1"/>
      <c r="AZ63" s="1"/>
      <c r="BB63" s="1"/>
      <c r="BC63" s="1"/>
      <c r="BE63" s="1"/>
      <c r="BG63" s="1"/>
      <c r="BN63" s="3"/>
      <c r="BV63" s="14"/>
    </row>
    <row r="64" spans="1:74" x14ac:dyDescent="0.2">
      <c r="A64" s="10">
        <f t="shared" si="28"/>
        <v>37543.58333333319</v>
      </c>
      <c r="B64" s="10"/>
      <c r="C64" s="10"/>
      <c r="E64" s="11"/>
      <c r="F64" s="11"/>
      <c r="G64" s="11"/>
      <c r="H64" s="11"/>
      <c r="I64" s="11"/>
      <c r="J64" s="11"/>
      <c r="K64" s="11"/>
      <c r="N64" s="1"/>
      <c r="O64" s="1"/>
      <c r="P64" s="1"/>
      <c r="Q64" s="1"/>
      <c r="R64" s="1"/>
      <c r="S64" s="11"/>
      <c r="Y64" s="12"/>
      <c r="Z64" s="1"/>
      <c r="AA64" s="12"/>
      <c r="AB64" s="12"/>
      <c r="AC64" s="12"/>
      <c r="AD64" s="1"/>
      <c r="AE64" s="1"/>
      <c r="AF64" s="1"/>
      <c r="AG64" s="11"/>
      <c r="AH64" s="1"/>
      <c r="AI64" s="1"/>
      <c r="AJ64" s="1"/>
      <c r="AK64" s="1"/>
      <c r="AL64" s="1"/>
      <c r="AM64" s="1"/>
      <c r="AN64" s="1"/>
      <c r="AO64" s="1"/>
      <c r="AP64" s="1"/>
      <c r="AQ64" s="1"/>
      <c r="AR64" s="13"/>
      <c r="AS64" s="1"/>
      <c r="AT64" s="1"/>
      <c r="AU64" s="13"/>
      <c r="AX64" s="1"/>
      <c r="AY64" s="1"/>
      <c r="AZ64" s="1"/>
      <c r="BB64" s="1"/>
      <c r="BC64" s="1"/>
      <c r="BE64" s="1"/>
      <c r="BG64" s="1"/>
      <c r="BN64" s="3"/>
      <c r="BV64" s="14"/>
    </row>
    <row r="65" spans="1:74" x14ac:dyDescent="0.2">
      <c r="A65" s="10">
        <f t="shared" si="28"/>
        <v>37573.999999999854</v>
      </c>
      <c r="B65" s="10"/>
      <c r="C65" s="10"/>
      <c r="E65" s="11"/>
      <c r="F65" s="11"/>
      <c r="G65" s="11"/>
      <c r="H65" s="11"/>
      <c r="I65" s="11"/>
      <c r="J65" s="11"/>
      <c r="K65" s="11"/>
      <c r="N65" s="1"/>
      <c r="O65" s="1"/>
      <c r="P65" s="1"/>
      <c r="Q65" s="1"/>
      <c r="R65" s="1"/>
      <c r="S65" s="11"/>
      <c r="Y65" s="12"/>
      <c r="Z65" s="1"/>
      <c r="AA65" s="12"/>
      <c r="AB65" s="12"/>
      <c r="AC65" s="12"/>
      <c r="AD65" s="1"/>
      <c r="AE65" s="1"/>
      <c r="AF65" s="1"/>
      <c r="AG65" s="11"/>
      <c r="AH65" s="1"/>
      <c r="AI65" s="1"/>
      <c r="AJ65" s="1"/>
      <c r="AK65" s="1"/>
      <c r="AL65" s="1"/>
      <c r="AM65" s="1"/>
      <c r="AN65" s="1"/>
      <c r="AO65" s="1"/>
      <c r="AP65" s="1"/>
      <c r="AQ65" s="1"/>
      <c r="AR65" s="13"/>
      <c r="AS65" s="1"/>
      <c r="AT65" s="1"/>
      <c r="AU65" s="13"/>
      <c r="AX65" s="1"/>
      <c r="AY65" s="1"/>
      <c r="AZ65" s="1"/>
      <c r="BB65" s="1"/>
      <c r="BC65" s="1"/>
      <c r="BE65" s="1"/>
      <c r="BG65" s="1"/>
      <c r="BN65" s="3"/>
      <c r="BV65" s="14"/>
    </row>
    <row r="66" spans="1:74" x14ac:dyDescent="0.2">
      <c r="A66" s="10">
        <f t="shared" si="28"/>
        <v>37604.416666666519</v>
      </c>
      <c r="B66" s="10"/>
      <c r="C66" s="10"/>
      <c r="E66" s="11"/>
      <c r="F66" s="11"/>
      <c r="G66" s="11"/>
      <c r="H66" s="11"/>
      <c r="I66" s="11"/>
      <c r="J66" s="11"/>
      <c r="K66" s="11"/>
      <c r="N66" s="1"/>
      <c r="O66" s="1"/>
      <c r="P66" s="1"/>
      <c r="Q66" s="1"/>
      <c r="R66" s="1"/>
      <c r="S66" s="11"/>
      <c r="Z66" s="1"/>
      <c r="AD66" s="1"/>
      <c r="AE66" s="1"/>
      <c r="AF66" s="1"/>
      <c r="AG66" s="11"/>
      <c r="AH66" s="1"/>
      <c r="AI66" s="1"/>
      <c r="AJ66" s="1"/>
      <c r="AK66" s="1"/>
      <c r="AL66" s="1"/>
      <c r="AM66" s="1"/>
      <c r="AN66" s="1"/>
      <c r="AO66" s="1"/>
      <c r="AP66" s="1"/>
      <c r="AQ66" s="1"/>
      <c r="AR66" s="13"/>
      <c r="AS66" s="1"/>
      <c r="AT66" s="1"/>
      <c r="AU66" s="13"/>
      <c r="AX66" s="1"/>
      <c r="AY66" s="1"/>
      <c r="AZ66" s="1"/>
      <c r="BB66" s="1"/>
      <c r="BC66" s="1"/>
      <c r="BE66" s="1"/>
      <c r="BG66" s="1"/>
      <c r="BN66" s="3"/>
      <c r="BV66" s="14"/>
    </row>
    <row r="67" spans="1:74" x14ac:dyDescent="0.2">
      <c r="A67" s="10">
        <f t="shared" si="28"/>
        <v>37634.833333333183</v>
      </c>
      <c r="B67" s="10"/>
      <c r="C67" s="10"/>
      <c r="E67" s="11"/>
      <c r="F67" s="11"/>
      <c r="G67" s="11"/>
      <c r="H67" s="11"/>
      <c r="I67" s="11"/>
      <c r="J67" s="11"/>
      <c r="K67" s="11"/>
      <c r="N67" s="1"/>
      <c r="O67" s="1"/>
      <c r="P67" s="1"/>
      <c r="Q67" s="1"/>
      <c r="R67" s="1"/>
      <c r="S67" s="11"/>
      <c r="Z67" s="1"/>
      <c r="AD67" s="1"/>
      <c r="AE67" s="1"/>
      <c r="AF67" s="1"/>
      <c r="AG67" s="11"/>
      <c r="AH67" s="1"/>
      <c r="AI67" s="1"/>
      <c r="AJ67" s="1"/>
      <c r="AK67" s="1"/>
      <c r="AL67" s="1"/>
      <c r="AM67" s="1"/>
      <c r="AN67" s="1"/>
      <c r="AO67" s="1"/>
      <c r="AP67" s="1"/>
      <c r="AQ67" s="1"/>
      <c r="AR67" s="13"/>
      <c r="AS67" s="1"/>
      <c r="AT67" s="1"/>
      <c r="AU67" s="13"/>
      <c r="AX67" s="1"/>
      <c r="AY67" s="1"/>
      <c r="AZ67" s="1"/>
      <c r="BB67" s="1"/>
      <c r="BC67" s="1"/>
      <c r="BE67" s="1"/>
      <c r="BG67" s="1"/>
      <c r="BN67" s="3"/>
      <c r="BV67" s="14"/>
    </row>
    <row r="68" spans="1:74" x14ac:dyDescent="0.2">
      <c r="A68" s="10">
        <f t="shared" si="28"/>
        <v>37665.249999999847</v>
      </c>
      <c r="B68" s="10"/>
      <c r="C68" s="10"/>
      <c r="N68" s="1"/>
      <c r="O68" s="1"/>
      <c r="P68" s="1"/>
      <c r="Q68" s="1"/>
      <c r="R68" s="1"/>
      <c r="S68" s="1"/>
      <c r="Z68" s="1"/>
      <c r="AD68" s="1"/>
      <c r="AE68" s="1"/>
      <c r="AF68" s="1"/>
      <c r="AG68" s="11"/>
      <c r="AH68" s="1"/>
      <c r="AI68" s="1"/>
      <c r="AJ68" s="1"/>
      <c r="AK68" s="1"/>
      <c r="AL68" s="1"/>
      <c r="AM68" s="1"/>
      <c r="AN68" s="1"/>
      <c r="AO68" s="1"/>
      <c r="AP68" s="1"/>
      <c r="AQ68" s="1"/>
      <c r="AR68" s="13"/>
      <c r="AS68" s="1"/>
      <c r="AT68" s="1"/>
      <c r="AU68" s="13"/>
      <c r="AX68" s="1"/>
      <c r="AY68" s="1"/>
      <c r="AZ68" s="1"/>
      <c r="BB68" s="1"/>
      <c r="BC68" s="1"/>
      <c r="BE68" s="1"/>
      <c r="BG68" s="1"/>
      <c r="BN68" s="3"/>
      <c r="BV68" s="14"/>
    </row>
    <row r="69" spans="1:74" x14ac:dyDescent="0.2">
      <c r="A69" s="10">
        <f t="shared" si="28"/>
        <v>37695.666666666511</v>
      </c>
      <c r="B69" s="10"/>
      <c r="C69" s="10"/>
      <c r="N69" s="1"/>
      <c r="O69" s="1"/>
      <c r="P69" s="1"/>
      <c r="Q69" s="1"/>
      <c r="R69" s="1"/>
      <c r="S69" s="1"/>
      <c r="Z69" s="1"/>
      <c r="AD69" s="1"/>
      <c r="AE69" s="1"/>
      <c r="AF69" s="1"/>
      <c r="AG69" s="11"/>
      <c r="AH69" s="1"/>
      <c r="AI69" s="1"/>
      <c r="AJ69" s="1"/>
      <c r="AK69" s="1"/>
      <c r="AL69" s="1"/>
      <c r="AM69" s="1"/>
      <c r="AN69" s="1"/>
      <c r="AO69" s="1"/>
      <c r="AP69" s="1"/>
      <c r="AQ69" s="1"/>
      <c r="AR69" s="13"/>
      <c r="AS69" s="1"/>
      <c r="AT69" s="1"/>
      <c r="AU69" s="13"/>
      <c r="AX69" s="1"/>
      <c r="AY69" s="1"/>
      <c r="AZ69" s="1"/>
      <c r="BB69" s="1"/>
      <c r="BC69" s="1"/>
      <c r="BE69" s="1"/>
      <c r="BG69" s="1"/>
      <c r="BN69" s="3"/>
      <c r="BV69" s="14"/>
    </row>
    <row r="70" spans="1:74" x14ac:dyDescent="0.2">
      <c r="A70" s="10">
        <f t="shared" ref="A70:A101" si="29">+A69+365/12</f>
        <v>37726.083333333176</v>
      </c>
      <c r="B70" s="10"/>
      <c r="C70" s="10"/>
      <c r="N70" s="1"/>
      <c r="O70" s="1"/>
      <c r="P70" s="1"/>
      <c r="Q70" s="1"/>
      <c r="R70" s="1"/>
      <c r="S70" s="1"/>
      <c r="Z70" s="1"/>
      <c r="AD70" s="1"/>
      <c r="AE70" s="1"/>
      <c r="AF70" s="1"/>
      <c r="AG70" s="11"/>
      <c r="AH70" s="1"/>
      <c r="AI70" s="1"/>
      <c r="AJ70" s="1"/>
      <c r="AK70" s="1"/>
      <c r="AL70" s="1"/>
      <c r="AM70" s="1"/>
      <c r="AN70" s="1"/>
      <c r="AO70" s="1"/>
      <c r="AP70" s="1"/>
      <c r="AQ70" s="1"/>
      <c r="AR70" s="13"/>
      <c r="AS70" s="1"/>
      <c r="AT70" s="1"/>
      <c r="AU70" s="13"/>
      <c r="AX70" s="1"/>
      <c r="AY70" s="1"/>
      <c r="AZ70" s="1"/>
      <c r="BB70" s="1"/>
      <c r="BC70" s="1"/>
      <c r="BE70" s="1"/>
      <c r="BG70" s="1"/>
      <c r="BN70" s="3"/>
      <c r="BV70" s="14"/>
    </row>
    <row r="71" spans="1:74" x14ac:dyDescent="0.2">
      <c r="A71" s="10">
        <f t="shared" si="29"/>
        <v>37756.49999999984</v>
      </c>
      <c r="B71" s="10"/>
      <c r="C71" s="10"/>
      <c r="N71" s="1"/>
      <c r="O71" s="1"/>
      <c r="P71" s="1"/>
      <c r="Q71" s="1"/>
      <c r="R71" s="1"/>
      <c r="S71" s="1"/>
      <c r="Z71" s="1"/>
      <c r="AD71" s="1"/>
      <c r="AE71" s="1"/>
      <c r="AF71" s="1"/>
      <c r="AG71" s="11"/>
      <c r="AH71" s="1"/>
      <c r="AI71" s="1"/>
      <c r="AJ71" s="1"/>
      <c r="AK71" s="1"/>
      <c r="AL71" s="1"/>
      <c r="AM71" s="1"/>
      <c r="AN71" s="1"/>
      <c r="AO71" s="1"/>
      <c r="AP71" s="1"/>
      <c r="AQ71" s="1"/>
      <c r="AR71" s="13"/>
      <c r="AS71" s="1"/>
      <c r="AT71" s="1"/>
      <c r="AU71" s="13"/>
      <c r="AX71" s="1"/>
      <c r="AY71" s="1"/>
      <c r="AZ71" s="1"/>
      <c r="BB71" s="1"/>
      <c r="BC71" s="1"/>
      <c r="BE71" s="1"/>
      <c r="BG71" s="1"/>
      <c r="BN71" s="3"/>
      <c r="BV71" s="14"/>
    </row>
    <row r="72" spans="1:74" x14ac:dyDescent="0.2">
      <c r="A72" s="10">
        <f t="shared" si="29"/>
        <v>37786.916666666504</v>
      </c>
      <c r="B72" s="10"/>
      <c r="C72" s="10"/>
      <c r="N72" s="1"/>
      <c r="O72" s="1"/>
      <c r="P72" s="1"/>
      <c r="Q72" s="1"/>
      <c r="R72" s="1"/>
      <c r="S72" s="1"/>
      <c r="Z72" s="1"/>
      <c r="AD72" s="1"/>
      <c r="AE72" s="1"/>
      <c r="AF72" s="1"/>
      <c r="AG72" s="11"/>
      <c r="AH72" s="1"/>
      <c r="AI72" s="1"/>
      <c r="AJ72" s="1"/>
      <c r="AK72" s="1"/>
      <c r="AL72" s="1"/>
      <c r="AM72" s="1"/>
      <c r="AN72" s="1"/>
      <c r="AO72" s="1"/>
      <c r="AP72" s="1"/>
      <c r="AQ72" s="1"/>
      <c r="AR72" s="13"/>
      <c r="AS72" s="1"/>
      <c r="AT72" s="1"/>
      <c r="AU72" s="13"/>
      <c r="AX72" s="1"/>
      <c r="AY72" s="1"/>
      <c r="AZ72" s="1"/>
      <c r="BB72" s="1"/>
      <c r="BC72" s="1"/>
      <c r="BE72" s="1"/>
      <c r="BG72" s="1"/>
      <c r="BN72" s="3"/>
      <c r="BV72" s="14"/>
    </row>
    <row r="73" spans="1:74" x14ac:dyDescent="0.2">
      <c r="A73" s="10">
        <f t="shared" si="29"/>
        <v>37817.333333333168</v>
      </c>
      <c r="B73" s="10"/>
      <c r="C73" s="10"/>
      <c r="N73" s="1"/>
      <c r="O73" s="1"/>
      <c r="P73" s="1"/>
      <c r="Q73" s="1"/>
      <c r="R73" s="1"/>
      <c r="S73" s="1"/>
      <c r="Z73" s="1"/>
      <c r="AD73" s="1"/>
      <c r="AE73" s="1"/>
      <c r="AF73" s="1"/>
      <c r="AG73" s="11"/>
      <c r="AH73" s="1"/>
      <c r="AI73" s="1"/>
      <c r="AJ73" s="1"/>
      <c r="AK73" s="1"/>
      <c r="AL73" s="1"/>
      <c r="AM73" s="1"/>
      <c r="AN73" s="1"/>
      <c r="AO73" s="1"/>
      <c r="AP73" s="1"/>
      <c r="AQ73" s="1"/>
      <c r="AR73" s="13"/>
      <c r="AS73" s="1"/>
      <c r="AT73" s="1"/>
      <c r="AU73" s="13"/>
      <c r="AX73" s="1"/>
      <c r="AY73" s="1"/>
      <c r="AZ73" s="1"/>
      <c r="BB73" s="1"/>
      <c r="BC73" s="1"/>
      <c r="BE73" s="1"/>
      <c r="BG73" s="1"/>
      <c r="BN73" s="3"/>
      <c r="BV73" s="14"/>
    </row>
    <row r="74" spans="1:74" x14ac:dyDescent="0.2">
      <c r="A74" s="10">
        <f t="shared" si="29"/>
        <v>37847.749999999833</v>
      </c>
      <c r="B74" s="10"/>
      <c r="C74" s="10"/>
      <c r="N74" s="1"/>
      <c r="O74" s="1"/>
      <c r="P74" s="1"/>
      <c r="Q74" s="1"/>
      <c r="R74" s="1"/>
      <c r="S74" s="1"/>
      <c r="Z74" s="1"/>
      <c r="AD74" s="1"/>
      <c r="AE74" s="1"/>
      <c r="AF74" s="1"/>
      <c r="AG74" s="11"/>
      <c r="AH74" s="1"/>
      <c r="AI74" s="1"/>
      <c r="AJ74" s="1"/>
      <c r="AK74" s="1"/>
      <c r="AL74" s="1"/>
      <c r="AM74" s="1"/>
      <c r="AN74" s="1"/>
      <c r="AO74" s="1"/>
      <c r="AP74" s="1"/>
      <c r="AQ74" s="1"/>
      <c r="AR74" s="13"/>
      <c r="AS74" s="1"/>
      <c r="AT74" s="1"/>
      <c r="AU74" s="13"/>
      <c r="AX74" s="1"/>
      <c r="AY74" s="1"/>
      <c r="AZ74" s="1"/>
      <c r="BB74" s="1"/>
      <c r="BC74" s="1"/>
      <c r="BE74" s="1"/>
      <c r="BG74" s="1"/>
      <c r="BN74" s="3"/>
      <c r="BV74" s="14"/>
    </row>
    <row r="75" spans="1:74" x14ac:dyDescent="0.2">
      <c r="A75" s="10">
        <f t="shared" si="29"/>
        <v>37878.166666666497</v>
      </c>
      <c r="B75" s="10"/>
      <c r="C75" s="10"/>
      <c r="N75" s="1"/>
      <c r="O75" s="1"/>
      <c r="P75" s="1"/>
      <c r="Q75" s="1"/>
      <c r="R75" s="1"/>
      <c r="S75" s="1"/>
      <c r="Z75" s="1"/>
      <c r="AD75" s="1"/>
      <c r="AE75" s="1"/>
      <c r="AF75" s="1"/>
      <c r="AG75" s="11"/>
      <c r="AH75" s="1"/>
      <c r="AI75" s="1"/>
      <c r="AJ75" s="1"/>
      <c r="AK75" s="1"/>
      <c r="AL75" s="1"/>
      <c r="AM75" s="1"/>
      <c r="AN75" s="1"/>
      <c r="AO75" s="1"/>
      <c r="AP75" s="1"/>
      <c r="AQ75" s="1"/>
      <c r="AR75" s="13"/>
      <c r="AS75" s="1"/>
      <c r="AT75" s="1"/>
      <c r="AU75" s="13"/>
      <c r="AX75" s="1"/>
      <c r="AY75" s="1"/>
      <c r="AZ75" s="1"/>
      <c r="BB75" s="1"/>
      <c r="BC75" s="1"/>
      <c r="BE75" s="1"/>
      <c r="BG75" s="1"/>
      <c r="BN75" s="3"/>
      <c r="BV75" s="14"/>
    </row>
    <row r="76" spans="1:74" x14ac:dyDescent="0.2">
      <c r="A76" s="10">
        <f t="shared" si="29"/>
        <v>37908.583333333161</v>
      </c>
      <c r="B76" s="10"/>
      <c r="C76" s="10"/>
      <c r="N76" s="1"/>
      <c r="O76" s="1"/>
      <c r="P76" s="1"/>
      <c r="Q76" s="1"/>
      <c r="R76" s="1"/>
      <c r="S76" s="1"/>
      <c r="Z76" s="1"/>
      <c r="AD76" s="1"/>
      <c r="AE76" s="1"/>
      <c r="AF76" s="1"/>
      <c r="AG76" s="11"/>
      <c r="AH76" s="1"/>
      <c r="AI76" s="1"/>
      <c r="AJ76" s="1"/>
      <c r="AK76" s="1"/>
      <c r="AL76" s="1"/>
      <c r="AM76" s="1"/>
      <c r="AN76" s="1"/>
      <c r="AO76" s="1"/>
      <c r="AP76" s="1"/>
      <c r="AQ76" s="1"/>
      <c r="AR76" s="13"/>
      <c r="AS76" s="1"/>
      <c r="AT76" s="1"/>
      <c r="AU76" s="13"/>
      <c r="AX76" s="1"/>
      <c r="AY76" s="1"/>
      <c r="AZ76" s="1"/>
      <c r="BB76" s="1"/>
      <c r="BC76" s="1"/>
      <c r="BE76" s="1"/>
      <c r="BG76" s="1"/>
      <c r="BN76" s="3"/>
      <c r="BV76" s="14"/>
    </row>
    <row r="77" spans="1:74" x14ac:dyDescent="0.2">
      <c r="A77" s="10">
        <f t="shared" si="29"/>
        <v>37938.999999999825</v>
      </c>
      <c r="B77" s="10"/>
      <c r="C77" s="10"/>
      <c r="N77" s="1"/>
      <c r="O77" s="1"/>
      <c r="P77" s="1"/>
      <c r="Q77" s="1"/>
      <c r="R77" s="1"/>
      <c r="S77" s="1"/>
      <c r="Z77" s="1"/>
      <c r="AD77" s="1"/>
      <c r="AE77" s="1"/>
      <c r="AF77" s="1"/>
      <c r="AG77" s="11"/>
      <c r="AH77" s="1"/>
      <c r="AI77" s="1"/>
      <c r="AJ77" s="1"/>
      <c r="AK77" s="1"/>
      <c r="AL77" s="1"/>
      <c r="AM77" s="1"/>
      <c r="AN77" s="1"/>
      <c r="AO77" s="1"/>
      <c r="AP77" s="1"/>
      <c r="AQ77" s="1"/>
      <c r="AR77" s="13"/>
      <c r="AS77" s="1"/>
      <c r="AT77" s="1"/>
      <c r="AU77" s="13"/>
      <c r="AX77" s="1"/>
      <c r="AY77" s="1"/>
      <c r="AZ77" s="1"/>
      <c r="BB77" s="1"/>
      <c r="BC77" s="1"/>
      <c r="BE77" s="1"/>
      <c r="BG77" s="1"/>
      <c r="BN77" s="3"/>
      <c r="BV77" s="14"/>
    </row>
    <row r="78" spans="1:74" x14ac:dyDescent="0.2">
      <c r="A78" s="10">
        <f t="shared" si="29"/>
        <v>37969.41666666649</v>
      </c>
      <c r="B78" s="10"/>
      <c r="C78" s="10"/>
      <c r="N78" s="1"/>
      <c r="O78" s="1"/>
      <c r="P78" s="1"/>
      <c r="Q78" s="1"/>
      <c r="R78" s="1"/>
      <c r="S78" s="1"/>
      <c r="Z78" s="1"/>
      <c r="AD78" s="1"/>
      <c r="AE78" s="1"/>
      <c r="AF78" s="1"/>
      <c r="AG78" s="11"/>
      <c r="AH78" s="1"/>
      <c r="AI78" s="1"/>
      <c r="AJ78" s="1"/>
      <c r="AK78" s="1"/>
      <c r="AL78" s="1"/>
      <c r="AM78" s="1"/>
      <c r="AN78" s="1"/>
      <c r="AO78" s="1"/>
      <c r="AP78" s="1"/>
      <c r="AQ78" s="1"/>
      <c r="AR78" s="13"/>
      <c r="AS78" s="1"/>
      <c r="AT78" s="1"/>
      <c r="AU78" s="13"/>
      <c r="AX78" s="1"/>
      <c r="AY78" s="1"/>
      <c r="AZ78" s="1"/>
      <c r="BB78" s="1"/>
      <c r="BC78" s="1"/>
      <c r="BE78" s="1"/>
      <c r="BG78" s="1"/>
      <c r="BN78" s="3"/>
      <c r="BV78" s="14"/>
    </row>
    <row r="79" spans="1:74" x14ac:dyDescent="0.2">
      <c r="A79" s="10">
        <f t="shared" si="29"/>
        <v>37999.833333333154</v>
      </c>
      <c r="B79" s="10"/>
      <c r="C79" s="10"/>
      <c r="N79" s="1"/>
      <c r="O79" s="1"/>
      <c r="P79" s="1"/>
      <c r="Q79" s="1"/>
      <c r="R79" s="1"/>
      <c r="S79" s="1"/>
      <c r="Z79" s="1"/>
      <c r="AD79" s="1"/>
      <c r="AE79" s="1"/>
      <c r="AF79" s="1"/>
      <c r="AG79" s="11"/>
      <c r="AH79" s="1"/>
      <c r="AI79" s="1"/>
      <c r="AJ79" s="1"/>
      <c r="AK79" s="1"/>
      <c r="AL79" s="1"/>
      <c r="AM79" s="1"/>
      <c r="AN79" s="1"/>
      <c r="AO79" s="1"/>
      <c r="AP79" s="1"/>
      <c r="AQ79" s="1"/>
      <c r="AR79" s="13"/>
      <c r="AS79" s="1"/>
      <c r="AT79" s="1"/>
      <c r="AU79" s="13"/>
      <c r="AX79" s="1"/>
      <c r="AY79" s="1"/>
      <c r="AZ79" s="1"/>
      <c r="BB79" s="1"/>
      <c r="BC79" s="1"/>
      <c r="BE79" s="1"/>
      <c r="BG79" s="1"/>
      <c r="BN79" s="3"/>
      <c r="BV79" s="14"/>
    </row>
    <row r="80" spans="1:74" x14ac:dyDescent="0.2">
      <c r="A80" s="10">
        <f t="shared" si="29"/>
        <v>38030.249999999818</v>
      </c>
      <c r="B80" s="10"/>
      <c r="C80" s="10"/>
      <c r="N80" s="1"/>
      <c r="O80" s="1"/>
      <c r="P80" s="1"/>
      <c r="Q80" s="1"/>
      <c r="R80" s="1"/>
      <c r="S80" s="1"/>
      <c r="Z80" s="1"/>
      <c r="AD80" s="1"/>
      <c r="AE80" s="1"/>
      <c r="AF80" s="1"/>
      <c r="AG80" s="11"/>
      <c r="AH80" s="1"/>
      <c r="AI80" s="1"/>
      <c r="AJ80" s="1"/>
      <c r="AK80" s="1"/>
      <c r="AL80" s="1"/>
      <c r="AM80" s="1"/>
      <c r="AN80" s="1"/>
      <c r="AO80" s="1"/>
      <c r="AP80" s="1"/>
      <c r="AQ80" s="1"/>
      <c r="AR80" s="13"/>
      <c r="AS80" s="1"/>
      <c r="AT80" s="1"/>
      <c r="AU80" s="13"/>
      <c r="AX80" s="1"/>
      <c r="AY80" s="1"/>
      <c r="AZ80" s="1"/>
      <c r="BB80" s="1"/>
      <c r="BC80" s="1"/>
      <c r="BE80" s="1"/>
      <c r="BG80" s="1"/>
      <c r="BN80" s="3"/>
      <c r="BV80" s="14"/>
    </row>
    <row r="81" spans="1:74" x14ac:dyDescent="0.2">
      <c r="A81" s="10">
        <f t="shared" si="29"/>
        <v>38060.666666666482</v>
      </c>
      <c r="B81" s="10"/>
      <c r="C81" s="10"/>
      <c r="N81" s="1"/>
      <c r="O81" s="1"/>
      <c r="P81" s="1"/>
      <c r="Q81" s="1"/>
      <c r="R81" s="1"/>
      <c r="S81" s="1"/>
      <c r="Z81" s="1"/>
      <c r="AD81" s="1"/>
      <c r="AE81" s="1"/>
      <c r="AF81" s="1"/>
      <c r="AG81" s="11"/>
      <c r="AH81" s="1"/>
      <c r="AI81" s="1"/>
      <c r="AJ81" s="1"/>
      <c r="AK81" s="1"/>
      <c r="AL81" s="1"/>
      <c r="AM81" s="1"/>
      <c r="AN81" s="1"/>
      <c r="AO81" s="1"/>
      <c r="AP81" s="1"/>
      <c r="AQ81" s="1"/>
      <c r="AR81" s="13"/>
      <c r="AS81" s="1"/>
      <c r="AT81" s="1"/>
      <c r="AU81" s="13"/>
      <c r="AX81" s="1"/>
      <c r="AY81" s="1"/>
      <c r="AZ81" s="1"/>
      <c r="BB81" s="1"/>
      <c r="BC81" s="1"/>
      <c r="BE81" s="1"/>
      <c r="BG81" s="1"/>
      <c r="BN81" s="3"/>
      <c r="BV81" s="14"/>
    </row>
    <row r="82" spans="1:74" x14ac:dyDescent="0.2">
      <c r="A82" s="10">
        <f t="shared" si="29"/>
        <v>38091.083333333147</v>
      </c>
      <c r="B82" s="10"/>
      <c r="C82" s="10"/>
      <c r="N82" s="1"/>
      <c r="O82" s="1"/>
      <c r="P82" s="1"/>
      <c r="Q82" s="1"/>
      <c r="R82" s="1"/>
      <c r="S82" s="1"/>
      <c r="Z82" s="1"/>
      <c r="AD82" s="1"/>
      <c r="AE82" s="1"/>
      <c r="AF82" s="1"/>
      <c r="AG82" s="11"/>
      <c r="AH82" s="1"/>
      <c r="AI82" s="1"/>
      <c r="AJ82" s="1"/>
      <c r="AK82" s="1"/>
      <c r="AL82" s="1"/>
      <c r="AM82" s="1"/>
      <c r="AN82" s="1"/>
      <c r="AO82" s="1"/>
      <c r="AP82" s="1"/>
      <c r="AQ82" s="1"/>
      <c r="AR82" s="13"/>
      <c r="AS82" s="1"/>
      <c r="AT82" s="1"/>
      <c r="AU82" s="13"/>
      <c r="AX82" s="1"/>
      <c r="AY82" s="1"/>
      <c r="AZ82" s="1"/>
      <c r="BB82" s="1"/>
      <c r="BC82" s="1"/>
      <c r="BE82" s="1"/>
      <c r="BG82" s="1"/>
      <c r="BN82" s="3"/>
      <c r="BV82" s="14"/>
    </row>
    <row r="83" spans="1:74" x14ac:dyDescent="0.2">
      <c r="A83" s="10">
        <f t="shared" si="29"/>
        <v>38121.499999999811</v>
      </c>
      <c r="B83" s="10"/>
      <c r="C83" s="10"/>
      <c r="N83" s="1"/>
      <c r="O83" s="1"/>
      <c r="P83" s="1"/>
      <c r="Q83" s="1"/>
      <c r="R83" s="1"/>
      <c r="S83" s="1"/>
      <c r="Z83" s="1"/>
      <c r="AD83" s="1"/>
      <c r="AE83" s="1"/>
      <c r="AF83" s="1"/>
      <c r="AG83" s="11"/>
      <c r="AH83" s="1"/>
      <c r="AI83" s="1"/>
      <c r="AJ83" s="1"/>
      <c r="AK83" s="1"/>
      <c r="AL83" s="1"/>
      <c r="AM83" s="1"/>
      <c r="AN83" s="1"/>
      <c r="AO83" s="1"/>
      <c r="AP83" s="1"/>
      <c r="AQ83" s="1"/>
      <c r="AR83" s="13"/>
      <c r="AS83" s="1"/>
      <c r="AT83" s="1"/>
      <c r="AU83" s="13"/>
      <c r="AX83" s="1"/>
      <c r="AY83" s="1"/>
      <c r="AZ83" s="1"/>
      <c r="BB83" s="1"/>
      <c r="BC83" s="1"/>
      <c r="BE83" s="1"/>
      <c r="BG83" s="1"/>
      <c r="BN83" s="3"/>
      <c r="BV83" s="14"/>
    </row>
    <row r="84" spans="1:74" x14ac:dyDescent="0.2">
      <c r="A84" s="10">
        <f t="shared" si="29"/>
        <v>38151.916666666475</v>
      </c>
      <c r="B84" s="10"/>
      <c r="C84" s="10"/>
      <c r="N84" s="1"/>
      <c r="O84" s="1"/>
      <c r="P84" s="1"/>
      <c r="Q84" s="1"/>
      <c r="R84" s="1"/>
      <c r="S84" s="1"/>
      <c r="Z84" s="1"/>
      <c r="AD84" s="1"/>
      <c r="AE84" s="1"/>
      <c r="AF84" s="1"/>
      <c r="AG84" s="11"/>
      <c r="AH84" s="1"/>
      <c r="AI84" s="1"/>
      <c r="AJ84" s="1"/>
      <c r="AK84" s="1"/>
      <c r="AL84" s="1"/>
      <c r="AM84" s="1"/>
      <c r="AN84" s="1"/>
      <c r="AO84" s="1"/>
      <c r="AP84" s="1"/>
      <c r="AQ84" s="1"/>
      <c r="AR84" s="13"/>
      <c r="AS84" s="1"/>
      <c r="AT84" s="1"/>
      <c r="AU84" s="13"/>
      <c r="AX84" s="1"/>
      <c r="AY84" s="1"/>
      <c r="AZ84" s="1"/>
      <c r="BB84" s="1"/>
      <c r="BC84" s="1"/>
      <c r="BE84" s="1"/>
      <c r="BG84" s="1"/>
      <c r="BN84" s="3"/>
      <c r="BV84" s="14"/>
    </row>
    <row r="85" spans="1:74" x14ac:dyDescent="0.2">
      <c r="A85" s="10">
        <f t="shared" si="29"/>
        <v>38182.333333333139</v>
      </c>
      <c r="B85" s="10"/>
      <c r="C85" s="10"/>
      <c r="N85" s="1"/>
      <c r="O85" s="1"/>
      <c r="P85" s="1"/>
      <c r="Q85" s="1"/>
      <c r="R85" s="1"/>
      <c r="S85" s="1"/>
      <c r="Z85" s="1"/>
      <c r="AD85" s="1"/>
      <c r="AE85" s="1"/>
      <c r="AF85" s="1"/>
      <c r="AG85" s="11"/>
      <c r="AH85" s="1"/>
      <c r="AI85" s="1"/>
      <c r="AJ85" s="1"/>
      <c r="AK85" s="1"/>
      <c r="AL85" s="1"/>
      <c r="AM85" s="1"/>
      <c r="AN85" s="1"/>
      <c r="AO85" s="1"/>
      <c r="AP85" s="1"/>
      <c r="AQ85" s="1"/>
      <c r="AR85" s="13"/>
      <c r="AS85" s="1"/>
      <c r="AT85" s="1"/>
      <c r="AU85" s="13"/>
      <c r="AX85" s="1"/>
      <c r="AY85" s="1"/>
      <c r="AZ85" s="1"/>
      <c r="BB85" s="1"/>
      <c r="BC85" s="1"/>
      <c r="BE85" s="1"/>
      <c r="BG85" s="1"/>
      <c r="BN85" s="3"/>
      <c r="BV85" s="14"/>
    </row>
    <row r="86" spans="1:74" x14ac:dyDescent="0.2">
      <c r="A86" s="10">
        <f t="shared" si="29"/>
        <v>38212.749999999804</v>
      </c>
      <c r="B86" s="10"/>
      <c r="C86" s="10"/>
      <c r="N86" s="1"/>
      <c r="O86" s="1"/>
      <c r="P86" s="1"/>
      <c r="Q86" s="1"/>
      <c r="R86" s="1"/>
      <c r="S86" s="1"/>
      <c r="Z86" s="1"/>
      <c r="AD86" s="1"/>
      <c r="AE86" s="1"/>
      <c r="AF86" s="1"/>
      <c r="AG86" s="11"/>
      <c r="AH86" s="1"/>
      <c r="AI86" s="1"/>
      <c r="AJ86" s="1"/>
      <c r="AK86" s="1"/>
      <c r="AL86" s="1"/>
      <c r="AM86" s="1"/>
      <c r="AN86" s="1"/>
      <c r="AO86" s="1"/>
      <c r="AP86" s="1"/>
      <c r="AQ86" s="1"/>
      <c r="AR86" s="13"/>
      <c r="AS86" s="1"/>
      <c r="AT86" s="1"/>
      <c r="AU86" s="13"/>
      <c r="AX86" s="1"/>
      <c r="AY86" s="1"/>
      <c r="AZ86" s="1"/>
      <c r="BB86" s="1"/>
      <c r="BC86" s="1"/>
      <c r="BE86" s="1"/>
      <c r="BG86" s="1"/>
      <c r="BN86" s="3"/>
      <c r="BV86" s="14"/>
    </row>
    <row r="87" spans="1:74" x14ac:dyDescent="0.2">
      <c r="A87" s="10">
        <f t="shared" si="29"/>
        <v>38243.166666666468</v>
      </c>
      <c r="B87" s="10"/>
      <c r="C87" s="10"/>
      <c r="N87" s="1"/>
      <c r="O87" s="1"/>
      <c r="P87" s="1"/>
      <c r="Q87" s="1"/>
      <c r="R87" s="1"/>
      <c r="S87" s="1"/>
      <c r="Z87" s="1"/>
      <c r="AD87" s="1"/>
      <c r="AE87" s="1"/>
      <c r="AF87" s="1"/>
      <c r="AG87" s="11"/>
      <c r="AH87" s="1"/>
      <c r="AI87" s="1"/>
      <c r="AJ87" s="1"/>
      <c r="AK87" s="1"/>
      <c r="AL87" s="1"/>
      <c r="AM87" s="1"/>
      <c r="AN87" s="1"/>
      <c r="AO87" s="1"/>
      <c r="AP87" s="1"/>
      <c r="AQ87" s="1"/>
      <c r="AR87" s="13"/>
      <c r="AS87" s="1"/>
      <c r="AT87" s="1"/>
      <c r="AU87" s="13"/>
      <c r="AX87" s="1"/>
      <c r="AY87" s="1"/>
      <c r="AZ87" s="1"/>
      <c r="BB87" s="1"/>
      <c r="BC87" s="1"/>
      <c r="BE87" s="1"/>
      <c r="BG87" s="1"/>
      <c r="BN87" s="3"/>
      <c r="BV87" s="14"/>
    </row>
    <row r="88" spans="1:74" x14ac:dyDescent="0.2">
      <c r="A88" s="10">
        <f t="shared" si="29"/>
        <v>38273.583333333132</v>
      </c>
      <c r="B88" s="10"/>
      <c r="C88" s="10"/>
      <c r="N88" s="1"/>
      <c r="O88" s="1"/>
      <c r="P88" s="1"/>
      <c r="Q88" s="1"/>
      <c r="R88" s="1"/>
      <c r="S88" s="1"/>
      <c r="Z88" s="1"/>
      <c r="AD88" s="1"/>
      <c r="AE88" s="1"/>
      <c r="AF88" s="1"/>
      <c r="AG88" s="11"/>
      <c r="AH88" s="1"/>
      <c r="AI88" s="1"/>
      <c r="AJ88" s="1"/>
      <c r="AK88" s="1"/>
      <c r="AL88" s="1"/>
      <c r="AM88" s="1"/>
      <c r="AN88" s="1"/>
      <c r="AO88" s="1"/>
      <c r="AP88" s="1"/>
      <c r="AQ88" s="1"/>
      <c r="AR88" s="13"/>
      <c r="AS88" s="1"/>
      <c r="AT88" s="1"/>
      <c r="AU88" s="13"/>
      <c r="AX88" s="1"/>
      <c r="AY88" s="1"/>
      <c r="AZ88" s="1"/>
      <c r="BB88" s="1"/>
      <c r="BC88" s="1"/>
      <c r="BE88" s="1"/>
      <c r="BG88" s="1"/>
      <c r="BN88" s="3"/>
      <c r="BV88" s="14"/>
    </row>
    <row r="89" spans="1:74" x14ac:dyDescent="0.2">
      <c r="A89" s="10">
        <f t="shared" si="29"/>
        <v>38303.999999999796</v>
      </c>
      <c r="B89" s="10"/>
      <c r="C89" s="10"/>
      <c r="N89" s="1"/>
      <c r="O89" s="1"/>
      <c r="P89" s="1"/>
      <c r="Q89" s="1"/>
      <c r="R89" s="1"/>
      <c r="S89" s="1"/>
      <c r="Z89" s="1"/>
      <c r="AD89" s="1"/>
      <c r="AE89" s="1"/>
      <c r="AF89" s="1"/>
      <c r="AG89" s="11"/>
      <c r="AH89" s="1"/>
      <c r="AI89" s="1"/>
      <c r="AJ89" s="1"/>
      <c r="AK89" s="1"/>
      <c r="AL89" s="1"/>
      <c r="AM89" s="1"/>
      <c r="AN89" s="1"/>
      <c r="AO89" s="1"/>
      <c r="AP89" s="1"/>
      <c r="AQ89" s="1"/>
      <c r="AR89" s="13"/>
      <c r="AS89" s="1"/>
      <c r="AT89" s="1"/>
      <c r="AU89" s="13"/>
      <c r="AX89" s="1"/>
      <c r="AY89" s="1"/>
      <c r="AZ89" s="1"/>
      <c r="BB89" s="1"/>
      <c r="BC89" s="1"/>
      <c r="BE89" s="1"/>
      <c r="BG89" s="1"/>
      <c r="BN89" s="3"/>
      <c r="BV89" s="14"/>
    </row>
    <row r="90" spans="1:74" x14ac:dyDescent="0.2">
      <c r="A90" s="10">
        <f t="shared" si="29"/>
        <v>38334.416666666461</v>
      </c>
      <c r="B90" s="10"/>
      <c r="C90" s="10"/>
      <c r="N90" s="1"/>
      <c r="O90" s="1"/>
      <c r="P90" s="1"/>
      <c r="Q90" s="1"/>
      <c r="R90" s="1"/>
      <c r="S90" s="1"/>
      <c r="Z90" s="1"/>
      <c r="AD90" s="1"/>
      <c r="AE90" s="1"/>
      <c r="AF90" s="1"/>
      <c r="AG90" s="11"/>
      <c r="AH90" s="1"/>
      <c r="AI90" s="1"/>
      <c r="AJ90" s="1"/>
      <c r="AK90" s="1"/>
      <c r="AL90" s="1"/>
      <c r="AM90" s="1"/>
      <c r="AN90" s="1"/>
      <c r="AO90" s="1"/>
      <c r="AP90" s="1"/>
      <c r="AQ90" s="1"/>
      <c r="AR90" s="13"/>
      <c r="AS90" s="1"/>
      <c r="AT90" s="1"/>
      <c r="AU90" s="13"/>
      <c r="AX90" s="1"/>
      <c r="AY90" s="1"/>
      <c r="AZ90" s="1"/>
      <c r="BB90" s="1"/>
      <c r="BC90" s="1"/>
      <c r="BE90" s="1"/>
      <c r="BG90" s="1"/>
      <c r="BN90" s="3"/>
      <c r="BV90" s="14"/>
    </row>
    <row r="91" spans="1:74" x14ac:dyDescent="0.2">
      <c r="A91" s="10">
        <f t="shared" si="29"/>
        <v>38364.833333333125</v>
      </c>
      <c r="B91" s="10"/>
      <c r="C91" s="10"/>
      <c r="N91" s="1"/>
      <c r="O91" s="1"/>
      <c r="P91" s="1"/>
      <c r="Q91" s="1"/>
      <c r="R91" s="1"/>
      <c r="S91" s="1"/>
      <c r="Z91" s="1"/>
      <c r="AD91" s="1"/>
      <c r="AE91" s="1"/>
      <c r="AF91" s="1"/>
      <c r="AG91" s="11"/>
      <c r="AH91" s="1"/>
      <c r="AI91" s="1"/>
      <c r="AJ91" s="1"/>
      <c r="AK91" s="1"/>
      <c r="AL91" s="1"/>
      <c r="AM91" s="1"/>
      <c r="AN91" s="1"/>
      <c r="AO91" s="1"/>
      <c r="AP91" s="1"/>
      <c r="AQ91" s="1"/>
      <c r="AR91" s="13"/>
      <c r="AS91" s="1"/>
      <c r="AT91" s="1"/>
      <c r="AU91" s="13"/>
      <c r="AX91" s="1"/>
      <c r="AY91" s="1"/>
      <c r="AZ91" s="1"/>
      <c r="BB91" s="1"/>
      <c r="BC91" s="1"/>
      <c r="BE91" s="1"/>
      <c r="BG91" s="1"/>
      <c r="BN91" s="3"/>
      <c r="BV91" s="14"/>
    </row>
    <row r="92" spans="1:74" x14ac:dyDescent="0.2">
      <c r="A92" s="10">
        <f t="shared" si="29"/>
        <v>38395.249999999789</v>
      </c>
      <c r="B92" s="10"/>
      <c r="C92" s="10"/>
      <c r="N92" s="1"/>
      <c r="O92" s="1"/>
      <c r="P92" s="1"/>
      <c r="Q92" s="1"/>
      <c r="R92" s="1"/>
      <c r="S92" s="1"/>
      <c r="Z92" s="1"/>
      <c r="AD92" s="1"/>
      <c r="AE92" s="1"/>
      <c r="AF92" s="1"/>
      <c r="AG92" s="11"/>
      <c r="AH92" s="1"/>
      <c r="AI92" s="1"/>
      <c r="AJ92" s="1"/>
      <c r="AK92" s="1"/>
      <c r="AL92" s="1"/>
      <c r="AM92" s="1"/>
      <c r="AN92" s="1"/>
      <c r="AO92" s="1"/>
      <c r="AP92" s="1"/>
      <c r="AQ92" s="1"/>
      <c r="AR92" s="13"/>
      <c r="AS92" s="1"/>
      <c r="AT92" s="1"/>
      <c r="AU92" s="13"/>
      <c r="AX92" s="1"/>
      <c r="AY92" s="1"/>
      <c r="AZ92" s="1"/>
      <c r="BB92" s="1"/>
      <c r="BC92" s="1"/>
      <c r="BE92" s="1"/>
      <c r="BG92" s="1"/>
      <c r="BN92" s="3"/>
      <c r="BV92" s="14"/>
    </row>
    <row r="93" spans="1:74" x14ac:dyDescent="0.2">
      <c r="A93" s="10">
        <f t="shared" si="29"/>
        <v>38425.666666666453</v>
      </c>
      <c r="B93" s="10"/>
      <c r="C93" s="10"/>
      <c r="N93" s="1"/>
      <c r="O93" s="1"/>
      <c r="P93" s="1"/>
      <c r="Q93" s="1"/>
      <c r="R93" s="1"/>
      <c r="S93" s="1"/>
      <c r="Z93" s="1"/>
      <c r="AD93" s="1"/>
      <c r="AE93" s="1"/>
      <c r="AF93" s="1"/>
      <c r="AG93" s="11"/>
      <c r="AH93" s="1"/>
      <c r="AI93" s="1"/>
      <c r="AJ93" s="1"/>
      <c r="AK93" s="1"/>
      <c r="AL93" s="1"/>
      <c r="AM93" s="1"/>
      <c r="AN93" s="1"/>
      <c r="AO93" s="1"/>
      <c r="AP93" s="1"/>
      <c r="AQ93" s="1"/>
      <c r="AR93" s="13"/>
      <c r="AS93" s="1"/>
      <c r="AT93" s="1"/>
      <c r="AU93" s="13"/>
      <c r="AX93" s="1"/>
      <c r="AY93" s="1"/>
      <c r="AZ93" s="1"/>
      <c r="BB93" s="1"/>
      <c r="BC93" s="1"/>
      <c r="BE93" s="1"/>
      <c r="BG93" s="1"/>
      <c r="BN93" s="3"/>
      <c r="BV93" s="14"/>
    </row>
    <row r="94" spans="1:74" x14ac:dyDescent="0.2">
      <c r="A94" s="10">
        <f t="shared" si="29"/>
        <v>38456.083333333117</v>
      </c>
      <c r="B94" s="10"/>
      <c r="C94" s="10"/>
      <c r="N94" s="1"/>
      <c r="O94" s="1"/>
      <c r="P94" s="1"/>
      <c r="Q94" s="1"/>
      <c r="R94" s="1"/>
      <c r="S94" s="1"/>
      <c r="Z94" s="1"/>
      <c r="AD94" s="1"/>
      <c r="AE94" s="1"/>
      <c r="AF94" s="1"/>
      <c r="AG94" s="11"/>
      <c r="AH94" s="1"/>
      <c r="AI94" s="1"/>
      <c r="AJ94" s="1"/>
      <c r="AK94" s="1"/>
      <c r="AL94" s="1"/>
      <c r="AM94" s="1"/>
      <c r="AN94" s="1"/>
      <c r="AO94" s="1"/>
      <c r="AP94" s="1"/>
      <c r="AQ94" s="1"/>
      <c r="AR94" s="13"/>
      <c r="AS94" s="1"/>
      <c r="AT94" s="1"/>
      <c r="AU94" s="13"/>
      <c r="AX94" s="1"/>
      <c r="AY94" s="1"/>
      <c r="AZ94" s="1"/>
      <c r="BB94" s="1"/>
      <c r="BC94" s="1"/>
      <c r="BE94" s="1"/>
      <c r="BG94" s="1"/>
      <c r="BN94" s="3"/>
      <c r="BV94" s="14"/>
    </row>
    <row r="95" spans="1:74" x14ac:dyDescent="0.2">
      <c r="A95" s="10">
        <f t="shared" si="29"/>
        <v>38486.499999999782</v>
      </c>
      <c r="B95" s="10"/>
      <c r="C95" s="10"/>
      <c r="N95" s="1"/>
      <c r="O95" s="1"/>
      <c r="P95" s="1"/>
      <c r="Q95" s="1"/>
      <c r="R95" s="1"/>
      <c r="S95" s="1"/>
      <c r="Z95" s="1"/>
      <c r="AD95" s="1"/>
      <c r="AE95" s="1"/>
      <c r="AF95" s="1"/>
      <c r="AG95" s="11"/>
      <c r="AH95" s="1"/>
      <c r="AI95" s="1"/>
      <c r="AJ95" s="1"/>
      <c r="AK95" s="1"/>
      <c r="AL95" s="1"/>
      <c r="AM95" s="1"/>
      <c r="AN95" s="1"/>
      <c r="AO95" s="1"/>
      <c r="AP95" s="1"/>
      <c r="AQ95" s="1"/>
      <c r="AR95" s="13"/>
      <c r="AS95" s="1"/>
      <c r="AT95" s="1"/>
      <c r="AU95" s="13"/>
      <c r="AX95" s="1"/>
      <c r="AY95" s="1"/>
      <c r="AZ95" s="1"/>
      <c r="BB95" s="1"/>
      <c r="BC95" s="1"/>
      <c r="BE95" s="1"/>
      <c r="BG95" s="1"/>
      <c r="BN95" s="3"/>
      <c r="BV95" s="14"/>
    </row>
    <row r="96" spans="1:74" x14ac:dyDescent="0.2">
      <c r="A96" s="10">
        <f t="shared" si="29"/>
        <v>38516.916666666446</v>
      </c>
      <c r="B96" s="10"/>
      <c r="C96" s="10"/>
      <c r="N96" s="1"/>
      <c r="O96" s="1"/>
      <c r="P96" s="1"/>
      <c r="Q96" s="1"/>
      <c r="R96" s="1"/>
      <c r="S96" s="1"/>
      <c r="Z96" s="1"/>
      <c r="AD96" s="1"/>
      <c r="AE96" s="1"/>
      <c r="AF96" s="1"/>
      <c r="AG96" s="11"/>
      <c r="AH96" s="1"/>
      <c r="AI96" s="1"/>
      <c r="AJ96" s="1"/>
      <c r="AK96" s="1"/>
      <c r="AL96" s="1"/>
      <c r="AM96" s="1"/>
      <c r="AN96" s="1"/>
      <c r="AO96" s="1"/>
      <c r="AP96" s="1"/>
      <c r="AQ96" s="1"/>
      <c r="AR96" s="13"/>
      <c r="AS96" s="1"/>
      <c r="AT96" s="1"/>
      <c r="AU96" s="13"/>
      <c r="AX96" s="1"/>
      <c r="AY96" s="1"/>
      <c r="AZ96" s="1"/>
      <c r="BB96" s="1"/>
      <c r="BC96" s="1"/>
      <c r="BE96" s="1"/>
      <c r="BG96" s="1"/>
      <c r="BN96" s="3"/>
      <c r="BV96" s="14"/>
    </row>
    <row r="97" spans="1:74" x14ac:dyDescent="0.2">
      <c r="A97" s="10">
        <f t="shared" si="29"/>
        <v>38547.33333333311</v>
      </c>
      <c r="B97" s="10"/>
      <c r="C97" s="10"/>
      <c r="N97" s="1"/>
      <c r="O97" s="1"/>
      <c r="P97" s="1"/>
      <c r="Q97" s="1"/>
      <c r="R97" s="1"/>
      <c r="S97" s="1"/>
      <c r="Z97" s="1"/>
      <c r="AD97" s="1"/>
      <c r="AE97" s="1"/>
      <c r="AF97" s="1"/>
      <c r="AG97" s="11"/>
      <c r="AH97" s="1"/>
      <c r="AI97" s="1"/>
      <c r="AJ97" s="1"/>
      <c r="AK97" s="1"/>
      <c r="AL97" s="1"/>
      <c r="AM97" s="1"/>
      <c r="AN97" s="1"/>
      <c r="AO97" s="1"/>
      <c r="AP97" s="1"/>
      <c r="AQ97" s="1"/>
      <c r="AR97" s="13"/>
      <c r="AS97" s="1"/>
      <c r="AT97" s="1"/>
      <c r="AU97" s="13"/>
      <c r="AX97" s="1"/>
      <c r="AY97" s="1"/>
      <c r="AZ97" s="1"/>
      <c r="BB97" s="1"/>
      <c r="BC97" s="1"/>
      <c r="BE97" s="1"/>
      <c r="BG97" s="1"/>
      <c r="BN97" s="3"/>
      <c r="BV97" s="14"/>
    </row>
    <row r="98" spans="1:74" x14ac:dyDescent="0.2">
      <c r="A98" s="10">
        <f t="shared" si="29"/>
        <v>38577.749999999774</v>
      </c>
      <c r="B98" s="10"/>
      <c r="C98" s="10"/>
      <c r="N98" s="1"/>
      <c r="O98" s="1"/>
      <c r="P98" s="1"/>
      <c r="Q98" s="1"/>
      <c r="R98" s="1"/>
      <c r="S98" s="1"/>
      <c r="Z98" s="1"/>
      <c r="AD98" s="1"/>
      <c r="AE98" s="1"/>
      <c r="AF98" s="1"/>
      <c r="AG98" s="11"/>
      <c r="AH98" s="1"/>
      <c r="AI98" s="1"/>
      <c r="AJ98" s="1"/>
      <c r="AK98" s="1"/>
      <c r="AL98" s="1"/>
      <c r="AM98" s="1"/>
      <c r="AN98" s="1"/>
      <c r="AO98" s="1"/>
      <c r="AP98" s="1"/>
      <c r="AQ98" s="1"/>
      <c r="AR98" s="13"/>
      <c r="AS98" s="1"/>
      <c r="AT98" s="1"/>
      <c r="AU98" s="13"/>
      <c r="AX98" s="1"/>
      <c r="AY98" s="1"/>
      <c r="AZ98" s="1"/>
      <c r="BB98" s="1"/>
      <c r="BC98" s="1"/>
      <c r="BE98" s="1"/>
      <c r="BG98" s="1"/>
      <c r="BN98" s="3"/>
      <c r="BV98" s="14"/>
    </row>
    <row r="99" spans="1:74" x14ac:dyDescent="0.2">
      <c r="A99" s="10">
        <f t="shared" si="29"/>
        <v>38608.166666666439</v>
      </c>
      <c r="B99" s="10"/>
      <c r="C99" s="10"/>
      <c r="N99" s="1"/>
      <c r="O99" s="1"/>
      <c r="P99" s="1"/>
      <c r="Q99" s="1"/>
      <c r="R99" s="1"/>
      <c r="S99" s="1"/>
      <c r="Z99" s="1"/>
      <c r="AD99" s="1"/>
      <c r="AE99" s="1"/>
      <c r="AF99" s="1"/>
      <c r="AG99" s="11"/>
      <c r="AH99" s="1"/>
      <c r="AI99" s="1"/>
      <c r="AJ99" s="1"/>
      <c r="AK99" s="1"/>
      <c r="AL99" s="1"/>
      <c r="AM99" s="1"/>
      <c r="AN99" s="1"/>
      <c r="AO99" s="1"/>
      <c r="AP99" s="1"/>
      <c r="AQ99" s="1"/>
      <c r="AR99" s="13"/>
      <c r="AS99" s="1"/>
      <c r="AT99" s="1"/>
      <c r="AU99" s="13"/>
      <c r="AX99" s="1"/>
      <c r="AY99" s="1"/>
      <c r="AZ99" s="1"/>
      <c r="BB99" s="1"/>
      <c r="BC99" s="1"/>
      <c r="BE99" s="1"/>
      <c r="BG99" s="1"/>
      <c r="BN99" s="3"/>
      <c r="BV99" s="14"/>
    </row>
    <row r="100" spans="1:74" x14ac:dyDescent="0.2">
      <c r="A100" s="10">
        <f t="shared" si="29"/>
        <v>38638.583333333103</v>
      </c>
      <c r="B100" s="10"/>
      <c r="C100" s="10"/>
      <c r="N100" s="1"/>
      <c r="O100" s="1"/>
      <c r="P100" s="1"/>
      <c r="Q100" s="1"/>
      <c r="R100" s="1"/>
      <c r="S100" s="1"/>
      <c r="Z100" s="1"/>
      <c r="AD100" s="1"/>
      <c r="AE100" s="1"/>
      <c r="AF100" s="1"/>
      <c r="AG100" s="11"/>
      <c r="AH100" s="1"/>
      <c r="AI100" s="1"/>
      <c r="AJ100" s="1"/>
      <c r="AK100" s="1"/>
      <c r="AL100" s="1"/>
      <c r="AM100" s="1"/>
      <c r="AN100" s="1"/>
      <c r="AO100" s="1"/>
      <c r="AP100" s="1"/>
      <c r="AQ100" s="1"/>
      <c r="AR100" s="13"/>
      <c r="AS100" s="1"/>
      <c r="AT100" s="1"/>
      <c r="AU100" s="13"/>
      <c r="AX100" s="1"/>
      <c r="AY100" s="1"/>
      <c r="AZ100" s="1"/>
      <c r="BB100" s="1"/>
      <c r="BE100" s="1"/>
      <c r="BG100" s="1"/>
      <c r="BN100" s="3"/>
      <c r="BV100" s="14"/>
    </row>
    <row r="101" spans="1:74" x14ac:dyDescent="0.2">
      <c r="A101" s="10">
        <f t="shared" si="29"/>
        <v>38668.999999999767</v>
      </c>
      <c r="B101" s="10"/>
      <c r="C101" s="10"/>
      <c r="N101" s="1"/>
      <c r="O101" s="1"/>
      <c r="P101" s="1"/>
      <c r="Q101" s="1"/>
      <c r="R101" s="1"/>
      <c r="S101" s="1"/>
      <c r="Z101" s="1"/>
      <c r="AD101" s="1"/>
      <c r="AE101" s="1"/>
      <c r="AF101" s="1"/>
      <c r="AG101" s="11"/>
      <c r="AH101" s="1"/>
      <c r="AI101" s="1"/>
      <c r="AJ101" s="1"/>
      <c r="AK101" s="1"/>
      <c r="AL101" s="1"/>
      <c r="AM101" s="1"/>
      <c r="AN101" s="1"/>
      <c r="AO101" s="1"/>
      <c r="AP101" s="1"/>
      <c r="AQ101" s="1"/>
      <c r="AR101" s="13"/>
      <c r="AS101" s="1"/>
      <c r="AT101" s="1"/>
      <c r="AU101" s="13"/>
      <c r="AX101" s="1"/>
      <c r="AY101" s="1"/>
      <c r="AZ101" s="1"/>
      <c r="BB101" s="1"/>
      <c r="BE101" s="1"/>
      <c r="BG101" s="1"/>
      <c r="BN101" s="3"/>
      <c r="BV101" s="14"/>
    </row>
    <row r="102" spans="1:74" x14ac:dyDescent="0.2">
      <c r="A102" s="10">
        <f t="shared" ref="A102:A133" si="30">+A101+365/12</f>
        <v>38699.416666666431</v>
      </c>
      <c r="B102" s="10"/>
      <c r="C102" s="10"/>
      <c r="N102" s="1"/>
      <c r="O102" s="1"/>
      <c r="P102" s="1"/>
      <c r="Q102" s="1"/>
      <c r="R102" s="1"/>
      <c r="S102" s="1"/>
      <c r="Z102" s="1"/>
      <c r="AD102" s="1"/>
      <c r="AE102" s="1"/>
      <c r="AF102" s="1"/>
      <c r="AG102" s="11"/>
      <c r="AH102" s="1"/>
      <c r="AI102" s="1"/>
      <c r="AJ102" s="1"/>
      <c r="AK102" s="1"/>
      <c r="AL102" s="1"/>
      <c r="AM102" s="1"/>
      <c r="AN102" s="1"/>
      <c r="AO102" s="1"/>
      <c r="AP102" s="1"/>
      <c r="AQ102" s="1"/>
      <c r="AR102" s="13"/>
      <c r="AS102" s="1"/>
      <c r="AT102" s="1"/>
      <c r="AU102" s="13"/>
      <c r="AX102" s="1"/>
      <c r="AY102" s="1"/>
      <c r="AZ102" s="1"/>
      <c r="BB102" s="1"/>
      <c r="BE102" s="1"/>
      <c r="BG102" s="1"/>
      <c r="BN102" s="3"/>
      <c r="BV102" s="14"/>
    </row>
    <row r="103" spans="1:74" x14ac:dyDescent="0.2">
      <c r="A103" s="10">
        <f t="shared" si="30"/>
        <v>38729.833333333096</v>
      </c>
      <c r="B103" s="10"/>
      <c r="C103" s="10"/>
      <c r="N103" s="1"/>
      <c r="O103" s="1"/>
      <c r="P103" s="1"/>
      <c r="Q103" s="1"/>
      <c r="R103" s="1"/>
      <c r="S103" s="1"/>
      <c r="Z103" s="1"/>
      <c r="AD103" s="1"/>
      <c r="AE103" s="1"/>
      <c r="AF103" s="1"/>
      <c r="AG103" s="11"/>
      <c r="AH103" s="1"/>
      <c r="AI103" s="1"/>
      <c r="AJ103" s="1"/>
      <c r="AK103" s="1"/>
      <c r="AL103" s="1"/>
      <c r="AM103" s="1"/>
      <c r="AN103" s="1"/>
      <c r="AO103" s="1"/>
      <c r="AP103" s="1"/>
      <c r="AQ103" s="1"/>
      <c r="AR103" s="13"/>
      <c r="AS103" s="1"/>
      <c r="AT103" s="1"/>
      <c r="AU103" s="13"/>
      <c r="AX103" s="1"/>
      <c r="AY103" s="1"/>
      <c r="AZ103" s="1"/>
      <c r="BB103" s="1"/>
      <c r="BE103" s="1"/>
      <c r="BG103" s="1"/>
      <c r="BN103" s="3"/>
      <c r="BV103" s="14"/>
    </row>
    <row r="104" spans="1:74" x14ac:dyDescent="0.2">
      <c r="A104" s="10">
        <f t="shared" si="30"/>
        <v>38760.24999999976</v>
      </c>
      <c r="B104" s="10"/>
      <c r="C104" s="10"/>
      <c r="N104" s="1"/>
      <c r="O104" s="1"/>
      <c r="P104" s="1"/>
      <c r="Q104" s="1"/>
      <c r="R104" s="1"/>
      <c r="S104" s="1"/>
      <c r="Z104" s="1"/>
      <c r="AD104" s="1"/>
      <c r="AE104" s="1"/>
      <c r="AF104" s="1"/>
      <c r="AG104" s="11"/>
      <c r="AH104" s="1"/>
      <c r="AI104" s="1"/>
      <c r="AJ104" s="1"/>
      <c r="AK104" s="1"/>
      <c r="AL104" s="1"/>
      <c r="AM104" s="1"/>
      <c r="AN104" s="1"/>
      <c r="AO104" s="1"/>
      <c r="AP104" s="1"/>
      <c r="AQ104" s="1"/>
      <c r="AR104" s="13"/>
      <c r="AS104" s="1"/>
      <c r="AT104" s="1"/>
      <c r="AU104" s="13"/>
      <c r="AX104" s="1"/>
      <c r="AY104" s="1"/>
      <c r="AZ104" s="1"/>
      <c r="BB104" s="1"/>
      <c r="BE104" s="1"/>
      <c r="BG104" s="1"/>
      <c r="BN104" s="3"/>
      <c r="BV104" s="14"/>
    </row>
    <row r="105" spans="1:74" x14ac:dyDescent="0.2">
      <c r="A105" s="10">
        <f t="shared" si="30"/>
        <v>38790.666666666424</v>
      </c>
      <c r="B105" s="10"/>
      <c r="C105" s="10"/>
      <c r="N105" s="1"/>
      <c r="O105" s="1"/>
      <c r="P105" s="1"/>
      <c r="Q105" s="1"/>
      <c r="R105" s="1"/>
      <c r="S105" s="1"/>
      <c r="Z105" s="1"/>
      <c r="AD105" s="1"/>
      <c r="AE105" s="1"/>
      <c r="AF105" s="1"/>
      <c r="AG105" s="11"/>
      <c r="AH105" s="1"/>
      <c r="AI105" s="1"/>
      <c r="AJ105" s="1"/>
      <c r="AK105" s="1"/>
      <c r="AL105" s="1"/>
      <c r="AM105" s="1"/>
      <c r="AN105" s="1"/>
      <c r="AO105" s="1"/>
      <c r="AP105" s="1"/>
      <c r="AQ105" s="1"/>
      <c r="AR105" s="13"/>
      <c r="AS105" s="1"/>
      <c r="AT105" s="1"/>
      <c r="AU105" s="13"/>
      <c r="AX105" s="1"/>
      <c r="AY105" s="1"/>
      <c r="AZ105" s="1"/>
      <c r="BB105" s="1"/>
      <c r="BE105" s="1"/>
      <c r="BG105" s="1"/>
      <c r="BN105" s="3"/>
      <c r="BV105" s="14"/>
    </row>
    <row r="106" spans="1:74" x14ac:dyDescent="0.2">
      <c r="A106" s="10">
        <f t="shared" si="30"/>
        <v>38821.083333333088</v>
      </c>
      <c r="B106" s="10"/>
      <c r="C106" s="10"/>
      <c r="N106" s="1"/>
      <c r="O106" s="1"/>
      <c r="P106" s="1"/>
      <c r="Q106" s="1"/>
      <c r="R106" s="1"/>
      <c r="S106" s="1"/>
      <c r="Z106" s="1"/>
      <c r="AD106" s="1"/>
      <c r="AE106" s="1"/>
      <c r="AF106" s="1"/>
      <c r="AG106" s="11"/>
      <c r="AH106" s="1"/>
      <c r="AI106" s="1"/>
      <c r="AJ106" s="1"/>
      <c r="AK106" s="1"/>
      <c r="AL106" s="1"/>
      <c r="AM106" s="1"/>
      <c r="AN106" s="1"/>
      <c r="AO106" s="1"/>
      <c r="AP106" s="1"/>
      <c r="AQ106" s="1"/>
      <c r="AR106" s="13"/>
      <c r="AS106" s="1"/>
      <c r="AT106" s="1"/>
      <c r="AU106" s="13"/>
      <c r="AX106" s="1"/>
      <c r="AY106" s="1"/>
      <c r="AZ106" s="1"/>
      <c r="BB106" s="1"/>
      <c r="BE106" s="1"/>
      <c r="BG106" s="1"/>
      <c r="BN106" s="3"/>
      <c r="BV106" s="14"/>
    </row>
    <row r="107" spans="1:74" x14ac:dyDescent="0.2">
      <c r="A107" s="10">
        <f t="shared" si="30"/>
        <v>38851.499999999753</v>
      </c>
      <c r="B107" s="10"/>
      <c r="C107" s="10"/>
      <c r="N107" s="1"/>
      <c r="O107" s="1"/>
      <c r="P107" s="1"/>
      <c r="Q107" s="1"/>
      <c r="R107" s="1"/>
      <c r="S107" s="1"/>
      <c r="Z107" s="1"/>
      <c r="AD107" s="1"/>
      <c r="AE107" s="1"/>
      <c r="AF107" s="1"/>
      <c r="AG107" s="11"/>
      <c r="AH107" s="1"/>
      <c r="AI107" s="1"/>
      <c r="AJ107" s="1"/>
      <c r="AK107" s="1"/>
      <c r="AL107" s="1"/>
      <c r="AM107" s="1"/>
      <c r="AN107" s="1"/>
      <c r="AO107" s="1"/>
      <c r="AP107" s="1"/>
      <c r="AQ107" s="1"/>
      <c r="AR107" s="13"/>
      <c r="AS107" s="1"/>
      <c r="AT107" s="1"/>
      <c r="AU107" s="13"/>
      <c r="AX107" s="1"/>
      <c r="AY107" s="1"/>
      <c r="AZ107" s="1"/>
      <c r="BB107" s="1"/>
      <c r="BE107" s="1"/>
      <c r="BG107" s="1"/>
      <c r="BN107" s="3"/>
      <c r="BV107" s="14"/>
    </row>
    <row r="108" spans="1:74" x14ac:dyDescent="0.2">
      <c r="A108" s="10">
        <f t="shared" si="30"/>
        <v>38881.916666666417</v>
      </c>
      <c r="B108" s="10"/>
      <c r="C108" s="10"/>
      <c r="N108" s="1"/>
      <c r="O108" s="1"/>
      <c r="P108" s="1"/>
      <c r="Q108" s="1"/>
      <c r="R108" s="1"/>
      <c r="S108" s="1"/>
      <c r="Z108" s="1"/>
      <c r="AD108" s="1"/>
      <c r="AE108" s="1"/>
      <c r="AF108" s="1"/>
      <c r="AG108" s="11"/>
      <c r="AH108" s="1"/>
      <c r="AI108" s="1"/>
      <c r="AJ108" s="1"/>
      <c r="AK108" s="1"/>
      <c r="AL108" s="1"/>
      <c r="AM108" s="1"/>
      <c r="AN108" s="1"/>
      <c r="AO108" s="1"/>
      <c r="AP108" s="1"/>
      <c r="AQ108" s="1"/>
      <c r="AR108" s="13"/>
      <c r="AS108" s="1"/>
      <c r="AT108" s="1"/>
      <c r="AU108" s="13"/>
      <c r="AX108" s="1"/>
      <c r="AY108" s="1"/>
      <c r="AZ108" s="1"/>
      <c r="BB108" s="1"/>
      <c r="BE108" s="1"/>
      <c r="BG108" s="1"/>
      <c r="BN108" s="3"/>
      <c r="BV108" s="14"/>
    </row>
    <row r="109" spans="1:74" x14ac:dyDescent="0.2">
      <c r="A109" s="10">
        <f t="shared" si="30"/>
        <v>38912.333333333081</v>
      </c>
      <c r="B109" s="10"/>
      <c r="C109" s="10"/>
      <c r="N109" s="1"/>
      <c r="O109" s="1"/>
      <c r="P109" s="1"/>
      <c r="Q109" s="1"/>
      <c r="R109" s="1"/>
      <c r="S109" s="1"/>
      <c r="Z109" s="1"/>
      <c r="AD109" s="1"/>
      <c r="AE109" s="1"/>
      <c r="AF109" s="1"/>
      <c r="AG109" s="11"/>
      <c r="AH109" s="1"/>
      <c r="AI109" s="1"/>
      <c r="AJ109" s="1"/>
      <c r="AK109" s="1"/>
      <c r="AL109" s="1"/>
      <c r="AM109" s="1"/>
      <c r="AN109" s="1"/>
      <c r="AO109" s="1"/>
      <c r="AP109" s="1"/>
      <c r="AQ109" s="1"/>
      <c r="AR109" s="13"/>
      <c r="AS109" s="1"/>
      <c r="AT109" s="1"/>
      <c r="AU109" s="13"/>
      <c r="AX109" s="1"/>
      <c r="AY109" s="1"/>
      <c r="AZ109" s="1"/>
      <c r="BB109" s="1"/>
      <c r="BE109" s="1"/>
      <c r="BG109" s="1"/>
      <c r="BN109" s="3"/>
      <c r="BV109" s="14"/>
    </row>
    <row r="110" spans="1:74" x14ac:dyDescent="0.2">
      <c r="A110" s="10">
        <f t="shared" si="30"/>
        <v>38942.749999999745</v>
      </c>
      <c r="B110" s="10"/>
      <c r="C110" s="10"/>
      <c r="N110" s="1"/>
      <c r="O110" s="1"/>
      <c r="P110" s="1"/>
      <c r="Q110" s="1"/>
      <c r="R110" s="1"/>
      <c r="S110" s="1"/>
      <c r="Z110" s="1"/>
      <c r="AD110" s="1"/>
      <c r="AE110" s="1"/>
      <c r="AF110" s="1"/>
      <c r="AG110" s="11"/>
      <c r="AH110" s="1"/>
      <c r="AI110" s="1"/>
      <c r="AJ110" s="1"/>
      <c r="AK110" s="1"/>
      <c r="AL110" s="1"/>
      <c r="AM110" s="1"/>
      <c r="AN110" s="1"/>
      <c r="AO110" s="1"/>
      <c r="AP110" s="1"/>
      <c r="AQ110" s="1"/>
      <c r="AR110" s="13"/>
      <c r="AS110" s="1"/>
      <c r="AT110" s="1"/>
      <c r="AU110" s="13"/>
      <c r="AX110" s="1"/>
      <c r="AY110" s="1"/>
      <c r="AZ110" s="1"/>
      <c r="BB110" s="1"/>
      <c r="BE110" s="1"/>
      <c r="BG110" s="1"/>
      <c r="BN110" s="3"/>
      <c r="BV110" s="14"/>
    </row>
    <row r="111" spans="1:74" x14ac:dyDescent="0.2">
      <c r="A111" s="10">
        <f t="shared" si="30"/>
        <v>38973.16666666641</v>
      </c>
      <c r="B111" s="10"/>
      <c r="C111" s="10"/>
      <c r="N111" s="1"/>
      <c r="O111" s="1"/>
      <c r="P111" s="1"/>
      <c r="Q111" s="1"/>
      <c r="R111" s="1"/>
      <c r="S111" s="1"/>
      <c r="Z111" s="1"/>
      <c r="AD111" s="1"/>
      <c r="AE111" s="1"/>
      <c r="AF111" s="1"/>
      <c r="AG111" s="11"/>
      <c r="AH111" s="1"/>
      <c r="AI111" s="1"/>
      <c r="AJ111" s="1"/>
      <c r="AK111" s="1"/>
      <c r="AL111" s="1"/>
      <c r="AM111" s="1"/>
      <c r="AN111" s="1"/>
      <c r="AO111" s="1"/>
      <c r="AP111" s="1"/>
      <c r="AQ111" s="1"/>
      <c r="AR111" s="13"/>
      <c r="AS111" s="1"/>
      <c r="AT111" s="1"/>
      <c r="AU111" s="13"/>
      <c r="AX111" s="1"/>
      <c r="AY111" s="1"/>
      <c r="AZ111" s="1"/>
      <c r="BB111" s="1"/>
      <c r="BE111" s="1"/>
      <c r="BG111" s="1"/>
      <c r="BN111" s="3"/>
      <c r="BV111" s="14"/>
    </row>
    <row r="112" spans="1:74" x14ac:dyDescent="0.2">
      <c r="A112" s="10">
        <f t="shared" si="30"/>
        <v>39003.583333333074</v>
      </c>
      <c r="B112" s="10"/>
      <c r="C112" s="10"/>
      <c r="N112" s="1"/>
      <c r="O112" s="1"/>
      <c r="P112" s="1"/>
      <c r="Q112" s="1"/>
      <c r="R112" s="1"/>
      <c r="S112" s="1"/>
      <c r="Z112" s="1"/>
      <c r="AD112" s="1"/>
      <c r="AE112" s="1"/>
      <c r="AF112" s="1"/>
      <c r="AG112" s="11"/>
      <c r="AH112" s="1"/>
      <c r="AI112" s="1"/>
      <c r="AJ112" s="1"/>
      <c r="AK112" s="1"/>
      <c r="AL112" s="1"/>
      <c r="AM112" s="1"/>
      <c r="AN112" s="1"/>
      <c r="AO112" s="1"/>
      <c r="AP112" s="1"/>
      <c r="AQ112" s="1"/>
      <c r="AR112" s="13"/>
      <c r="AS112" s="1"/>
      <c r="AT112" s="1"/>
      <c r="AU112" s="13"/>
      <c r="AX112" s="1"/>
      <c r="AY112" s="1"/>
      <c r="AZ112" s="1"/>
      <c r="BB112" s="1"/>
      <c r="BE112" s="1"/>
      <c r="BG112" s="1"/>
      <c r="BN112" s="3"/>
      <c r="BV112" s="14"/>
    </row>
    <row r="113" spans="1:74" x14ac:dyDescent="0.2">
      <c r="A113" s="10">
        <f t="shared" si="30"/>
        <v>39033.999999999738</v>
      </c>
      <c r="B113" s="10"/>
      <c r="C113" s="10"/>
      <c r="N113" s="1"/>
      <c r="O113" s="1"/>
      <c r="P113" s="1"/>
      <c r="Q113" s="1"/>
      <c r="R113" s="1"/>
      <c r="S113" s="1"/>
      <c r="Z113" s="1"/>
      <c r="AD113" s="1"/>
      <c r="AE113" s="1"/>
      <c r="AF113" s="1"/>
      <c r="AG113" s="11"/>
      <c r="AH113" s="1"/>
      <c r="AI113" s="1"/>
      <c r="AJ113" s="1"/>
      <c r="AK113" s="1"/>
      <c r="AL113" s="1"/>
      <c r="AM113" s="1"/>
      <c r="AN113" s="1"/>
      <c r="AO113" s="1"/>
      <c r="AP113" s="1"/>
      <c r="AQ113" s="1"/>
      <c r="AR113" s="13"/>
      <c r="AS113" s="1"/>
      <c r="AT113" s="1"/>
      <c r="AU113" s="13"/>
      <c r="AX113" s="1"/>
      <c r="AY113" s="1"/>
      <c r="AZ113" s="1"/>
      <c r="BB113" s="1"/>
      <c r="BE113" s="1"/>
      <c r="BG113" s="1"/>
      <c r="BN113" s="3"/>
      <c r="BV113" s="14"/>
    </row>
    <row r="114" spans="1:74" x14ac:dyDescent="0.2">
      <c r="A114" s="10">
        <f t="shared" si="30"/>
        <v>39064.416666666402</v>
      </c>
      <c r="B114" s="10"/>
      <c r="C114" s="10"/>
      <c r="N114" s="1"/>
      <c r="O114" s="1"/>
      <c r="P114" s="1"/>
      <c r="Q114" s="1"/>
      <c r="R114" s="1"/>
      <c r="S114" s="1"/>
      <c r="Z114" s="1"/>
      <c r="AD114" s="1"/>
      <c r="AE114" s="1"/>
      <c r="AF114" s="1"/>
      <c r="AG114" s="11"/>
      <c r="AH114" s="1"/>
      <c r="AI114" s="1"/>
      <c r="AJ114" s="1"/>
      <c r="AK114" s="1"/>
      <c r="AL114" s="1"/>
      <c r="AM114" s="1"/>
      <c r="AN114" s="1"/>
      <c r="AO114" s="1"/>
      <c r="AP114" s="1"/>
      <c r="AQ114" s="1"/>
      <c r="AR114" s="13"/>
      <c r="AS114" s="1"/>
      <c r="AT114" s="1"/>
      <c r="AU114" s="13"/>
      <c r="AX114" s="1"/>
      <c r="AY114" s="1"/>
      <c r="AZ114" s="1"/>
      <c r="BB114" s="1"/>
      <c r="BE114" s="1"/>
      <c r="BG114" s="1"/>
      <c r="BN114" s="3"/>
      <c r="BV114" s="14"/>
    </row>
    <row r="115" spans="1:74" x14ac:dyDescent="0.2">
      <c r="A115" s="10">
        <f t="shared" si="30"/>
        <v>39094.833333333067</v>
      </c>
      <c r="B115" s="10"/>
      <c r="C115" s="10"/>
      <c r="N115" s="1"/>
      <c r="O115" s="1"/>
      <c r="P115" s="1"/>
      <c r="Q115" s="1"/>
      <c r="R115" s="1"/>
      <c r="S115" s="1"/>
      <c r="Z115" s="1"/>
      <c r="AD115" s="1"/>
      <c r="AE115" s="1"/>
      <c r="AF115" s="1"/>
      <c r="AG115" s="11"/>
      <c r="AH115" s="1"/>
      <c r="AI115" s="1"/>
      <c r="AJ115" s="1"/>
      <c r="AK115" s="1"/>
      <c r="AL115" s="1"/>
      <c r="AM115" s="1"/>
      <c r="AN115" s="1"/>
      <c r="AO115" s="1"/>
      <c r="AP115" s="1"/>
      <c r="AQ115" s="1"/>
      <c r="AR115" s="13"/>
      <c r="AS115" s="1"/>
      <c r="AT115" s="1"/>
      <c r="AU115" s="13"/>
      <c r="AX115" s="1"/>
      <c r="AY115" s="1"/>
      <c r="AZ115" s="1"/>
      <c r="BB115" s="1"/>
      <c r="BE115" s="1"/>
      <c r="BG115" s="1"/>
      <c r="BN115" s="3"/>
      <c r="BV115" s="14"/>
    </row>
    <row r="116" spans="1:74" x14ac:dyDescent="0.2">
      <c r="A116" s="10">
        <f t="shared" si="30"/>
        <v>39125.249999999731</v>
      </c>
      <c r="B116" s="10"/>
      <c r="C116" s="10"/>
      <c r="N116" s="1"/>
      <c r="O116" s="1"/>
      <c r="P116" s="1"/>
      <c r="Q116" s="1"/>
      <c r="R116" s="1"/>
      <c r="S116" s="1"/>
      <c r="Z116" s="1"/>
      <c r="AD116" s="1"/>
      <c r="AE116" s="1"/>
      <c r="AF116" s="1"/>
      <c r="AG116" s="11"/>
      <c r="AH116" s="1"/>
      <c r="AI116" s="1"/>
      <c r="AJ116" s="1"/>
      <c r="AK116" s="1"/>
      <c r="AL116" s="1"/>
      <c r="AM116" s="1"/>
      <c r="AN116" s="1"/>
      <c r="AO116" s="1"/>
      <c r="AP116" s="1"/>
      <c r="AQ116" s="1"/>
      <c r="AR116" s="13"/>
      <c r="AS116" s="1"/>
      <c r="AT116" s="1"/>
      <c r="AU116" s="13"/>
      <c r="AX116" s="1"/>
      <c r="AY116" s="1"/>
      <c r="AZ116" s="1"/>
      <c r="BB116" s="1"/>
      <c r="BE116" s="1"/>
      <c r="BG116" s="1"/>
      <c r="BN116" s="3"/>
      <c r="BV116" s="14"/>
    </row>
    <row r="117" spans="1:74" x14ac:dyDescent="0.2">
      <c r="A117" s="10">
        <f t="shared" si="30"/>
        <v>39155.666666666395</v>
      </c>
      <c r="B117" s="10"/>
      <c r="C117" s="10"/>
      <c r="N117" s="1"/>
      <c r="O117" s="1"/>
      <c r="P117" s="1"/>
      <c r="Q117" s="1"/>
      <c r="R117" s="1"/>
      <c r="S117" s="1"/>
      <c r="Z117" s="1"/>
      <c r="AD117" s="1"/>
      <c r="AE117" s="1"/>
      <c r="AF117" s="1"/>
      <c r="AG117" s="11"/>
      <c r="AH117" s="1"/>
      <c r="AI117" s="1"/>
      <c r="AJ117" s="1"/>
      <c r="AK117" s="1"/>
      <c r="AL117" s="1"/>
      <c r="AM117" s="1"/>
      <c r="AN117" s="1"/>
      <c r="AO117" s="1"/>
      <c r="AP117" s="1"/>
      <c r="AQ117" s="1"/>
      <c r="AR117" s="13"/>
      <c r="AS117" s="1"/>
      <c r="AT117" s="1"/>
      <c r="AU117" s="13"/>
      <c r="AX117" s="1"/>
      <c r="AY117" s="1"/>
      <c r="AZ117" s="1"/>
      <c r="BB117" s="1"/>
      <c r="BE117" s="1"/>
      <c r="BG117" s="1"/>
      <c r="BN117" s="3"/>
      <c r="BV117" s="14"/>
    </row>
    <row r="118" spans="1:74" x14ac:dyDescent="0.2">
      <c r="A118" s="10">
        <f t="shared" si="30"/>
        <v>39186.083333333059</v>
      </c>
      <c r="B118" s="10"/>
      <c r="C118" s="10"/>
      <c r="N118" s="1"/>
      <c r="O118" s="1"/>
      <c r="P118" s="1"/>
      <c r="Q118" s="1"/>
      <c r="R118" s="1"/>
      <c r="S118" s="1"/>
      <c r="Z118" s="1"/>
      <c r="AD118" s="1"/>
      <c r="AE118" s="1"/>
      <c r="AF118" s="1"/>
      <c r="AG118" s="11"/>
      <c r="AH118" s="1"/>
      <c r="AI118" s="1"/>
      <c r="AJ118" s="1"/>
      <c r="AK118" s="1"/>
      <c r="AL118" s="1"/>
      <c r="AM118" s="1"/>
      <c r="AN118" s="1"/>
      <c r="AO118" s="1"/>
      <c r="AP118" s="1"/>
      <c r="AQ118" s="1"/>
      <c r="AR118" s="13"/>
      <c r="AS118" s="1"/>
      <c r="AT118" s="1"/>
      <c r="AU118" s="13"/>
      <c r="AX118" s="1"/>
      <c r="AY118" s="1"/>
      <c r="AZ118" s="1"/>
      <c r="BB118" s="1"/>
      <c r="BE118" s="1"/>
      <c r="BG118" s="1"/>
      <c r="BN118" s="3"/>
      <c r="BV118" s="14"/>
    </row>
    <row r="119" spans="1:74" x14ac:dyDescent="0.2">
      <c r="A119" s="10">
        <f t="shared" si="30"/>
        <v>39216.499999999724</v>
      </c>
      <c r="B119" s="10"/>
      <c r="C119" s="10"/>
      <c r="N119" s="1"/>
      <c r="O119" s="1"/>
      <c r="P119" s="1"/>
      <c r="Q119" s="1"/>
      <c r="R119" s="1"/>
      <c r="S119" s="1"/>
      <c r="Z119" s="1"/>
      <c r="AD119" s="1"/>
      <c r="AE119" s="1"/>
      <c r="AF119" s="1"/>
      <c r="AG119" s="11"/>
      <c r="AH119" s="1"/>
      <c r="AI119" s="1"/>
      <c r="AJ119" s="1"/>
      <c r="AK119" s="1"/>
      <c r="AL119" s="1"/>
      <c r="AM119" s="1"/>
      <c r="AN119" s="1"/>
      <c r="AO119" s="1"/>
      <c r="AP119" s="1"/>
      <c r="AQ119" s="1"/>
      <c r="AR119" s="13"/>
      <c r="AS119" s="1"/>
      <c r="AT119" s="1"/>
      <c r="AU119" s="13"/>
      <c r="AX119" s="1"/>
      <c r="AY119" s="1"/>
      <c r="AZ119" s="1"/>
      <c r="BB119" s="1"/>
      <c r="BE119" s="1"/>
      <c r="BG119" s="1"/>
      <c r="BN119" s="3"/>
      <c r="BV119" s="14"/>
    </row>
    <row r="120" spans="1:74" x14ac:dyDescent="0.2">
      <c r="A120" s="10">
        <f t="shared" si="30"/>
        <v>39246.916666666388</v>
      </c>
      <c r="B120" s="10"/>
      <c r="C120" s="10"/>
      <c r="N120" s="1"/>
      <c r="O120" s="1"/>
      <c r="P120" s="1"/>
      <c r="Q120" s="1"/>
      <c r="R120" s="1"/>
      <c r="S120" s="1"/>
      <c r="Z120" s="1"/>
      <c r="AD120" s="1"/>
      <c r="AE120" s="1"/>
      <c r="AF120" s="1"/>
      <c r="AG120" s="11"/>
      <c r="AH120" s="1"/>
      <c r="AI120" s="1"/>
      <c r="AJ120" s="1"/>
      <c r="AK120" s="1"/>
      <c r="AL120" s="1"/>
      <c r="AM120" s="1"/>
      <c r="AN120" s="1"/>
      <c r="AO120" s="1"/>
      <c r="AP120" s="1"/>
      <c r="AQ120" s="1"/>
      <c r="AR120" s="13"/>
      <c r="AS120" s="1"/>
      <c r="AT120" s="1"/>
      <c r="AU120" s="13"/>
      <c r="AX120" s="1"/>
      <c r="AY120" s="1"/>
      <c r="AZ120" s="1"/>
      <c r="BB120" s="1"/>
      <c r="BE120" s="1"/>
      <c r="BG120" s="1"/>
      <c r="BN120" s="3"/>
      <c r="BV120" s="14"/>
    </row>
    <row r="121" spans="1:74" x14ac:dyDescent="0.2">
      <c r="A121" s="10">
        <f t="shared" si="30"/>
        <v>39277.333333333052</v>
      </c>
      <c r="B121" s="10"/>
      <c r="C121" s="10"/>
      <c r="N121" s="1"/>
      <c r="O121" s="1"/>
      <c r="P121" s="1"/>
      <c r="Q121" s="1"/>
      <c r="R121" s="1"/>
      <c r="S121" s="1"/>
      <c r="Z121" s="1"/>
      <c r="AD121" s="1"/>
      <c r="AE121" s="1"/>
      <c r="AF121" s="1"/>
      <c r="AG121" s="11"/>
      <c r="AH121" s="1"/>
      <c r="AI121" s="1"/>
      <c r="AJ121" s="1"/>
      <c r="AK121" s="1"/>
      <c r="AL121" s="1"/>
      <c r="AM121" s="1"/>
      <c r="AN121" s="1"/>
      <c r="AO121" s="1"/>
      <c r="AP121" s="1"/>
      <c r="AQ121" s="1"/>
      <c r="AR121" s="13"/>
      <c r="AS121" s="1"/>
      <c r="AT121" s="1"/>
      <c r="AU121" s="13"/>
      <c r="AX121" s="1"/>
      <c r="AY121" s="1"/>
      <c r="AZ121" s="1"/>
      <c r="BB121" s="1"/>
      <c r="BE121" s="1"/>
      <c r="BG121" s="1"/>
      <c r="BN121" s="3"/>
      <c r="BV121" s="14"/>
    </row>
    <row r="122" spans="1:74" x14ac:dyDescent="0.2">
      <c r="A122" s="10">
        <f t="shared" si="30"/>
        <v>39307.749999999716</v>
      </c>
      <c r="B122" s="10"/>
      <c r="C122" s="10"/>
      <c r="N122" s="1"/>
      <c r="O122" s="1"/>
      <c r="P122" s="1"/>
      <c r="Q122" s="1"/>
      <c r="R122" s="1"/>
      <c r="S122" s="1"/>
      <c r="Z122" s="1"/>
      <c r="AD122" s="1"/>
      <c r="AE122" s="1"/>
      <c r="AF122" s="1"/>
      <c r="AG122" s="11"/>
      <c r="AH122" s="1"/>
      <c r="AI122" s="1"/>
      <c r="AJ122" s="1"/>
      <c r="AK122" s="1"/>
      <c r="AL122" s="1"/>
      <c r="AM122" s="1"/>
      <c r="AN122" s="1"/>
      <c r="AO122" s="1"/>
      <c r="AP122" s="1"/>
      <c r="AQ122" s="1"/>
      <c r="AR122" s="13"/>
      <c r="AS122" s="1"/>
      <c r="AT122" s="1"/>
      <c r="AU122" s="13"/>
      <c r="AX122" s="1"/>
      <c r="AY122" s="1"/>
      <c r="AZ122" s="1"/>
      <c r="BB122" s="1"/>
      <c r="BE122" s="1"/>
      <c r="BG122" s="1"/>
      <c r="BN122" s="3"/>
      <c r="BV122" s="14"/>
    </row>
    <row r="123" spans="1:74" x14ac:dyDescent="0.2">
      <c r="A123" s="10">
        <f t="shared" si="30"/>
        <v>39338.16666666638</v>
      </c>
      <c r="B123" s="10"/>
      <c r="C123" s="10"/>
      <c r="N123" s="1"/>
      <c r="O123" s="1"/>
      <c r="P123" s="1"/>
      <c r="Q123" s="1"/>
      <c r="R123" s="1"/>
      <c r="S123" s="1"/>
      <c r="Z123" s="1"/>
      <c r="AD123" s="1"/>
      <c r="AE123" s="1"/>
      <c r="AF123" s="1"/>
      <c r="AG123" s="11"/>
      <c r="AH123" s="1"/>
      <c r="AI123" s="1"/>
      <c r="AJ123" s="1"/>
      <c r="AK123" s="1"/>
      <c r="AL123" s="1"/>
      <c r="AM123" s="1"/>
      <c r="AN123" s="1"/>
      <c r="AO123" s="1"/>
      <c r="AP123" s="1"/>
      <c r="AQ123" s="1"/>
      <c r="AR123" s="13"/>
      <c r="AS123" s="1"/>
      <c r="AT123" s="1"/>
      <c r="AU123" s="13"/>
      <c r="AX123" s="1"/>
      <c r="AY123" s="1"/>
      <c r="AZ123" s="1"/>
      <c r="BB123" s="1"/>
      <c r="BE123" s="1"/>
      <c r="BG123" s="1"/>
      <c r="BN123" s="3"/>
      <c r="BV123" s="14"/>
    </row>
    <row r="124" spans="1:74" x14ac:dyDescent="0.2">
      <c r="A124" s="10">
        <f t="shared" si="30"/>
        <v>39368.583333333045</v>
      </c>
      <c r="B124" s="10"/>
      <c r="C124" s="10"/>
      <c r="N124" s="1"/>
      <c r="O124" s="1"/>
      <c r="P124" s="1"/>
      <c r="Q124" s="1"/>
      <c r="R124" s="1"/>
      <c r="S124" s="1"/>
      <c r="Z124" s="1"/>
      <c r="AD124" s="1"/>
      <c r="AE124" s="1"/>
      <c r="AF124" s="1"/>
      <c r="AG124" s="11"/>
      <c r="AH124" s="1"/>
      <c r="AI124" s="1"/>
      <c r="AJ124" s="1"/>
      <c r="AK124" s="1"/>
      <c r="AL124" s="1"/>
      <c r="AM124" s="1"/>
      <c r="AN124" s="1"/>
      <c r="AO124" s="1"/>
      <c r="AP124" s="1"/>
      <c r="AQ124" s="1"/>
      <c r="AR124" s="13"/>
      <c r="AS124" s="1"/>
      <c r="AT124" s="1"/>
      <c r="AU124" s="13"/>
      <c r="AX124" s="1"/>
      <c r="AY124" s="1"/>
      <c r="AZ124" s="1"/>
      <c r="BB124" s="1"/>
      <c r="BE124" s="1"/>
      <c r="BG124" s="1"/>
      <c r="BN124" s="3"/>
      <c r="BV124" s="14"/>
    </row>
    <row r="125" spans="1:74" x14ac:dyDescent="0.2">
      <c r="A125" s="10">
        <f t="shared" si="30"/>
        <v>39398.999999999709</v>
      </c>
      <c r="B125" s="10"/>
      <c r="C125" s="10"/>
      <c r="N125" s="1"/>
      <c r="O125" s="1"/>
      <c r="P125" s="1"/>
      <c r="Q125" s="1"/>
      <c r="R125" s="1"/>
      <c r="S125" s="1"/>
      <c r="Z125" s="1"/>
      <c r="AD125" s="1"/>
      <c r="AE125" s="1"/>
      <c r="AF125" s="1"/>
      <c r="AG125" s="11"/>
      <c r="AH125" s="1"/>
      <c r="AI125" s="1"/>
      <c r="AJ125" s="1"/>
      <c r="AK125" s="1"/>
      <c r="AL125" s="1"/>
      <c r="AM125" s="1"/>
      <c r="AN125" s="1"/>
      <c r="AO125" s="1"/>
      <c r="AP125" s="1"/>
      <c r="AQ125" s="1"/>
      <c r="AR125" s="13"/>
      <c r="AS125" s="1"/>
      <c r="AT125" s="1"/>
      <c r="AU125" s="13"/>
      <c r="AX125" s="1"/>
      <c r="AY125" s="1"/>
      <c r="AZ125" s="1"/>
      <c r="BB125" s="1"/>
      <c r="BE125" s="1"/>
      <c r="BG125" s="1"/>
      <c r="BN125" s="3"/>
      <c r="BV125" s="14"/>
    </row>
    <row r="126" spans="1:74" x14ac:dyDescent="0.2">
      <c r="A126" s="10">
        <f t="shared" si="30"/>
        <v>39429.416666666373</v>
      </c>
      <c r="B126" s="10"/>
      <c r="C126" s="10"/>
      <c r="N126" s="1"/>
      <c r="O126" s="1"/>
      <c r="P126" s="1"/>
      <c r="Q126" s="1"/>
      <c r="R126" s="1"/>
      <c r="S126" s="1"/>
      <c r="Z126" s="1"/>
      <c r="AD126" s="1"/>
      <c r="AE126" s="1"/>
      <c r="AF126" s="1"/>
      <c r="AG126" s="11"/>
      <c r="AH126" s="1"/>
      <c r="AI126" s="1"/>
      <c r="AJ126" s="1"/>
      <c r="AK126" s="1"/>
      <c r="AL126" s="1"/>
      <c r="AM126" s="1"/>
      <c r="AN126" s="1"/>
      <c r="AO126" s="1"/>
      <c r="AP126" s="1"/>
      <c r="AQ126" s="1"/>
      <c r="AR126" s="13"/>
      <c r="AS126" s="1"/>
      <c r="AT126" s="1"/>
      <c r="AU126" s="13"/>
      <c r="AX126" s="1"/>
      <c r="AY126" s="1"/>
      <c r="AZ126" s="1"/>
      <c r="BB126" s="1"/>
      <c r="BE126" s="1"/>
      <c r="BG126" s="1"/>
      <c r="BN126" s="3"/>
      <c r="BV126" s="14"/>
    </row>
    <row r="127" spans="1:74" x14ac:dyDescent="0.2">
      <c r="A127" s="10">
        <f t="shared" si="30"/>
        <v>39459.833333333037</v>
      </c>
      <c r="B127" s="10"/>
      <c r="C127" s="10"/>
      <c r="N127" s="1"/>
      <c r="O127" s="1"/>
      <c r="P127" s="1"/>
      <c r="Q127" s="1"/>
      <c r="R127" s="1"/>
      <c r="S127" s="1"/>
      <c r="Z127" s="1"/>
      <c r="AD127" s="1"/>
      <c r="AE127" s="1"/>
      <c r="AF127" s="1"/>
      <c r="AG127" s="11"/>
      <c r="AH127" s="1"/>
      <c r="AI127" s="1"/>
      <c r="AJ127" s="1"/>
      <c r="AK127" s="1"/>
      <c r="AL127" s="1"/>
      <c r="AM127" s="1"/>
      <c r="AN127" s="1"/>
      <c r="AO127" s="1"/>
      <c r="AP127" s="1"/>
      <c r="AQ127" s="1"/>
      <c r="AR127" s="13"/>
      <c r="AS127" s="1"/>
      <c r="AT127" s="1"/>
      <c r="AU127" s="13"/>
      <c r="AX127" s="1"/>
      <c r="AY127" s="1"/>
      <c r="AZ127" s="1"/>
      <c r="BB127" s="1"/>
      <c r="BE127" s="1"/>
      <c r="BG127" s="1"/>
      <c r="BN127" s="3"/>
      <c r="BV127" s="14"/>
    </row>
    <row r="128" spans="1:74" x14ac:dyDescent="0.2">
      <c r="A128" s="10">
        <f t="shared" si="30"/>
        <v>39490.249999999702</v>
      </c>
      <c r="B128" s="10"/>
      <c r="C128" s="10"/>
      <c r="N128" s="1"/>
      <c r="O128" s="1"/>
      <c r="P128" s="1"/>
      <c r="Q128" s="1"/>
      <c r="R128" s="1"/>
      <c r="S128" s="1"/>
      <c r="Z128" s="1"/>
      <c r="AD128" s="1"/>
      <c r="AE128" s="1"/>
      <c r="AF128" s="1"/>
      <c r="AG128" s="11"/>
      <c r="AH128" s="1"/>
      <c r="AI128" s="1"/>
      <c r="AJ128" s="1"/>
      <c r="AK128" s="1"/>
      <c r="AL128" s="1"/>
      <c r="AM128" s="1"/>
      <c r="AN128" s="1"/>
      <c r="AO128" s="1"/>
      <c r="AP128" s="1"/>
      <c r="AQ128" s="1"/>
      <c r="AR128" s="13"/>
      <c r="AS128" s="1"/>
      <c r="AT128" s="1"/>
      <c r="AU128" s="13"/>
      <c r="AX128" s="1"/>
      <c r="AY128" s="1"/>
      <c r="AZ128" s="1"/>
      <c r="BB128" s="1"/>
      <c r="BE128" s="1"/>
      <c r="BG128" s="1"/>
      <c r="BN128" s="3"/>
      <c r="BV128" s="14"/>
    </row>
    <row r="129" spans="1:74" x14ac:dyDescent="0.2">
      <c r="A129" s="10">
        <f t="shared" si="30"/>
        <v>39520.666666666366</v>
      </c>
      <c r="B129" s="10"/>
      <c r="C129" s="10"/>
      <c r="N129" s="1"/>
      <c r="O129" s="1"/>
      <c r="P129" s="1"/>
      <c r="Q129" s="1"/>
      <c r="R129" s="1"/>
      <c r="S129" s="1"/>
      <c r="Z129" s="1"/>
      <c r="AD129" s="1"/>
      <c r="AE129" s="1"/>
      <c r="AF129" s="1"/>
      <c r="AG129" s="11"/>
      <c r="AH129" s="1"/>
      <c r="AI129" s="1"/>
      <c r="AJ129" s="1"/>
      <c r="AK129" s="1"/>
      <c r="AL129" s="1"/>
      <c r="AM129" s="1"/>
      <c r="AN129" s="1"/>
      <c r="AO129" s="1"/>
      <c r="AP129" s="1"/>
      <c r="AQ129" s="1"/>
      <c r="AR129" s="13"/>
      <c r="AS129" s="1"/>
      <c r="AT129" s="1"/>
      <c r="AU129" s="13"/>
      <c r="AX129" s="1"/>
      <c r="AY129" s="1"/>
      <c r="AZ129" s="1"/>
      <c r="BB129" s="1"/>
      <c r="BE129" s="1"/>
      <c r="BG129" s="1"/>
      <c r="BN129" s="3"/>
      <c r="BV129" s="14"/>
    </row>
    <row r="130" spans="1:74" x14ac:dyDescent="0.2">
      <c r="A130" s="10">
        <f t="shared" si="30"/>
        <v>39551.08333333303</v>
      </c>
      <c r="B130" s="10"/>
      <c r="C130" s="10"/>
      <c r="N130" s="1"/>
      <c r="O130" s="1"/>
      <c r="P130" s="1"/>
      <c r="Q130" s="1"/>
      <c r="R130" s="1"/>
      <c r="S130" s="1"/>
      <c r="Z130" s="1"/>
      <c r="AD130" s="1"/>
      <c r="AE130" s="1"/>
      <c r="AF130" s="1"/>
      <c r="AG130" s="11"/>
      <c r="AH130" s="1"/>
      <c r="AI130" s="1"/>
      <c r="AJ130" s="1"/>
      <c r="AK130" s="1"/>
      <c r="AL130" s="1"/>
      <c r="AM130" s="1"/>
      <c r="AN130" s="1"/>
      <c r="AO130" s="1"/>
      <c r="AP130" s="1"/>
      <c r="AQ130" s="1"/>
      <c r="AR130" s="13"/>
      <c r="AS130" s="1"/>
      <c r="AT130" s="1"/>
      <c r="AU130" s="13"/>
      <c r="AX130" s="1"/>
      <c r="AY130" s="1"/>
      <c r="AZ130" s="1"/>
      <c r="BB130" s="1"/>
      <c r="BE130" s="1"/>
      <c r="BG130" s="1"/>
      <c r="BN130" s="3"/>
      <c r="BV130" s="14"/>
    </row>
    <row r="131" spans="1:74" x14ac:dyDescent="0.2">
      <c r="A131" s="10">
        <f t="shared" si="30"/>
        <v>39581.499999999694</v>
      </c>
      <c r="B131" s="10"/>
      <c r="C131" s="10"/>
      <c r="N131" s="1"/>
      <c r="O131" s="1"/>
      <c r="P131" s="1"/>
      <c r="Q131" s="1"/>
      <c r="R131" s="1"/>
      <c r="S131" s="1"/>
      <c r="Z131" s="1"/>
      <c r="AD131" s="1"/>
      <c r="AE131" s="1"/>
      <c r="AF131" s="1"/>
      <c r="AG131" s="11"/>
      <c r="AH131" s="1"/>
      <c r="AI131" s="1"/>
      <c r="AJ131" s="1"/>
      <c r="AK131" s="1"/>
      <c r="AL131" s="1"/>
      <c r="AM131" s="1"/>
      <c r="AN131" s="1"/>
      <c r="AO131" s="1"/>
      <c r="AP131" s="1"/>
      <c r="AQ131" s="1"/>
      <c r="AR131" s="13"/>
      <c r="AS131" s="1"/>
      <c r="AT131" s="1"/>
      <c r="AU131" s="13"/>
      <c r="AX131" s="1"/>
      <c r="AY131" s="1"/>
      <c r="AZ131" s="1"/>
      <c r="BB131" s="1"/>
      <c r="BE131" s="1"/>
      <c r="BG131" s="1"/>
      <c r="BN131" s="3"/>
      <c r="BV131" s="14"/>
    </row>
    <row r="132" spans="1:74" x14ac:dyDescent="0.2">
      <c r="A132" s="10">
        <f t="shared" si="30"/>
        <v>39611.916666666359</v>
      </c>
      <c r="B132" s="10"/>
      <c r="C132" s="10"/>
      <c r="N132" s="1"/>
      <c r="O132" s="1"/>
      <c r="P132" s="1"/>
      <c r="Q132" s="1"/>
      <c r="R132" s="1"/>
      <c r="S132" s="1"/>
      <c r="Z132" s="1"/>
      <c r="AD132" s="1"/>
      <c r="AE132" s="1"/>
      <c r="AF132" s="1"/>
      <c r="AG132" s="11"/>
      <c r="AH132" s="1"/>
      <c r="AI132" s="1"/>
      <c r="AJ132" s="1"/>
      <c r="AK132" s="1"/>
      <c r="AL132" s="1"/>
      <c r="AM132" s="1"/>
      <c r="AN132" s="1"/>
      <c r="AO132" s="1"/>
      <c r="AP132" s="1"/>
      <c r="AQ132" s="1"/>
      <c r="AR132" s="13"/>
      <c r="AS132" s="1"/>
      <c r="AT132" s="1"/>
      <c r="AU132" s="13"/>
      <c r="AX132" s="1"/>
      <c r="AY132" s="1"/>
      <c r="AZ132" s="1"/>
      <c r="BB132" s="1"/>
      <c r="BE132" s="1"/>
      <c r="BG132" s="1"/>
      <c r="BN132" s="3"/>
      <c r="BV132" s="14"/>
    </row>
    <row r="133" spans="1:74" x14ac:dyDescent="0.2">
      <c r="A133" s="10">
        <f t="shared" si="30"/>
        <v>39642.333333333023</v>
      </c>
      <c r="B133" s="10"/>
      <c r="C133" s="10"/>
      <c r="N133" s="1"/>
      <c r="O133" s="1"/>
      <c r="P133" s="1"/>
      <c r="Q133" s="1"/>
      <c r="R133" s="1"/>
      <c r="S133" s="1"/>
      <c r="Z133" s="1"/>
      <c r="AD133" s="1"/>
      <c r="AE133" s="1"/>
      <c r="AF133" s="1"/>
      <c r="AG133" s="11"/>
      <c r="AH133" s="1"/>
      <c r="AI133" s="1"/>
      <c r="AJ133" s="1"/>
      <c r="AK133" s="1"/>
      <c r="AL133" s="1"/>
      <c r="AM133" s="1"/>
      <c r="AN133" s="1"/>
      <c r="AO133" s="1"/>
      <c r="AP133" s="1"/>
      <c r="AQ133" s="1"/>
      <c r="AR133" s="13"/>
      <c r="AS133" s="1"/>
      <c r="AT133" s="1"/>
      <c r="AU133" s="13"/>
      <c r="AX133" s="1"/>
      <c r="AY133" s="1"/>
      <c r="AZ133" s="1"/>
      <c r="BB133" s="1"/>
      <c r="BE133" s="1"/>
      <c r="BG133" s="1"/>
      <c r="BN133" s="3"/>
      <c r="BV133" s="14"/>
    </row>
    <row r="134" spans="1:74" x14ac:dyDescent="0.2">
      <c r="A134" s="10">
        <f t="shared" ref="A134:A161" si="31">+A133+365/12</f>
        <v>39672.749999999687</v>
      </c>
      <c r="B134" s="10"/>
      <c r="C134" s="10"/>
      <c r="N134" s="1"/>
      <c r="O134" s="1"/>
      <c r="P134" s="1"/>
      <c r="Q134" s="1"/>
      <c r="R134" s="1"/>
      <c r="S134" s="1"/>
      <c r="Z134" s="1"/>
      <c r="AD134" s="1"/>
      <c r="AE134" s="1"/>
      <c r="AF134" s="1"/>
      <c r="AG134" s="11"/>
      <c r="AH134" s="1"/>
      <c r="AI134" s="1"/>
      <c r="AJ134" s="1"/>
      <c r="AK134" s="1"/>
      <c r="AL134" s="1"/>
      <c r="AM134" s="1"/>
      <c r="AN134" s="1"/>
      <c r="AO134" s="1"/>
      <c r="AP134" s="1"/>
      <c r="AQ134" s="1"/>
      <c r="AR134" s="13"/>
      <c r="AS134" s="1"/>
      <c r="AT134" s="1"/>
      <c r="AU134" s="13"/>
      <c r="AX134" s="1"/>
      <c r="AY134" s="1"/>
      <c r="AZ134" s="1"/>
      <c r="BB134" s="1"/>
      <c r="BE134" s="1"/>
      <c r="BG134" s="1"/>
      <c r="BN134" s="3"/>
      <c r="BV134" s="14"/>
    </row>
    <row r="135" spans="1:74" x14ac:dyDescent="0.2">
      <c r="A135" s="10">
        <f t="shared" si="31"/>
        <v>39703.166666666351</v>
      </c>
      <c r="B135" s="10"/>
      <c r="C135" s="10"/>
      <c r="N135" s="1"/>
      <c r="O135" s="1"/>
      <c r="P135" s="1"/>
      <c r="Q135" s="1"/>
      <c r="R135" s="1"/>
      <c r="S135" s="1"/>
      <c r="Z135" s="1"/>
      <c r="AD135" s="1"/>
      <c r="AE135" s="1"/>
      <c r="AF135" s="1"/>
      <c r="AG135" s="11"/>
      <c r="AH135" s="1"/>
      <c r="AI135" s="1"/>
      <c r="AJ135" s="1"/>
      <c r="AK135" s="1"/>
      <c r="AL135" s="1"/>
      <c r="AM135" s="1"/>
      <c r="AN135" s="1"/>
      <c r="AO135" s="1"/>
      <c r="AP135" s="1"/>
      <c r="AQ135" s="1"/>
      <c r="AR135" s="13"/>
      <c r="AS135" s="1"/>
      <c r="AT135" s="1"/>
      <c r="AU135" s="13"/>
      <c r="AX135" s="1"/>
      <c r="AY135" s="1"/>
      <c r="AZ135" s="1"/>
      <c r="BB135" s="1"/>
      <c r="BE135" s="1"/>
      <c r="BG135" s="1"/>
      <c r="BN135" s="3"/>
      <c r="BV135" s="14"/>
    </row>
    <row r="136" spans="1:74" x14ac:dyDescent="0.2">
      <c r="A136" s="10">
        <f t="shared" si="31"/>
        <v>39733.583333333016</v>
      </c>
      <c r="B136" s="10"/>
      <c r="C136" s="10"/>
      <c r="N136" s="1"/>
      <c r="O136" s="1"/>
      <c r="P136" s="1"/>
      <c r="Q136" s="1"/>
      <c r="R136" s="1"/>
      <c r="S136" s="1"/>
      <c r="Z136" s="1"/>
      <c r="AD136" s="1"/>
      <c r="AE136" s="1"/>
      <c r="AF136" s="1"/>
      <c r="AG136" s="11"/>
      <c r="AH136" s="1"/>
      <c r="AI136" s="1"/>
      <c r="AJ136" s="1"/>
      <c r="AK136" s="1"/>
      <c r="AL136" s="1"/>
      <c r="AM136" s="1"/>
      <c r="AN136" s="1"/>
      <c r="AO136" s="1"/>
      <c r="AP136" s="1"/>
      <c r="AQ136" s="1"/>
      <c r="AR136" s="13"/>
      <c r="AS136" s="1"/>
      <c r="AT136" s="1"/>
      <c r="AU136" s="13"/>
      <c r="AX136" s="1"/>
      <c r="AY136" s="1"/>
      <c r="AZ136" s="1"/>
      <c r="BB136" s="1"/>
      <c r="BE136" s="1"/>
      <c r="BG136" s="1"/>
      <c r="BN136" s="3"/>
      <c r="BV136" s="14"/>
    </row>
    <row r="137" spans="1:74" x14ac:dyDescent="0.2">
      <c r="A137" s="10">
        <f t="shared" si="31"/>
        <v>39763.99999999968</v>
      </c>
      <c r="B137" s="10"/>
      <c r="C137" s="10"/>
      <c r="N137" s="1"/>
      <c r="O137" s="1"/>
      <c r="P137" s="1"/>
      <c r="Q137" s="1"/>
      <c r="R137" s="1"/>
      <c r="S137" s="1"/>
      <c r="Z137" s="1"/>
      <c r="AD137" s="1"/>
      <c r="AE137" s="1"/>
      <c r="AF137" s="1"/>
      <c r="AG137" s="11"/>
      <c r="AH137" s="1"/>
      <c r="AI137" s="1"/>
      <c r="AJ137" s="1"/>
      <c r="AK137" s="1"/>
      <c r="AL137" s="1"/>
      <c r="AM137" s="1"/>
      <c r="AN137" s="1"/>
      <c r="AO137" s="1"/>
      <c r="AP137" s="1"/>
      <c r="AQ137" s="1"/>
      <c r="AR137" s="13"/>
      <c r="AS137" s="1"/>
      <c r="AT137" s="1"/>
      <c r="AU137" s="13"/>
      <c r="AX137" s="1"/>
      <c r="AY137" s="1"/>
      <c r="AZ137" s="1"/>
      <c r="BB137" s="1"/>
      <c r="BE137" s="1"/>
      <c r="BG137" s="1"/>
      <c r="BN137" s="3"/>
      <c r="BV137" s="14"/>
    </row>
    <row r="138" spans="1:74" x14ac:dyDescent="0.2">
      <c r="A138" s="10">
        <f t="shared" si="31"/>
        <v>39794.416666666344</v>
      </c>
      <c r="B138" s="10"/>
      <c r="C138" s="10"/>
      <c r="N138" s="1"/>
      <c r="O138" s="1"/>
      <c r="P138" s="1"/>
      <c r="Q138" s="1"/>
      <c r="R138" s="1"/>
      <c r="S138" s="1"/>
      <c r="Z138" s="1"/>
      <c r="AD138" s="1"/>
      <c r="AE138" s="1"/>
      <c r="AF138" s="1"/>
      <c r="AG138" s="11"/>
      <c r="AH138" s="1"/>
      <c r="AI138" s="1"/>
      <c r="AJ138" s="1"/>
      <c r="AK138" s="1"/>
      <c r="AL138" s="1"/>
      <c r="AM138" s="1"/>
      <c r="AN138" s="1"/>
      <c r="AO138" s="1"/>
      <c r="AP138" s="1"/>
      <c r="AQ138" s="1"/>
      <c r="AR138" s="13"/>
      <c r="AS138" s="1"/>
      <c r="AT138" s="1"/>
      <c r="AU138" s="13"/>
      <c r="AX138" s="1"/>
      <c r="AY138" s="1"/>
      <c r="AZ138" s="1"/>
      <c r="BB138" s="1"/>
      <c r="BE138" s="1"/>
      <c r="BG138" s="1"/>
      <c r="BN138" s="3"/>
      <c r="BV138" s="14"/>
    </row>
    <row r="139" spans="1:74" x14ac:dyDescent="0.2">
      <c r="A139" s="10">
        <f t="shared" si="31"/>
        <v>39824.833333333008</v>
      </c>
      <c r="B139" s="10"/>
      <c r="C139" s="10"/>
      <c r="N139" s="1"/>
      <c r="O139" s="1"/>
      <c r="P139" s="1"/>
      <c r="Q139" s="1"/>
      <c r="R139" s="1"/>
      <c r="S139" s="1"/>
      <c r="Z139" s="1"/>
      <c r="AD139" s="1"/>
      <c r="AE139" s="1"/>
      <c r="AF139" s="1"/>
      <c r="AG139" s="11"/>
      <c r="AH139" s="1"/>
      <c r="AI139" s="1"/>
      <c r="AJ139" s="1"/>
      <c r="AK139" s="1"/>
      <c r="AL139" s="1"/>
      <c r="AM139" s="1"/>
      <c r="AN139" s="1"/>
      <c r="AO139" s="1"/>
      <c r="AP139" s="1"/>
      <c r="AQ139" s="1"/>
      <c r="AR139" s="13"/>
      <c r="AS139" s="1"/>
      <c r="AT139" s="1"/>
      <c r="AU139" s="13"/>
      <c r="AX139" s="1"/>
      <c r="AY139" s="1"/>
      <c r="AZ139" s="1"/>
      <c r="BB139" s="1"/>
      <c r="BE139" s="1"/>
      <c r="BG139" s="1"/>
      <c r="BN139" s="3"/>
      <c r="BV139" s="14"/>
    </row>
    <row r="140" spans="1:74" x14ac:dyDescent="0.2">
      <c r="A140" s="10">
        <f t="shared" si="31"/>
        <v>39855.249999999673</v>
      </c>
      <c r="B140" s="10"/>
      <c r="C140" s="10"/>
      <c r="N140" s="1"/>
      <c r="O140" s="1"/>
      <c r="P140" s="1"/>
      <c r="Q140" s="1"/>
      <c r="R140" s="1"/>
      <c r="S140" s="1"/>
      <c r="Z140" s="1"/>
      <c r="AD140" s="1"/>
      <c r="AE140" s="1"/>
      <c r="AF140" s="1"/>
      <c r="AG140" s="11"/>
      <c r="AH140" s="1"/>
      <c r="AI140" s="1"/>
      <c r="AJ140" s="1"/>
      <c r="AK140" s="1"/>
      <c r="AL140" s="1"/>
      <c r="AM140" s="1"/>
      <c r="AN140" s="1"/>
      <c r="AO140" s="1"/>
      <c r="AP140" s="1"/>
      <c r="AQ140" s="1"/>
      <c r="AR140" s="13"/>
      <c r="AS140" s="1"/>
      <c r="AT140" s="1"/>
      <c r="AU140" s="13"/>
      <c r="AX140" s="1"/>
      <c r="AY140" s="1"/>
      <c r="AZ140" s="1"/>
      <c r="BB140" s="1"/>
      <c r="BE140" s="1"/>
      <c r="BG140" s="1"/>
      <c r="BN140" s="3"/>
      <c r="BV140" s="14"/>
    </row>
    <row r="141" spans="1:74" x14ac:dyDescent="0.2">
      <c r="A141" s="10">
        <f t="shared" si="31"/>
        <v>39885.666666666337</v>
      </c>
      <c r="B141" s="10"/>
      <c r="C141" s="10"/>
      <c r="N141" s="1"/>
      <c r="O141" s="1"/>
      <c r="P141" s="1"/>
      <c r="Q141" s="1"/>
      <c r="R141" s="1"/>
      <c r="S141" s="1"/>
      <c r="Z141" s="1"/>
      <c r="AD141" s="1"/>
      <c r="AE141" s="1"/>
      <c r="AF141" s="1"/>
      <c r="AG141" s="11"/>
      <c r="AH141" s="1"/>
      <c r="AI141" s="1"/>
      <c r="AJ141" s="1"/>
      <c r="AK141" s="1"/>
      <c r="AL141" s="1"/>
      <c r="AM141" s="1"/>
      <c r="AN141" s="1"/>
      <c r="AO141" s="1"/>
      <c r="AP141" s="1"/>
      <c r="AQ141" s="1"/>
      <c r="AR141" s="13"/>
      <c r="AS141" s="1"/>
      <c r="AT141" s="1"/>
      <c r="AU141" s="13"/>
      <c r="AX141" s="1"/>
      <c r="AY141" s="1"/>
      <c r="AZ141" s="1"/>
      <c r="BB141" s="1"/>
      <c r="BE141" s="1"/>
      <c r="BG141" s="1"/>
      <c r="BN141" s="3"/>
      <c r="BV141" s="14"/>
    </row>
    <row r="142" spans="1:74" x14ac:dyDescent="0.2">
      <c r="A142" s="10">
        <f t="shared" si="31"/>
        <v>39916.083333333001</v>
      </c>
      <c r="B142" s="10"/>
      <c r="C142" s="10"/>
      <c r="N142" s="1"/>
      <c r="O142" s="1"/>
      <c r="P142" s="1"/>
      <c r="Q142" s="1"/>
      <c r="R142" s="1"/>
      <c r="S142" s="1"/>
      <c r="Z142" s="1"/>
      <c r="AD142" s="1"/>
      <c r="AE142" s="1"/>
      <c r="AF142" s="1"/>
      <c r="AG142" s="11"/>
      <c r="AH142" s="1"/>
      <c r="AI142" s="1"/>
      <c r="AJ142" s="1"/>
      <c r="AK142" s="1"/>
      <c r="AL142" s="1"/>
      <c r="AM142" s="1"/>
      <c r="AN142" s="1"/>
      <c r="AO142" s="1"/>
      <c r="AP142" s="1"/>
      <c r="AQ142" s="1"/>
      <c r="AR142" s="13"/>
      <c r="AS142" s="1"/>
      <c r="AT142" s="1"/>
      <c r="AU142" s="13"/>
      <c r="AX142" s="1"/>
      <c r="AY142" s="1"/>
      <c r="AZ142" s="1"/>
      <c r="BB142" s="1"/>
      <c r="BE142" s="1"/>
      <c r="BG142" s="1"/>
      <c r="BN142" s="3"/>
      <c r="BV142" s="14"/>
    </row>
    <row r="143" spans="1:74" x14ac:dyDescent="0.2">
      <c r="A143" s="10">
        <f t="shared" si="31"/>
        <v>39946.499999999665</v>
      </c>
      <c r="B143" s="10"/>
      <c r="C143" s="10"/>
      <c r="N143" s="1"/>
      <c r="O143" s="1"/>
      <c r="P143" s="1"/>
      <c r="Q143" s="1"/>
      <c r="R143" s="1"/>
      <c r="S143" s="1"/>
      <c r="Z143" s="1"/>
      <c r="AD143" s="1"/>
      <c r="AE143" s="1"/>
      <c r="AF143" s="1"/>
      <c r="AG143" s="11"/>
      <c r="AH143" s="1"/>
      <c r="AI143" s="1"/>
      <c r="AJ143" s="1"/>
      <c r="AK143" s="1"/>
      <c r="AL143" s="1"/>
      <c r="AM143" s="1"/>
      <c r="AN143" s="1"/>
      <c r="AO143" s="1"/>
      <c r="AP143" s="1"/>
      <c r="AQ143" s="1"/>
      <c r="AR143" s="13"/>
      <c r="AS143" s="1"/>
      <c r="AT143" s="1"/>
      <c r="AU143" s="13"/>
      <c r="AX143" s="1"/>
      <c r="AY143" s="1"/>
      <c r="AZ143" s="1"/>
      <c r="BB143" s="1"/>
      <c r="BE143" s="1"/>
      <c r="BG143" s="1"/>
      <c r="BN143" s="3"/>
      <c r="BV143" s="14"/>
    </row>
    <row r="144" spans="1:74" x14ac:dyDescent="0.2">
      <c r="A144" s="10">
        <f t="shared" si="31"/>
        <v>39976.91666666633</v>
      </c>
      <c r="B144" s="10"/>
      <c r="C144" s="10"/>
      <c r="N144" s="1"/>
      <c r="O144" s="1"/>
      <c r="P144" s="1"/>
      <c r="Q144" s="1"/>
      <c r="R144" s="1"/>
      <c r="S144" s="1"/>
      <c r="Z144" s="1"/>
      <c r="AD144" s="1"/>
      <c r="AE144" s="1"/>
      <c r="AF144" s="1"/>
      <c r="AG144" s="11"/>
      <c r="AH144" s="1"/>
      <c r="AI144" s="1"/>
      <c r="AJ144" s="1"/>
      <c r="AK144" s="1"/>
      <c r="AL144" s="1"/>
      <c r="AM144" s="1"/>
      <c r="AN144" s="1"/>
      <c r="AO144" s="1"/>
      <c r="AP144" s="1"/>
      <c r="AQ144" s="1"/>
      <c r="AR144" s="13"/>
      <c r="AS144" s="1"/>
      <c r="AT144" s="1"/>
      <c r="AU144" s="13"/>
      <c r="AX144" s="1"/>
      <c r="AY144" s="1"/>
      <c r="AZ144" s="1"/>
      <c r="BB144" s="1"/>
      <c r="BE144" s="1"/>
      <c r="BG144" s="1"/>
      <c r="BN144" s="3"/>
      <c r="BV144" s="14"/>
    </row>
    <row r="145" spans="1:74" x14ac:dyDescent="0.2">
      <c r="A145" s="10">
        <f t="shared" si="31"/>
        <v>40007.333333332994</v>
      </c>
      <c r="B145" s="10"/>
      <c r="C145" s="10"/>
      <c r="N145" s="1"/>
      <c r="O145" s="1"/>
      <c r="P145" s="1"/>
      <c r="Q145" s="1"/>
      <c r="R145" s="1"/>
      <c r="S145" s="1"/>
      <c r="Z145" s="1"/>
      <c r="AD145" s="1"/>
      <c r="AE145" s="1"/>
      <c r="AF145" s="1"/>
      <c r="AG145" s="11"/>
      <c r="AH145" s="1"/>
      <c r="AI145" s="1"/>
      <c r="AJ145" s="1"/>
      <c r="AK145" s="1"/>
      <c r="AL145" s="1"/>
      <c r="AM145" s="1"/>
      <c r="AN145" s="1"/>
      <c r="AO145" s="1"/>
      <c r="AP145" s="1"/>
      <c r="AQ145" s="1"/>
      <c r="AR145" s="13"/>
      <c r="AS145" s="1"/>
      <c r="AT145" s="1"/>
      <c r="AU145" s="13"/>
      <c r="AX145" s="1"/>
      <c r="AY145" s="1"/>
      <c r="AZ145" s="1"/>
      <c r="BB145" s="1"/>
      <c r="BE145" s="1"/>
      <c r="BG145" s="1"/>
      <c r="BN145" s="3"/>
      <c r="BV145" s="14"/>
    </row>
    <row r="146" spans="1:74" x14ac:dyDescent="0.2">
      <c r="A146" s="10">
        <f t="shared" si="31"/>
        <v>40037.749999999658</v>
      </c>
      <c r="B146" s="10"/>
      <c r="C146" s="10"/>
      <c r="N146" s="1"/>
      <c r="O146" s="1"/>
      <c r="P146" s="1"/>
      <c r="Q146" s="1"/>
      <c r="R146" s="1"/>
      <c r="S146" s="1"/>
      <c r="Z146" s="1"/>
      <c r="AD146" s="1"/>
      <c r="AE146" s="1"/>
      <c r="AF146" s="1"/>
      <c r="AG146" s="11"/>
      <c r="AH146" s="1"/>
      <c r="AI146" s="1"/>
      <c r="AJ146" s="1"/>
      <c r="AK146" s="1"/>
      <c r="AL146" s="1"/>
      <c r="AM146" s="1"/>
      <c r="AN146" s="1"/>
      <c r="AO146" s="1"/>
      <c r="AP146" s="1"/>
      <c r="AQ146" s="1"/>
      <c r="AR146" s="13"/>
      <c r="AS146" s="1"/>
      <c r="AT146" s="1"/>
      <c r="AU146" s="13"/>
      <c r="AX146" s="1"/>
      <c r="AY146" s="1"/>
      <c r="AZ146" s="1"/>
      <c r="BB146" s="1"/>
      <c r="BE146" s="1"/>
      <c r="BG146" s="1"/>
      <c r="BN146" s="3"/>
      <c r="BV146" s="14"/>
    </row>
    <row r="147" spans="1:74" x14ac:dyDescent="0.2">
      <c r="A147" s="10">
        <f t="shared" si="31"/>
        <v>40068.166666666322</v>
      </c>
      <c r="B147" s="10"/>
      <c r="C147" s="10"/>
      <c r="N147" s="1"/>
      <c r="O147" s="1"/>
      <c r="P147" s="1"/>
      <c r="Q147" s="1"/>
      <c r="R147" s="1"/>
      <c r="S147" s="1"/>
      <c r="Z147" s="1"/>
      <c r="AD147" s="1"/>
      <c r="AE147" s="1"/>
      <c r="AF147" s="1"/>
      <c r="AG147" s="11"/>
      <c r="AH147" s="1"/>
      <c r="AI147" s="1"/>
      <c r="AJ147" s="1"/>
      <c r="AK147" s="1"/>
      <c r="AL147" s="1"/>
      <c r="AM147" s="1"/>
      <c r="AN147" s="1"/>
      <c r="AO147" s="1"/>
      <c r="AP147" s="1"/>
      <c r="AQ147" s="1"/>
      <c r="AR147" s="13"/>
      <c r="AS147" s="1"/>
      <c r="AT147" s="1"/>
      <c r="AU147" s="13"/>
      <c r="AX147" s="1"/>
      <c r="AY147" s="1"/>
      <c r="AZ147" s="1"/>
      <c r="BB147" s="1"/>
      <c r="BE147" s="1"/>
      <c r="BG147" s="1"/>
      <c r="BN147" s="3"/>
      <c r="BV147" s="14"/>
    </row>
    <row r="148" spans="1:74" x14ac:dyDescent="0.2">
      <c r="A148" s="10">
        <f t="shared" si="31"/>
        <v>40098.583333332987</v>
      </c>
      <c r="B148" s="10"/>
      <c r="C148" s="10"/>
      <c r="N148" s="1"/>
      <c r="O148" s="1"/>
      <c r="P148" s="1"/>
      <c r="Q148" s="1"/>
      <c r="R148" s="1"/>
      <c r="S148" s="1"/>
      <c r="Z148" s="1"/>
      <c r="AD148" s="1"/>
      <c r="AE148" s="1"/>
      <c r="AF148" s="1"/>
      <c r="AG148" s="11"/>
      <c r="AH148" s="1"/>
      <c r="AI148" s="1"/>
      <c r="AJ148" s="1"/>
      <c r="AK148" s="1"/>
      <c r="AL148" s="1"/>
      <c r="AM148" s="1"/>
      <c r="AN148" s="1"/>
      <c r="AO148" s="1"/>
      <c r="AP148" s="1"/>
      <c r="AQ148" s="1"/>
      <c r="AR148" s="13"/>
      <c r="AS148" s="1"/>
      <c r="AT148" s="1"/>
      <c r="AU148" s="13"/>
      <c r="AX148" s="1"/>
      <c r="AY148" s="1"/>
      <c r="AZ148" s="1"/>
      <c r="BB148" s="1"/>
      <c r="BE148" s="1"/>
      <c r="BG148" s="1"/>
      <c r="BN148" s="3"/>
      <c r="BV148" s="14"/>
    </row>
    <row r="149" spans="1:74" x14ac:dyDescent="0.2">
      <c r="A149" s="10">
        <f t="shared" si="31"/>
        <v>40128.999999999651</v>
      </c>
      <c r="B149" s="10"/>
      <c r="C149" s="10"/>
      <c r="N149" s="1"/>
      <c r="O149" s="1"/>
      <c r="P149" s="1"/>
      <c r="Q149" s="1"/>
      <c r="R149" s="1"/>
      <c r="S149" s="1"/>
      <c r="Z149" s="1"/>
      <c r="AD149" s="1"/>
      <c r="AE149" s="1"/>
      <c r="AF149" s="1"/>
      <c r="AG149" s="11"/>
      <c r="AH149" s="1"/>
      <c r="AI149" s="1"/>
      <c r="AJ149" s="1"/>
      <c r="AK149" s="1"/>
      <c r="AL149" s="1"/>
      <c r="AM149" s="1"/>
      <c r="AN149" s="1"/>
      <c r="AO149" s="1"/>
      <c r="AP149" s="1"/>
      <c r="AQ149" s="1"/>
      <c r="AR149" s="13"/>
      <c r="AS149" s="1"/>
      <c r="AT149" s="1"/>
      <c r="AU149" s="13"/>
      <c r="AX149" s="1"/>
      <c r="AY149" s="1"/>
      <c r="AZ149" s="1"/>
      <c r="BB149" s="1"/>
      <c r="BE149" s="1"/>
      <c r="BG149" s="1"/>
      <c r="BN149" s="3"/>
      <c r="BV149" s="14"/>
    </row>
    <row r="150" spans="1:74" x14ac:dyDescent="0.2">
      <c r="A150" s="10">
        <f t="shared" si="31"/>
        <v>40159.416666666315</v>
      </c>
      <c r="B150" s="10"/>
      <c r="C150" s="10"/>
      <c r="N150" s="1"/>
      <c r="O150" s="1"/>
      <c r="P150" s="1"/>
      <c r="Q150" s="1"/>
      <c r="R150" s="1"/>
      <c r="S150" s="1"/>
      <c r="Z150" s="1"/>
      <c r="AD150" s="1"/>
      <c r="AE150" s="1"/>
      <c r="AF150" s="1"/>
      <c r="AG150" s="11"/>
      <c r="AH150" s="1"/>
      <c r="AI150" s="1"/>
      <c r="AJ150" s="1"/>
      <c r="AK150" s="1"/>
      <c r="AL150" s="1"/>
      <c r="AM150" s="1"/>
      <c r="AN150" s="1"/>
      <c r="AO150" s="1"/>
      <c r="AP150" s="1"/>
      <c r="AQ150" s="1"/>
      <c r="AR150" s="13"/>
      <c r="AS150" s="1"/>
      <c r="AT150" s="1"/>
      <c r="AU150" s="13"/>
      <c r="AX150" s="1"/>
      <c r="AY150" s="1"/>
      <c r="AZ150" s="1"/>
      <c r="BB150" s="1"/>
      <c r="BE150" s="1"/>
      <c r="BG150" s="1"/>
      <c r="BN150" s="3"/>
      <c r="BV150" s="14"/>
    </row>
    <row r="151" spans="1:74" x14ac:dyDescent="0.2">
      <c r="A151" s="10">
        <f t="shared" si="31"/>
        <v>40189.833333332979</v>
      </c>
      <c r="B151" s="10"/>
      <c r="C151" s="10"/>
      <c r="N151" s="1"/>
      <c r="O151" s="1"/>
      <c r="P151" s="1"/>
      <c r="Q151" s="1"/>
      <c r="R151" s="1"/>
      <c r="S151" s="1"/>
      <c r="Z151" s="1"/>
      <c r="AD151" s="1"/>
      <c r="AE151" s="1"/>
      <c r="AF151" s="1"/>
      <c r="AG151" s="11"/>
      <c r="AH151" s="1"/>
      <c r="AI151" s="1"/>
      <c r="AJ151" s="1"/>
      <c r="AK151" s="1"/>
      <c r="AL151" s="1"/>
      <c r="AM151" s="1"/>
      <c r="AN151" s="1"/>
      <c r="AO151" s="1"/>
      <c r="AP151" s="1"/>
      <c r="AQ151" s="1"/>
      <c r="AR151" s="13"/>
      <c r="AS151" s="1"/>
      <c r="AT151" s="1"/>
      <c r="AU151" s="13"/>
      <c r="AX151" s="1"/>
      <c r="AY151" s="1"/>
      <c r="AZ151" s="1"/>
      <c r="BB151" s="1"/>
      <c r="BE151" s="1"/>
      <c r="BG151" s="1"/>
      <c r="BN151" s="3"/>
      <c r="BV151" s="14"/>
    </row>
    <row r="152" spans="1:74" x14ac:dyDescent="0.2">
      <c r="A152" s="10">
        <f t="shared" si="31"/>
        <v>40220.249999999643</v>
      </c>
      <c r="B152" s="10"/>
      <c r="C152" s="10"/>
      <c r="N152" s="1"/>
      <c r="O152" s="1"/>
      <c r="P152" s="1"/>
      <c r="Q152" s="1"/>
      <c r="R152" s="1"/>
      <c r="S152" s="1"/>
      <c r="Z152" s="1"/>
      <c r="AD152" s="1"/>
      <c r="AE152" s="1"/>
      <c r="AF152" s="1"/>
      <c r="AG152" s="11"/>
      <c r="AH152" s="1"/>
      <c r="AI152" s="1"/>
      <c r="AJ152" s="1"/>
      <c r="AK152" s="1"/>
      <c r="AL152" s="1"/>
      <c r="AM152" s="1"/>
      <c r="AN152" s="1"/>
      <c r="AO152" s="1"/>
      <c r="AP152" s="1"/>
      <c r="AQ152" s="1"/>
      <c r="AR152" s="13"/>
      <c r="AS152" s="1"/>
      <c r="AT152" s="1"/>
      <c r="AU152" s="13"/>
      <c r="AX152" s="1"/>
      <c r="AY152" s="1"/>
      <c r="AZ152" s="1"/>
      <c r="BB152" s="1"/>
      <c r="BE152" s="1"/>
      <c r="BG152" s="1"/>
      <c r="BN152" s="3"/>
      <c r="BV152" s="14"/>
    </row>
    <row r="153" spans="1:74" x14ac:dyDescent="0.2">
      <c r="A153" s="10">
        <f t="shared" si="31"/>
        <v>40250.666666666308</v>
      </c>
      <c r="B153" s="10"/>
      <c r="C153" s="10"/>
      <c r="N153" s="1"/>
      <c r="O153" s="1"/>
      <c r="P153" s="1"/>
      <c r="Q153" s="1"/>
      <c r="R153" s="1"/>
      <c r="S153" s="1"/>
      <c r="Z153" s="1"/>
      <c r="AD153" s="1"/>
      <c r="AE153" s="1"/>
      <c r="AF153" s="1"/>
      <c r="AG153" s="11"/>
      <c r="AH153" s="1"/>
      <c r="AI153" s="1"/>
      <c r="AJ153" s="1"/>
      <c r="AK153" s="1"/>
      <c r="AL153" s="1"/>
      <c r="AM153" s="1"/>
      <c r="AN153" s="1"/>
      <c r="AO153" s="1"/>
      <c r="AP153" s="1"/>
      <c r="AQ153" s="1"/>
      <c r="AR153" s="13"/>
      <c r="AS153" s="1"/>
      <c r="AT153" s="1"/>
      <c r="AU153" s="13"/>
      <c r="AX153" s="1"/>
      <c r="AY153" s="1"/>
      <c r="AZ153" s="1"/>
      <c r="BB153" s="1"/>
      <c r="BE153" s="1"/>
      <c r="BG153" s="1"/>
      <c r="BN153" s="3"/>
      <c r="BV153" s="14"/>
    </row>
    <row r="154" spans="1:74" x14ac:dyDescent="0.2">
      <c r="A154" s="10">
        <f t="shared" si="31"/>
        <v>40281.083333332972</v>
      </c>
      <c r="B154" s="10"/>
      <c r="C154" s="10"/>
      <c r="N154" s="1"/>
      <c r="O154" s="1"/>
      <c r="P154" s="1"/>
      <c r="Q154" s="1"/>
      <c r="R154" s="1"/>
      <c r="S154" s="1"/>
      <c r="Z154" s="1"/>
      <c r="AD154" s="1"/>
      <c r="AE154" s="1"/>
      <c r="AF154" s="1"/>
      <c r="AG154" s="11"/>
      <c r="AH154" s="1"/>
      <c r="AI154" s="1"/>
      <c r="AJ154" s="1"/>
      <c r="AK154" s="1"/>
      <c r="AL154" s="1"/>
      <c r="AM154" s="1"/>
      <c r="AN154" s="1"/>
      <c r="AO154" s="1"/>
      <c r="AP154" s="1"/>
      <c r="AQ154" s="1"/>
      <c r="AR154" s="13"/>
      <c r="AS154" s="1"/>
      <c r="AT154" s="1"/>
      <c r="AU154" s="13"/>
      <c r="BN154" s="3"/>
      <c r="BV154" s="14"/>
    </row>
    <row r="155" spans="1:74" x14ac:dyDescent="0.2">
      <c r="A155" s="10">
        <f t="shared" si="31"/>
        <v>40311.499999999636</v>
      </c>
      <c r="B155" s="10"/>
      <c r="C155" s="10"/>
      <c r="N155" s="1"/>
      <c r="O155" s="1"/>
      <c r="P155" s="1"/>
      <c r="Q155" s="1"/>
      <c r="R155" s="1"/>
      <c r="S155" s="1"/>
      <c r="Z155" s="1"/>
      <c r="AD155" s="1"/>
      <c r="AE155" s="1"/>
      <c r="AF155" s="1"/>
      <c r="AG155" s="11"/>
      <c r="AH155" s="1"/>
      <c r="AI155" s="1"/>
      <c r="AJ155" s="1"/>
      <c r="AK155" s="1"/>
      <c r="AL155" s="1"/>
      <c r="AM155" s="1"/>
      <c r="AN155" s="1"/>
      <c r="AO155" s="1"/>
      <c r="AP155" s="1"/>
      <c r="AQ155" s="1"/>
      <c r="AR155" s="13"/>
      <c r="AS155" s="1"/>
      <c r="AT155" s="1"/>
      <c r="AU155" s="13"/>
      <c r="BN155" s="3"/>
      <c r="BV155" s="14"/>
    </row>
    <row r="156" spans="1:74" x14ac:dyDescent="0.2">
      <c r="A156" s="10">
        <f t="shared" si="31"/>
        <v>40341.9166666663</v>
      </c>
      <c r="B156" s="10"/>
      <c r="C156" s="10"/>
      <c r="N156" s="1"/>
      <c r="O156" s="1"/>
      <c r="P156" s="1"/>
      <c r="Q156" s="1"/>
      <c r="R156" s="1"/>
      <c r="S156" s="1"/>
      <c r="Z156" s="1"/>
      <c r="AD156" s="1"/>
      <c r="AE156" s="1"/>
      <c r="AF156" s="1"/>
      <c r="AG156" s="11"/>
      <c r="AH156" s="1"/>
      <c r="AI156" s="1"/>
      <c r="AJ156" s="1"/>
      <c r="AK156" s="1"/>
      <c r="AL156" s="1"/>
      <c r="AM156" s="1"/>
      <c r="AN156" s="1"/>
      <c r="AO156" s="1"/>
      <c r="AP156" s="1"/>
      <c r="AQ156" s="1"/>
      <c r="AR156" s="13"/>
      <c r="AS156" s="1"/>
      <c r="AT156" s="1"/>
      <c r="AU156" s="13"/>
      <c r="BN156" s="3"/>
      <c r="BV156" s="14"/>
    </row>
    <row r="157" spans="1:74" x14ac:dyDescent="0.2">
      <c r="A157" s="10">
        <f t="shared" si="31"/>
        <v>40372.333333332965</v>
      </c>
      <c r="B157" s="10"/>
      <c r="C157" s="10"/>
      <c r="N157" s="1"/>
      <c r="O157" s="1"/>
      <c r="P157" s="1"/>
      <c r="Q157" s="1"/>
      <c r="R157" s="1"/>
      <c r="S157" s="1"/>
      <c r="Z157" s="1"/>
      <c r="AD157" s="1"/>
      <c r="AE157" s="1"/>
      <c r="AF157" s="1"/>
      <c r="AG157" s="11"/>
      <c r="AH157" s="1"/>
      <c r="AI157" s="1"/>
      <c r="AJ157" s="1"/>
      <c r="AK157" s="1"/>
      <c r="AL157" s="1"/>
      <c r="AM157" s="1"/>
      <c r="AN157" s="1"/>
      <c r="AO157" s="1"/>
      <c r="AP157" s="1"/>
      <c r="AQ157" s="1"/>
      <c r="AR157" s="13"/>
      <c r="AS157" s="1"/>
      <c r="AT157" s="1"/>
      <c r="AU157" s="13"/>
      <c r="BN157" s="3"/>
      <c r="BV157" s="14"/>
    </row>
    <row r="158" spans="1:74" x14ac:dyDescent="0.2">
      <c r="A158" s="10">
        <f t="shared" si="31"/>
        <v>40402.749999999629</v>
      </c>
      <c r="B158" s="10"/>
      <c r="C158" s="10"/>
      <c r="N158" s="1"/>
      <c r="O158" s="1"/>
      <c r="P158" s="1"/>
      <c r="Q158" s="1"/>
      <c r="R158" s="1"/>
      <c r="S158" s="1"/>
      <c r="Z158" s="1"/>
      <c r="AD158" s="1"/>
      <c r="AE158" s="1"/>
      <c r="AF158" s="1"/>
      <c r="AG158" s="11"/>
      <c r="AH158" s="1"/>
      <c r="AI158" s="1"/>
      <c r="AJ158" s="1"/>
      <c r="AK158" s="1"/>
      <c r="AL158" s="1"/>
      <c r="AM158" s="1"/>
      <c r="AN158" s="1"/>
      <c r="AO158" s="1"/>
      <c r="AP158" s="1"/>
      <c r="AQ158" s="1"/>
      <c r="AR158" s="13"/>
      <c r="AS158" s="1"/>
      <c r="AT158" s="1"/>
      <c r="AU158" s="13"/>
      <c r="BN158" s="3"/>
      <c r="BV158" s="14"/>
    </row>
    <row r="159" spans="1:74" x14ac:dyDescent="0.2">
      <c r="A159" s="10">
        <f t="shared" si="31"/>
        <v>40433.166666666293</v>
      </c>
      <c r="B159" s="10"/>
      <c r="C159" s="10"/>
      <c r="N159" s="1"/>
      <c r="O159" s="1"/>
      <c r="P159" s="1"/>
      <c r="Q159" s="1"/>
      <c r="R159" s="1"/>
      <c r="S159" s="1"/>
      <c r="Z159" s="1"/>
      <c r="AD159" s="1"/>
      <c r="AE159" s="1"/>
      <c r="AF159" s="1"/>
      <c r="AG159" s="11"/>
      <c r="AH159" s="1"/>
      <c r="AI159" s="1"/>
      <c r="AJ159" s="1"/>
      <c r="AK159" s="1"/>
      <c r="AL159" s="1"/>
      <c r="AM159" s="1"/>
      <c r="AN159" s="1"/>
      <c r="AO159" s="1"/>
      <c r="AP159" s="1"/>
      <c r="AQ159" s="1"/>
      <c r="AR159" s="13"/>
      <c r="AS159" s="1"/>
      <c r="AT159" s="1"/>
      <c r="AU159" s="13"/>
      <c r="BN159" s="3"/>
      <c r="BV159" s="14"/>
    </row>
    <row r="160" spans="1:74" x14ac:dyDescent="0.2">
      <c r="A160" s="10">
        <f t="shared" si="31"/>
        <v>40463.583333332957</v>
      </c>
      <c r="B160" s="10"/>
      <c r="C160" s="10"/>
      <c r="N160" s="1"/>
      <c r="O160" s="1"/>
      <c r="P160" s="1"/>
      <c r="Q160" s="1"/>
      <c r="R160" s="1"/>
      <c r="S160" s="1"/>
      <c r="Z160" s="1"/>
      <c r="AD160" s="1"/>
      <c r="AE160" s="1"/>
      <c r="AF160" s="1"/>
      <c r="AG160" s="11"/>
      <c r="AH160" s="1"/>
      <c r="AI160" s="1"/>
      <c r="AJ160" s="1"/>
      <c r="AK160" s="1"/>
      <c r="AL160" s="1"/>
      <c r="AM160" s="1"/>
      <c r="AN160" s="1"/>
      <c r="AO160" s="1"/>
      <c r="AP160" s="1"/>
      <c r="AQ160" s="1"/>
      <c r="AR160" s="13"/>
      <c r="AS160" s="1"/>
      <c r="AT160" s="1"/>
      <c r="AU160" s="13"/>
      <c r="BN160" s="3"/>
      <c r="BV160" s="14"/>
    </row>
    <row r="161" spans="1:74" x14ac:dyDescent="0.2">
      <c r="A161" s="10">
        <f t="shared" si="31"/>
        <v>40493.999999999622</v>
      </c>
      <c r="B161" s="10"/>
      <c r="C161" s="10"/>
      <c r="N161" s="1"/>
      <c r="O161" s="1"/>
      <c r="P161" s="1"/>
      <c r="Q161" s="1"/>
      <c r="R161" s="1"/>
      <c r="S161" s="1"/>
      <c r="Z161" s="1"/>
      <c r="AD161" s="1"/>
      <c r="AE161" s="1"/>
      <c r="AF161" s="1"/>
      <c r="AG161" s="11"/>
      <c r="AH161" s="1"/>
      <c r="AI161" s="1"/>
      <c r="AJ161" s="1"/>
      <c r="AK161" s="1"/>
      <c r="AL161" s="1"/>
      <c r="AM161" s="1"/>
      <c r="AN161" s="1"/>
      <c r="AO161" s="1"/>
      <c r="AP161" s="1"/>
      <c r="AQ161" s="1"/>
      <c r="AR161" s="13"/>
      <c r="AS161" s="1"/>
      <c r="AT161" s="1"/>
      <c r="AU161" s="13"/>
      <c r="BN161" s="3"/>
      <c r="BV161" s="14"/>
    </row>
    <row r="162" spans="1:74" customFormat="1" ht="13.2" x14ac:dyDescent="0.25">
      <c r="AU162" s="23"/>
      <c r="AV162" s="21"/>
      <c r="AW162" s="21"/>
    </row>
    <row r="163" spans="1:74" customFormat="1" ht="13.2" x14ac:dyDescent="0.25">
      <c r="AV163" s="21"/>
      <c r="AW163" s="21"/>
    </row>
    <row r="164" spans="1:74" customFormat="1" ht="13.2" x14ac:dyDescent="0.25">
      <c r="AV164" s="21"/>
      <c r="AW164" s="21"/>
    </row>
    <row r="165" spans="1:74" customFormat="1" ht="13.2" x14ac:dyDescent="0.25">
      <c r="AV165" s="21"/>
      <c r="AW165" s="21"/>
    </row>
    <row r="166" spans="1:74" customFormat="1" ht="13.2" x14ac:dyDescent="0.25">
      <c r="AV166" s="21"/>
      <c r="AW166" s="21"/>
    </row>
    <row r="167" spans="1:74" customFormat="1" ht="13.2" x14ac:dyDescent="0.25">
      <c r="AV167" s="21"/>
      <c r="AW167" s="21"/>
    </row>
    <row r="168" spans="1:74" customFormat="1" ht="13.2" x14ac:dyDescent="0.25">
      <c r="AV168" s="21"/>
      <c r="AW168" s="21"/>
    </row>
    <row r="169" spans="1:74" customFormat="1" ht="13.2" x14ac:dyDescent="0.25">
      <c r="AV169" s="21"/>
      <c r="AW169" s="21"/>
    </row>
    <row r="170" spans="1:74" customFormat="1" ht="13.2" x14ac:dyDescent="0.25">
      <c r="AV170" s="21"/>
      <c r="AW170" s="21"/>
    </row>
    <row r="171" spans="1:74" customFormat="1" ht="13.2" x14ac:dyDescent="0.25">
      <c r="AV171" s="21"/>
      <c r="AW171" s="21"/>
    </row>
    <row r="172" spans="1:74" customFormat="1" ht="13.2" x14ac:dyDescent="0.25">
      <c r="AV172" s="21"/>
      <c r="AW172" s="21"/>
    </row>
    <row r="173" spans="1:74" customFormat="1" ht="13.2" x14ac:dyDescent="0.25">
      <c r="AV173" s="21"/>
      <c r="AW173" s="21"/>
    </row>
    <row r="174" spans="1:74" customFormat="1" ht="13.2" x14ac:dyDescent="0.25">
      <c r="AV174" s="21"/>
      <c r="AW174" s="21"/>
    </row>
    <row r="175" spans="1:74" customFormat="1" ht="13.2" x14ac:dyDescent="0.25">
      <c r="AV175" s="21"/>
      <c r="AW175" s="21"/>
    </row>
    <row r="176" spans="1:74" customFormat="1" ht="13.2" x14ac:dyDescent="0.25">
      <c r="AV176" s="21"/>
      <c r="AW176" s="21"/>
    </row>
    <row r="177" spans="48:49" customFormat="1" ht="13.2" x14ac:dyDescent="0.25">
      <c r="AV177" s="21"/>
      <c r="AW177" s="21"/>
    </row>
    <row r="178" spans="48:49" customFormat="1" ht="13.2" x14ac:dyDescent="0.25">
      <c r="AV178" s="21"/>
      <c r="AW178" s="21"/>
    </row>
    <row r="179" spans="48:49" customFormat="1" ht="13.2" x14ac:dyDescent="0.25">
      <c r="AV179" s="21"/>
      <c r="AW179" s="21"/>
    </row>
    <row r="180" spans="48:49" customFormat="1" ht="13.2" x14ac:dyDescent="0.25">
      <c r="AV180" s="21"/>
      <c r="AW180" s="21"/>
    </row>
    <row r="181" spans="48:49" customFormat="1" ht="13.2" x14ac:dyDescent="0.25">
      <c r="AV181" s="21"/>
      <c r="AW181" s="21"/>
    </row>
    <row r="182" spans="48:49" customFormat="1" ht="13.2" x14ac:dyDescent="0.25">
      <c r="AV182" s="21"/>
      <c r="AW182" s="21"/>
    </row>
    <row r="183" spans="48:49" customFormat="1" ht="13.2" x14ac:dyDescent="0.25">
      <c r="AV183" s="21"/>
      <c r="AW183" s="21"/>
    </row>
    <row r="184" spans="48:49" customFormat="1" ht="13.2" x14ac:dyDescent="0.25">
      <c r="AV184" s="21"/>
      <c r="AW184" s="21"/>
    </row>
    <row r="185" spans="48:49" customFormat="1" ht="13.2" x14ac:dyDescent="0.25">
      <c r="AV185" s="21"/>
      <c r="AW185" s="21"/>
    </row>
    <row r="186" spans="48:49" customFormat="1" ht="13.2" x14ac:dyDescent="0.25">
      <c r="AV186" s="21"/>
      <c r="AW186" s="21"/>
    </row>
    <row r="187" spans="48:49" customFormat="1" ht="13.2" x14ac:dyDescent="0.25">
      <c r="AV187" s="21"/>
      <c r="AW187" s="21"/>
    </row>
    <row r="188" spans="48:49" customFormat="1" ht="13.2" x14ac:dyDescent="0.25">
      <c r="AV188" s="21"/>
      <c r="AW188" s="21"/>
    </row>
    <row r="189" spans="48:49" customFormat="1" ht="13.2" x14ac:dyDescent="0.25">
      <c r="AV189" s="21"/>
      <c r="AW189" s="21"/>
    </row>
    <row r="190" spans="48:49" customFormat="1" ht="13.2" x14ac:dyDescent="0.25">
      <c r="AV190" s="21"/>
      <c r="AW190" s="21"/>
    </row>
    <row r="191" spans="48:49" customFormat="1" ht="13.2" x14ac:dyDescent="0.25">
      <c r="AV191" s="21"/>
      <c r="AW191" s="21"/>
    </row>
    <row r="192" spans="48:49" customFormat="1" ht="13.2" x14ac:dyDescent="0.25">
      <c r="AV192" s="21"/>
      <c r="AW192" s="21"/>
    </row>
    <row r="193" spans="48:66" customFormat="1" ht="13.2" x14ac:dyDescent="0.25">
      <c r="AV193" s="21"/>
      <c r="AW193" s="21"/>
    </row>
    <row r="194" spans="48:66" customFormat="1" ht="13.2" x14ac:dyDescent="0.25">
      <c r="AV194" s="21"/>
      <c r="AW194" s="21"/>
    </row>
    <row r="195" spans="48:66" customFormat="1" ht="13.2" x14ac:dyDescent="0.25">
      <c r="AV195" s="21"/>
      <c r="AW195" s="21"/>
    </row>
    <row r="196" spans="48:66" customFormat="1" ht="13.2" x14ac:dyDescent="0.25">
      <c r="AV196" s="21"/>
      <c r="AW196" s="21"/>
    </row>
    <row r="197" spans="48:66" customFormat="1" ht="13.2" x14ac:dyDescent="0.25">
      <c r="AV197" s="21"/>
      <c r="AW197" s="21"/>
    </row>
    <row r="198" spans="48:66" customFormat="1" ht="13.2" x14ac:dyDescent="0.25">
      <c r="AV198" s="21"/>
      <c r="AW198" s="21"/>
    </row>
    <row r="199" spans="48:66" customFormat="1" ht="13.2" x14ac:dyDescent="0.25">
      <c r="AV199" s="21"/>
      <c r="AW199" s="21"/>
    </row>
    <row r="200" spans="48:66" customFormat="1" ht="13.2" x14ac:dyDescent="0.25">
      <c r="AV200" s="21"/>
      <c r="AW200" s="21"/>
    </row>
    <row r="201" spans="48:66" customFormat="1" ht="13.2" x14ac:dyDescent="0.25">
      <c r="AV201" s="21"/>
      <c r="AW201" s="21"/>
    </row>
    <row r="202" spans="48:66" customFormat="1" ht="13.2" x14ac:dyDescent="0.25">
      <c r="AV202" s="21"/>
      <c r="AW202" s="21"/>
    </row>
    <row r="203" spans="48:66" customFormat="1" ht="13.2" x14ac:dyDescent="0.25">
      <c r="AV203" s="21"/>
      <c r="AW203" s="21"/>
    </row>
    <row r="204" spans="48:66" customFormat="1" ht="13.2" x14ac:dyDescent="0.25">
      <c r="AV204" s="21"/>
      <c r="AW204" s="21"/>
    </row>
    <row r="205" spans="48:66" x14ac:dyDescent="0.2">
      <c r="BN205" s="14"/>
    </row>
    <row r="206" spans="48:66" x14ac:dyDescent="0.2">
      <c r="BN206" s="14"/>
    </row>
    <row r="207" spans="48:66" x14ac:dyDescent="0.2">
      <c r="BN207" s="14"/>
    </row>
    <row r="208" spans="48:66" x14ac:dyDescent="0.2">
      <c r="BN208" s="14"/>
    </row>
    <row r="209" spans="66:66" x14ac:dyDescent="0.2">
      <c r="BN209" s="14"/>
    </row>
    <row r="210" spans="66:66" x14ac:dyDescent="0.2">
      <c r="BN210" s="3"/>
    </row>
    <row r="211" spans="66:66" x14ac:dyDescent="0.2">
      <c r="BN211" s="3"/>
    </row>
    <row r="212" spans="66:66" x14ac:dyDescent="0.2">
      <c r="BN212" s="3"/>
    </row>
    <row r="213" spans="66:66" x14ac:dyDescent="0.2">
      <c r="BN213" s="3"/>
    </row>
    <row r="214" spans="66:66" x14ac:dyDescent="0.2">
      <c r="BN214" s="3"/>
    </row>
    <row r="215" spans="66:66" x14ac:dyDescent="0.2">
      <c r="BN215" s="3"/>
    </row>
    <row r="216" spans="66:66" x14ac:dyDescent="0.2">
      <c r="BN216" s="3"/>
    </row>
    <row r="217" spans="66:66" x14ac:dyDescent="0.2">
      <c r="BN217" s="3"/>
    </row>
    <row r="218" spans="66:66" x14ac:dyDescent="0.2">
      <c r="BN218" s="3"/>
    </row>
    <row r="219" spans="66:66" x14ac:dyDescent="0.2">
      <c r="BN219" s="3"/>
    </row>
    <row r="220" spans="66:66" x14ac:dyDescent="0.2">
      <c r="BN220" s="3"/>
    </row>
    <row r="221" spans="66:66" x14ac:dyDescent="0.2">
      <c r="BN221" s="3"/>
    </row>
    <row r="222" spans="66:66" x14ac:dyDescent="0.2">
      <c r="BN222" s="3"/>
    </row>
    <row r="223" spans="66:66" x14ac:dyDescent="0.2">
      <c r="BN223" s="3"/>
    </row>
    <row r="224" spans="66:66" x14ac:dyDescent="0.2">
      <c r="BN224" s="3"/>
    </row>
    <row r="225" spans="66:66" x14ac:dyDescent="0.2">
      <c r="BN225" s="3"/>
    </row>
    <row r="226" spans="66:66" x14ac:dyDescent="0.2">
      <c r="BN226" s="3"/>
    </row>
    <row r="227" spans="66:66" x14ac:dyDescent="0.2">
      <c r="BN227" s="3"/>
    </row>
    <row r="228" spans="66:66" x14ac:dyDescent="0.2">
      <c r="BN228" s="3"/>
    </row>
    <row r="229" spans="66:66" x14ac:dyDescent="0.2">
      <c r="BN229" s="3"/>
    </row>
    <row r="230" spans="66:66" x14ac:dyDescent="0.2">
      <c r="BN230" s="3"/>
    </row>
    <row r="231" spans="66:66" x14ac:dyDescent="0.2">
      <c r="BN231" s="3"/>
    </row>
    <row r="232" spans="66:66" x14ac:dyDescent="0.2">
      <c r="BN232" s="3"/>
    </row>
    <row r="233" spans="66:66" x14ac:dyDescent="0.2">
      <c r="BN233" s="3"/>
    </row>
    <row r="234" spans="66:66" x14ac:dyDescent="0.2">
      <c r="BN234" s="3"/>
    </row>
    <row r="235" spans="66:66" x14ac:dyDescent="0.2">
      <c r="BN235" s="3"/>
    </row>
    <row r="236" spans="66:66" x14ac:dyDescent="0.2">
      <c r="BN236" s="3"/>
    </row>
    <row r="237" spans="66:66" x14ac:dyDescent="0.2">
      <c r="BN237" s="3"/>
    </row>
    <row r="238" spans="66:66" x14ac:dyDescent="0.2">
      <c r="BN238" s="3"/>
    </row>
    <row r="239" spans="66:66" x14ac:dyDescent="0.2">
      <c r="BN239" s="3"/>
    </row>
    <row r="240" spans="66:66" x14ac:dyDescent="0.2">
      <c r="BN240" s="3"/>
    </row>
    <row r="241" spans="66:66" x14ac:dyDescent="0.2">
      <c r="BN241" s="3"/>
    </row>
    <row r="242" spans="66:66" x14ac:dyDescent="0.2">
      <c r="BN242" s="3"/>
    </row>
    <row r="243" spans="66:66" x14ac:dyDescent="0.2">
      <c r="BN243" s="3"/>
    </row>
    <row r="244" spans="66:66" x14ac:dyDescent="0.2">
      <c r="BN244" s="3"/>
    </row>
    <row r="245" spans="66:66" x14ac:dyDescent="0.2">
      <c r="BN245" s="3"/>
    </row>
    <row r="246" spans="66:66" x14ac:dyDescent="0.2">
      <c r="BN246" s="3"/>
    </row>
    <row r="247" spans="66:66" x14ac:dyDescent="0.2">
      <c r="BN247" s="3"/>
    </row>
    <row r="248" spans="66:66" x14ac:dyDescent="0.2">
      <c r="BN248" s="3"/>
    </row>
    <row r="249" spans="66:66" x14ac:dyDescent="0.2">
      <c r="BN249" s="3"/>
    </row>
    <row r="250" spans="66:66" x14ac:dyDescent="0.2">
      <c r="BN250" s="3"/>
    </row>
    <row r="251" spans="66:66" x14ac:dyDescent="0.2">
      <c r="BN251" s="3"/>
    </row>
    <row r="252" spans="66:66" x14ac:dyDescent="0.2">
      <c r="BN252" s="3"/>
    </row>
    <row r="253" spans="66:66" x14ac:dyDescent="0.2">
      <c r="BN253" s="3"/>
    </row>
    <row r="254" spans="66:66" x14ac:dyDescent="0.2">
      <c r="BN254" s="3"/>
    </row>
    <row r="255" spans="66:66" x14ac:dyDescent="0.2">
      <c r="BN255" s="3"/>
    </row>
    <row r="256" spans="66:66" x14ac:dyDescent="0.2">
      <c r="BN256" s="3"/>
    </row>
    <row r="257" spans="66:66" x14ac:dyDescent="0.2">
      <c r="BN257" s="3"/>
    </row>
    <row r="258" spans="66:66" x14ac:dyDescent="0.2">
      <c r="BN258" s="3"/>
    </row>
    <row r="259" spans="66:66" x14ac:dyDescent="0.2">
      <c r="BN259" s="3"/>
    </row>
    <row r="260" spans="66:66" x14ac:dyDescent="0.2">
      <c r="BN260" s="3"/>
    </row>
    <row r="261" spans="66:66" x14ac:dyDescent="0.2">
      <c r="BN261" s="3"/>
    </row>
    <row r="262" spans="66:66" x14ac:dyDescent="0.2">
      <c r="BN262" s="3"/>
    </row>
    <row r="263" spans="66:66" x14ac:dyDescent="0.2">
      <c r="BN263" s="3"/>
    </row>
    <row r="264" spans="66:66" x14ac:dyDescent="0.2">
      <c r="BN264" s="3"/>
    </row>
    <row r="265" spans="66:66" x14ac:dyDescent="0.2">
      <c r="BN265" s="3"/>
    </row>
    <row r="266" spans="66:66" x14ac:dyDescent="0.2">
      <c r="BN266" s="3"/>
    </row>
    <row r="267" spans="66:66" x14ac:dyDescent="0.2">
      <c r="BN267" s="3"/>
    </row>
    <row r="268" spans="66:66" x14ac:dyDescent="0.2">
      <c r="BN268" s="3"/>
    </row>
    <row r="269" spans="66:66" x14ac:dyDescent="0.2">
      <c r="BN269" s="3"/>
    </row>
    <row r="270" spans="66:66" x14ac:dyDescent="0.2">
      <c r="BN270" s="3"/>
    </row>
    <row r="271" spans="66:66" x14ac:dyDescent="0.2">
      <c r="BN271" s="3"/>
    </row>
    <row r="272" spans="66:66" x14ac:dyDescent="0.2">
      <c r="BN272" s="3"/>
    </row>
    <row r="273" spans="66:66" x14ac:dyDescent="0.2">
      <c r="BN273" s="3"/>
    </row>
    <row r="274" spans="66:66" x14ac:dyDescent="0.2">
      <c r="BN274" s="3"/>
    </row>
    <row r="275" spans="66:66" x14ac:dyDescent="0.2">
      <c r="BN275" s="3"/>
    </row>
    <row r="276" spans="66:66" x14ac:dyDescent="0.2">
      <c r="BN276" s="3"/>
    </row>
    <row r="277" spans="66:66" x14ac:dyDescent="0.2">
      <c r="BN277" s="3"/>
    </row>
    <row r="278" spans="66:66" x14ac:dyDescent="0.2">
      <c r="BN278" s="3"/>
    </row>
    <row r="279" spans="66:66" x14ac:dyDescent="0.2">
      <c r="BN279" s="3"/>
    </row>
    <row r="280" spans="66:66" x14ac:dyDescent="0.2">
      <c r="BN280" s="3"/>
    </row>
    <row r="281" spans="66:66" x14ac:dyDescent="0.2">
      <c r="BN281" s="3"/>
    </row>
    <row r="282" spans="66:66" x14ac:dyDescent="0.2">
      <c r="BN282" s="3"/>
    </row>
    <row r="283" spans="66:66" x14ac:dyDescent="0.2">
      <c r="BN283" s="3"/>
    </row>
    <row r="284" spans="66:66" x14ac:dyDescent="0.2">
      <c r="BN284" s="3"/>
    </row>
    <row r="285" spans="66:66" x14ac:dyDescent="0.2">
      <c r="BN285" s="3"/>
    </row>
    <row r="286" spans="66:66" x14ac:dyDescent="0.2">
      <c r="BN286" s="3"/>
    </row>
    <row r="287" spans="66:66" x14ac:dyDescent="0.2">
      <c r="BN287" s="3"/>
    </row>
    <row r="288" spans="66:66" x14ac:dyDescent="0.2">
      <c r="BN288" s="3"/>
    </row>
    <row r="289" spans="66:66" x14ac:dyDescent="0.2">
      <c r="BN289" s="3"/>
    </row>
    <row r="290" spans="66:66" x14ac:dyDescent="0.2">
      <c r="BN290" s="3"/>
    </row>
    <row r="291" spans="66:66" x14ac:dyDescent="0.2">
      <c r="BN291" s="3"/>
    </row>
    <row r="292" spans="66:66" x14ac:dyDescent="0.2">
      <c r="BN292" s="3"/>
    </row>
    <row r="293" spans="66:66" x14ac:dyDescent="0.2">
      <c r="BN293" s="3"/>
    </row>
    <row r="294" spans="66:66" x14ac:dyDescent="0.2">
      <c r="BN294" s="3"/>
    </row>
    <row r="295" spans="66:66" x14ac:dyDescent="0.2">
      <c r="BN295" s="3"/>
    </row>
    <row r="296" spans="66:66" x14ac:dyDescent="0.2">
      <c r="BN296" s="3"/>
    </row>
    <row r="297" spans="66:66" x14ac:dyDescent="0.2">
      <c r="BN297" s="3"/>
    </row>
    <row r="298" spans="66:66" x14ac:dyDescent="0.2">
      <c r="BN298" s="3"/>
    </row>
    <row r="299" spans="66:66" x14ac:dyDescent="0.2">
      <c r="BN299" s="3"/>
    </row>
    <row r="300" spans="66:66" x14ac:dyDescent="0.2">
      <c r="BN300" s="3"/>
    </row>
    <row r="301" spans="66:66" x14ac:dyDescent="0.2">
      <c r="BN301" s="3"/>
    </row>
    <row r="302" spans="66:66" x14ac:dyDescent="0.2">
      <c r="BN302" s="3"/>
    </row>
    <row r="303" spans="66:66" x14ac:dyDescent="0.2">
      <c r="BN303" s="3"/>
    </row>
    <row r="304" spans="66:66" x14ac:dyDescent="0.2">
      <c r="BN304" s="3"/>
    </row>
    <row r="305" spans="66:66" x14ac:dyDescent="0.2">
      <c r="BN305" s="3"/>
    </row>
    <row r="306" spans="66:66" x14ac:dyDescent="0.2">
      <c r="BN306" s="3"/>
    </row>
    <row r="307" spans="66:66" x14ac:dyDescent="0.2">
      <c r="BN307" s="3"/>
    </row>
    <row r="308" spans="66:66" x14ac:dyDescent="0.2">
      <c r="BN308" s="3"/>
    </row>
    <row r="309" spans="66:66" x14ac:dyDescent="0.2">
      <c r="BN309" s="3"/>
    </row>
    <row r="310" spans="66:66" x14ac:dyDescent="0.2">
      <c r="BN310" s="3"/>
    </row>
    <row r="311" spans="66:66" x14ac:dyDescent="0.2">
      <c r="BN311" s="3"/>
    </row>
    <row r="312" spans="66:66" x14ac:dyDescent="0.2">
      <c r="BN312" s="3"/>
    </row>
    <row r="313" spans="66:66" x14ac:dyDescent="0.2">
      <c r="BN313" s="3"/>
    </row>
    <row r="314" spans="66:66" x14ac:dyDescent="0.2">
      <c r="BN314" s="3"/>
    </row>
    <row r="315" spans="66:66" x14ac:dyDescent="0.2">
      <c r="BN315" s="3"/>
    </row>
    <row r="316" spans="66:66" x14ac:dyDescent="0.2">
      <c r="BN316" s="3"/>
    </row>
    <row r="317" spans="66:66" x14ac:dyDescent="0.2">
      <c r="BN317" s="3"/>
    </row>
    <row r="318" spans="66:66" x14ac:dyDescent="0.2">
      <c r="BN318" s="3"/>
    </row>
    <row r="319" spans="66:66" x14ac:dyDescent="0.2">
      <c r="BN319" s="3"/>
    </row>
    <row r="320" spans="66:66" x14ac:dyDescent="0.2">
      <c r="BN320" s="3"/>
    </row>
    <row r="321" spans="66:66" x14ac:dyDescent="0.2">
      <c r="BN321" s="3"/>
    </row>
    <row r="322" spans="66:66" x14ac:dyDescent="0.2">
      <c r="BN322" s="3"/>
    </row>
    <row r="323" spans="66:66" x14ac:dyDescent="0.2">
      <c r="BN323" s="3"/>
    </row>
  </sheetData>
  <printOptions horizontalCentered="1" gridLines="1" gridLinesSet="0"/>
  <pageMargins left="0" right="0" top="0.75" bottom="0.25" header="0" footer="0"/>
  <pageSetup scale="79" orientation="landscape" horizontalDpi="300" verticalDpi="300" r:id="rId1"/>
  <headerFooter alignWithMargins="0"/>
  <colBreaks count="3" manualBreakCount="3">
    <brk id="11" max="1048575" man="1"/>
    <brk id="43" max="1048575" man="1"/>
    <brk id="4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topLeftCell="A5" workbookViewId="0">
      <selection activeCell="N24" sqref="N24"/>
    </sheetView>
  </sheetViews>
  <sheetFormatPr defaultRowHeight="13.2" x14ac:dyDescent="0.25"/>
  <cols>
    <col min="2" max="2" width="8.6640625" hidden="1" customWidth="1"/>
    <col min="3" max="8" width="9.109375" hidden="1" customWidth="1"/>
    <col min="9" max="9" width="10" hidden="1" customWidth="1"/>
    <col min="10" max="10" width="8.33203125" hidden="1" customWidth="1"/>
    <col min="11" max="11" width="8.33203125" customWidth="1"/>
    <col min="14" max="14" width="9.33203125" customWidth="1"/>
    <col min="15" max="15" width="9.33203125" hidden="1" customWidth="1"/>
    <col min="16" max="18" width="0" hidden="1" customWidth="1"/>
    <col min="21" max="21" width="5.6640625" customWidth="1"/>
    <col min="22" max="22" width="9.33203125" customWidth="1"/>
  </cols>
  <sheetData>
    <row r="1" spans="1:22" x14ac:dyDescent="0.25">
      <c r="B1" s="21">
        <f>'Long Term Deals'!AF1</f>
        <v>0</v>
      </c>
      <c r="C1" s="21">
        <f>'Long Term Deals'!AG1</f>
        <v>0</v>
      </c>
      <c r="D1" s="21">
        <f>'Long Term Deals'!AH1</f>
        <v>0</v>
      </c>
      <c r="E1" s="21">
        <f>'Long Term Deals'!AI1</f>
        <v>0</v>
      </c>
      <c r="F1" s="21">
        <f>'Long Term Deals'!AJ1</f>
        <v>0</v>
      </c>
      <c r="G1" s="21">
        <f>'Long Term Deals'!AK1</f>
        <v>0</v>
      </c>
      <c r="H1" s="21">
        <f>'Long Term Deals'!AL1</f>
        <v>0</v>
      </c>
    </row>
    <row r="2" spans="1:22" x14ac:dyDescent="0.25">
      <c r="B2" s="21">
        <f>'Long Term Deals'!AF2</f>
        <v>0</v>
      </c>
      <c r="C2" s="21">
        <f>'Long Term Deals'!AG2</f>
        <v>0</v>
      </c>
      <c r="D2" s="21">
        <f>'Long Term Deals'!AH2</f>
        <v>0</v>
      </c>
      <c r="E2" s="21">
        <f>'Long Term Deals'!AI2</f>
        <v>0</v>
      </c>
      <c r="F2" s="21">
        <f>'Long Term Deals'!AJ2</f>
        <v>0</v>
      </c>
      <c r="G2" s="21">
        <f>'Long Term Deals'!AK2</f>
        <v>0</v>
      </c>
      <c r="H2" s="21">
        <f>'Long Term Deals'!AL2</f>
        <v>0</v>
      </c>
    </row>
    <row r="3" spans="1:22" x14ac:dyDescent="0.25">
      <c r="B3" s="21" t="str">
        <f>'Long Term Deals'!AF3</f>
        <v>Florida Power &amp; Light</v>
      </c>
      <c r="C3" s="21">
        <f>'Long Term Deals'!AG3</f>
        <v>0</v>
      </c>
      <c r="D3" s="21">
        <f>'Long Term Deals'!AH3</f>
        <v>0</v>
      </c>
      <c r="E3" s="21">
        <f>'Long Term Deals'!AI3</f>
        <v>0</v>
      </c>
      <c r="F3" s="21">
        <f>'Long Term Deals'!AJ3</f>
        <v>0</v>
      </c>
      <c r="G3" s="21">
        <f>'Long Term Deals'!AK3</f>
        <v>0</v>
      </c>
      <c r="H3" s="21">
        <f>'Long Term Deals'!AL3</f>
        <v>0</v>
      </c>
    </row>
    <row r="4" spans="1:22" s="68" customFormat="1" ht="52.8" x14ac:dyDescent="0.25">
      <c r="B4" s="72" t="str">
        <f>'Long Term Deals'!AF4</f>
        <v>Volume per Day Zone 1</v>
      </c>
      <c r="C4" s="72" t="str">
        <f>'Long Term Deals'!AG4</f>
        <v>Volume per Day Zone 2</v>
      </c>
      <c r="D4" s="72" t="str">
        <f>'Long Term Deals'!AH4</f>
        <v>Volume per Day Zone 3 Cisco</v>
      </c>
      <c r="E4" s="72" t="str">
        <f>'Long Term Deals'!AI4</f>
        <v>Flexed-down volumes    Zone 1</v>
      </c>
      <c r="F4" s="72" t="str">
        <f>'Long Term Deals'!AJ4</f>
        <v>Flexed-down volumes    Zone 2</v>
      </c>
      <c r="G4" s="72" t="str">
        <f>'Long Term Deals'!AK4</f>
        <v>Flexed-down volumes    Zone 3</v>
      </c>
      <c r="H4" s="72" t="str">
        <f>'Long Term Deals'!AL4</f>
        <v>Flexed-down volumes</v>
      </c>
      <c r="I4" s="68" t="s">
        <v>124</v>
      </c>
      <c r="J4" s="68" t="s">
        <v>125</v>
      </c>
      <c r="K4" s="68" t="s">
        <v>126</v>
      </c>
      <c r="L4" s="68" t="s">
        <v>127</v>
      </c>
      <c r="M4" s="68" t="s">
        <v>128</v>
      </c>
      <c r="N4" s="68" t="s">
        <v>127</v>
      </c>
    </row>
    <row r="7" spans="1:22" x14ac:dyDescent="0.25">
      <c r="A7" s="71">
        <f>'Long Term Deals'!A7</f>
        <v>35809.833333333328</v>
      </c>
      <c r="B7" s="21">
        <f>'Long Term Deals'!AF7</f>
        <v>91879.319236719952</v>
      </c>
      <c r="C7" s="21">
        <f>'Long Term Deals'!AG7</f>
        <v>25988.65394533264</v>
      </c>
      <c r="D7" s="21">
        <f>'Long Term Deals'!AH7</f>
        <v>18284.682826199074</v>
      </c>
      <c r="E7" s="21">
        <f>'Long Term Deals'!AI7</f>
        <v>30249.613202681794</v>
      </c>
      <c r="F7" s="21">
        <f>'Long Term Deals'!AJ7</f>
        <v>83960.804538421871</v>
      </c>
      <c r="G7" s="21">
        <f>'Long Term Deals'!AK7</f>
        <v>59074.780814853017</v>
      </c>
      <c r="H7" s="21">
        <f>'Long Term Deals'!AL7</f>
        <v>173285.19855595668</v>
      </c>
      <c r="I7" s="73">
        <f>'Prices&amp;Fuel'!F7</f>
        <v>3.0499999999999999E-2</v>
      </c>
      <c r="J7" s="21">
        <f>75000/(1-I7)</f>
        <v>77359.463641052091</v>
      </c>
      <c r="K7" s="21">
        <f>J7-D7</f>
        <v>59074.780814853017</v>
      </c>
      <c r="L7">
        <f>-'Prices&amp;Fuel'!C7+'Prices&amp;Fuel'!D7</f>
        <v>-4.9999999999999822E-2</v>
      </c>
      <c r="M7">
        <f>'Prices&amp;Fuel'!H7</f>
        <v>31</v>
      </c>
      <c r="N7" s="23">
        <f t="shared" ref="N7:N15" si="0">K7*L7*M7</f>
        <v>-91565.910263021855</v>
      </c>
      <c r="O7" s="21">
        <f>118404/(1-$I7)</f>
        <v>122128.93243940175</v>
      </c>
      <c r="P7" s="21">
        <f>106596/(1-$I7)</f>
        <v>109949.45848375451</v>
      </c>
      <c r="Q7" s="21">
        <f>75000/(1-$I7)</f>
        <v>77359.463641052091</v>
      </c>
      <c r="R7" s="23">
        <f>SUM(O7:Q7)</f>
        <v>309437.85456420836</v>
      </c>
      <c r="S7" s="21">
        <f>(118404-25000)/(1-$I7)</f>
        <v>96342.444559051059</v>
      </c>
      <c r="T7" s="23">
        <f>P7</f>
        <v>109949.45848375451</v>
      </c>
      <c r="U7" s="74">
        <f>S7/(S7+T7)</f>
        <v>0.46702000000000005</v>
      </c>
      <c r="V7" s="23">
        <f t="shared" ref="V7:V15" si="1">K7*L7*M7*(1-U7)</f>
        <v>-48802.79885198539</v>
      </c>
    </row>
    <row r="8" spans="1:22" x14ac:dyDescent="0.25">
      <c r="A8" s="71">
        <f>'Long Term Deals'!A8</f>
        <v>35840.249999999993</v>
      </c>
      <c r="B8" s="21">
        <f>'Long Term Deals'!AF8</f>
        <v>91595.886889460162</v>
      </c>
      <c r="C8" s="21">
        <f>'Long Term Deals'!AG8</f>
        <v>25908.483290488439</v>
      </c>
      <c r="D8" s="21">
        <f>'Long Term Deals'!AH8</f>
        <v>18228.277634961443</v>
      </c>
      <c r="E8" s="21">
        <f>'Long Term Deals'!AI8</f>
        <v>30156.298200514138</v>
      </c>
      <c r="F8" s="21">
        <f>'Long Term Deals'!AJ8</f>
        <v>83701.799485861178</v>
      </c>
      <c r="G8" s="21">
        <f>'Long Term Deals'!AK8</f>
        <v>58892.544987146524</v>
      </c>
      <c r="H8" s="21">
        <f>'Long Term Deals'!AL8</f>
        <v>172750.64267352183</v>
      </c>
      <c r="I8" s="73">
        <f>'Prices&amp;Fuel'!F8</f>
        <v>2.75E-2</v>
      </c>
      <c r="J8" s="21">
        <f t="shared" ref="J8:J17" si="2">75000/(1-I8)</f>
        <v>77120.822622107968</v>
      </c>
      <c r="K8" s="21">
        <f t="shared" ref="K8:K17" si="3">J8-D8</f>
        <v>58892.544987146524</v>
      </c>
      <c r="L8">
        <f>-'Prices&amp;Fuel'!C8+'Prices&amp;Fuel'!D8</f>
        <v>-6.0000000000000053E-2</v>
      </c>
      <c r="M8">
        <f>'Prices&amp;Fuel'!H8</f>
        <v>28</v>
      </c>
      <c r="N8" s="23">
        <f t="shared" si="0"/>
        <v>-98939.475578406244</v>
      </c>
      <c r="O8" s="21">
        <f>118404/(1-$I8)</f>
        <v>121752.18508997429</v>
      </c>
      <c r="P8" s="21">
        <f>106596/(1-$I8)</f>
        <v>109610.28277634962</v>
      </c>
      <c r="Q8" s="21">
        <f t="shared" ref="Q8:Q17" si="4">75000/(1-$I8)</f>
        <v>77120.822622107968</v>
      </c>
      <c r="R8" s="23">
        <f>SUM(O8:Q8)</f>
        <v>308483.29048843187</v>
      </c>
      <c r="S8" s="21">
        <f>(118404-25000)/(1-$I8)</f>
        <v>96045.244215938306</v>
      </c>
      <c r="T8" s="23">
        <f>P8</f>
        <v>109610.28277634962</v>
      </c>
      <c r="U8" s="74">
        <f t="shared" ref="U8:U17" si="5">S8/(S8+T8)</f>
        <v>0.46701999999999999</v>
      </c>
      <c r="V8" s="23">
        <f t="shared" si="1"/>
        <v>-52732.761693778957</v>
      </c>
    </row>
    <row r="9" spans="1:22" x14ac:dyDescent="0.25">
      <c r="A9" s="71">
        <f>'Long Term Deals'!A9</f>
        <v>35870.666666666657</v>
      </c>
      <c r="B9" s="21">
        <f>'Long Term Deals'!AF9</f>
        <v>91595.886889460162</v>
      </c>
      <c r="C9" s="21">
        <f>'Long Term Deals'!AG9</f>
        <v>25908.483290488439</v>
      </c>
      <c r="D9" s="21">
        <f>'Long Term Deals'!AH9</f>
        <v>18228.277634961443</v>
      </c>
      <c r="E9" s="21">
        <f>'Long Term Deals'!AI9</f>
        <v>30156.298200514138</v>
      </c>
      <c r="F9" s="21">
        <f>'Long Term Deals'!AJ9</f>
        <v>83701.799485861178</v>
      </c>
      <c r="G9" s="21">
        <f>'Long Term Deals'!AK9</f>
        <v>58892.544987146524</v>
      </c>
      <c r="H9" s="21">
        <f>'Long Term Deals'!AL9</f>
        <v>172751</v>
      </c>
      <c r="I9" s="73">
        <f>'Prices&amp;Fuel'!F9</f>
        <v>2.75E-2</v>
      </c>
      <c r="J9" s="21">
        <f t="shared" si="2"/>
        <v>77120.822622107968</v>
      </c>
      <c r="K9" s="21">
        <f t="shared" si="3"/>
        <v>58892.544987146524</v>
      </c>
      <c r="L9">
        <f>-'Prices&amp;Fuel'!C9+'Prices&amp;Fuel'!D9</f>
        <v>-6.0000000000000053E-2</v>
      </c>
      <c r="M9">
        <f>'Prices&amp;Fuel'!H9</f>
        <v>31</v>
      </c>
      <c r="N9" s="23">
        <f t="shared" si="0"/>
        <v>-109540.13367609264</v>
      </c>
      <c r="O9" s="21">
        <f>118404/(1-$I9)</f>
        <v>121752.18508997429</v>
      </c>
      <c r="P9" s="21">
        <f>106596/(1-$I9)</f>
        <v>109610.28277634962</v>
      </c>
      <c r="Q9" s="21">
        <f t="shared" si="4"/>
        <v>77120.822622107968</v>
      </c>
      <c r="R9" s="23">
        <f>SUM(O9:Q9)</f>
        <v>308483.29048843187</v>
      </c>
      <c r="S9" s="21">
        <f>(118404-25000)/(1-$I9)</f>
        <v>96045.244215938306</v>
      </c>
      <c r="T9" s="23">
        <f>P9</f>
        <v>109610.28277634962</v>
      </c>
      <c r="U9" s="74">
        <f t="shared" si="5"/>
        <v>0.46701999999999999</v>
      </c>
      <c r="V9" s="23">
        <f t="shared" si="1"/>
        <v>-58382.700446683855</v>
      </c>
    </row>
    <row r="10" spans="1:22" x14ac:dyDescent="0.25">
      <c r="A10" s="71">
        <f>'Long Term Deals'!A10</f>
        <v>35901.083333333321</v>
      </c>
      <c r="B10" s="21">
        <f>'Long Term Deals'!AF10</f>
        <v>131948.41516469856</v>
      </c>
      <c r="C10" s="21">
        <f>'Long Term Deals'!AG10</f>
        <v>101115.59975139837</v>
      </c>
      <c r="D10" s="21">
        <f>'Long Term Deals'!AH10</f>
        <v>77688.004972032315</v>
      </c>
      <c r="E10" s="21">
        <f>'Long Term Deals'!AI10</f>
        <v>0</v>
      </c>
      <c r="F10" s="21">
        <f>'Long Term Deals'!AJ10</f>
        <v>0</v>
      </c>
      <c r="G10" s="21">
        <f>'Long Term Deals'!AK10</f>
        <v>0</v>
      </c>
      <c r="H10" s="21">
        <f>'Long Term Deals'!AL10</f>
        <v>0</v>
      </c>
      <c r="I10" s="73">
        <f>'Prices&amp;Fuel'!F10</f>
        <v>3.4599999999999999E-2</v>
      </c>
      <c r="J10" s="21">
        <f t="shared" si="2"/>
        <v>77688.004972032315</v>
      </c>
      <c r="K10" s="21">
        <f t="shared" si="3"/>
        <v>0</v>
      </c>
      <c r="L10">
        <f>-'Prices&amp;Fuel'!C10+'Prices&amp;Fuel'!D10</f>
        <v>-2.0000000000000018E-2</v>
      </c>
      <c r="M10">
        <f>'Prices&amp;Fuel'!H10</f>
        <v>30</v>
      </c>
      <c r="N10" s="23">
        <f t="shared" si="0"/>
        <v>0</v>
      </c>
      <c r="O10" s="23"/>
      <c r="S10" s="23"/>
      <c r="U10" s="74"/>
      <c r="V10" s="23">
        <f t="shared" si="1"/>
        <v>0</v>
      </c>
    </row>
    <row r="11" spans="1:22" x14ac:dyDescent="0.25">
      <c r="A11" s="71">
        <f>'Long Term Deals'!A11</f>
        <v>35931.499999999985</v>
      </c>
      <c r="B11" s="21">
        <f>'Long Term Deals'!AF11</f>
        <v>125885.51772464963</v>
      </c>
      <c r="C11" s="21">
        <f>'Long Term Deals'!AG11</f>
        <v>74496.006595218467</v>
      </c>
      <c r="D11" s="21">
        <f>'Long Term Deals'!AH11</f>
        <v>32112.716405605926</v>
      </c>
      <c r="E11" s="21">
        <f>'Long Term Deals'!AI11</f>
        <v>59909</v>
      </c>
      <c r="F11" s="21">
        <f>'Long Term Deals'!AJ11</f>
        <v>105538</v>
      </c>
      <c r="G11" s="21">
        <f>'Long Term Deals'!AK11</f>
        <v>45175</v>
      </c>
      <c r="H11" s="21">
        <f>'Long Term Deals'!AL11</f>
        <v>210622</v>
      </c>
      <c r="I11" s="73">
        <f>'Prices&amp;Fuel'!F11</f>
        <v>2.9600000000000001E-2</v>
      </c>
      <c r="J11" s="21">
        <f t="shared" si="2"/>
        <v>77287.716405605926</v>
      </c>
      <c r="K11" s="21">
        <f t="shared" si="3"/>
        <v>45175</v>
      </c>
      <c r="L11">
        <f>-'Prices&amp;Fuel'!C11+'Prices&amp;Fuel'!D11</f>
        <v>-2.9999999999999805E-2</v>
      </c>
      <c r="M11">
        <f>'Prices&amp;Fuel'!H11</f>
        <v>31</v>
      </c>
      <c r="N11" s="23">
        <f t="shared" si="0"/>
        <v>-42012.749999999724</v>
      </c>
      <c r="O11" s="21">
        <f>180295/(1-$I11)</f>
        <v>185794.51772464963</v>
      </c>
      <c r="P11" s="21">
        <f>174705/(1-$I11)</f>
        <v>180034.00659521847</v>
      </c>
      <c r="Q11" s="21">
        <f t="shared" si="4"/>
        <v>77287.716405605926</v>
      </c>
      <c r="R11" s="23">
        <f t="shared" ref="R11:R17" si="6">SUM(O11:Q11)</f>
        <v>443116.24072547397</v>
      </c>
      <c r="S11" s="21">
        <f>(180295-25000)/(1-$I11)</f>
        <v>160031.94558944766</v>
      </c>
      <c r="T11" s="23">
        <f t="shared" ref="T11:T17" si="7">P11</f>
        <v>180034.00659521847</v>
      </c>
      <c r="U11" s="74">
        <f t="shared" si="5"/>
        <v>0.47059090909090912</v>
      </c>
      <c r="V11" s="23">
        <f t="shared" si="1"/>
        <v>-22241.931784090764</v>
      </c>
    </row>
    <row r="12" spans="1:22" x14ac:dyDescent="0.25">
      <c r="A12" s="71">
        <f>'Long Term Deals'!A12</f>
        <v>35961.91666666665</v>
      </c>
      <c r="B12" s="21">
        <f>'Long Term Deals'!AF12</f>
        <v>125885.51772464963</v>
      </c>
      <c r="C12" s="21">
        <f>'Long Term Deals'!AG12</f>
        <v>74496.006595218467</v>
      </c>
      <c r="D12" s="21">
        <f>'Long Term Deals'!AH12</f>
        <v>32112.716405605926</v>
      </c>
      <c r="E12" s="21">
        <f>'Long Term Deals'!AI12</f>
        <v>59909</v>
      </c>
      <c r="F12" s="21">
        <f>'Long Term Deals'!AJ12</f>
        <v>105538</v>
      </c>
      <c r="G12" s="21">
        <f>'Long Term Deals'!AK12</f>
        <v>45175</v>
      </c>
      <c r="H12" s="21">
        <f>'Long Term Deals'!AL12</f>
        <v>210622</v>
      </c>
      <c r="I12" s="73">
        <f>'Prices&amp;Fuel'!F12</f>
        <v>2.9600000000000001E-2</v>
      </c>
      <c r="J12" s="21">
        <f t="shared" si="2"/>
        <v>77287.716405605926</v>
      </c>
      <c r="K12" s="21">
        <f t="shared" si="3"/>
        <v>45175</v>
      </c>
      <c r="L12">
        <f>-'Prices&amp;Fuel'!C12+'Prices&amp;Fuel'!D12</f>
        <v>-4.9999999999999822E-2</v>
      </c>
      <c r="M12">
        <f>'Prices&amp;Fuel'!H12</f>
        <v>30</v>
      </c>
      <c r="N12" s="23">
        <f t="shared" si="0"/>
        <v>-67762.499999999753</v>
      </c>
      <c r="O12" s="21">
        <f>180295/(1-$I12)</f>
        <v>185794.51772464963</v>
      </c>
      <c r="P12" s="21">
        <f>174705/(1-$I12)</f>
        <v>180034.00659521847</v>
      </c>
      <c r="Q12" s="21">
        <f t="shared" si="4"/>
        <v>77287.716405605926</v>
      </c>
      <c r="R12" s="23">
        <f t="shared" si="6"/>
        <v>443116.24072547397</v>
      </c>
      <c r="S12" s="21">
        <f>(180295-25000)/(1-$I12)</f>
        <v>160031.94558944766</v>
      </c>
      <c r="T12" s="23">
        <f t="shared" si="7"/>
        <v>180034.00659521847</v>
      </c>
      <c r="U12" s="74">
        <f t="shared" si="5"/>
        <v>0.47059090909090912</v>
      </c>
      <c r="V12" s="23">
        <f t="shared" si="1"/>
        <v>-35874.083522727145</v>
      </c>
    </row>
    <row r="13" spans="1:22" x14ac:dyDescent="0.25">
      <c r="A13" s="71">
        <f>'Long Term Deals'!A13</f>
        <v>35992.333333333314</v>
      </c>
      <c r="B13" s="21">
        <f>'Long Term Deals'!AF13</f>
        <v>125885.51772464963</v>
      </c>
      <c r="C13" s="21">
        <f>'Long Term Deals'!AG13</f>
        <v>74496.006595218467</v>
      </c>
      <c r="D13" s="21">
        <f>'Long Term Deals'!AH13</f>
        <v>32112.716405605926</v>
      </c>
      <c r="E13" s="21">
        <f>'Long Term Deals'!AI13</f>
        <v>59909</v>
      </c>
      <c r="F13" s="21">
        <f>'Long Term Deals'!AJ13</f>
        <v>105538</v>
      </c>
      <c r="G13" s="21">
        <f>'Long Term Deals'!AK13</f>
        <v>45175</v>
      </c>
      <c r="H13" s="21">
        <f>'Long Term Deals'!AL13</f>
        <v>210622</v>
      </c>
      <c r="I13" s="73">
        <f>'Prices&amp;Fuel'!F13</f>
        <v>2.9600000000000001E-2</v>
      </c>
      <c r="J13" s="21">
        <f t="shared" si="2"/>
        <v>77287.716405605926</v>
      </c>
      <c r="K13" s="21">
        <f t="shared" si="3"/>
        <v>45175</v>
      </c>
      <c r="L13">
        <f>-'Prices&amp;Fuel'!C13+'Prices&amp;Fuel'!D13</f>
        <v>-6.999999999999984E-2</v>
      </c>
      <c r="M13">
        <f>'Prices&amp;Fuel'!H13</f>
        <v>31</v>
      </c>
      <c r="N13" s="23">
        <f t="shared" si="0"/>
        <v>-98029.749999999767</v>
      </c>
      <c r="O13" s="21">
        <f>180295/(1-$I13)</f>
        <v>185794.51772464963</v>
      </c>
      <c r="P13" s="21">
        <f>174705/(1-$I13)</f>
        <v>180034.00659521847</v>
      </c>
      <c r="Q13" s="21">
        <f t="shared" si="4"/>
        <v>77287.716405605926</v>
      </c>
      <c r="R13" s="23">
        <f t="shared" si="6"/>
        <v>443116.24072547397</v>
      </c>
      <c r="S13" s="21">
        <f>(180295-25000)/(1-$I13)</f>
        <v>160031.94558944766</v>
      </c>
      <c r="T13" s="23">
        <f t="shared" si="7"/>
        <v>180034.00659521847</v>
      </c>
      <c r="U13" s="74">
        <f t="shared" si="5"/>
        <v>0.47059090909090912</v>
      </c>
      <c r="V13" s="23">
        <f t="shared" si="1"/>
        <v>-51897.840829545334</v>
      </c>
    </row>
    <row r="14" spans="1:22" x14ac:dyDescent="0.25">
      <c r="A14" s="71">
        <f>'Long Term Deals'!A14</f>
        <v>36022.749999999978</v>
      </c>
      <c r="B14" s="21">
        <f>'Long Term Deals'!AF14</f>
        <v>116187.97037470415</v>
      </c>
      <c r="C14" s="21">
        <f>'Long Term Deals'!AG14</f>
        <v>69066.863016248695</v>
      </c>
      <c r="D14" s="21">
        <f>'Long Term Deals'!AH14</f>
        <v>30219.862776906099</v>
      </c>
      <c r="E14" s="21">
        <f>'Long Term Deals'!AI14</f>
        <v>59909</v>
      </c>
      <c r="F14" s="21">
        <f>'Long Term Deals'!AJ14</f>
        <v>105538</v>
      </c>
      <c r="G14" s="21">
        <f>'Long Term Deals'!AK14</f>
        <v>45175</v>
      </c>
      <c r="H14" s="21">
        <f>'Long Term Deals'!AL14</f>
        <v>210622</v>
      </c>
      <c r="I14" s="73">
        <f>'Prices&amp;Fuel'!F14</f>
        <v>2.9600000000000001E-2</v>
      </c>
      <c r="J14" s="21">
        <f t="shared" si="2"/>
        <v>77287.716405605926</v>
      </c>
      <c r="K14" s="21">
        <f t="shared" si="3"/>
        <v>47067.853628699828</v>
      </c>
      <c r="L14">
        <f>-'Prices&amp;Fuel'!C14+'Prices&amp;Fuel'!D14</f>
        <v>-5.9999999999999831E-2</v>
      </c>
      <c r="M14">
        <f>'Prices&amp;Fuel'!H14</f>
        <v>31</v>
      </c>
      <c r="N14" s="23">
        <f t="shared" si="0"/>
        <v>-87546.207749381429</v>
      </c>
      <c r="O14" s="21">
        <f>180295/(1-$I14)</f>
        <v>185794.51772464963</v>
      </c>
      <c r="P14" s="21">
        <f>174705/(1-$I14)</f>
        <v>180034.00659521847</v>
      </c>
      <c r="Q14" s="21">
        <f t="shared" si="4"/>
        <v>77287.716405605926</v>
      </c>
      <c r="R14" s="23">
        <f t="shared" si="6"/>
        <v>443116.24072547397</v>
      </c>
      <c r="S14" s="21">
        <f>(180295-25000)/(1-$I14)</f>
        <v>160031.94558944766</v>
      </c>
      <c r="T14" s="23">
        <f t="shared" si="7"/>
        <v>180034.00659521847</v>
      </c>
      <c r="U14" s="74">
        <f t="shared" si="5"/>
        <v>0.47059090909090912</v>
      </c>
      <c r="V14" s="23">
        <f t="shared" si="1"/>
        <v>-46347.758257138434</v>
      </c>
    </row>
    <row r="15" spans="1:22" x14ac:dyDescent="0.25">
      <c r="A15" s="71">
        <f>'Long Term Deals'!A15</f>
        <v>36053.166666666642</v>
      </c>
      <c r="B15" s="21">
        <f>'Long Term Deals'!AF15</f>
        <v>125885.51772464963</v>
      </c>
      <c r="C15" s="21">
        <f>'Long Term Deals'!AG15</f>
        <v>74496.006595218467</v>
      </c>
      <c r="D15" s="21">
        <f>'Long Term Deals'!AH15</f>
        <v>32112.716405605926</v>
      </c>
      <c r="E15" s="21">
        <f>'Long Term Deals'!AI15</f>
        <v>59909</v>
      </c>
      <c r="F15" s="21">
        <f>'Long Term Deals'!AJ15</f>
        <v>105538</v>
      </c>
      <c r="G15" s="21">
        <f>'Long Term Deals'!AK15</f>
        <v>45175</v>
      </c>
      <c r="H15" s="21">
        <f>'Long Term Deals'!AL15</f>
        <v>210622</v>
      </c>
      <c r="I15" s="73">
        <f>'Prices&amp;Fuel'!F15</f>
        <v>2.9600000000000001E-2</v>
      </c>
      <c r="J15" s="21">
        <f t="shared" si="2"/>
        <v>77287.716405605926</v>
      </c>
      <c r="K15" s="21">
        <f t="shared" si="3"/>
        <v>45175</v>
      </c>
      <c r="L15">
        <f>-'Prices&amp;Fuel'!C15+'Prices&amp;Fuel'!D15</f>
        <v>-4.0000000000000036E-2</v>
      </c>
      <c r="M15">
        <f>'Prices&amp;Fuel'!H15</f>
        <v>30</v>
      </c>
      <c r="N15" s="23">
        <f t="shared" si="0"/>
        <v>-54210.000000000051</v>
      </c>
      <c r="O15" s="21">
        <f>180295/(1-$I15)</f>
        <v>185794.51772464963</v>
      </c>
      <c r="P15" s="21">
        <f>174705/(1-$I15)</f>
        <v>180034.00659521847</v>
      </c>
      <c r="Q15" s="21">
        <f t="shared" si="4"/>
        <v>77287.716405605926</v>
      </c>
      <c r="R15" s="23">
        <f t="shared" si="6"/>
        <v>443116.24072547397</v>
      </c>
      <c r="S15" s="21">
        <f>(180295-25000)/(1-$I15)</f>
        <v>160031.94558944766</v>
      </c>
      <c r="T15" s="23">
        <f t="shared" si="7"/>
        <v>180034.00659521847</v>
      </c>
      <c r="U15" s="74">
        <f t="shared" si="5"/>
        <v>0.47059090909090912</v>
      </c>
      <c r="V15" s="23">
        <f t="shared" si="1"/>
        <v>-28699.266818181848</v>
      </c>
    </row>
    <row r="16" spans="1:22" x14ac:dyDescent="0.25">
      <c r="A16" s="71">
        <f>'Long Term Deals'!A16</f>
        <v>36083.583333333307</v>
      </c>
      <c r="B16" s="21">
        <f>'Long Term Deals'!AF16</f>
        <v>107773.14944421573</v>
      </c>
      <c r="C16" s="21">
        <f>'Long Term Deals'!AG16</f>
        <v>15763.631123919302</v>
      </c>
      <c r="D16" s="21">
        <f>'Long Term Deals'!AH16</f>
        <v>12321.260189378343</v>
      </c>
      <c r="E16" s="21">
        <f>'Long Term Deals'!AI16</f>
        <v>21880</v>
      </c>
      <c r="F16" s="21">
        <f>'Long Term Deals'!AJ16</f>
        <v>86160</v>
      </c>
      <c r="G16" s="21">
        <f>'Long Term Deals'!AK16</f>
        <v>64871</v>
      </c>
      <c r="H16" s="21">
        <f>'Long Term Deals'!AL16</f>
        <v>172911</v>
      </c>
      <c r="I16" s="73">
        <f>'Prices&amp;Fuel'!F16</f>
        <v>2.8400000000000002E-2</v>
      </c>
      <c r="J16" s="21">
        <f t="shared" si="2"/>
        <v>77192.260189378343</v>
      </c>
      <c r="K16" s="21">
        <f t="shared" si="3"/>
        <v>64871</v>
      </c>
      <c r="L16">
        <f>-'Prices&amp;Fuel'!C16+'Prices&amp;Fuel'!D16</f>
        <v>-5.9999999999999831E-2</v>
      </c>
      <c r="M16">
        <f>'Prices&amp;Fuel'!H16</f>
        <v>31</v>
      </c>
      <c r="N16" s="23">
        <f>K16*L16*M16</f>
        <v>-120660.05999999965</v>
      </c>
      <c r="O16" s="21">
        <f>118404/(1-$I16)</f>
        <v>121864.96500617538</v>
      </c>
      <c r="P16" s="21">
        <f>106596/(1-$I16)</f>
        <v>109711.81556195965</v>
      </c>
      <c r="Q16" s="21">
        <f t="shared" si="4"/>
        <v>77192.260189378343</v>
      </c>
      <c r="R16" s="23">
        <f t="shared" si="6"/>
        <v>308769.04075751337</v>
      </c>
      <c r="S16" s="21">
        <f>(118404-25000)/(1-$I16)</f>
        <v>96134.211609715931</v>
      </c>
      <c r="T16" s="23">
        <f t="shared" si="7"/>
        <v>109711.81556195965</v>
      </c>
      <c r="U16" s="74">
        <f t="shared" si="5"/>
        <v>0.46701999999999999</v>
      </c>
      <c r="V16" s="23">
        <f>K16*L16*M16*(1-U16)</f>
        <v>-64309.398778799812</v>
      </c>
    </row>
    <row r="17" spans="1:22" x14ac:dyDescent="0.25">
      <c r="A17" s="71">
        <f>'Long Term Deals'!A17</f>
        <v>36113.999999999971</v>
      </c>
      <c r="B17" s="21">
        <f>'Long Term Deals'!AF17</f>
        <v>99984.965006175378</v>
      </c>
      <c r="C17" s="21">
        <f>'Long Term Deals'!AG17</f>
        <v>23551.815561959651</v>
      </c>
      <c r="D17" s="21">
        <f>'Long Term Deals'!AH17</f>
        <v>12321.260189378343</v>
      </c>
      <c r="E17" s="21">
        <f>'Long Term Deals'!AI17</f>
        <v>21880</v>
      </c>
      <c r="F17" s="21">
        <f>'Long Term Deals'!AJ17</f>
        <v>86160</v>
      </c>
      <c r="G17" s="21">
        <f>'Long Term Deals'!AK17</f>
        <v>64871</v>
      </c>
      <c r="H17" s="21">
        <f>'Long Term Deals'!AL17</f>
        <v>172911</v>
      </c>
      <c r="I17" s="73">
        <f>'Prices&amp;Fuel'!F17</f>
        <v>2.8400000000000002E-2</v>
      </c>
      <c r="J17" s="21">
        <f t="shared" si="2"/>
        <v>77192.260189378343</v>
      </c>
      <c r="K17" s="21">
        <f t="shared" si="3"/>
        <v>64871</v>
      </c>
      <c r="L17">
        <f>-'Prices&amp;Fuel'!C17+'Prices&amp;Fuel'!D17</f>
        <v>-8.0000000000000071E-2</v>
      </c>
      <c r="M17">
        <f>'Prices&amp;Fuel'!H17</f>
        <v>30</v>
      </c>
      <c r="N17" s="23">
        <f>K17*L17*M17</f>
        <v>-155690.40000000014</v>
      </c>
      <c r="O17" s="21">
        <f>118404/(1-$I17)</f>
        <v>121864.96500617538</v>
      </c>
      <c r="P17" s="21">
        <f>106596/(1-$I17)</f>
        <v>109711.81556195965</v>
      </c>
      <c r="Q17" s="21">
        <f t="shared" si="4"/>
        <v>77192.260189378343</v>
      </c>
      <c r="R17" s="23">
        <f t="shared" si="6"/>
        <v>308769.04075751337</v>
      </c>
      <c r="S17" s="21">
        <f>(118404-25000)/(1-$I17)</f>
        <v>96134.211609715931</v>
      </c>
      <c r="T17" s="23">
        <f t="shared" si="7"/>
        <v>109711.81556195965</v>
      </c>
      <c r="U17" s="74">
        <f t="shared" si="5"/>
        <v>0.46701999999999999</v>
      </c>
      <c r="V17" s="23">
        <f>K17*L17*M17*(1-U17)</f>
        <v>-82979.869392000081</v>
      </c>
    </row>
    <row r="18" spans="1:22" x14ac:dyDescent="0.25">
      <c r="N18" s="23">
        <f>SUM(N7:N17)</f>
        <v>-925957.18726690114</v>
      </c>
    </row>
  </sheetData>
  <printOptions horizontalCentered="1"/>
  <pageMargins left="0.75" right="0.75" top="1" bottom="1" header="0.5" footer="0.5"/>
  <pageSetup orientation="landscape" horizontalDpi="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abSelected="1" workbookViewId="0"/>
  </sheetViews>
  <sheetFormatPr defaultRowHeight="13.2" x14ac:dyDescent="0.25"/>
  <cols>
    <col min="1" max="1" width="35.88671875" bestFit="1" customWidth="1"/>
    <col min="2" max="2" width="11.33203125" bestFit="1" customWidth="1"/>
    <col min="3" max="3" width="14.33203125" bestFit="1" customWidth="1"/>
  </cols>
  <sheetData>
    <row r="1" spans="1:3" x14ac:dyDescent="0.25">
      <c r="A1" t="s">
        <v>193</v>
      </c>
    </row>
    <row r="2" spans="1:3" x14ac:dyDescent="0.25">
      <c r="A2" t="s">
        <v>191</v>
      </c>
      <c r="B2" s="89">
        <f>SUM('Long Term Deals'!CQ31:CQ42)</f>
        <v>39283.915000000066</v>
      </c>
    </row>
    <row r="3" spans="1:3" x14ac:dyDescent="0.25">
      <c r="A3" t="s">
        <v>192</v>
      </c>
      <c r="B3" s="89">
        <f>SUM('Long Term Deals'!CR31:CR42)</f>
        <v>372389.26092907472</v>
      </c>
    </row>
    <row r="5" spans="1:3" x14ac:dyDescent="0.25">
      <c r="A5" t="s">
        <v>189</v>
      </c>
      <c r="B5" s="71">
        <v>36540</v>
      </c>
      <c r="C5" s="21">
        <f>(('Long Term Deals'!O31+'Long Term Deals'!P31+'Long Term Deals'!Q31+'Long Term Deals'!X31+'Long Term Deals'!Y31+'Long Term Deals'!BE31+'Long Term Deals'!BF31+'Long Term Deals'!BG31+'Long Term Deals'!BB31+'Long Term Deals'!BC31+'Long Term Deals'!BD31)*0.5+'Long Term Deals'!AR31+'Long Term Deals'!AS31+'Long Term Deals'!AT31)*31</f>
        <v>1848667.1413881748</v>
      </c>
    </row>
    <row r="6" spans="1:3" x14ac:dyDescent="0.25">
      <c r="B6" s="71">
        <f>B5+365/12</f>
        <v>36570.416666666664</v>
      </c>
      <c r="C6" s="21">
        <f>(('Long Term Deals'!O32+'Long Term Deals'!P32+'Long Term Deals'!Q32+'Long Term Deals'!X32+'Long Term Deals'!Y32+'Long Term Deals'!BE32+'Long Term Deals'!BF32+'Long Term Deals'!BG32+'Long Term Deals'!BB32+'Long Term Deals'!BC32+'Long Term Deals'!BD32)*0.5+'Long Term Deals'!AR32+'Long Term Deals'!AS32+'Long Term Deals'!AT32)*29</f>
        <v>1731758.4845360823</v>
      </c>
    </row>
    <row r="7" spans="1:3" x14ac:dyDescent="0.25">
      <c r="B7" s="71">
        <f t="shared" ref="B7:B30" si="0">B6+365/12</f>
        <v>36600.833333333328</v>
      </c>
      <c r="C7" s="21">
        <f>(('Long Term Deals'!O33+'Long Term Deals'!P33+'Long Term Deals'!Q33+'Long Term Deals'!X33+'Long Term Deals'!Y33+'Long Term Deals'!BE33+'Long Term Deals'!BF33+'Long Term Deals'!BG33+'Long Term Deals'!BB33+'Long Term Deals'!BC33+'Long Term Deals'!BD33)*0.5+'Long Term Deals'!AR33+'Long Term Deals'!AS33+'Long Term Deals'!AT33)*31</f>
        <v>1852068.793814433</v>
      </c>
    </row>
    <row r="8" spans="1:3" x14ac:dyDescent="0.25">
      <c r="B8" s="71">
        <f t="shared" si="0"/>
        <v>36631.249999999993</v>
      </c>
      <c r="C8" s="21">
        <f>(('Long Term Deals'!O34+'Long Term Deals'!P34+'Long Term Deals'!Q34+'Long Term Deals'!X34+'Long Term Deals'!Y34+'Long Term Deals'!BE34+'Long Term Deals'!BF34+'Long Term Deals'!BG34+'Long Term Deals'!BB34+'Long Term Deals'!BC34+'Long Term Deals'!BD34)*0.5+'Long Term Deals'!AR34+'Long Term Deals'!AS34+'Long Term Deals'!AT34)*30</f>
        <v>1796505.402432739</v>
      </c>
    </row>
    <row r="9" spans="1:3" x14ac:dyDescent="0.25">
      <c r="B9" s="71">
        <f t="shared" si="0"/>
        <v>36661.666666666657</v>
      </c>
      <c r="C9" s="21">
        <f>(('Long Term Deals'!O35+'Long Term Deals'!P35+'Long Term Deals'!Q35+'Long Term Deals'!X35+'Long Term Deals'!Y35+'Long Term Deals'!BE35+'Long Term Deals'!BF35+'Long Term Deals'!BG35+'Long Term Deals'!BB35+'Long Term Deals'!BC35+'Long Term Deals'!BD35)*0.5+'Long Term Deals'!AR35+'Long Term Deals'!AS35+'Long Term Deals'!AT35)*31</f>
        <v>3176342.422680418</v>
      </c>
    </row>
    <row r="10" spans="1:3" x14ac:dyDescent="0.25">
      <c r="B10" s="71">
        <f t="shared" si="0"/>
        <v>36692.083333333321</v>
      </c>
      <c r="C10" s="21">
        <f>(('Long Term Deals'!O36+'Long Term Deals'!P36+'Long Term Deals'!Q36+'Long Term Deals'!X36+'Long Term Deals'!Y36+'Long Term Deals'!BE36+'Long Term Deals'!BF36+'Long Term Deals'!BG36+'Long Term Deals'!BB36+'Long Term Deals'!BC36+'Long Term Deals'!BD36)*0.5+'Long Term Deals'!AR36+'Long Term Deals'!AS36+'Long Term Deals'!AT36)*30</f>
        <v>3070883.0021647285</v>
      </c>
    </row>
    <row r="11" spans="1:3" x14ac:dyDescent="0.25">
      <c r="B11" s="71">
        <f t="shared" si="0"/>
        <v>36722.499999999985</v>
      </c>
      <c r="C11" s="21">
        <f>(('Long Term Deals'!O37+'Long Term Deals'!P37+'Long Term Deals'!Q37+'Long Term Deals'!X37+'Long Term Deals'!Y37+'Long Term Deals'!BE37+'Long Term Deals'!BF37+'Long Term Deals'!BG37+'Long Term Deals'!BB37+'Long Term Deals'!BC37+'Long Term Deals'!BD37)*0.5+'Long Term Deals'!AR37+'Long Term Deals'!AS37+'Long Term Deals'!AT37)*31</f>
        <v>3178901.3022368862</v>
      </c>
    </row>
    <row r="12" spans="1:3" x14ac:dyDescent="0.25">
      <c r="B12" s="71">
        <f t="shared" si="0"/>
        <v>36752.91666666665</v>
      </c>
      <c r="C12" s="21">
        <f>(('Long Term Deals'!O38+'Long Term Deals'!P38+'Long Term Deals'!Q38+'Long Term Deals'!X38+'Long Term Deals'!Y38+'Long Term Deals'!BE38+'Long Term Deals'!BF38+'Long Term Deals'!BG38+'Long Term Deals'!BB38+'Long Term Deals'!BC38+'Long Term Deals'!BD38)*0.5+'Long Term Deals'!AR38+'Long Term Deals'!AS38+'Long Term Deals'!AT38)*31</f>
        <v>3179379.3022368867</v>
      </c>
    </row>
    <row r="13" spans="1:3" x14ac:dyDescent="0.25">
      <c r="B13" s="71">
        <f t="shared" si="0"/>
        <v>36783.333333333314</v>
      </c>
      <c r="C13" s="21">
        <f>(('Long Term Deals'!O39+'Long Term Deals'!P39+'Long Term Deals'!Q39+'Long Term Deals'!X39+'Long Term Deals'!Y39+'Long Term Deals'!BE39+'Long Term Deals'!BF39+'Long Term Deals'!BG39+'Long Term Deals'!BB39+'Long Term Deals'!BC39+'Long Term Deals'!BD39)*0.5+'Long Term Deals'!AR39+'Long Term Deals'!AS39+'Long Term Deals'!AT39)*30</f>
        <v>3077361.0021647289</v>
      </c>
    </row>
    <row r="14" spans="1:3" x14ac:dyDescent="0.25">
      <c r="B14" s="71">
        <f t="shared" si="0"/>
        <v>36813.749999999978</v>
      </c>
      <c r="C14" s="21">
        <f>(('Long Term Deals'!O40+'Long Term Deals'!P40+'Long Term Deals'!Q40+'Long Term Deals'!X40+'Long Term Deals'!Y40+'Long Term Deals'!BE40+'Long Term Deals'!BF40+'Long Term Deals'!BG40+'Long Term Deals'!BB40+'Long Term Deals'!BC40+'Long Term Deals'!BD40)*0.5+'Long Term Deals'!AR40+'Long Term Deals'!AS40+'Long Term Deals'!AT40)*31</f>
        <v>2033777.7043155008</v>
      </c>
    </row>
    <row r="15" spans="1:3" x14ac:dyDescent="0.25">
      <c r="B15" s="71">
        <f t="shared" si="0"/>
        <v>36844.166666666642</v>
      </c>
      <c r="C15" s="21">
        <f>(('Long Term Deals'!O41+'Long Term Deals'!P41+'Long Term Deals'!Q41+'Long Term Deals'!X41+'Long Term Deals'!Y41+'Long Term Deals'!BE41+'Long Term Deals'!BF41+'Long Term Deals'!BG41+'Long Term Deals'!BB41+'Long Term Deals'!BC41+'Long Term Deals'!BD41)*0.5+'Long Term Deals'!AR41+'Long Term Deals'!AS41+'Long Term Deals'!AT41)*30</f>
        <v>1748414.6529562981</v>
      </c>
    </row>
    <row r="16" spans="1:3" x14ac:dyDescent="0.25">
      <c r="B16" s="71">
        <f t="shared" si="0"/>
        <v>36874.583333333307</v>
      </c>
      <c r="C16" s="21">
        <f>(('Long Term Deals'!O42+'Long Term Deals'!P42+'Long Term Deals'!Q42+'Long Term Deals'!X42+'Long Term Deals'!Y42+'Long Term Deals'!BE42+'Long Term Deals'!BF42+'Long Term Deals'!BG42+'Long Term Deals'!BB42+'Long Term Deals'!BC42+'Long Term Deals'!BD42)*0.5+'Long Term Deals'!AR42+'Long Term Deals'!AS42+'Long Term Deals'!AT42)*31</f>
        <v>1806695.1413881748</v>
      </c>
    </row>
    <row r="17" spans="1:3" x14ac:dyDescent="0.25">
      <c r="B17" s="71"/>
      <c r="C17" s="23">
        <f>SUM(C5:C16)</f>
        <v>28500754.352315053</v>
      </c>
    </row>
    <row r="18" spans="1:3" x14ac:dyDescent="0.25">
      <c r="B18" s="71"/>
    </row>
    <row r="19" spans="1:3" x14ac:dyDescent="0.25">
      <c r="A19" t="s">
        <v>190</v>
      </c>
      <c r="B19" s="71">
        <v>36540</v>
      </c>
      <c r="C19" s="21">
        <f>((('Long Term Deals'!O31+'Long Term Deals'!P31+'Long Term Deals'!Q31+'Long Term Deals'!X31+'Long Term Deals'!Y31+'Long Term Deals'!BE31+'Long Term Deals'!BF31+'Long Term Deals'!BG31+'Long Term Deals'!BB31+'Long Term Deals'!BC31+'Long Term Deals'!BD31)*0.5)+'Long Term Deals'!AM31+'Long Term Deals'!AN31+'Long Term Deals'!AO31)*31</f>
        <v>1848674.6401028277</v>
      </c>
    </row>
    <row r="20" spans="1:3" x14ac:dyDescent="0.25">
      <c r="A20" t="s">
        <v>194</v>
      </c>
      <c r="B20" s="71">
        <f>B19+365/12</f>
        <v>36570.416666666664</v>
      </c>
      <c r="C20" s="21">
        <f>((('Long Term Deals'!O32+'Long Term Deals'!P32+'Long Term Deals'!Q32+'Long Term Deals'!X32+'Long Term Deals'!Y32+'Long Term Deals'!BE32+'Long Term Deals'!BF32+'Long Term Deals'!BG32+'Long Term Deals'!BB32+'Long Term Deals'!BC32+'Long Term Deals'!BD32)*0.5)+'Long Term Deals'!AM32+'Long Term Deals'!AN32+'Long Term Deals'!AO32)*29</f>
        <v>1731780.443298969</v>
      </c>
    </row>
    <row r="21" spans="1:3" x14ac:dyDescent="0.25">
      <c r="B21" s="71">
        <f t="shared" si="0"/>
        <v>36600.833333333328</v>
      </c>
      <c r="C21" s="21">
        <f>((('Long Term Deals'!O33+'Long Term Deals'!P33+'Long Term Deals'!Q33+'Long Term Deals'!X33+'Long Term Deals'!Y33+'Long Term Deals'!BE33+'Long Term Deals'!BF33+'Long Term Deals'!BG33+'Long Term Deals'!BB33+'Long Term Deals'!BC33+'Long Term Deals'!BD33)*0.5)+'Long Term Deals'!AM33+'Long Term Deals'!AN33+'Long Term Deals'!AO33)*31</f>
        <v>1852081.5773195876</v>
      </c>
    </row>
    <row r="22" spans="1:3" x14ac:dyDescent="0.25">
      <c r="B22" s="71">
        <f t="shared" si="0"/>
        <v>36631.249999999993</v>
      </c>
      <c r="C22" s="21">
        <f>((('Long Term Deals'!O34+'Long Term Deals'!P34+'Long Term Deals'!Q34+'Long Term Deals'!X34+'Long Term Deals'!Y34+'Long Term Deals'!BE34+'Long Term Deals'!BF34+'Long Term Deals'!BG34+'Long Term Deals'!BB34+'Long Term Deals'!BC34+'Long Term Deals'!BD34)*0.5)+'Long Term Deals'!AM34+'Long Term Deals'!AN34+'Long Term Deals'!AO34)*30</f>
        <v>1796517.8816616843</v>
      </c>
    </row>
    <row r="23" spans="1:3" x14ac:dyDescent="0.25">
      <c r="B23" s="71">
        <f t="shared" si="0"/>
        <v>36661.666666666657</v>
      </c>
      <c r="C23" s="21">
        <f>((('Long Term Deals'!O35+'Long Term Deals'!P35+'Long Term Deals'!Q35+'Long Term Deals'!X35+'Long Term Deals'!Y35+'Long Term Deals'!BE35+'Long Term Deals'!BF35+'Long Term Deals'!BG35+'Long Term Deals'!BB35+'Long Term Deals'!BC35+'Long Term Deals'!BD35)*0.5)+'Long Term Deals'!AM35+'Long Term Deals'!AN35+'Long Term Deals'!AO35)*31</f>
        <v>3176345.0103092841</v>
      </c>
    </row>
    <row r="24" spans="1:3" x14ac:dyDescent="0.25">
      <c r="B24" s="71">
        <f t="shared" si="0"/>
        <v>36692.083333333321</v>
      </c>
      <c r="C24" s="21">
        <f>((('Long Term Deals'!O36+'Long Term Deals'!P36+'Long Term Deals'!Q36+'Long Term Deals'!X36+'Long Term Deals'!Y36+'Long Term Deals'!BE36+'Long Term Deals'!BF36+'Long Term Deals'!BG36+'Long Term Deals'!BB36+'Long Term Deals'!BC36+'Long Term Deals'!BD36)*0.5)+'Long Term Deals'!AM36+'Long Term Deals'!AN36+'Long Term Deals'!AO36)*30</f>
        <v>3070908.7929079509</v>
      </c>
    </row>
    <row r="25" spans="1:3" x14ac:dyDescent="0.25">
      <c r="B25" s="71">
        <f t="shared" si="0"/>
        <v>36722.499999999985</v>
      </c>
      <c r="C25" s="21">
        <f>((('Long Term Deals'!O37+'Long Term Deals'!P37+'Long Term Deals'!Q37+'Long Term Deals'!X37+'Long Term Deals'!Y37+'Long Term Deals'!BE37+'Long Term Deals'!BF37+'Long Term Deals'!BG37+'Long Term Deals'!BB37+'Long Term Deals'!BC37+'Long Term Deals'!BD37)*0.5)+'Long Term Deals'!AM37+'Long Term Deals'!AN37+'Long Term Deals'!AO37)*31</f>
        <v>3178883.4193382161</v>
      </c>
    </row>
    <row r="26" spans="1:3" x14ac:dyDescent="0.25">
      <c r="B26" s="71">
        <f t="shared" si="0"/>
        <v>36752.91666666665</v>
      </c>
      <c r="C26" s="21">
        <f>((('Long Term Deals'!O38+'Long Term Deals'!P38+'Long Term Deals'!Q38+'Long Term Deals'!X38+'Long Term Deals'!Y38+'Long Term Deals'!BE38+'Long Term Deals'!BF38+'Long Term Deals'!BG38+'Long Term Deals'!BB38+'Long Term Deals'!BC38+'Long Term Deals'!BD38)*0.5)+'Long Term Deals'!AM38+'Long Term Deals'!AN38+'Long Term Deals'!AO38)*31</f>
        <v>3179379.4193382161</v>
      </c>
    </row>
    <row r="27" spans="1:3" x14ac:dyDescent="0.25">
      <c r="B27" s="71">
        <f t="shared" si="0"/>
        <v>36783.333333333314</v>
      </c>
      <c r="C27" s="21">
        <f>((('Long Term Deals'!O39+'Long Term Deals'!P39+'Long Term Deals'!Q39+'Long Term Deals'!X39+'Long Term Deals'!Y39+'Long Term Deals'!BE39+'Long Term Deals'!BF39+'Long Term Deals'!BG39+'Long Term Deals'!BB39+'Long Term Deals'!BC39+'Long Term Deals'!BD39)*0.5)+'Long Term Deals'!AM39+'Long Term Deals'!AN39+'Long Term Deals'!AO39)*30</f>
        <v>3077388.7929079509</v>
      </c>
    </row>
    <row r="28" spans="1:3" x14ac:dyDescent="0.25">
      <c r="B28" s="71">
        <f t="shared" si="0"/>
        <v>36813.749999999978</v>
      </c>
      <c r="C28" s="21">
        <f>((('Long Term Deals'!O40+'Long Term Deals'!P40+'Long Term Deals'!Q40+'Long Term Deals'!X40+'Long Term Deals'!Y40+'Long Term Deals'!BE40+'Long Term Deals'!BF40+'Long Term Deals'!BG40+'Long Term Deals'!BB40+'Long Term Deals'!BC40+'Long Term Deals'!BD40)*0.5)+'Long Term Deals'!AM40+'Long Term Deals'!AN40+'Long Term Deals'!AO40)*31</f>
        <v>2033798.0338633014</v>
      </c>
    </row>
    <row r="29" spans="1:3" x14ac:dyDescent="0.25">
      <c r="B29" s="71">
        <f t="shared" si="0"/>
        <v>36844.166666666642</v>
      </c>
      <c r="C29" s="21">
        <f>((('Long Term Deals'!O41+'Long Term Deals'!P41+'Long Term Deals'!Q41+'Long Term Deals'!X41+'Long Term Deals'!Y41+'Long Term Deals'!BE41+'Long Term Deals'!BF41+'Long Term Deals'!BG41+'Long Term Deals'!BB41+'Long Term Deals'!BC41+'Long Term Deals'!BD41)*0.5)+'Long Term Deals'!AM41+'Long Term Deals'!AN41+'Long Term Deals'!AO41)*30</f>
        <v>1748389.9742930592</v>
      </c>
    </row>
    <row r="30" spans="1:3" x14ac:dyDescent="0.25">
      <c r="B30" s="71">
        <f t="shared" si="0"/>
        <v>36874.583333333307</v>
      </c>
      <c r="C30" s="21">
        <f>((('Long Term Deals'!O42+'Long Term Deals'!P42+'Long Term Deals'!Q42+'Long Term Deals'!X42+'Long Term Deals'!Y42+'Long Term Deals'!BE42+'Long Term Deals'!BF42+'Long Term Deals'!BG42+'Long Term Deals'!BB42+'Long Term Deals'!BC42+'Long Term Deals'!BD42)*0.5)+'Long Term Deals'!AM42+'Long Term Deals'!AN42+'Long Term Deals'!AO42)*31</f>
        <v>1806669.6401028277</v>
      </c>
    </row>
    <row r="31" spans="1:3" x14ac:dyDescent="0.25">
      <c r="C31" s="23">
        <f>SUM(C19:C30)</f>
        <v>28500817.625443872</v>
      </c>
    </row>
    <row r="33" spans="1:3" ht="26.4" x14ac:dyDescent="0.25">
      <c r="A33" s="37" t="s">
        <v>195</v>
      </c>
      <c r="B33" s="71">
        <v>36540</v>
      </c>
      <c r="C33" s="21">
        <f>('Long Term Deals'!AP31+'Long Term Deals'!AQ31+'Long Term Deals'!BI31)*31</f>
        <v>1951071.46529563</v>
      </c>
    </row>
    <row r="34" spans="1:3" x14ac:dyDescent="0.25">
      <c r="B34" s="71">
        <f>B33+365/12</f>
        <v>36570.416666666664</v>
      </c>
      <c r="C34" s="21">
        <f>('Long Term Deals'!AP32+'Long Term Deals'!AQ32+'Long Term Deals'!BI32)*29</f>
        <v>1829900.0000000002</v>
      </c>
    </row>
    <row r="35" spans="1:3" x14ac:dyDescent="0.25">
      <c r="B35" s="71">
        <f t="shared" ref="B35:B44" si="1">B34+365/12</f>
        <v>36600.833333333328</v>
      </c>
      <c r="C35" s="21">
        <f>('Long Term Deals'!AP33+'Long Term Deals'!AQ33+'Long Term Deals'!BI33)*31</f>
        <v>1956100.0000000002</v>
      </c>
    </row>
    <row r="36" spans="1:3" x14ac:dyDescent="0.25">
      <c r="B36" s="71">
        <f t="shared" si="1"/>
        <v>36631.249999999993</v>
      </c>
      <c r="C36" s="21">
        <f>('Long Term Deals'!AP34+'Long Term Deals'!AQ34+'Long Term Deals'!BI34)*30</f>
        <v>1951530.7700237092</v>
      </c>
    </row>
    <row r="37" spans="1:3" x14ac:dyDescent="0.25">
      <c r="B37" s="71">
        <f t="shared" si="1"/>
        <v>36661.666666666657</v>
      </c>
      <c r="C37" s="21">
        <f>('Long Term Deals'!AP35+'Long Term Deals'!AQ35+'Long Term Deals'!BI35)*31</f>
        <v>2480000</v>
      </c>
    </row>
    <row r="38" spans="1:3" x14ac:dyDescent="0.25">
      <c r="B38" s="71">
        <f t="shared" si="1"/>
        <v>36692.083333333321</v>
      </c>
      <c r="C38" s="21">
        <f>('Long Term Deals'!AP36+'Long Term Deals'!AQ36+'Long Term Deals'!BI36)*30</f>
        <v>2400000</v>
      </c>
    </row>
    <row r="39" spans="1:3" x14ac:dyDescent="0.25">
      <c r="B39" s="71">
        <f t="shared" si="1"/>
        <v>36722.499999999985</v>
      </c>
      <c r="C39" s="21">
        <f>('Long Term Deals'!AP37+'Long Term Deals'!AQ37+'Long Term Deals'!BI37)*31</f>
        <v>2480000</v>
      </c>
    </row>
    <row r="40" spans="1:3" x14ac:dyDescent="0.25">
      <c r="B40" s="71">
        <f t="shared" si="1"/>
        <v>36752.91666666665</v>
      </c>
      <c r="C40" s="21">
        <f>('Long Term Deals'!AP38+'Long Term Deals'!AQ38+'Long Term Deals'!BI38)*31</f>
        <v>2480000</v>
      </c>
    </row>
    <row r="41" spans="1:3" x14ac:dyDescent="0.25">
      <c r="B41" s="71">
        <f t="shared" si="1"/>
        <v>36783.333333333314</v>
      </c>
      <c r="C41" s="21">
        <f>('Long Term Deals'!AP39+'Long Term Deals'!AQ39+'Long Term Deals'!BI39)*30</f>
        <v>2400000</v>
      </c>
    </row>
    <row r="42" spans="1:3" x14ac:dyDescent="0.25">
      <c r="B42" s="71">
        <f t="shared" si="1"/>
        <v>36813.749999999978</v>
      </c>
      <c r="C42" s="21">
        <f>('Long Term Deals'!AP40+'Long Term Deals'!AQ40+'Long Term Deals'!BI40)*31</f>
        <v>2103685.7319843071</v>
      </c>
    </row>
    <row r="43" spans="1:3" x14ac:dyDescent="0.25">
      <c r="B43" s="71">
        <f t="shared" si="1"/>
        <v>36844.166666666642</v>
      </c>
      <c r="C43" s="21">
        <f>('Long Term Deals'!AP41+'Long Term Deals'!AQ41+'Long Term Deals'!BI41)*30</f>
        <v>1888133.676092545</v>
      </c>
    </row>
    <row r="44" spans="1:3" x14ac:dyDescent="0.25">
      <c r="B44" s="71">
        <f t="shared" si="1"/>
        <v>36874.583333333307</v>
      </c>
      <c r="C44" s="21">
        <f>('Long Term Deals'!AP42+'Long Term Deals'!AQ42+'Long Term Deals'!BI42)*31</f>
        <v>1951071.46529563</v>
      </c>
    </row>
    <row r="45" spans="1:3" x14ac:dyDescent="0.25">
      <c r="C45" s="23">
        <f>SUM(C33:C44)</f>
        <v>25871493.108691823</v>
      </c>
    </row>
    <row r="48" spans="1:3" x14ac:dyDescent="0.25">
      <c r="A48" t="s">
        <v>196</v>
      </c>
    </row>
    <row r="49" spans="1:3" x14ac:dyDescent="0.25">
      <c r="A49" t="s">
        <v>198</v>
      </c>
    </row>
    <row r="50" spans="1:3" x14ac:dyDescent="0.25">
      <c r="A50" t="s">
        <v>197</v>
      </c>
      <c r="B50" s="90">
        <v>6.5000000000000002E-2</v>
      </c>
      <c r="C50" s="91">
        <f>NPV(B50/12,'Long Term Deals'!CV41:CV195)</f>
        <v>43263253.135331504</v>
      </c>
    </row>
    <row r="51" spans="1:3" x14ac:dyDescent="0.25">
      <c r="A51" t="s">
        <v>199</v>
      </c>
    </row>
    <row r="53" spans="1:3" x14ac:dyDescent="0.25">
      <c r="A53" t="s">
        <v>200</v>
      </c>
    </row>
    <row r="54" spans="1:3" x14ac:dyDescent="0.25">
      <c r="A54" t="s">
        <v>201</v>
      </c>
    </row>
    <row r="55" spans="1:3" x14ac:dyDescent="0.25">
      <c r="A55" t="s">
        <v>202</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FP Corp1999 fixed price</vt:lpstr>
      <vt:lpstr>FP Corp</vt:lpstr>
      <vt:lpstr>Assumptions</vt:lpstr>
      <vt:lpstr>Short Term Firm For Budget</vt:lpstr>
      <vt:lpstr>Transport</vt:lpstr>
      <vt:lpstr>Prices&amp;Fuel</vt:lpstr>
      <vt:lpstr>Index Price Deals</vt:lpstr>
      <vt:lpstr>amount due from ECT</vt:lpstr>
      <vt:lpstr>Greg Gruber Info</vt:lpstr>
      <vt:lpstr>Long Term Deals</vt:lpstr>
      <vt:lpstr>FPL</vt:lpstr>
      <vt:lpstr>Annual Summary</vt:lpstr>
      <vt:lpstr>'amount due from ECT'!Print_Area</vt:lpstr>
      <vt:lpstr>'Annual Summary'!Print_Area</vt:lpstr>
      <vt:lpstr>Assumptions!Print_Area</vt:lpstr>
      <vt:lpstr>'Index Price Deals'!Print_Area</vt:lpstr>
      <vt:lpstr>'Long Term Deals'!Print_Area</vt:lpstr>
      <vt:lpstr>'Prices&amp;Fuel'!Print_Area</vt:lpstr>
      <vt:lpstr>'Short Term Firm For Budget'!Print_Area</vt:lpstr>
      <vt:lpstr>Transport!Print_Area</vt:lpstr>
      <vt:lpstr>'Annual Summary'!Print_Titles</vt:lpstr>
      <vt:lpstr>'FP Corp'!Print_Titles</vt:lpstr>
      <vt:lpstr>'FP Corp1999 fixed price'!Print_Titles</vt:lpstr>
      <vt:lpstr>FPL!Print_Titles</vt:lpstr>
      <vt:lpstr>'Index Price Deals'!Print_Titles</vt:lpstr>
      <vt:lpstr>'Long Term Deals'!Print_Titles</vt:lpstr>
      <vt:lpstr>'Prices&amp;Fuel'!Print_Titles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Schroeder, Maggie A</dc:creator>
  <cp:lastModifiedBy>Havlíček Jan</cp:lastModifiedBy>
  <cp:lastPrinted>1999-03-10T14:47:54Z</cp:lastPrinted>
  <dcterms:created xsi:type="dcterms:W3CDTF">1999-04-27T20:06:22Z</dcterms:created>
  <dcterms:modified xsi:type="dcterms:W3CDTF">2023-09-10T12:04:00Z</dcterms:modified>
</cp:coreProperties>
</file>