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576" windowHeight="2388"/>
  </bookViews>
  <sheets>
    <sheet name="A" sheetId="1" r:id="rId1"/>
    <sheet name="November" sheetId="25" r:id="rId2"/>
    <sheet name="September" sheetId="14" state="hidden" r:id="rId3"/>
    <sheet name="SummMonth" sheetId="2" state="hidden" r:id="rId4"/>
    <sheet name="SummYTD" sheetId="3" state="hidden" r:id="rId5"/>
  </sheets>
  <externalReferences>
    <externalReference r:id="rId6"/>
  </externalReferences>
  <definedNames>
    <definedName name="__123Graph_A" localSheetId="3" hidden="1">SummMonth!$B$1:$B$1</definedName>
    <definedName name="__123Graph_A" localSheetId="4" hidden="1">SummYTD!$B$1:$B$1</definedName>
    <definedName name="__123Graph_A" hidden="1">A!$B$5:$B$19</definedName>
    <definedName name="__123Graph_B" localSheetId="3" hidden="1">SummMonth!$C$4:$C$4</definedName>
    <definedName name="__123Graph_B" localSheetId="4" hidden="1">SummYTD!$C$4:$C$4</definedName>
    <definedName name="__123Graph_B" hidden="1">A!$D$7:$D$19</definedName>
    <definedName name="__123Graph_C" localSheetId="3" hidden="1">SummMonth!#REF!</definedName>
    <definedName name="__123Graph_C" localSheetId="4" hidden="1">SummYTD!#REF!</definedName>
    <definedName name="__123Graph_C" hidden="1">A!#REF!</definedName>
    <definedName name="__123Graph_D" localSheetId="3" hidden="1">SummMonth!#REF!</definedName>
    <definedName name="__123Graph_D" localSheetId="4" hidden="1">SummYTD!#REF!</definedName>
    <definedName name="__123Graph_D" hidden="1">A!$J$7:$J$8</definedName>
    <definedName name="_xlnm.Print_Area" localSheetId="0">A!$A$1:$P$72</definedName>
    <definedName name="_xlnm.Print_Area" localSheetId="1">November!$A$1:$M$66</definedName>
    <definedName name="_xlnm.Print_Area" localSheetId="2">September!$A$1:$T$65</definedName>
    <definedName name="_xlnm.Print_Area" localSheetId="3">SummMonth!$A$1:$G$44</definedName>
    <definedName name="_xlnm.Print_Area" localSheetId="4">SummYTD!$A$1:$G$29</definedName>
  </definedNames>
  <calcPr calcId="92512" iterate="1"/>
</workbook>
</file>

<file path=xl/calcChain.xml><?xml version="1.0" encoding="utf-8"?>
<calcChain xmlns="http://schemas.openxmlformats.org/spreadsheetml/2006/main">
  <c r="J10" i="1" l="1"/>
  <c r="L10" i="1"/>
  <c r="N10" i="1"/>
  <c r="J11" i="1"/>
  <c r="L11" i="1"/>
  <c r="N11" i="1"/>
  <c r="J12" i="1"/>
  <c r="L12" i="1"/>
  <c r="N12" i="1"/>
  <c r="D13" i="1"/>
  <c r="F13" i="1"/>
  <c r="H13" i="1"/>
  <c r="J13" i="1"/>
  <c r="L13" i="1"/>
  <c r="N13" i="1"/>
  <c r="P13" i="1"/>
  <c r="J14" i="1"/>
  <c r="L14" i="1"/>
  <c r="D15" i="1"/>
  <c r="F15" i="1"/>
  <c r="H15" i="1"/>
  <c r="J15" i="1"/>
  <c r="L15" i="1"/>
  <c r="N15" i="1"/>
  <c r="P15" i="1"/>
  <c r="D17" i="1"/>
  <c r="F17" i="1"/>
  <c r="H17" i="1"/>
  <c r="J17" i="1"/>
  <c r="L17" i="1"/>
  <c r="N17" i="1"/>
  <c r="P17" i="1"/>
  <c r="H19" i="1"/>
  <c r="N19" i="1"/>
  <c r="P19" i="1"/>
  <c r="H21" i="1"/>
  <c r="N21" i="1"/>
  <c r="P21" i="1"/>
  <c r="D23" i="1"/>
  <c r="F23" i="1"/>
  <c r="H23" i="1"/>
  <c r="J23" i="1"/>
  <c r="L23" i="1"/>
  <c r="N23" i="1"/>
  <c r="P23" i="1"/>
  <c r="D24" i="1"/>
  <c r="F24" i="1"/>
  <c r="H24" i="1"/>
  <c r="J24" i="1"/>
  <c r="L24" i="1"/>
  <c r="N24" i="1"/>
  <c r="P24" i="1"/>
  <c r="D31" i="1"/>
  <c r="F31" i="1"/>
  <c r="J31" i="1"/>
  <c r="L31" i="1"/>
  <c r="N31" i="1"/>
  <c r="L32" i="1"/>
  <c r="N32" i="1"/>
  <c r="J33" i="1"/>
  <c r="L33" i="1"/>
  <c r="D34" i="1"/>
  <c r="F34" i="1"/>
  <c r="H34" i="1"/>
  <c r="J34" i="1"/>
  <c r="L34" i="1"/>
  <c r="N34" i="1"/>
  <c r="L35" i="1"/>
  <c r="N35" i="1"/>
  <c r="L36" i="1"/>
  <c r="N36" i="1"/>
  <c r="J37" i="1"/>
  <c r="L37" i="1"/>
  <c r="N37" i="1"/>
  <c r="J38" i="1"/>
  <c r="L38" i="1"/>
  <c r="L39" i="1"/>
  <c r="N39" i="1"/>
  <c r="H40" i="1"/>
  <c r="L40" i="1"/>
  <c r="N40" i="1"/>
  <c r="H41" i="1"/>
  <c r="J41" i="1"/>
  <c r="L41" i="1"/>
  <c r="N41" i="1"/>
  <c r="L42" i="1"/>
  <c r="N42" i="1"/>
  <c r="D43" i="1"/>
  <c r="F43" i="1"/>
  <c r="H43" i="1"/>
  <c r="J43" i="1"/>
  <c r="L43" i="1"/>
  <c r="N43" i="1"/>
  <c r="L45" i="1"/>
  <c r="D49" i="1"/>
  <c r="N49" i="1"/>
  <c r="N50" i="1"/>
  <c r="N51" i="1"/>
  <c r="N52" i="1"/>
  <c r="N53" i="1"/>
  <c r="D56" i="1"/>
  <c r="D58" i="1"/>
  <c r="J60" i="1"/>
  <c r="D69" i="1"/>
  <c r="H71" i="1"/>
  <c r="N71" i="1"/>
  <c r="N72" i="1"/>
  <c r="A6" i="25"/>
  <c r="E9" i="25"/>
  <c r="L9" i="25"/>
  <c r="D10" i="25"/>
  <c r="K10" i="25"/>
  <c r="P10" i="25"/>
  <c r="R10" i="25"/>
  <c r="D11" i="25"/>
  <c r="K11" i="25"/>
  <c r="D12" i="25"/>
  <c r="K12" i="25"/>
  <c r="E13" i="25"/>
  <c r="L13" i="25"/>
  <c r="P13" i="25"/>
  <c r="R13" i="25"/>
  <c r="T13" i="25"/>
  <c r="D14" i="25"/>
  <c r="K14" i="25"/>
  <c r="D15" i="25"/>
  <c r="K15" i="25"/>
  <c r="R15" i="25"/>
  <c r="T15" i="25"/>
  <c r="D16" i="25"/>
  <c r="K16" i="25"/>
  <c r="R16" i="25"/>
  <c r="T16" i="25"/>
  <c r="E17" i="25"/>
  <c r="L17" i="25"/>
  <c r="R17" i="25"/>
  <c r="T17" i="25"/>
  <c r="D18" i="25"/>
  <c r="K18" i="25"/>
  <c r="D19" i="25"/>
  <c r="K19" i="25"/>
  <c r="D20" i="25"/>
  <c r="K20" i="25"/>
  <c r="T20" i="25"/>
  <c r="E21" i="25"/>
  <c r="L21" i="25"/>
  <c r="D22" i="25"/>
  <c r="K22" i="25"/>
  <c r="D23" i="25"/>
  <c r="K23" i="25"/>
  <c r="P23" i="25"/>
  <c r="R23" i="25"/>
  <c r="T23" i="25"/>
  <c r="D24" i="25"/>
  <c r="K24" i="25"/>
  <c r="E25" i="25"/>
  <c r="L25" i="25"/>
  <c r="D26" i="25"/>
  <c r="K26" i="25"/>
  <c r="D27" i="25"/>
  <c r="K27" i="25"/>
  <c r="D28" i="25"/>
  <c r="K28" i="25"/>
  <c r="E29" i="25"/>
  <c r="L29" i="25"/>
  <c r="D30" i="25"/>
  <c r="K30" i="25"/>
  <c r="D31" i="25"/>
  <c r="K31" i="25"/>
  <c r="D32" i="25"/>
  <c r="K32" i="25"/>
  <c r="E33" i="25"/>
  <c r="L33" i="25"/>
  <c r="D34" i="25"/>
  <c r="K34" i="25"/>
  <c r="D35" i="25"/>
  <c r="K35" i="25"/>
  <c r="D36" i="25"/>
  <c r="K36" i="25"/>
  <c r="E37" i="25"/>
  <c r="L37" i="25"/>
  <c r="D38" i="25"/>
  <c r="K38" i="25"/>
  <c r="D39" i="25"/>
  <c r="K39" i="25"/>
  <c r="D40" i="25"/>
  <c r="K40" i="25"/>
  <c r="E45" i="25"/>
  <c r="L45" i="25"/>
  <c r="D47" i="25"/>
  <c r="K47" i="25"/>
  <c r="D48" i="25"/>
  <c r="K48" i="25"/>
  <c r="D49" i="25"/>
  <c r="K49" i="25"/>
  <c r="L51" i="25"/>
  <c r="D62" i="25"/>
  <c r="E62" i="25"/>
  <c r="D64" i="25"/>
  <c r="E64" i="25"/>
  <c r="A6" i="14"/>
  <c r="E9" i="14"/>
  <c r="L9" i="14"/>
  <c r="R9" i="14"/>
  <c r="D10" i="14"/>
  <c r="K10" i="14"/>
  <c r="P10" i="14"/>
  <c r="R10" i="14"/>
  <c r="D11" i="14"/>
  <c r="K11" i="14"/>
  <c r="D12" i="14"/>
  <c r="K12" i="14"/>
  <c r="E13" i="14"/>
  <c r="L13" i="14"/>
  <c r="P13" i="14"/>
  <c r="R13" i="14"/>
  <c r="T13" i="14"/>
  <c r="D14" i="14"/>
  <c r="K14" i="14"/>
  <c r="D15" i="14"/>
  <c r="K15" i="14"/>
  <c r="R15" i="14"/>
  <c r="T15" i="14"/>
  <c r="D16" i="14"/>
  <c r="K16" i="14"/>
  <c r="R16" i="14"/>
  <c r="T16" i="14"/>
  <c r="E17" i="14"/>
  <c r="L17" i="14"/>
  <c r="R17" i="14"/>
  <c r="T17" i="14"/>
  <c r="D18" i="14"/>
  <c r="K18" i="14"/>
  <c r="D19" i="14"/>
  <c r="K19" i="14"/>
  <c r="D20" i="14"/>
  <c r="K20" i="14"/>
  <c r="T20" i="14"/>
  <c r="E21" i="14"/>
  <c r="L21" i="14"/>
  <c r="D22" i="14"/>
  <c r="K22" i="14"/>
  <c r="D23" i="14"/>
  <c r="K23" i="14"/>
  <c r="P23" i="14"/>
  <c r="R23" i="14"/>
  <c r="T23" i="14"/>
  <c r="D24" i="14"/>
  <c r="K24" i="14"/>
  <c r="E25" i="14"/>
  <c r="L25" i="14"/>
  <c r="D26" i="14"/>
  <c r="K26" i="14"/>
  <c r="D27" i="14"/>
  <c r="K27" i="14"/>
  <c r="D28" i="14"/>
  <c r="K28" i="14"/>
  <c r="E29" i="14"/>
  <c r="L29" i="14"/>
  <c r="D30" i="14"/>
  <c r="K30" i="14"/>
  <c r="D31" i="14"/>
  <c r="K31" i="14"/>
  <c r="D32" i="14"/>
  <c r="K32" i="14"/>
  <c r="E33" i="14"/>
  <c r="L33" i="14"/>
  <c r="D34" i="14"/>
  <c r="K34" i="14"/>
  <c r="D35" i="14"/>
  <c r="K35" i="14"/>
  <c r="D36" i="14"/>
  <c r="K36" i="14"/>
  <c r="E37" i="14"/>
  <c r="L37" i="14"/>
  <c r="D38" i="14"/>
  <c r="K38" i="14"/>
  <c r="D39" i="14"/>
  <c r="K39" i="14"/>
  <c r="D40" i="14"/>
  <c r="K40" i="14"/>
  <c r="L41" i="14"/>
  <c r="K42" i="14"/>
  <c r="K43" i="14"/>
  <c r="K44" i="14"/>
  <c r="E45" i="14"/>
  <c r="D47" i="14"/>
  <c r="D48" i="14"/>
  <c r="D49" i="14"/>
  <c r="L49" i="14"/>
  <c r="K51" i="14"/>
  <c r="K52" i="14"/>
  <c r="K53" i="14"/>
  <c r="L55" i="14"/>
  <c r="D61" i="14"/>
  <c r="E61" i="14"/>
  <c r="D63" i="14"/>
  <c r="E63" i="14"/>
  <c r="A5" i="2"/>
  <c r="A6" i="2"/>
  <c r="C6" i="2"/>
  <c r="E6" i="2"/>
  <c r="G6" i="2"/>
  <c r="A7" i="2"/>
  <c r="C7" i="2"/>
  <c r="E7" i="2"/>
  <c r="G7" i="2"/>
  <c r="A8" i="2"/>
  <c r="C8" i="2"/>
  <c r="E8" i="2"/>
  <c r="G8" i="2"/>
  <c r="A9" i="2"/>
  <c r="C9" i="2"/>
  <c r="E9" i="2"/>
  <c r="G9" i="2"/>
  <c r="A10" i="2"/>
  <c r="C10" i="2"/>
  <c r="E10" i="2"/>
  <c r="G10" i="2"/>
  <c r="A11" i="2"/>
  <c r="C11" i="2"/>
  <c r="E11" i="2"/>
  <c r="G11" i="2"/>
  <c r="A12" i="2"/>
  <c r="C12" i="2"/>
  <c r="E12" i="2"/>
  <c r="G12" i="2"/>
  <c r="A13" i="2"/>
  <c r="C13" i="2"/>
  <c r="E13" i="2"/>
  <c r="G13" i="2"/>
  <c r="A14" i="2"/>
  <c r="C14" i="2"/>
  <c r="E14" i="2"/>
  <c r="G14" i="2"/>
  <c r="A15" i="2"/>
  <c r="C15" i="2"/>
  <c r="E15" i="2"/>
  <c r="G15" i="2"/>
  <c r="A16" i="2"/>
  <c r="C16" i="2"/>
  <c r="E16" i="2"/>
  <c r="G16" i="2"/>
  <c r="A17" i="2"/>
  <c r="C17" i="2"/>
  <c r="E17" i="2"/>
  <c r="G17" i="2"/>
  <c r="C19" i="2"/>
  <c r="E19" i="2"/>
  <c r="G19" i="2"/>
  <c r="A23" i="2"/>
  <c r="A25" i="2"/>
  <c r="G25" i="2"/>
  <c r="A27" i="2"/>
  <c r="G27" i="2"/>
  <c r="A31" i="2"/>
  <c r="G31" i="2"/>
  <c r="E32" i="2"/>
  <c r="E34" i="2"/>
  <c r="E35" i="2"/>
  <c r="C37" i="2"/>
  <c r="E37" i="2"/>
  <c r="G37" i="2"/>
  <c r="C38" i="2"/>
  <c r="E38" i="2"/>
  <c r="G38" i="2"/>
  <c r="C39" i="2"/>
  <c r="E39" i="2"/>
  <c r="G39" i="2"/>
  <c r="C40" i="2"/>
  <c r="E40" i="2"/>
  <c r="G40" i="2"/>
  <c r="C41" i="2"/>
  <c r="E41" i="2"/>
  <c r="G41" i="2"/>
  <c r="C42" i="2"/>
  <c r="E42" i="2"/>
  <c r="G42" i="2"/>
  <c r="C44" i="2"/>
  <c r="E44" i="2"/>
  <c r="G44" i="2"/>
  <c r="C6" i="3"/>
  <c r="E6" i="3"/>
  <c r="G6" i="3"/>
  <c r="C7" i="3"/>
  <c r="E7" i="3"/>
  <c r="G7" i="3"/>
  <c r="C8" i="3"/>
  <c r="E8" i="3"/>
  <c r="G8" i="3"/>
  <c r="C9" i="3"/>
  <c r="E9" i="3"/>
  <c r="G9" i="3"/>
  <c r="C10" i="3"/>
  <c r="E10" i="3"/>
  <c r="G10" i="3"/>
  <c r="C11" i="3"/>
  <c r="E11" i="3"/>
  <c r="G11" i="3"/>
  <c r="C12" i="3"/>
  <c r="E12" i="3"/>
  <c r="G12" i="3"/>
  <c r="C13" i="3"/>
  <c r="E13" i="3"/>
  <c r="G13" i="3"/>
  <c r="C15" i="3"/>
  <c r="E15" i="3"/>
  <c r="G15" i="3"/>
  <c r="E16" i="3"/>
  <c r="C21" i="3"/>
  <c r="E21" i="3"/>
  <c r="G21" i="3"/>
  <c r="C22" i="3"/>
  <c r="E22" i="3"/>
  <c r="G22" i="3"/>
  <c r="C23" i="3"/>
  <c r="E23" i="3"/>
  <c r="G23" i="3"/>
  <c r="C24" i="3"/>
  <c r="E24" i="3"/>
  <c r="G24" i="3"/>
  <c r="C25" i="3"/>
  <c r="E25" i="3"/>
  <c r="G25" i="3"/>
  <c r="C26" i="3"/>
  <c r="E26" i="3"/>
  <c r="G26" i="3"/>
  <c r="C29" i="3"/>
  <c r="E29" i="3"/>
  <c r="G29" i="3"/>
</calcChain>
</file>

<file path=xl/sharedStrings.xml><?xml version="1.0" encoding="utf-8"?>
<sst xmlns="http://schemas.openxmlformats.org/spreadsheetml/2006/main" count="382" uniqueCount="189">
  <si>
    <t>CITRUS CONSOLIDATED</t>
  </si>
  <si>
    <t>MONTH</t>
  </si>
  <si>
    <t>YEAR-TO-DATE</t>
  </si>
  <si>
    <t>CURRENT</t>
  </si>
  <si>
    <t>WEEK</t>
  </si>
  <si>
    <t>LATEST</t>
  </si>
  <si>
    <t>PRIOR</t>
  </si>
  <si>
    <t>FORECAST</t>
  </si>
  <si>
    <t>PLAN</t>
  </si>
  <si>
    <t>&amp; YTD ACT</t>
  </si>
  <si>
    <t>YEAR</t>
  </si>
  <si>
    <t>FLORIDA GAS TRANSMISSION</t>
  </si>
  <si>
    <t xml:space="preserve">   EASTERN  FTS - 1</t>
  </si>
  <si>
    <t xml:space="preserve">   EASTERN  FTS - 2</t>
  </si>
  <si>
    <t xml:space="preserve">      TOTAL EASTERN</t>
  </si>
  <si>
    <t>FGT MARGIN ($/MMBTU)</t>
  </si>
  <si>
    <t>CITRUS  TRADING (BBTU/D)</t>
  </si>
  <si>
    <t>CITRUS TRADING MARGIN ($/MMBTU)</t>
  </si>
  <si>
    <t>FGT DEMAND REVENUE</t>
  </si>
  <si>
    <t>FGT NET REVENUE</t>
  </si>
  <si>
    <t>NET INCOME - $MM</t>
  </si>
  <si>
    <t>INCOME TAXES</t>
  </si>
  <si>
    <t>NET INCOME - CITRUS CONSOLIDATED</t>
  </si>
  <si>
    <t>SPOT</t>
  </si>
  <si>
    <t>VARIANCE ANALYSIS - $MM</t>
  </si>
  <si>
    <t>Citrus Cons.</t>
  </si>
  <si>
    <t>CASH POSITION - Millions $</t>
  </si>
  <si>
    <t>Available</t>
  </si>
  <si>
    <t>Used</t>
  </si>
  <si>
    <t>Matures</t>
  </si>
  <si>
    <t>Cash Invested</t>
  </si>
  <si>
    <t>FGT Chase Bank Revolver</t>
  </si>
  <si>
    <t>Total</t>
  </si>
  <si>
    <t>Target</t>
  </si>
  <si>
    <t>Net Income - Current Week</t>
  </si>
  <si>
    <t xml:space="preserve">    FGT</t>
  </si>
  <si>
    <t>OTHER OPER. EXP.</t>
  </si>
  <si>
    <t>FINANCE COSTS, NET</t>
  </si>
  <si>
    <t>NET INCOME -</t>
  </si>
  <si>
    <t xml:space="preserve">   - CITRUS CONS.</t>
  </si>
  <si>
    <t>Citrus</t>
  </si>
  <si>
    <t>Cons.</t>
  </si>
  <si>
    <t>VOLUMES - BBTU/D</t>
  </si>
  <si>
    <t xml:space="preserve">   FTS - 1</t>
  </si>
  <si>
    <t xml:space="preserve">   FTS - 2</t>
  </si>
  <si>
    <t xml:space="preserve">  OTHER</t>
  </si>
  <si>
    <t xml:space="preserve">      TOTAL EAST</t>
  </si>
  <si>
    <t>TOTAL</t>
  </si>
  <si>
    <t>% OF CAPACITY</t>
  </si>
  <si>
    <t>WK FRCST</t>
  </si>
  <si>
    <t>NET OPER. MARGIN  ($MM)</t>
  </si>
  <si>
    <t xml:space="preserve">   CESI</t>
  </si>
  <si>
    <t xml:space="preserve">   TRADING </t>
  </si>
  <si>
    <t xml:space="preserve">   TOTAL NET MARGIN</t>
  </si>
  <si>
    <t>Net Inc. - Current Week</t>
  </si>
  <si>
    <t xml:space="preserve">   WESTERN / ALT. DELIVERIES</t>
  </si>
  <si>
    <t xml:space="preserve">      TOTAL</t>
  </si>
  <si>
    <t xml:space="preserve">   WEST / ALT. DEL.</t>
  </si>
  <si>
    <t>DIRECT MGD. O &amp; M</t>
  </si>
  <si>
    <t xml:space="preserve">   OTHER  *</t>
  </si>
  <si>
    <t>OPERATING</t>
  </si>
  <si>
    <t>Net Income  -  Operating Plan</t>
  </si>
  <si>
    <t>Citrus Enron Revolver</t>
  </si>
  <si>
    <t>Citrus El Paso Revolver</t>
  </si>
  <si>
    <t xml:space="preserve"> * EXCLUDES  PARK N RIDE</t>
  </si>
  <si>
    <t>DECEMBER Y-T-D</t>
  </si>
  <si>
    <t>daily</t>
  </si>
  <si>
    <t xml:space="preserve">Questions (?) - Please contact: </t>
  </si>
  <si>
    <t>Henry Baker @ ext. 3-4797, or</t>
  </si>
  <si>
    <t>Larry Palma @ ext. 3-1699</t>
  </si>
  <si>
    <t>(Pre-Tax)</t>
  </si>
  <si>
    <t>Incr. FGT Margin</t>
  </si>
  <si>
    <t>Timing-Rate Case Amortizations</t>
  </si>
  <si>
    <t>WEEKLY EARNINGS FORECAST</t>
  </si>
  <si>
    <t>COMMERCIAL:</t>
  </si>
  <si>
    <t>MARKET SERVICES</t>
  </si>
  <si>
    <t>OPERATIONS</t>
  </si>
  <si>
    <t>FINANCE, ACCTG &amp; ADMIN.</t>
  </si>
  <si>
    <t>FAA - NON-RECURRING</t>
  </si>
  <si>
    <t>AFUDC &amp; INTEREST</t>
  </si>
  <si>
    <t xml:space="preserve">  NET MARGINS</t>
  </si>
  <si>
    <t xml:space="preserve">  EXPENSES</t>
  </si>
  <si>
    <t xml:space="preserve">  NON-RECURRING</t>
  </si>
  <si>
    <t xml:space="preserve">    TOTAL COMMERCIAL</t>
  </si>
  <si>
    <t>INFO. TECHNOLOGY</t>
  </si>
  <si>
    <t>LEGAL, HR, EXEC./OTHER</t>
  </si>
  <si>
    <t>Trading- Incr. Deferred Interest Income</t>
  </si>
  <si>
    <t>Lower AFUDC</t>
  </si>
  <si>
    <t>FLORIDA GAS TRANSMISSION COMPANY</t>
  </si>
  <si>
    <t>($000s)</t>
  </si>
  <si>
    <t>Difference</t>
  </si>
  <si>
    <t xml:space="preserve">     Reservation</t>
  </si>
  <si>
    <t>Variance</t>
  </si>
  <si>
    <t>Usage</t>
  </si>
  <si>
    <t>Base</t>
  </si>
  <si>
    <t>FTS-1</t>
  </si>
  <si>
    <t>Incremental</t>
  </si>
  <si>
    <t xml:space="preserve">    Volume Variance</t>
  </si>
  <si>
    <t>Operating Revenue - Transportation</t>
  </si>
  <si>
    <t xml:space="preserve">  Subtotal</t>
  </si>
  <si>
    <t xml:space="preserve">    Price Variance</t>
  </si>
  <si>
    <t>GRI</t>
  </si>
  <si>
    <t>TC&amp;S</t>
  </si>
  <si>
    <t>FTS-2</t>
  </si>
  <si>
    <t>Net Operating Revenue - Transportation</t>
  </si>
  <si>
    <t>Volume Variance</t>
  </si>
  <si>
    <t>Price Variance</t>
  </si>
  <si>
    <t>FTS-2 FP&amp;L</t>
  </si>
  <si>
    <t xml:space="preserve">P  IV </t>
  </si>
  <si>
    <t xml:space="preserve">     Subtotal </t>
  </si>
  <si>
    <t>Less Other Reconciling Items:</t>
  </si>
  <si>
    <t xml:space="preserve">TC&amp;S </t>
  </si>
  <si>
    <t>FTS-2 Short-Term Firm</t>
  </si>
  <si>
    <t>P IV -  FPL</t>
  </si>
  <si>
    <t>GRI True-ups</t>
  </si>
  <si>
    <t>Other Miscellaneous</t>
  </si>
  <si>
    <t xml:space="preserve">       Total Variance</t>
  </si>
  <si>
    <t xml:space="preserve">P IV </t>
  </si>
  <si>
    <t>SFTS</t>
  </si>
  <si>
    <t>P IV  FPL</t>
  </si>
  <si>
    <t>ITS</t>
  </si>
  <si>
    <t>Western</t>
  </si>
  <si>
    <t>No Notice Res</t>
  </si>
  <si>
    <t>Park N Ride</t>
  </si>
  <si>
    <t>Total ReservationVariance</t>
  </si>
  <si>
    <t>Total Usage Variance</t>
  </si>
  <si>
    <t xml:space="preserve"> Reservation  Vol Variance</t>
  </si>
  <si>
    <t>Usage Vol Variance</t>
  </si>
  <si>
    <t xml:space="preserve"> Reservation Price Variance</t>
  </si>
  <si>
    <t>Usage Price Variance</t>
  </si>
  <si>
    <t>Total Variance</t>
  </si>
  <si>
    <t>Current</t>
  </si>
  <si>
    <t>P IV</t>
  </si>
  <si>
    <t>P IV-FPL</t>
  </si>
  <si>
    <t>Total Eastern</t>
  </si>
  <si>
    <t>FTS-2 (Includes FPL)</t>
  </si>
  <si>
    <t>A.</t>
  </si>
  <si>
    <t>B.</t>
  </si>
  <si>
    <t xml:space="preserve">     Total Throughput</t>
  </si>
  <si>
    <t xml:space="preserve">            PNR</t>
  </si>
  <si>
    <t>FTS-2 - STF</t>
  </si>
  <si>
    <t>Volumes (BBtu/d)</t>
  </si>
  <si>
    <t>2001  CURRENT FORECAST VS 2001 AUGUST FORECAST</t>
  </si>
  <si>
    <t>Aug Fcst</t>
  </si>
  <si>
    <t xml:space="preserve"> Forecast - Aug Fcst</t>
  </si>
  <si>
    <t>2001 ESTIMATE - 2001 PLAN COMPARISON</t>
  </si>
  <si>
    <t>SEPTEMBER NET PRICE / VOLUME VARIANCES</t>
  </si>
  <si>
    <t>SEPTEMBER RECONCILIATION</t>
  </si>
  <si>
    <t>FTS-2 (includes FPL &amp; STF)</t>
  </si>
  <si>
    <t>Variance due to Market Area throughput increasing from 1,475 to 1,600</t>
  </si>
  <si>
    <t>due to higher damand and more competitive gas prices with residual oil,</t>
  </si>
  <si>
    <t>and also higher margins on Market Area IT.</t>
  </si>
  <si>
    <t>Variance due to conversion of SFTS to FTS-1.</t>
  </si>
  <si>
    <t xml:space="preserve">  variable pay accrual &amp; no stock option costs)</t>
  </si>
  <si>
    <t xml:space="preserve">Incr. O &amp; M Costs (timing part. offset by no </t>
  </si>
  <si>
    <t>C.</t>
  </si>
  <si>
    <t>Variance due to higher margins on STF.</t>
  </si>
  <si>
    <t>4th Quarter - Net Income - $MM</t>
  </si>
  <si>
    <t>Oct</t>
  </si>
  <si>
    <t>Nov</t>
  </si>
  <si>
    <t>Dec</t>
  </si>
  <si>
    <t>Lower Financing Costs</t>
  </si>
  <si>
    <t>FRCST</t>
  </si>
  <si>
    <t>2001  CURRENT FORECAST VS 2001 4th QTR FORECAST</t>
  </si>
  <si>
    <t>4th Qtr. Fcst</t>
  </si>
  <si>
    <t>Forecast - 4th Qtr</t>
  </si>
  <si>
    <t>4TH QTR.</t>
  </si>
  <si>
    <t>NOVEMBER,  2001</t>
  </si>
  <si>
    <t>NOVEMBER</t>
  </si>
  <si>
    <t>NOVEMBER NET PRICE / VOLUME VARIANCES</t>
  </si>
  <si>
    <t>NOVEMBER RECONCILIATION</t>
  </si>
  <si>
    <t>Interest Rate Swap Gain</t>
  </si>
  <si>
    <t>Frcst</t>
  </si>
  <si>
    <t>FGT Senior Revolver</t>
  </si>
  <si>
    <t>*  Uncommitted lines</t>
  </si>
  <si>
    <t>Citrus Sumitomo Note     *</t>
  </si>
  <si>
    <t>Citrus Loan Sales Facility    *</t>
  </si>
  <si>
    <t>Variance due to increased volume due to higher demand caused by lower gas prices.</t>
  </si>
  <si>
    <t>Variance due to lower volume due to lower actual demand.</t>
  </si>
  <si>
    <t>Net Income  -  Rev. 4th Quarter Forecast</t>
  </si>
  <si>
    <t>No Variance</t>
  </si>
  <si>
    <t>November 15, 2001</t>
  </si>
  <si>
    <t xml:space="preserve"> Oper. Plan</t>
  </si>
  <si>
    <t xml:space="preserve"> 3rd Cur. Est.</t>
  </si>
  <si>
    <t xml:space="preserve"> Rev 4th Qtr Frct</t>
  </si>
  <si>
    <t xml:space="preserve"> Now</t>
  </si>
  <si>
    <t xml:space="preserve"> Prior Year</t>
  </si>
  <si>
    <t>*Note: No updates were made from the previous week.</t>
  </si>
  <si>
    <t>Published  November 21, 2001*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</si>
</sst>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h:mm\ AM/PM_)"/>
    <numFmt numFmtId="165" formatCode=";;;"/>
    <numFmt numFmtId="166" formatCode="&quot;$&quot;#,##0.0_);\(&quot;$&quot;#,##0.0\)"/>
    <numFmt numFmtId="167" formatCode="#,##0.0_);\(#,##0.0\)"/>
    <numFmt numFmtId="170" formatCode="_(* #,##0.0_);_(* \(#,##0.0\);_(* &quot;-&quot;??_);_(@_)"/>
    <numFmt numFmtId="172" formatCode="_(&quot;$&quot;* #,##0.0_);_(&quot;$&quot;* \(#,##0.0\);_(&quot;$&quot;* &quot;-&quot;??_);_(@_)"/>
    <numFmt numFmtId="174" formatCode="0.0_);\(0.0\)"/>
    <numFmt numFmtId="178" formatCode="_(&quot;$&quot;* #,##0.000_);_(&quot;$&quot;* \(#,##0.000\);_(&quot;$&quot;* &quot;-&quot;??_);_(@_)"/>
    <numFmt numFmtId="179" formatCode="_(&quot;$&quot;* #,##0.0000_);_(&quot;$&quot;* \(#,##0.0000\);_(&quot;$&quot;* &quot;-&quot;??_);_(@_)"/>
    <numFmt numFmtId="183" formatCode="#,##0.0_);[Red]\(#,##0.0\)"/>
    <numFmt numFmtId="184" formatCode="&quot;$&quot;#,##0.0_);[Red]\(&quot;$&quot;#,##0.0\)"/>
    <numFmt numFmtId="186" formatCode="_(* #,##0.000_);_(* \(#,##0.000\);_(* &quot;-&quot;??_);_(@_)"/>
    <numFmt numFmtId="188" formatCode="General_)"/>
  </numFmts>
  <fonts count="74" x14ac:knownFonts="1">
    <font>
      <sz val="12"/>
      <name val="Helv"/>
    </font>
    <font>
      <sz val="10"/>
      <name val="Arial"/>
    </font>
    <font>
      <b/>
      <sz val="12"/>
      <name val="Helv"/>
    </font>
    <font>
      <u/>
      <sz val="12"/>
      <name val="Helv"/>
    </font>
    <font>
      <u val="double"/>
      <sz val="12"/>
      <name val="Helv"/>
    </font>
    <font>
      <sz val="11"/>
      <name val="Helv"/>
    </font>
    <font>
      <b/>
      <sz val="11"/>
      <name val="Helv"/>
    </font>
    <font>
      <u/>
      <sz val="11"/>
      <name val="Helv"/>
    </font>
    <font>
      <u val="double"/>
      <sz val="11"/>
      <name val="Helv"/>
    </font>
    <font>
      <sz val="10"/>
      <name val="Helv"/>
    </font>
    <font>
      <sz val="11"/>
      <name val="Arial"/>
      <family val="2"/>
    </font>
    <font>
      <u/>
      <sz val="11"/>
      <name val="Arial"/>
      <family val="2"/>
    </font>
    <font>
      <sz val="8"/>
      <name val="Helv"/>
    </font>
    <font>
      <sz val="8"/>
      <name val="Tms Rmn"/>
    </font>
    <font>
      <u/>
      <sz val="10"/>
      <name val="Helv"/>
    </font>
    <font>
      <sz val="12"/>
      <name val="Helv"/>
    </font>
    <font>
      <sz val="11"/>
      <color indexed="49"/>
      <name val="Helv"/>
    </font>
    <font>
      <sz val="12"/>
      <color indexed="49"/>
      <name val="Helv"/>
    </font>
    <font>
      <sz val="12"/>
      <name val="Helv"/>
    </font>
    <font>
      <b/>
      <u val="double"/>
      <sz val="12"/>
      <name val="Helv"/>
    </font>
    <font>
      <sz val="12"/>
      <name val="Helv"/>
    </font>
    <font>
      <sz val="10"/>
      <name val="Arial"/>
    </font>
    <font>
      <b/>
      <sz val="16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1"/>
      <name val="Arial"/>
    </font>
    <font>
      <b/>
      <sz val="18"/>
      <name val="Arial"/>
      <family val="2"/>
    </font>
    <font>
      <sz val="18"/>
      <name val="Helv"/>
    </font>
    <font>
      <b/>
      <sz val="18"/>
      <name val="Helv"/>
    </font>
    <font>
      <sz val="10"/>
      <name val="Arial"/>
    </font>
    <font>
      <sz val="10"/>
      <name val="Arial"/>
    </font>
    <font>
      <sz val="12"/>
      <name val="Helv"/>
    </font>
    <font>
      <sz val="20"/>
      <name val="Arial"/>
      <family val="2"/>
    </font>
    <font>
      <b/>
      <sz val="20"/>
      <name val="Arial"/>
      <family val="2"/>
    </font>
    <font>
      <sz val="10"/>
      <name val="Arial"/>
    </font>
    <font>
      <sz val="10"/>
      <name val="Arial"/>
    </font>
    <font>
      <b/>
      <sz val="22"/>
      <name val="Arial"/>
      <family val="2"/>
    </font>
    <font>
      <sz val="10"/>
      <name val="Arial"/>
    </font>
    <font>
      <sz val="10"/>
      <name val="Arial"/>
    </font>
    <font>
      <b/>
      <sz val="24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26"/>
      <name val="Arial"/>
      <family val="2"/>
    </font>
    <font>
      <sz val="10"/>
      <name val="Arial"/>
    </font>
    <font>
      <b/>
      <sz val="17"/>
      <name val="Arial"/>
      <family val="2"/>
    </font>
    <font>
      <sz val="24"/>
      <name val="Arial"/>
      <family val="2"/>
    </font>
    <font>
      <sz val="26"/>
      <name val="Arial"/>
      <family val="2"/>
    </font>
    <font>
      <sz val="23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indexed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indexed="14"/>
      <name val="Arial"/>
      <family val="2"/>
    </font>
    <font>
      <sz val="26"/>
      <name val="Helv"/>
    </font>
    <font>
      <u/>
      <sz val="12"/>
      <name val="Arial"/>
      <family val="2"/>
    </font>
    <font>
      <b/>
      <u/>
      <sz val="11"/>
      <name val="Helv"/>
    </font>
    <font>
      <u/>
      <sz val="9"/>
      <name val="Helv"/>
    </font>
    <font>
      <u val="singleAccounting"/>
      <sz val="11"/>
      <name val="Arial"/>
      <family val="2"/>
    </font>
    <font>
      <u/>
      <sz val="11"/>
      <name val="Arial"/>
    </font>
    <font>
      <sz val="28"/>
      <name val="Arial"/>
      <family val="2"/>
    </font>
    <font>
      <b/>
      <sz val="28"/>
      <name val="Arial"/>
      <family val="2"/>
    </font>
    <font>
      <sz val="16"/>
      <name val="Arial"/>
      <family val="2"/>
    </font>
    <font>
      <sz val="6"/>
      <name val="Arial"/>
      <family val="2"/>
    </font>
    <font>
      <b/>
      <u/>
      <sz val="12"/>
      <name val="Arial"/>
      <family val="2"/>
    </font>
    <font>
      <u val="singleAccounting"/>
      <sz val="12"/>
      <name val="Arial"/>
      <family val="2"/>
    </font>
    <font>
      <b/>
      <sz val="12"/>
      <color indexed="9"/>
      <name val="Arial"/>
      <family val="2"/>
    </font>
    <font>
      <b/>
      <u val="singleAccounting"/>
      <sz val="12"/>
      <name val="Arial"/>
      <family val="2"/>
    </font>
    <font>
      <b/>
      <sz val="14"/>
      <name val="Arial"/>
      <family val="2"/>
    </font>
    <font>
      <b/>
      <sz val="14"/>
      <name val="Helv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37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88" fontId="9" fillId="0" borderId="0"/>
    <xf numFmtId="9" fontId="1" fillId="0" borderId="0" applyFont="0" applyFill="0" applyBorder="0" applyAlignment="0" applyProtection="0"/>
  </cellStyleXfs>
  <cellXfs count="364">
    <xf numFmtId="37" fontId="0" fillId="0" borderId="0" xfId="0"/>
    <xf numFmtId="164" fontId="0" fillId="0" borderId="0" xfId="0" applyNumberFormat="1" applyProtection="1"/>
    <xf numFmtId="165" fontId="0" fillId="0" borderId="0" xfId="0" applyNumberFormat="1" applyProtection="1"/>
    <xf numFmtId="7" fontId="0" fillId="0" borderId="0" xfId="0" applyNumberFormat="1" applyProtection="1"/>
    <xf numFmtId="5" fontId="0" fillId="0" borderId="0" xfId="0" applyNumberFormat="1" applyProtection="1"/>
    <xf numFmtId="37" fontId="0" fillId="0" borderId="0" xfId="0" applyAlignment="1">
      <alignment horizontal="center"/>
    </xf>
    <xf numFmtId="37" fontId="3" fillId="0" borderId="0" xfId="0" applyFont="1" applyAlignment="1">
      <alignment horizontal="center"/>
    </xf>
    <xf numFmtId="5" fontId="4" fillId="0" borderId="0" xfId="0" applyNumberFormat="1" applyFont="1" applyProtection="1"/>
    <xf numFmtId="165" fontId="4" fillId="0" borderId="0" xfId="0" applyNumberFormat="1" applyFont="1" applyProtection="1"/>
    <xf numFmtId="165" fontId="3" fillId="0" borderId="0" xfId="0" applyNumberFormat="1" applyFont="1" applyProtection="1"/>
    <xf numFmtId="37" fontId="5" fillId="0" borderId="0" xfId="0" applyFont="1"/>
    <xf numFmtId="165" fontId="5" fillId="0" borderId="0" xfId="0" applyNumberFormat="1" applyFont="1" applyProtection="1"/>
    <xf numFmtId="37" fontId="5" fillId="0" borderId="0" xfId="0" applyFont="1" applyAlignment="1">
      <alignment horizontal="center"/>
    </xf>
    <xf numFmtId="37" fontId="7" fillId="0" borderId="0" xfId="0" applyFont="1" applyAlignment="1">
      <alignment horizontal="center"/>
    </xf>
    <xf numFmtId="7" fontId="8" fillId="0" borderId="0" xfId="0" applyNumberFormat="1" applyFont="1" applyProtection="1"/>
    <xf numFmtId="167" fontId="5" fillId="0" borderId="0" xfId="0" applyNumberFormat="1" applyFont="1"/>
    <xf numFmtId="166" fontId="5" fillId="0" borderId="0" xfId="0" applyNumberFormat="1" applyFont="1" applyBorder="1" applyProtection="1"/>
    <xf numFmtId="37" fontId="2" fillId="0" borderId="0" xfId="0" applyFont="1" applyBorder="1" applyAlignment="1">
      <alignment horizontal="centerContinuous"/>
    </xf>
    <xf numFmtId="37" fontId="0" fillId="0" borderId="0" xfId="0" applyBorder="1" applyAlignment="1">
      <alignment horizontal="centerContinuous"/>
    </xf>
    <xf numFmtId="37" fontId="9" fillId="0" borderId="0" xfId="0" applyFont="1"/>
    <xf numFmtId="37" fontId="6" fillId="0" borderId="0" xfId="0" applyFont="1" applyBorder="1" applyAlignment="1">
      <alignment horizontal="center"/>
    </xf>
    <xf numFmtId="37" fontId="0" fillId="0" borderId="0" xfId="0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5" fillId="0" borderId="0" xfId="0" applyFont="1" applyAlignment="1">
      <alignment horizontal="centerContinuous"/>
    </xf>
    <xf numFmtId="166" fontId="5" fillId="0" borderId="0" xfId="0" applyNumberFormat="1" applyFont="1" applyProtection="1"/>
    <xf numFmtId="167" fontId="5" fillId="0" borderId="0" xfId="0" applyNumberFormat="1" applyFont="1" applyBorder="1"/>
    <xf numFmtId="37" fontId="5" fillId="0" borderId="0" xfId="0" applyFont="1" applyFill="1"/>
    <xf numFmtId="7" fontId="5" fillId="0" borderId="0" xfId="0" applyNumberFormat="1" applyFont="1" applyFill="1" applyProtection="1"/>
    <xf numFmtId="172" fontId="5" fillId="0" borderId="1" xfId="2" applyNumberFormat="1" applyFont="1" applyFill="1" applyBorder="1"/>
    <xf numFmtId="37" fontId="14" fillId="2" borderId="0" xfId="0" quotePrefix="1" applyFont="1" applyFill="1" applyAlignment="1">
      <alignment horizontal="center"/>
    </xf>
    <xf numFmtId="37" fontId="15" fillId="0" borderId="0" xfId="0" applyFont="1"/>
    <xf numFmtId="179" fontId="5" fillId="0" borderId="0" xfId="2" applyNumberFormat="1" applyFont="1"/>
    <xf numFmtId="179" fontId="5" fillId="0" borderId="0" xfId="2" applyNumberFormat="1" applyFont="1" applyAlignment="1">
      <alignment horizontal="center"/>
    </xf>
    <xf numFmtId="178" fontId="5" fillId="0" borderId="0" xfId="2" applyNumberFormat="1" applyFont="1" applyAlignment="1">
      <alignment horizontal="center"/>
    </xf>
    <xf numFmtId="167" fontId="5" fillId="0" borderId="0" xfId="0" applyNumberFormat="1" applyFont="1" applyFill="1"/>
    <xf numFmtId="167" fontId="5" fillId="0" borderId="0" xfId="0" applyNumberFormat="1" applyFont="1" applyProtection="1"/>
    <xf numFmtId="172" fontId="5" fillId="0" borderId="0" xfId="2" applyNumberFormat="1" applyFont="1"/>
    <xf numFmtId="172" fontId="5" fillId="0" borderId="0" xfId="2" applyNumberFormat="1" applyFont="1" applyFill="1" applyBorder="1"/>
    <xf numFmtId="165" fontId="5" fillId="0" borderId="0" xfId="0" applyNumberFormat="1" applyFont="1" applyBorder="1" applyProtection="1"/>
    <xf numFmtId="37" fontId="16" fillId="0" borderId="0" xfId="0" applyFont="1"/>
    <xf numFmtId="37" fontId="17" fillId="0" borderId="0" xfId="0" applyFont="1"/>
    <xf numFmtId="165" fontId="0" fillId="0" borderId="0" xfId="0" applyNumberFormat="1" applyBorder="1" applyProtection="1"/>
    <xf numFmtId="183" fontId="5" fillId="0" borderId="0" xfId="0" applyNumberFormat="1" applyFont="1"/>
    <xf numFmtId="167" fontId="5" fillId="0" borderId="0" xfId="0" applyNumberFormat="1" applyFont="1" applyFill="1" applyBorder="1"/>
    <xf numFmtId="167" fontId="6" fillId="0" borderId="2" xfId="0" applyNumberFormat="1" applyFont="1" applyFill="1" applyBorder="1" applyAlignment="1">
      <alignment horizontal="center"/>
    </xf>
    <xf numFmtId="37" fontId="6" fillId="0" borderId="0" xfId="0" applyFont="1" applyFill="1" applyBorder="1" applyAlignment="1">
      <alignment horizontal="center"/>
    </xf>
    <xf numFmtId="37" fontId="6" fillId="0" borderId="3" xfId="0" applyFont="1" applyFill="1" applyBorder="1" applyAlignment="1">
      <alignment horizontal="center"/>
    </xf>
    <xf numFmtId="7" fontId="6" fillId="0" borderId="4" xfId="0" applyNumberFormat="1" applyFont="1" applyFill="1" applyBorder="1" applyAlignment="1" applyProtection="1">
      <alignment horizontal="center"/>
    </xf>
    <xf numFmtId="37" fontId="22" fillId="0" borderId="0" xfId="0" applyFont="1" applyBorder="1" applyAlignment="1">
      <alignment horizontal="center"/>
    </xf>
    <xf numFmtId="44" fontId="12" fillId="0" borderId="0" xfId="2" applyFont="1" applyFill="1" applyBorder="1"/>
    <xf numFmtId="44" fontId="12" fillId="0" borderId="0" xfId="2" applyFont="1" applyFill="1" applyBorder="1" applyProtection="1"/>
    <xf numFmtId="167" fontId="10" fillId="0" borderId="0" xfId="0" applyNumberFormat="1" applyFont="1" applyFill="1" applyBorder="1"/>
    <xf numFmtId="7" fontId="10" fillId="0" borderId="0" xfId="0" applyNumberFormat="1" applyFont="1" applyFill="1" applyBorder="1" applyProtection="1"/>
    <xf numFmtId="37" fontId="24" fillId="0" borderId="0" xfId="0" applyFont="1"/>
    <xf numFmtId="37" fontId="27" fillId="0" borderId="0" xfId="0" applyFont="1"/>
    <xf numFmtId="37" fontId="28" fillId="0" borderId="0" xfId="0" applyFont="1" applyBorder="1" applyAlignment="1">
      <alignment horizontal="center"/>
    </xf>
    <xf numFmtId="37" fontId="24" fillId="0" borderId="0" xfId="0" applyFont="1" applyBorder="1" applyAlignment="1"/>
    <xf numFmtId="37" fontId="24" fillId="0" borderId="0" xfId="0" applyFont="1" applyBorder="1" applyAlignment="1">
      <alignment horizontal="center"/>
    </xf>
    <xf numFmtId="7" fontId="24" fillId="0" borderId="0" xfId="0" applyNumberFormat="1" applyFont="1" applyProtection="1"/>
    <xf numFmtId="5" fontId="24" fillId="0" borderId="0" xfId="0" applyNumberFormat="1" applyFont="1" applyProtection="1"/>
    <xf numFmtId="37" fontId="26" fillId="0" borderId="0" xfId="0" applyFont="1" applyBorder="1" applyAlignment="1">
      <alignment horizontal="center"/>
    </xf>
    <xf numFmtId="37" fontId="24" fillId="0" borderId="0" xfId="0" applyNumberFormat="1" applyFont="1" applyProtection="1"/>
    <xf numFmtId="37" fontId="29" fillId="0" borderId="0" xfId="0" applyFont="1"/>
    <xf numFmtId="37" fontId="28" fillId="0" borderId="0" xfId="0" applyFont="1"/>
    <xf numFmtId="37" fontId="30" fillId="0" borderId="0" xfId="0" applyFont="1"/>
    <xf numFmtId="37" fontId="22" fillId="0" borderId="3" xfId="0" applyFont="1" applyBorder="1" applyAlignment="1">
      <alignment horizontal="center"/>
    </xf>
    <xf numFmtId="37" fontId="22" fillId="0" borderId="2" xfId="0" applyFont="1" applyBorder="1"/>
    <xf numFmtId="37" fontId="22" fillId="0" borderId="2" xfId="0" applyFont="1" applyBorder="1" applyAlignment="1">
      <alignment horizontal="center"/>
    </xf>
    <xf numFmtId="37" fontId="22" fillId="0" borderId="5" xfId="0" applyFont="1" applyBorder="1" applyAlignment="1">
      <alignment horizontal="center"/>
    </xf>
    <xf numFmtId="37" fontId="22" fillId="0" borderId="4" xfId="0" applyFont="1" applyBorder="1" applyAlignment="1">
      <alignment horizontal="center"/>
    </xf>
    <xf numFmtId="37" fontId="22" fillId="0" borderId="0" xfId="0" applyFont="1" applyBorder="1"/>
    <xf numFmtId="37" fontId="22" fillId="0" borderId="6" xfId="0" applyFont="1" applyBorder="1" applyAlignment="1">
      <alignment horizontal="center"/>
    </xf>
    <xf numFmtId="37" fontId="22" fillId="0" borderId="7" xfId="0" applyFont="1" applyBorder="1" applyAlignment="1">
      <alignment horizontal="center"/>
    </xf>
    <xf numFmtId="37" fontId="22" fillId="0" borderId="8" xfId="0" applyFont="1" applyBorder="1" applyAlignment="1">
      <alignment horizontal="center"/>
    </xf>
    <xf numFmtId="37" fontId="22" fillId="0" borderId="8" xfId="0" applyFont="1" applyBorder="1"/>
    <xf numFmtId="37" fontId="22" fillId="0" borderId="9" xfId="0" applyFont="1" applyBorder="1" applyAlignment="1">
      <alignment horizontal="center"/>
    </xf>
    <xf numFmtId="37" fontId="6" fillId="0" borderId="2" xfId="0" applyFont="1" applyFill="1" applyBorder="1"/>
    <xf numFmtId="7" fontId="6" fillId="0" borderId="0" xfId="0" applyNumberFormat="1" applyFont="1" applyFill="1" applyBorder="1" applyProtection="1"/>
    <xf numFmtId="37" fontId="31" fillId="0" borderId="0" xfId="0" applyFont="1"/>
    <xf numFmtId="37" fontId="32" fillId="0" borderId="0" xfId="0" applyFont="1"/>
    <xf numFmtId="37" fontId="34" fillId="0" borderId="0" xfId="0" applyFont="1"/>
    <xf numFmtId="7" fontId="32" fillId="0" borderId="0" xfId="0" applyNumberFormat="1" applyFont="1" applyProtection="1"/>
    <xf numFmtId="5" fontId="32" fillId="0" borderId="0" xfId="0" applyNumberFormat="1" applyFont="1" applyProtection="1"/>
    <xf numFmtId="37" fontId="33" fillId="0" borderId="0" xfId="0" applyFont="1" applyBorder="1" applyAlignment="1">
      <alignment horizontal="center"/>
    </xf>
    <xf numFmtId="37" fontId="35" fillId="0" borderId="0" xfId="0" applyFont="1" applyBorder="1" applyAlignment="1"/>
    <xf numFmtId="37" fontId="35" fillId="0" borderId="0" xfId="0" applyFont="1"/>
    <xf numFmtId="37" fontId="35" fillId="0" borderId="0" xfId="0" applyFont="1" applyBorder="1"/>
    <xf numFmtId="37" fontId="35" fillId="0" borderId="0" xfId="0" applyFont="1" applyBorder="1" applyAlignment="1">
      <alignment horizontal="center"/>
    </xf>
    <xf numFmtId="37" fontId="33" fillId="0" borderId="0" xfId="0" quotePrefix="1" applyFont="1" applyAlignment="1">
      <alignment horizontal="left"/>
    </xf>
    <xf numFmtId="37" fontId="37" fillId="0" borderId="0" xfId="0" applyFont="1"/>
    <xf numFmtId="37" fontId="38" fillId="0" borderId="0" xfId="0" applyFont="1"/>
    <xf numFmtId="37" fontId="39" fillId="0" borderId="0" xfId="0" applyFont="1" applyAlignment="1">
      <alignment horizontal="left"/>
    </xf>
    <xf numFmtId="37" fontId="39" fillId="0" borderId="0" xfId="0" applyFont="1"/>
    <xf numFmtId="37" fontId="37" fillId="0" borderId="0" xfId="0" applyFont="1" applyBorder="1"/>
    <xf numFmtId="37" fontId="37" fillId="0" borderId="0" xfId="0" applyFont="1" applyBorder="1" applyAlignment="1">
      <alignment horizontal="center"/>
    </xf>
    <xf numFmtId="37" fontId="39" fillId="0" borderId="10" xfId="0" applyFont="1" applyBorder="1" applyAlignment="1">
      <alignment horizontal="left"/>
    </xf>
    <xf numFmtId="37" fontId="37" fillId="0" borderId="11" xfId="0" applyFont="1" applyBorder="1"/>
    <xf numFmtId="37" fontId="37" fillId="0" borderId="12" xfId="0" applyFont="1" applyBorder="1"/>
    <xf numFmtId="166" fontId="37" fillId="0" borderId="0" xfId="0" applyNumberFormat="1" applyFont="1" applyBorder="1" applyProtection="1"/>
    <xf numFmtId="37" fontId="38" fillId="0" borderId="0" xfId="0" applyFont="1" applyBorder="1"/>
    <xf numFmtId="37" fontId="39" fillId="0" borderId="0" xfId="0" quotePrefix="1" applyFont="1"/>
    <xf numFmtId="37" fontId="36" fillId="0" borderId="0" xfId="0" applyFont="1" applyAlignment="1">
      <alignment horizontal="center"/>
    </xf>
    <xf numFmtId="37" fontId="36" fillId="0" borderId="0" xfId="0" applyFont="1" applyBorder="1" applyAlignment="1">
      <alignment horizontal="center"/>
    </xf>
    <xf numFmtId="37" fontId="42" fillId="0" borderId="0" xfId="0" applyFont="1" applyAlignment="1">
      <alignment horizontal="center"/>
    </xf>
    <xf numFmtId="37" fontId="39" fillId="0" borderId="0" xfId="0" applyFont="1" applyAlignment="1">
      <alignment horizontal="center"/>
    </xf>
    <xf numFmtId="37" fontId="43" fillId="0" borderId="0" xfId="0" applyFont="1"/>
    <xf numFmtId="37" fontId="44" fillId="0" borderId="0" xfId="0" applyFont="1"/>
    <xf numFmtId="37" fontId="41" fillId="0" borderId="0" xfId="0" applyFont="1" applyBorder="1" applyAlignment="1">
      <alignment horizontal="center"/>
    </xf>
    <xf numFmtId="37" fontId="40" fillId="0" borderId="0" xfId="0" applyFont="1" applyBorder="1" applyAlignment="1">
      <alignment horizontal="center"/>
    </xf>
    <xf numFmtId="37" fontId="45" fillId="0" borderId="0" xfId="0" applyFont="1" applyAlignment="1">
      <alignment horizontal="center"/>
    </xf>
    <xf numFmtId="172" fontId="46" fillId="0" borderId="13" xfId="2" applyNumberFormat="1" applyFont="1" applyBorder="1" applyProtection="1"/>
    <xf numFmtId="165" fontId="15" fillId="0" borderId="0" xfId="0" applyNumberFormat="1" applyFont="1" applyProtection="1"/>
    <xf numFmtId="37" fontId="5" fillId="0" borderId="0" xfId="0" quotePrefix="1" applyFont="1" applyFill="1" applyAlignment="1">
      <alignment horizontal="center"/>
    </xf>
    <xf numFmtId="37" fontId="6" fillId="0" borderId="8" xfId="0" applyFont="1" applyFill="1" applyBorder="1" applyAlignment="1">
      <alignment horizontal="centerContinuous"/>
    </xf>
    <xf numFmtId="167" fontId="6" fillId="0" borderId="5" xfId="0" applyNumberFormat="1" applyFont="1" applyFill="1" applyBorder="1" applyAlignment="1">
      <alignment horizontal="center"/>
    </xf>
    <xf numFmtId="37" fontId="6" fillId="0" borderId="9" xfId="0" applyFont="1" applyFill="1" applyBorder="1" applyAlignment="1">
      <alignment horizontal="center"/>
    </xf>
    <xf numFmtId="37" fontId="15" fillId="0" borderId="0" xfId="0" applyFont="1" applyFill="1"/>
    <xf numFmtId="37" fontId="5" fillId="0" borderId="2" xfId="0" applyFont="1" applyFill="1" applyBorder="1"/>
    <xf numFmtId="37" fontId="5" fillId="0" borderId="5" xfId="0" applyFont="1" applyFill="1" applyBorder="1"/>
    <xf numFmtId="37" fontId="6" fillId="0" borderId="6" xfId="0" applyFont="1" applyFill="1" applyBorder="1" applyAlignment="1">
      <alignment horizontal="center"/>
    </xf>
    <xf numFmtId="37" fontId="6" fillId="0" borderId="8" xfId="0" applyFont="1" applyFill="1" applyBorder="1" applyAlignment="1">
      <alignment horizontal="center"/>
    </xf>
    <xf numFmtId="37" fontId="48" fillId="0" borderId="3" xfId="0" applyFont="1" applyBorder="1" applyAlignment="1">
      <alignment horizontal="center"/>
    </xf>
    <xf numFmtId="37" fontId="48" fillId="0" borderId="2" xfId="0" applyFont="1" applyBorder="1"/>
    <xf numFmtId="37" fontId="48" fillId="0" borderId="2" xfId="0" applyFont="1" applyBorder="1" applyAlignment="1">
      <alignment horizontal="center"/>
    </xf>
    <xf numFmtId="37" fontId="48" fillId="0" borderId="5" xfId="0" applyFont="1" applyBorder="1" applyAlignment="1">
      <alignment horizontal="center"/>
    </xf>
    <xf numFmtId="37" fontId="48" fillId="0" borderId="4" xfId="0" applyFont="1" applyBorder="1" applyAlignment="1">
      <alignment horizontal="center"/>
    </xf>
    <xf numFmtId="37" fontId="48" fillId="0" borderId="0" xfId="0" applyFont="1" applyBorder="1" applyAlignment="1">
      <alignment horizontal="center"/>
    </xf>
    <xf numFmtId="37" fontId="48" fillId="0" borderId="0" xfId="0" applyFont="1" applyBorder="1"/>
    <xf numFmtId="37" fontId="48" fillId="0" borderId="6" xfId="0" applyFont="1" applyBorder="1" applyAlignment="1">
      <alignment horizontal="center"/>
    </xf>
    <xf numFmtId="37" fontId="48" fillId="0" borderId="7" xfId="0" applyFont="1" applyBorder="1" applyAlignment="1">
      <alignment horizontal="center"/>
    </xf>
    <xf numFmtId="37" fontId="48" fillId="0" borderId="8" xfId="0" applyFont="1" applyBorder="1" applyAlignment="1">
      <alignment horizontal="center"/>
    </xf>
    <xf numFmtId="37" fontId="48" fillId="0" borderId="8" xfId="0" applyFont="1" applyBorder="1"/>
    <xf numFmtId="37" fontId="48" fillId="0" borderId="9" xfId="0" applyFont="1" applyBorder="1" applyAlignment="1">
      <alignment horizontal="center"/>
    </xf>
    <xf numFmtId="37" fontId="49" fillId="0" borderId="0" xfId="0" applyFont="1" applyAlignment="1">
      <alignment horizontal="left"/>
    </xf>
    <xf numFmtId="37" fontId="49" fillId="0" borderId="0" xfId="0" applyFont="1"/>
    <xf numFmtId="172" fontId="49" fillId="0" borderId="0" xfId="2" applyNumberFormat="1" applyFont="1" applyProtection="1"/>
    <xf numFmtId="167" fontId="49" fillId="0" borderId="0" xfId="0" applyNumberFormat="1" applyFont="1" applyProtection="1"/>
    <xf numFmtId="167" fontId="49" fillId="0" borderId="14" xfId="0" applyNumberFormat="1" applyFont="1" applyBorder="1" applyProtection="1"/>
    <xf numFmtId="167" fontId="49" fillId="0" borderId="0" xfId="0" applyNumberFormat="1" applyFont="1"/>
    <xf numFmtId="172" fontId="50" fillId="0" borderId="0" xfId="2" applyNumberFormat="1" applyFont="1" applyBorder="1" applyProtection="1"/>
    <xf numFmtId="167" fontId="50" fillId="0" borderId="0" xfId="0" applyNumberFormat="1" applyFont="1" applyBorder="1"/>
    <xf numFmtId="172" fontId="50" fillId="0" borderId="13" xfId="2" applyNumberFormat="1" applyFont="1" applyBorder="1" applyProtection="1"/>
    <xf numFmtId="37" fontId="49" fillId="0" borderId="0" xfId="0" applyFont="1" applyBorder="1" applyAlignment="1"/>
    <xf numFmtId="37" fontId="49" fillId="0" borderId="0" xfId="0" quotePrefix="1" applyFont="1"/>
    <xf numFmtId="37" fontId="50" fillId="0" borderId="0" xfId="0" applyFont="1"/>
    <xf numFmtId="37" fontId="50" fillId="0" borderId="14" xfId="0" applyFont="1" applyBorder="1"/>
    <xf numFmtId="37" fontId="50" fillId="0" borderId="1" xfId="0" applyFont="1" applyBorder="1"/>
    <xf numFmtId="7" fontId="50" fillId="0" borderId="0" xfId="0" applyNumberFormat="1" applyFont="1" applyProtection="1"/>
    <xf numFmtId="9" fontId="50" fillId="0" borderId="0" xfId="4" applyFont="1" applyAlignment="1">
      <alignment horizontal="center"/>
    </xf>
    <xf numFmtId="37" fontId="51" fillId="0" borderId="0" xfId="0" applyFont="1" applyAlignment="1">
      <alignment horizontal="left"/>
    </xf>
    <xf numFmtId="37" fontId="51" fillId="0" borderId="0" xfId="0" applyFont="1"/>
    <xf numFmtId="172" fontId="51" fillId="0" borderId="0" xfId="2" applyNumberFormat="1" applyFont="1" applyProtection="1"/>
    <xf numFmtId="167" fontId="51" fillId="0" borderId="0" xfId="0" applyNumberFormat="1" applyFont="1" applyProtection="1"/>
    <xf numFmtId="167" fontId="51" fillId="0" borderId="14" xfId="0" applyNumberFormat="1" applyFont="1" applyBorder="1" applyProtection="1"/>
    <xf numFmtId="37" fontId="52" fillId="0" borderId="0" xfId="0" applyFont="1"/>
    <xf numFmtId="166" fontId="52" fillId="0" borderId="0" xfId="0" applyNumberFormat="1" applyFont="1" applyBorder="1" applyProtection="1"/>
    <xf numFmtId="167" fontId="54" fillId="0" borderId="0" xfId="0" applyNumberFormat="1" applyFont="1" applyFill="1" applyBorder="1"/>
    <xf numFmtId="167" fontId="53" fillId="0" borderId="0" xfId="0" applyNumberFormat="1" applyFont="1" applyFill="1" applyBorder="1"/>
    <xf numFmtId="37" fontId="50" fillId="0" borderId="0" xfId="0" applyFont="1" applyBorder="1"/>
    <xf numFmtId="37" fontId="24" fillId="0" borderId="0" xfId="0" applyFont="1" applyBorder="1"/>
    <xf numFmtId="37" fontId="50" fillId="0" borderId="13" xfId="0" applyFont="1" applyBorder="1"/>
    <xf numFmtId="37" fontId="49" fillId="0" borderId="0" xfId="0" applyFont="1" applyBorder="1" applyAlignment="1">
      <alignment horizontal="left"/>
    </xf>
    <xf numFmtId="37" fontId="27" fillId="0" borderId="0" xfId="0" applyFont="1" applyBorder="1"/>
    <xf numFmtId="37" fontId="58" fillId="0" borderId="15" xfId="0" applyFont="1" applyBorder="1"/>
    <xf numFmtId="37" fontId="2" fillId="0" borderId="0" xfId="0" applyFont="1" applyFill="1" applyAlignment="1">
      <alignment horizontal="left"/>
    </xf>
    <xf numFmtId="37" fontId="16" fillId="0" borderId="0" xfId="0" applyFont="1" applyFill="1"/>
    <xf numFmtId="37" fontId="0" fillId="0" borderId="0" xfId="0" applyFill="1"/>
    <xf numFmtId="37" fontId="5" fillId="0" borderId="0" xfId="0" applyFont="1" applyFill="1" applyBorder="1"/>
    <xf numFmtId="165" fontId="5" fillId="0" borderId="0" xfId="0" applyNumberFormat="1" applyFont="1" applyFill="1" applyProtection="1"/>
    <xf numFmtId="37" fontId="10" fillId="0" borderId="0" xfId="0" applyFont="1" applyFill="1" applyBorder="1"/>
    <xf numFmtId="37" fontId="55" fillId="0" borderId="0" xfId="0" applyFont="1" applyFill="1"/>
    <xf numFmtId="37" fontId="56" fillId="0" borderId="8" xfId="0" applyFont="1" applyFill="1" applyBorder="1" applyAlignment="1">
      <alignment horizontal="centerContinuous"/>
    </xf>
    <xf numFmtId="37" fontId="6" fillId="0" borderId="0" xfId="0" applyFont="1" applyFill="1"/>
    <xf numFmtId="37" fontId="55" fillId="0" borderId="0" xfId="0" applyFont="1" applyFill="1" applyBorder="1"/>
    <xf numFmtId="37" fontId="5" fillId="0" borderId="0" xfId="0" applyFont="1" applyFill="1" applyBorder="1" applyAlignment="1">
      <alignment horizontal="centerContinuous"/>
    </xf>
    <xf numFmtId="37" fontId="17" fillId="0" borderId="0" xfId="0" applyFont="1" applyFill="1"/>
    <xf numFmtId="37" fontId="5" fillId="0" borderId="0" xfId="0" applyFont="1" applyFill="1" applyAlignment="1">
      <alignment horizontal="left"/>
    </xf>
    <xf numFmtId="37" fontId="12" fillId="0" borderId="0" xfId="0" applyFont="1" applyFill="1"/>
    <xf numFmtId="37" fontId="25" fillId="0" borderId="0" xfId="0" quotePrefix="1" applyFont="1" applyFill="1" applyAlignment="1">
      <alignment horizontal="center"/>
    </xf>
    <xf numFmtId="37" fontId="47" fillId="0" borderId="0" xfId="0" quotePrefix="1" applyFont="1" applyFill="1" applyAlignment="1">
      <alignment horizontal="center"/>
    </xf>
    <xf numFmtId="44" fontId="21" fillId="0" borderId="0" xfId="2" applyFont="1" applyFill="1"/>
    <xf numFmtId="167" fontId="10" fillId="0" borderId="0" xfId="0" applyNumberFormat="1" applyFont="1" applyFill="1"/>
    <xf numFmtId="167" fontId="11" fillId="0" borderId="0" xfId="0" applyNumberFormat="1" applyFont="1" applyFill="1"/>
    <xf numFmtId="167" fontId="7" fillId="0" borderId="0" xfId="0" applyNumberFormat="1" applyFont="1" applyFill="1"/>
    <xf numFmtId="44" fontId="12" fillId="0" borderId="0" xfId="2" applyFont="1" applyFill="1"/>
    <xf numFmtId="37" fontId="10" fillId="0" borderId="0" xfId="0" applyFont="1" applyFill="1"/>
    <xf numFmtId="7" fontId="10" fillId="0" borderId="0" xfId="0" applyNumberFormat="1" applyFont="1" applyFill="1" applyProtection="1"/>
    <xf numFmtId="44" fontId="12" fillId="0" borderId="0" xfId="2" applyFont="1" applyFill="1" applyProtection="1"/>
    <xf numFmtId="167" fontId="5" fillId="0" borderId="0" xfId="0" applyNumberFormat="1" applyFont="1" applyFill="1" applyProtection="1"/>
    <xf numFmtId="166" fontId="10" fillId="0" borderId="0" xfId="0" applyNumberFormat="1" applyFont="1" applyFill="1" applyBorder="1" applyProtection="1"/>
    <xf numFmtId="166" fontId="5" fillId="0" borderId="0" xfId="0" applyNumberFormat="1" applyFont="1" applyFill="1" applyBorder="1" applyProtection="1"/>
    <xf numFmtId="37" fontId="5" fillId="0" borderId="0" xfId="0" quotePrefix="1" applyFont="1" applyFill="1"/>
    <xf numFmtId="166" fontId="5" fillId="0" borderId="0" xfId="0" applyNumberFormat="1" applyFont="1" applyFill="1" applyProtection="1"/>
    <xf numFmtId="37" fontId="21" fillId="0" borderId="8" xfId="0" applyFont="1" applyFill="1" applyBorder="1" applyAlignment="1">
      <alignment horizontal="centerContinuous"/>
    </xf>
    <xf numFmtId="37" fontId="6" fillId="0" borderId="16" xfId="0" applyFont="1" applyFill="1" applyBorder="1" applyAlignment="1"/>
    <xf numFmtId="37" fontId="6" fillId="0" borderId="0" xfId="0" applyFont="1" applyFill="1" applyBorder="1"/>
    <xf numFmtId="37" fontId="6" fillId="0" borderId="4" xfId="0" applyFont="1" applyFill="1" applyBorder="1" applyAlignment="1">
      <alignment horizontal="center"/>
    </xf>
    <xf numFmtId="37" fontId="6" fillId="0" borderId="7" xfId="0" applyFont="1" applyFill="1" applyBorder="1" applyAlignment="1">
      <alignment horizontal="center"/>
    </xf>
    <xf numFmtId="37" fontId="15" fillId="0" borderId="8" xfId="0" applyFont="1" applyFill="1" applyBorder="1"/>
    <xf numFmtId="37" fontId="5" fillId="0" borderId="8" xfId="0" applyFont="1" applyFill="1" applyBorder="1"/>
    <xf numFmtId="37" fontId="6" fillId="0" borderId="0" xfId="0" applyFont="1" applyFill="1" applyAlignment="1">
      <alignment horizontal="left"/>
    </xf>
    <xf numFmtId="184" fontId="10" fillId="0" borderId="0" xfId="1" applyNumberFormat="1" applyFont="1" applyFill="1" applyProtection="1"/>
    <xf numFmtId="184" fontId="5" fillId="0" borderId="0" xfId="1" applyNumberFormat="1" applyFont="1" applyFill="1" applyProtection="1"/>
    <xf numFmtId="184" fontId="5" fillId="0" borderId="0" xfId="1" applyNumberFormat="1" applyFont="1" applyFill="1"/>
    <xf numFmtId="167" fontId="5" fillId="0" borderId="0" xfId="0" applyNumberFormat="1" applyFont="1" applyFill="1" applyBorder="1" applyProtection="1"/>
    <xf numFmtId="167" fontId="25" fillId="0" borderId="0" xfId="0" applyNumberFormat="1" applyFont="1" applyFill="1"/>
    <xf numFmtId="37" fontId="7" fillId="0" borderId="0" xfId="0" applyFont="1" applyFill="1" applyBorder="1"/>
    <xf numFmtId="167" fontId="5" fillId="0" borderId="0" xfId="2" applyNumberFormat="1" applyFont="1" applyFill="1" applyBorder="1" applyProtection="1"/>
    <xf numFmtId="184" fontId="5" fillId="0" borderId="0" xfId="0" applyNumberFormat="1" applyFont="1" applyFill="1" applyBorder="1"/>
    <xf numFmtId="184" fontId="8" fillId="0" borderId="0" xfId="2" applyNumberFormat="1" applyFont="1" applyFill="1" applyBorder="1"/>
    <xf numFmtId="184" fontId="5" fillId="0" borderId="0" xfId="2" applyNumberFormat="1" applyFont="1" applyFill="1" applyBorder="1" applyProtection="1"/>
    <xf numFmtId="37" fontId="2" fillId="0" borderId="0" xfId="0" applyFont="1" applyFill="1"/>
    <xf numFmtId="5" fontId="19" fillId="0" borderId="0" xfId="0" applyNumberFormat="1" applyFont="1" applyFill="1" applyProtection="1"/>
    <xf numFmtId="5" fontId="25" fillId="0" borderId="0" xfId="0" applyNumberFormat="1" applyFont="1" applyFill="1" applyProtection="1"/>
    <xf numFmtId="37" fontId="31" fillId="0" borderId="0" xfId="0" applyFont="1" applyFill="1"/>
    <xf numFmtId="37" fontId="23" fillId="0" borderId="0" xfId="0" applyFont="1" applyFill="1"/>
    <xf numFmtId="37" fontId="20" fillId="0" borderId="0" xfId="0" applyFont="1" applyFill="1"/>
    <xf numFmtId="37" fontId="18" fillId="0" borderId="0" xfId="0" applyFont="1" applyFill="1" applyAlignment="1">
      <alignment horizontal="left"/>
    </xf>
    <xf numFmtId="37" fontId="18" fillId="0" borderId="0" xfId="0" applyFont="1" applyFill="1"/>
    <xf numFmtId="7" fontId="4" fillId="0" borderId="0" xfId="0" applyNumberFormat="1" applyFont="1" applyFill="1" applyProtection="1"/>
    <xf numFmtId="37" fontId="21" fillId="0" borderId="0" xfId="0" applyFont="1" applyFill="1"/>
    <xf numFmtId="37" fontId="6" fillId="0" borderId="17" xfId="0" applyFont="1" applyFill="1" applyBorder="1" applyAlignment="1">
      <alignment horizontal="left"/>
    </xf>
    <xf numFmtId="37" fontId="7" fillId="0" borderId="0" xfId="0" applyFont="1" applyFill="1" applyAlignment="1">
      <alignment horizontal="center"/>
    </xf>
    <xf numFmtId="37" fontId="1" fillId="0" borderId="0" xfId="0" applyFont="1" applyFill="1"/>
    <xf numFmtId="37" fontId="6" fillId="0" borderId="10" xfId="0" applyFont="1" applyFill="1" applyBorder="1" applyAlignment="1"/>
    <xf numFmtId="37" fontId="6" fillId="0" borderId="11" xfId="0" applyFont="1" applyFill="1" applyBorder="1" applyAlignment="1"/>
    <xf numFmtId="37" fontId="5" fillId="0" borderId="11" xfId="0" applyFont="1" applyFill="1" applyBorder="1"/>
    <xf numFmtId="37" fontId="5" fillId="0" borderId="12" xfId="0" applyFont="1" applyFill="1" applyBorder="1"/>
    <xf numFmtId="37" fontId="5" fillId="0" borderId="0" xfId="0" applyFont="1" applyFill="1" applyAlignment="1">
      <alignment horizontal="centerContinuous"/>
    </xf>
    <xf numFmtId="37" fontId="7" fillId="0" borderId="0" xfId="0" quotePrefix="1" applyFont="1" applyFill="1" applyAlignment="1">
      <alignment horizontal="left"/>
    </xf>
    <xf numFmtId="37" fontId="5" fillId="0" borderId="0" xfId="0" applyFont="1" applyFill="1" applyBorder="1" applyAlignment="1">
      <alignment horizontal="left"/>
    </xf>
    <xf numFmtId="172" fontId="5" fillId="0" borderId="18" xfId="2" applyNumberFormat="1" applyFont="1" applyFill="1" applyBorder="1" applyProtection="1"/>
    <xf numFmtId="166" fontId="7" fillId="0" borderId="0" xfId="0" applyNumberFormat="1" applyFont="1" applyFill="1" applyAlignment="1" applyProtection="1">
      <alignment horizontal="center"/>
    </xf>
    <xf numFmtId="167" fontId="5" fillId="0" borderId="14" xfId="0" applyNumberFormat="1" applyFont="1" applyFill="1" applyBorder="1"/>
    <xf numFmtId="172" fontId="5" fillId="0" borderId="13" xfId="2" applyNumberFormat="1" applyFont="1" applyFill="1" applyBorder="1" applyProtection="1"/>
    <xf numFmtId="37" fontId="5" fillId="0" borderId="0" xfId="0" applyFont="1" applyFill="1" applyProtection="1">
      <protection hidden="1"/>
    </xf>
    <xf numFmtId="172" fontId="5" fillId="0" borderId="18" xfId="2" applyNumberFormat="1" applyFont="1" applyFill="1" applyBorder="1" applyProtection="1">
      <protection hidden="1"/>
    </xf>
    <xf numFmtId="37" fontId="15" fillId="0" borderId="10" xfId="0" applyFont="1" applyFill="1" applyBorder="1" applyAlignment="1">
      <alignment horizontal="left"/>
    </xf>
    <xf numFmtId="37" fontId="15" fillId="0" borderId="11" xfId="0" applyFont="1" applyFill="1" applyBorder="1" applyAlignment="1">
      <alignment horizontal="centerContinuous"/>
    </xf>
    <xf numFmtId="37" fontId="15" fillId="0" borderId="12" xfId="0" applyFont="1" applyFill="1" applyBorder="1" applyAlignment="1">
      <alignment horizontal="centerContinuous"/>
    </xf>
    <xf numFmtId="37" fontId="15" fillId="0" borderId="0" xfId="0" applyFont="1" applyFill="1" applyBorder="1" applyAlignment="1">
      <alignment horizontal="centerContinuous"/>
    </xf>
    <xf numFmtId="37" fontId="7" fillId="0" borderId="0" xfId="0" applyFont="1" applyFill="1" applyAlignment="1">
      <alignment horizontal="right"/>
    </xf>
    <xf numFmtId="37" fontId="7" fillId="0" borderId="0" xfId="0" applyFont="1" applyFill="1"/>
    <xf numFmtId="167" fontId="5" fillId="0" borderId="0" xfId="0" applyNumberFormat="1" applyFont="1" applyFill="1" applyAlignment="1"/>
    <xf numFmtId="167" fontId="5" fillId="0" borderId="0" xfId="0" applyNumberFormat="1" applyFont="1" applyFill="1" applyAlignment="1">
      <alignment horizontal="center"/>
    </xf>
    <xf numFmtId="166" fontId="5" fillId="0" borderId="0" xfId="0" applyNumberFormat="1" applyFont="1" applyFill="1" applyBorder="1" applyProtection="1">
      <protection hidden="1"/>
    </xf>
    <xf numFmtId="167" fontId="2" fillId="0" borderId="0" xfId="0" applyNumberFormat="1" applyFont="1" applyFill="1" applyAlignment="1">
      <alignment horizontal="center"/>
    </xf>
    <xf numFmtId="15" fontId="12" fillId="0" borderId="0" xfId="0" applyNumberFormat="1" applyFont="1" applyFill="1"/>
    <xf numFmtId="18" fontId="12" fillId="0" borderId="0" xfId="0" applyNumberFormat="1" applyFont="1" applyFill="1"/>
    <xf numFmtId="37" fontId="13" fillId="0" borderId="0" xfId="0" applyFont="1" applyFill="1" applyProtection="1">
      <protection locked="0"/>
    </xf>
    <xf numFmtId="167" fontId="10" fillId="0" borderId="0" xfId="1" applyNumberFormat="1" applyFont="1" applyFill="1"/>
    <xf numFmtId="167" fontId="11" fillId="0" borderId="0" xfId="0" applyNumberFormat="1" applyFont="1" applyFill="1" applyBorder="1"/>
    <xf numFmtId="167" fontId="5" fillId="0" borderId="0" xfId="1" applyNumberFormat="1" applyFont="1" applyFill="1"/>
    <xf numFmtId="37" fontId="53" fillId="0" borderId="3" xfId="0" applyFont="1" applyFill="1" applyBorder="1" applyAlignment="1">
      <alignment horizontal="center"/>
    </xf>
    <xf numFmtId="37" fontId="57" fillId="0" borderId="2" xfId="0" applyFont="1" applyFill="1" applyBorder="1"/>
    <xf numFmtId="167" fontId="53" fillId="0" borderId="2" xfId="0" applyNumberFormat="1" applyFont="1" applyFill="1" applyBorder="1" applyAlignment="1">
      <alignment horizontal="center"/>
    </xf>
    <xf numFmtId="37" fontId="53" fillId="0" borderId="2" xfId="0" applyFont="1" applyFill="1" applyBorder="1"/>
    <xf numFmtId="167" fontId="53" fillId="0" borderId="5" xfId="0" applyNumberFormat="1" applyFont="1" applyFill="1" applyBorder="1" applyAlignment="1">
      <alignment horizontal="center"/>
    </xf>
    <xf numFmtId="37" fontId="55" fillId="0" borderId="2" xfId="0" applyFont="1" applyFill="1" applyBorder="1"/>
    <xf numFmtId="37" fontId="55" fillId="0" borderId="5" xfId="0" applyFont="1" applyFill="1" applyBorder="1"/>
    <xf numFmtId="7" fontId="53" fillId="0" borderId="4" xfId="0" applyNumberFormat="1" applyFont="1" applyFill="1" applyBorder="1" applyAlignment="1" applyProtection="1">
      <alignment horizontal="center"/>
    </xf>
    <xf numFmtId="7" fontId="57" fillId="0" borderId="0" xfId="0" applyNumberFormat="1" applyFont="1" applyFill="1" applyBorder="1" applyProtection="1"/>
    <xf numFmtId="37" fontId="53" fillId="0" borderId="0" xfId="0" applyFont="1" applyFill="1" applyBorder="1" applyAlignment="1">
      <alignment horizontal="center"/>
    </xf>
    <xf numFmtId="37" fontId="53" fillId="0" borderId="0" xfId="0" applyFont="1" applyFill="1" applyBorder="1"/>
    <xf numFmtId="37" fontId="53" fillId="0" borderId="6" xfId="0" applyFont="1" applyFill="1" applyBorder="1" applyAlignment="1">
      <alignment horizontal="center"/>
    </xf>
    <xf numFmtId="37" fontId="53" fillId="0" borderId="4" xfId="0" applyFont="1" applyFill="1" applyBorder="1" applyAlignment="1">
      <alignment horizontal="center"/>
    </xf>
    <xf numFmtId="37" fontId="53" fillId="0" borderId="7" xfId="0" applyFont="1" applyFill="1" applyBorder="1" applyAlignment="1">
      <alignment horizontal="center"/>
    </xf>
    <xf numFmtId="37" fontId="53" fillId="0" borderId="8" xfId="0" applyFont="1" applyFill="1" applyBorder="1" applyAlignment="1">
      <alignment horizontal="center"/>
    </xf>
    <xf numFmtId="37" fontId="55" fillId="0" borderId="8" xfId="0" applyFont="1" applyFill="1" applyBorder="1"/>
    <xf numFmtId="37" fontId="53" fillId="0" borderId="9" xfId="0" applyFont="1" applyFill="1" applyBorder="1" applyAlignment="1">
      <alignment horizontal="center"/>
    </xf>
    <xf numFmtId="37" fontId="10" fillId="0" borderId="8" xfId="0" applyFont="1" applyFill="1" applyBorder="1"/>
    <xf numFmtId="178" fontId="55" fillId="0" borderId="0" xfId="2" applyNumberFormat="1" applyFont="1"/>
    <xf numFmtId="170" fontId="55" fillId="0" borderId="0" xfId="1" applyNumberFormat="1" applyFont="1"/>
    <xf numFmtId="37" fontId="5" fillId="0" borderId="0" xfId="0" applyFont="1" applyFill="1" applyAlignment="1">
      <alignment horizontal="center"/>
    </xf>
    <xf numFmtId="183" fontId="5" fillId="0" borderId="0" xfId="0" applyNumberFormat="1" applyFont="1" applyFill="1"/>
    <xf numFmtId="37" fontId="5" fillId="0" borderId="0" xfId="0" quotePrefix="1" applyFont="1" applyFill="1" applyAlignment="1">
      <alignment horizontal="left"/>
    </xf>
    <xf numFmtId="37" fontId="60" fillId="0" borderId="0" xfId="0" quotePrefix="1" applyFont="1" applyFill="1" applyAlignment="1">
      <alignment horizontal="left"/>
    </xf>
    <xf numFmtId="37" fontId="2" fillId="0" borderId="0" xfId="0" quotePrefix="1" applyFont="1" applyFill="1" applyAlignment="1">
      <alignment horizontal="left"/>
    </xf>
    <xf numFmtId="37" fontId="61" fillId="0" borderId="0" xfId="0" applyFont="1" applyFill="1"/>
    <xf numFmtId="166" fontId="62" fillId="0" borderId="0" xfId="1" applyNumberFormat="1" applyFont="1" applyFill="1" applyBorder="1" applyProtection="1"/>
    <xf numFmtId="166" fontId="5" fillId="0" borderId="0" xfId="1" applyNumberFormat="1" applyFont="1" applyFill="1" applyBorder="1" applyProtection="1"/>
    <xf numFmtId="167" fontId="63" fillId="0" borderId="0" xfId="0" applyNumberFormat="1" applyFont="1" applyFill="1"/>
    <xf numFmtId="174" fontId="49" fillId="0" borderId="0" xfId="2" applyNumberFormat="1" applyFont="1" applyProtection="1"/>
    <xf numFmtId="174" fontId="49" fillId="0" borderId="0" xfId="0" applyNumberFormat="1" applyFont="1"/>
    <xf numFmtId="174" fontId="49" fillId="0" borderId="14" xfId="2" applyNumberFormat="1" applyFont="1" applyBorder="1" applyProtection="1"/>
    <xf numFmtId="37" fontId="46" fillId="0" borderId="0" xfId="0" applyFont="1" applyBorder="1"/>
    <xf numFmtId="172" fontId="50" fillId="0" borderId="1" xfId="2" applyNumberFormat="1" applyFont="1" applyBorder="1" applyProtection="1"/>
    <xf numFmtId="37" fontId="39" fillId="0" borderId="0" xfId="0" applyFont="1" applyBorder="1" applyAlignment="1">
      <alignment horizontal="left"/>
    </xf>
    <xf numFmtId="37" fontId="64" fillId="0" borderId="0" xfId="0" applyFont="1" applyBorder="1" applyAlignment="1">
      <alignment horizontal="center"/>
    </xf>
    <xf numFmtId="37" fontId="65" fillId="0" borderId="0" xfId="0" applyFont="1" applyAlignment="1">
      <alignment horizontal="center"/>
    </xf>
    <xf numFmtId="37" fontId="65" fillId="0" borderId="14" xfId="0" applyFont="1" applyBorder="1" applyAlignment="1">
      <alignment horizontal="center"/>
    </xf>
    <xf numFmtId="43" fontId="55" fillId="0" borderId="0" xfId="1" applyFont="1"/>
    <xf numFmtId="43" fontId="56" fillId="0" borderId="0" xfId="1" applyFont="1" applyBorder="1"/>
    <xf numFmtId="172" fontId="56" fillId="0" borderId="0" xfId="2" applyNumberFormat="1" applyFont="1"/>
    <xf numFmtId="186" fontId="56" fillId="0" borderId="0" xfId="1" applyNumberFormat="1" applyFont="1" applyFill="1"/>
    <xf numFmtId="186" fontId="55" fillId="0" borderId="0" xfId="1" applyNumberFormat="1" applyFont="1"/>
    <xf numFmtId="170" fontId="56" fillId="0" borderId="14" xfId="1" applyNumberFormat="1" applyFont="1" applyBorder="1"/>
    <xf numFmtId="170" fontId="56" fillId="0" borderId="0" xfId="1" applyNumberFormat="1" applyFont="1"/>
    <xf numFmtId="178" fontId="69" fillId="0" borderId="0" xfId="2" applyNumberFormat="1" applyFont="1"/>
    <xf numFmtId="170" fontId="56" fillId="0" borderId="0" xfId="1" applyNumberFormat="1" applyFont="1" applyBorder="1"/>
    <xf numFmtId="186" fontId="69" fillId="0" borderId="0" xfId="1" applyNumberFormat="1" applyFont="1" applyBorder="1"/>
    <xf numFmtId="186" fontId="69" fillId="0" borderId="0" xfId="1" applyNumberFormat="1" applyFont="1"/>
    <xf numFmtId="172" fontId="56" fillId="0" borderId="14" xfId="2" applyNumberFormat="1" applyFont="1" applyBorder="1"/>
    <xf numFmtId="170" fontId="70" fillId="0" borderId="0" xfId="1" applyNumberFormat="1" applyFont="1" applyBorder="1"/>
    <xf numFmtId="186" fontId="55" fillId="0" borderId="14" xfId="1" applyNumberFormat="1" applyFont="1" applyBorder="1"/>
    <xf numFmtId="170" fontId="53" fillId="0" borderId="0" xfId="1" applyNumberFormat="1" applyFont="1" applyBorder="1"/>
    <xf numFmtId="170" fontId="53" fillId="0" borderId="14" xfId="1" applyNumberFormat="1" applyFont="1" applyBorder="1"/>
    <xf numFmtId="186" fontId="56" fillId="0" borderId="0" xfId="1" applyNumberFormat="1" applyFont="1"/>
    <xf numFmtId="44" fontId="56" fillId="0" borderId="13" xfId="2" applyFont="1" applyBorder="1"/>
    <xf numFmtId="178" fontId="56" fillId="0" borderId="0" xfId="2" applyNumberFormat="1" applyFont="1"/>
    <xf numFmtId="178" fontId="71" fillId="0" borderId="0" xfId="2" applyNumberFormat="1" applyFont="1"/>
    <xf numFmtId="186" fontId="55" fillId="0" borderId="0" xfId="1" applyNumberFormat="1" applyFont="1" applyBorder="1"/>
    <xf numFmtId="43" fontId="56" fillId="0" borderId="0" xfId="1" applyFont="1"/>
    <xf numFmtId="44" fontId="56" fillId="0" borderId="0" xfId="2" applyFont="1" applyBorder="1"/>
    <xf numFmtId="178" fontId="56" fillId="3" borderId="15" xfId="2" applyNumberFormat="1" applyFont="1" applyFill="1" applyBorder="1"/>
    <xf numFmtId="178" fontId="56" fillId="3" borderId="19" xfId="2" applyNumberFormat="1" applyFont="1" applyFill="1" applyBorder="1"/>
    <xf numFmtId="188" fontId="56" fillId="0" borderId="0" xfId="3" applyNumberFormat="1" applyFont="1" applyAlignment="1" applyProtection="1">
      <alignment horizontal="centerContinuous"/>
    </xf>
    <xf numFmtId="188" fontId="55" fillId="0" borderId="0" xfId="3" applyNumberFormat="1" applyFont="1" applyAlignment="1" applyProtection="1">
      <alignment horizontal="centerContinuous"/>
    </xf>
    <xf numFmtId="188" fontId="22" fillId="0" borderId="0" xfId="3" applyNumberFormat="1" applyFont="1" applyAlignment="1" applyProtection="1">
      <alignment horizontal="centerContinuous"/>
    </xf>
    <xf numFmtId="188" fontId="66" fillId="0" borderId="0" xfId="3" applyNumberFormat="1" applyFont="1" applyAlignment="1" applyProtection="1">
      <alignment horizontal="centerContinuous"/>
    </xf>
    <xf numFmtId="188" fontId="55" fillId="0" borderId="0" xfId="3" applyFont="1"/>
    <xf numFmtId="188" fontId="55" fillId="0" borderId="0" xfId="3" applyFont="1" applyAlignment="1">
      <alignment horizontal="centerContinuous"/>
    </xf>
    <xf numFmtId="188" fontId="66" fillId="0" borderId="0" xfId="3" applyFont="1" applyAlignment="1">
      <alignment horizontal="centerContinuous"/>
    </xf>
    <xf numFmtId="188" fontId="56" fillId="0" borderId="0" xfId="3" quotePrefix="1" applyNumberFormat="1" applyFont="1" applyAlignment="1" applyProtection="1">
      <alignment horizontal="centerContinuous"/>
    </xf>
    <xf numFmtId="188" fontId="56" fillId="0" borderId="0" xfId="3" applyFont="1" applyAlignment="1">
      <alignment horizontal="center"/>
    </xf>
    <xf numFmtId="188" fontId="55" fillId="0" borderId="0" xfId="3" applyFont="1" applyAlignment="1">
      <alignment horizontal="center"/>
    </xf>
    <xf numFmtId="188" fontId="67" fillId="0" borderId="0" xfId="3" applyFont="1"/>
    <xf numFmtId="188" fontId="68" fillId="0" borderId="0" xfId="3" applyNumberFormat="1" applyFont="1" applyAlignment="1" applyProtection="1">
      <alignment horizontal="center"/>
    </xf>
    <xf numFmtId="188" fontId="56" fillId="0" borderId="0" xfId="3" applyFont="1"/>
    <xf numFmtId="188" fontId="56" fillId="0" borderId="0" xfId="3" applyFont="1" applyBorder="1"/>
    <xf numFmtId="188" fontId="68" fillId="0" borderId="0" xfId="3" applyFont="1" applyAlignment="1">
      <alignment horizontal="center"/>
    </xf>
    <xf numFmtId="188" fontId="56" fillId="0" borderId="14" xfId="3" applyFont="1" applyBorder="1" applyAlignment="1">
      <alignment horizontal="center"/>
    </xf>
    <xf numFmtId="188" fontId="68" fillId="0" borderId="0" xfId="3" quotePrefix="1" applyNumberFormat="1" applyFont="1" applyAlignment="1" applyProtection="1">
      <alignment horizontal="center"/>
    </xf>
    <xf numFmtId="188" fontId="55" fillId="0" borderId="0" xfId="3" applyFont="1" applyAlignment="1">
      <alignment horizontal="left"/>
    </xf>
    <xf numFmtId="188" fontId="56" fillId="0" borderId="0" xfId="3" applyFont="1" applyAlignment="1">
      <alignment horizontal="left"/>
    </xf>
    <xf numFmtId="188" fontId="56" fillId="0" borderId="0" xfId="3" quotePrefix="1" applyFont="1" applyAlignment="1">
      <alignment horizontal="center"/>
    </xf>
    <xf numFmtId="188" fontId="10" fillId="0" borderId="0" xfId="3" applyFont="1"/>
    <xf numFmtId="188" fontId="53" fillId="0" borderId="0" xfId="3" applyFont="1"/>
    <xf numFmtId="178" fontId="55" fillId="0" borderId="0" xfId="3" applyNumberFormat="1" applyFont="1"/>
    <xf numFmtId="188" fontId="56" fillId="0" borderId="0" xfId="3" quotePrefix="1" applyFont="1" applyAlignment="1">
      <alignment horizontal="left"/>
    </xf>
    <xf numFmtId="188" fontId="56" fillId="0" borderId="0" xfId="3" applyFont="1" applyAlignment="1">
      <alignment horizontal="right"/>
    </xf>
    <xf numFmtId="188" fontId="56" fillId="3" borderId="20" xfId="3" applyFont="1" applyFill="1" applyBorder="1"/>
    <xf numFmtId="188" fontId="56" fillId="3" borderId="15" xfId="3" applyFont="1" applyFill="1" applyBorder="1"/>
    <xf numFmtId="188" fontId="56" fillId="0" borderId="14" xfId="3" applyFont="1" applyBorder="1"/>
    <xf numFmtId="167" fontId="55" fillId="0" borderId="0" xfId="3" applyNumberFormat="1" applyFont="1"/>
    <xf numFmtId="188" fontId="55" fillId="0" borderId="0" xfId="3" applyFont="1" applyBorder="1"/>
    <xf numFmtId="167" fontId="59" fillId="0" borderId="0" xfId="3" applyNumberFormat="1" applyFont="1"/>
    <xf numFmtId="188" fontId="68" fillId="0" borderId="0" xfId="3" applyFont="1" applyAlignment="1">
      <alignment horizontal="right"/>
    </xf>
    <xf numFmtId="43" fontId="55" fillId="0" borderId="0" xfId="1" applyNumberFormat="1" applyFont="1" applyBorder="1"/>
    <xf numFmtId="44" fontId="1" fillId="0" borderId="0" xfId="2" applyFont="1" applyFill="1"/>
    <xf numFmtId="43" fontId="55" fillId="0" borderId="0" xfId="1" applyFont="1" applyBorder="1"/>
    <xf numFmtId="188" fontId="72" fillId="0" borderId="0" xfId="3" applyNumberFormat="1" applyFont="1" applyAlignment="1" applyProtection="1">
      <alignment horizontal="centerContinuous"/>
    </xf>
    <xf numFmtId="188" fontId="56" fillId="4" borderId="0" xfId="3" applyFont="1" applyFill="1" applyAlignment="1">
      <alignment horizontal="left"/>
    </xf>
    <xf numFmtId="188" fontId="55" fillId="4" borderId="0" xfId="3" applyFont="1" applyFill="1"/>
    <xf numFmtId="188" fontId="56" fillId="4" borderId="0" xfId="3" applyFont="1" applyFill="1"/>
    <xf numFmtId="178" fontId="55" fillId="4" borderId="0" xfId="2" applyNumberFormat="1" applyFont="1" applyFill="1"/>
    <xf numFmtId="178" fontId="69" fillId="4" borderId="0" xfId="2" applyNumberFormat="1" applyFont="1" applyFill="1"/>
    <xf numFmtId="186" fontId="69" fillId="4" borderId="0" xfId="1" applyNumberFormat="1" applyFont="1" applyFill="1"/>
    <xf numFmtId="37" fontId="73" fillId="0" borderId="0" xfId="0" applyFont="1" applyFill="1"/>
    <xf numFmtId="165" fontId="5" fillId="0" borderId="0" xfId="0" quotePrefix="1" applyNumberFormat="1" applyFont="1" applyFill="1" applyAlignment="1" applyProtection="1">
      <alignment horizontal="left"/>
    </xf>
    <xf numFmtId="0" fontId="5" fillId="0" borderId="0" xfId="0" quotePrefix="1" applyNumberFormat="1" applyFont="1" applyFill="1" applyAlignment="1" applyProtection="1">
      <alignment horizontal="left"/>
    </xf>
    <xf numFmtId="37" fontId="6" fillId="0" borderId="0" xfId="0" applyFont="1" applyFill="1" applyBorder="1" applyAlignment="1">
      <alignment horizontal="center"/>
    </xf>
    <xf numFmtId="37" fontId="36" fillId="0" borderId="8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2001_Weekly Vol_Price_Var" xfId="3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FGT%20Finance/HBAKER/2001_Weekly%20Vol_Price_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S_01"/>
      <sheetName val="Vol2001"/>
      <sheetName val="Vol_02"/>
      <sheetName val="Vol_03"/>
      <sheetName val="Vol_04"/>
      <sheetName val="RevS_01"/>
      <sheetName val="Rev_02"/>
      <sheetName val="Rev_03"/>
      <sheetName val="Rev_04"/>
      <sheetName val="Rev2001"/>
      <sheetName val="VolPlan"/>
      <sheetName val="RevPlan"/>
      <sheetName val="Price01_01"/>
      <sheetName val="Vol01_01"/>
      <sheetName val="January"/>
      <sheetName val="February"/>
      <sheetName val="February ytd"/>
      <sheetName val="March"/>
      <sheetName val="March YTD"/>
      <sheetName val="April"/>
      <sheetName val="April YTD"/>
      <sheetName val="May"/>
      <sheetName val="May YTD"/>
      <sheetName val="June"/>
      <sheetName val="June YTD"/>
      <sheetName val="2nd Qtr"/>
      <sheetName val="July"/>
      <sheetName val="July YTD"/>
      <sheetName val="August"/>
      <sheetName val="August YTD"/>
      <sheetName val="September"/>
      <sheetName val="September YTD"/>
      <sheetName val="3Rd Qtr"/>
      <sheetName val="October"/>
      <sheetName val="October YTD"/>
      <sheetName val="November"/>
      <sheetName val="November YTD"/>
      <sheetName val="December"/>
      <sheetName val="December YTD"/>
      <sheetName val="4TH Qtr"/>
      <sheetName val="2001VarN"/>
      <sheetName val="Vol2002"/>
      <sheetName val="Rev2002"/>
      <sheetName val="Vol2003"/>
      <sheetName val="Rev2003"/>
      <sheetName val="Vol2004"/>
      <sheetName val="Rev2004"/>
      <sheetName val="Vol2005"/>
      <sheetName val="Rev20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3">
          <cell r="M13">
            <v>10196.925741000001</v>
          </cell>
          <cell r="O13">
            <v>10135.127934</v>
          </cell>
        </row>
        <row r="14">
          <cell r="M14">
            <v>6349.4422259999992</v>
          </cell>
          <cell r="O14">
            <v>6433.0683659999995</v>
          </cell>
        </row>
        <row r="15">
          <cell r="M15">
            <v>4390.8</v>
          </cell>
          <cell r="O15">
            <v>4390.8</v>
          </cell>
        </row>
        <row r="16">
          <cell r="M16">
            <v>1515.1103999999998</v>
          </cell>
          <cell r="O16">
            <v>109.17360000000001</v>
          </cell>
        </row>
        <row r="17">
          <cell r="M17">
            <v>2024.6620499999999</v>
          </cell>
          <cell r="O17">
            <v>1137.3820499999999</v>
          </cell>
        </row>
        <row r="18">
          <cell r="M18">
            <v>2195.4</v>
          </cell>
          <cell r="O18">
            <v>5598.27</v>
          </cell>
        </row>
        <row r="21">
          <cell r="M21">
            <v>158.3655</v>
          </cell>
          <cell r="O21">
            <v>187.88850000000002</v>
          </cell>
        </row>
        <row r="22">
          <cell r="M22">
            <v>50.391899999999993</v>
          </cell>
          <cell r="O22">
            <v>66.946709999999996</v>
          </cell>
        </row>
        <row r="26">
          <cell r="M26">
            <v>890.88721799999996</v>
          </cell>
          <cell r="O26">
            <v>610.87251599999991</v>
          </cell>
        </row>
        <row r="27">
          <cell r="M27">
            <v>229.55834400000001</v>
          </cell>
          <cell r="O27">
            <v>197.68314000000001</v>
          </cell>
        </row>
        <row r="28">
          <cell r="M28">
            <v>40.198368000000002</v>
          </cell>
          <cell r="O28">
            <v>11.681232000000003</v>
          </cell>
        </row>
        <row r="29">
          <cell r="M29">
            <v>40.41657</v>
          </cell>
          <cell r="O29">
            <v>22.5661275</v>
          </cell>
        </row>
        <row r="30">
          <cell r="M30">
            <v>49.2</v>
          </cell>
          <cell r="O30">
            <v>99.756000000000014</v>
          </cell>
        </row>
        <row r="33">
          <cell r="M33">
            <v>0.60122399999999987</v>
          </cell>
          <cell r="O33">
            <v>0.46247999999999995</v>
          </cell>
        </row>
        <row r="34">
          <cell r="M34">
            <v>46.584000000000003</v>
          </cell>
          <cell r="O34">
            <v>30.6</v>
          </cell>
        </row>
        <row r="35">
          <cell r="M35">
            <v>867.19617599999992</v>
          </cell>
          <cell r="O35">
            <v>24.48</v>
          </cell>
        </row>
        <row r="37">
          <cell r="M37">
            <v>108.45224999999998</v>
          </cell>
          <cell r="O37">
            <v>81.653400000000005</v>
          </cell>
        </row>
        <row r="38">
          <cell r="M38">
            <v>15.35472</v>
          </cell>
          <cell r="O38">
            <v>18.711359999999999</v>
          </cell>
        </row>
      </sheetData>
      <sheetData sheetId="10"/>
      <sheetData sheetId="11">
        <row r="13">
          <cell r="M13">
            <v>10197.135900000001</v>
          </cell>
          <cell r="O13">
            <v>10135.194300000001</v>
          </cell>
        </row>
        <row r="14">
          <cell r="M14">
            <v>6349.4422259999992</v>
          </cell>
          <cell r="O14">
            <v>6432.78</v>
          </cell>
        </row>
        <row r="15">
          <cell r="M15">
            <v>4390.8</v>
          </cell>
          <cell r="O15">
            <v>4390.8</v>
          </cell>
        </row>
        <row r="16">
          <cell r="M16">
            <v>1515.1103999999998</v>
          </cell>
          <cell r="O16">
            <v>109.17360000000001</v>
          </cell>
        </row>
        <row r="17">
          <cell r="M17">
            <v>2024.6620499999999</v>
          </cell>
          <cell r="O17">
            <v>1137.3820499999999</v>
          </cell>
        </row>
        <row r="18">
          <cell r="M18">
            <v>2195.4</v>
          </cell>
          <cell r="O18">
            <v>5598.27</v>
          </cell>
        </row>
        <row r="21">
          <cell r="M21">
            <v>158.4</v>
          </cell>
          <cell r="O21">
            <v>187.95000000000002</v>
          </cell>
        </row>
        <row r="22">
          <cell r="M22">
            <v>50.391899999999993</v>
          </cell>
          <cell r="O22">
            <v>66.946709999999996</v>
          </cell>
        </row>
        <row r="26">
          <cell r="M26">
            <v>918.73379999999997</v>
          </cell>
          <cell r="O26">
            <v>494.50500000000005</v>
          </cell>
        </row>
        <row r="27">
          <cell r="M27">
            <v>232.27320000000003</v>
          </cell>
          <cell r="O27">
            <v>213.83969999999999</v>
          </cell>
        </row>
        <row r="28">
          <cell r="M28">
            <v>40.294800000000002</v>
          </cell>
          <cell r="O28">
            <v>9.7799999999999994</v>
          </cell>
        </row>
        <row r="29">
          <cell r="M29">
            <v>40.41657</v>
          </cell>
          <cell r="O29">
            <v>22.566127499999997</v>
          </cell>
        </row>
        <row r="30">
          <cell r="M30">
            <v>49.2</v>
          </cell>
          <cell r="O30">
            <v>99.755999999999986</v>
          </cell>
        </row>
        <row r="33">
          <cell r="M33">
            <v>2.3123999999999998</v>
          </cell>
          <cell r="O33">
            <v>59.937407999999998</v>
          </cell>
        </row>
        <row r="34">
          <cell r="M34">
            <v>15</v>
          </cell>
          <cell r="O34">
            <v>30.6</v>
          </cell>
        </row>
        <row r="35">
          <cell r="M35">
            <v>449.28000000000003</v>
          </cell>
          <cell r="O35">
            <v>5.9999999999999973</v>
          </cell>
        </row>
        <row r="37">
          <cell r="M37">
            <v>90.54</v>
          </cell>
          <cell r="O37">
            <v>97.2</v>
          </cell>
        </row>
        <row r="38">
          <cell r="M38">
            <v>16.181999999999999</v>
          </cell>
          <cell r="O38">
            <v>20.286000000000001</v>
          </cell>
        </row>
      </sheetData>
      <sheetData sheetId="12">
        <row r="13">
          <cell r="M13">
            <v>0</v>
          </cell>
          <cell r="O13">
            <v>0</v>
          </cell>
        </row>
        <row r="14">
          <cell r="M14">
            <v>0</v>
          </cell>
          <cell r="O14">
            <v>0</v>
          </cell>
        </row>
        <row r="15">
          <cell r="M15">
            <v>0</v>
          </cell>
          <cell r="O15">
            <v>0</v>
          </cell>
        </row>
        <row r="16">
          <cell r="M16">
            <v>0</v>
          </cell>
          <cell r="O16">
            <v>0</v>
          </cell>
        </row>
        <row r="17">
          <cell r="M17">
            <v>0</v>
          </cell>
          <cell r="O17">
            <v>0</v>
          </cell>
        </row>
        <row r="18">
          <cell r="M18">
            <v>0</v>
          </cell>
          <cell r="O18">
            <v>0</v>
          </cell>
        </row>
        <row r="21">
          <cell r="M21">
            <v>0</v>
          </cell>
          <cell r="O21">
            <v>0</v>
          </cell>
        </row>
        <row r="22">
          <cell r="M22">
            <v>0</v>
          </cell>
          <cell r="O22">
            <v>0</v>
          </cell>
        </row>
        <row r="26">
          <cell r="M26">
            <v>0</v>
          </cell>
          <cell r="O26">
            <v>0</v>
          </cell>
        </row>
        <row r="27">
          <cell r="M27">
            <v>0</v>
          </cell>
          <cell r="O27">
            <v>0</v>
          </cell>
        </row>
        <row r="28">
          <cell r="M28">
            <v>0</v>
          </cell>
          <cell r="O28">
            <v>0</v>
          </cell>
        </row>
        <row r="29">
          <cell r="M29">
            <v>0</v>
          </cell>
        </row>
        <row r="30">
          <cell r="M30">
            <v>0</v>
          </cell>
          <cell r="O30">
            <v>0</v>
          </cell>
        </row>
        <row r="31">
          <cell r="M31">
            <v>0</v>
          </cell>
          <cell r="O31">
            <v>0</v>
          </cell>
        </row>
        <row r="34">
          <cell r="M34">
            <v>0</v>
          </cell>
          <cell r="O34">
            <v>0</v>
          </cell>
        </row>
        <row r="35">
          <cell r="M35">
            <v>15</v>
          </cell>
          <cell r="O35">
            <v>0</v>
          </cell>
        </row>
        <row r="36">
          <cell r="M36">
            <v>8.7047999999999774</v>
          </cell>
          <cell r="O36">
            <v>6.0000000000000036</v>
          </cell>
        </row>
        <row r="37">
          <cell r="M37">
            <v>12.050249999999993</v>
          </cell>
          <cell r="O37">
            <v>0</v>
          </cell>
        </row>
        <row r="38">
          <cell r="M38">
            <v>0</v>
          </cell>
          <cell r="O38">
            <v>0</v>
          </cell>
        </row>
      </sheetData>
      <sheetData sheetId="13">
        <row r="13">
          <cell r="M13">
            <v>-0.21015900000006038</v>
          </cell>
          <cell r="O13">
            <v>-6.6365999999688147E-2</v>
          </cell>
        </row>
        <row r="14">
          <cell r="M14">
            <v>0</v>
          </cell>
          <cell r="O14">
            <v>0.28836599999948553</v>
          </cell>
        </row>
        <row r="15">
          <cell r="M15">
            <v>0</v>
          </cell>
          <cell r="O15">
            <v>0</v>
          </cell>
        </row>
        <row r="16">
          <cell r="M16">
            <v>0</v>
          </cell>
          <cell r="O16">
            <v>0</v>
          </cell>
        </row>
        <row r="17">
          <cell r="M17">
            <v>0</v>
          </cell>
          <cell r="O17">
            <v>0</v>
          </cell>
        </row>
        <row r="18">
          <cell r="M18">
            <v>0</v>
          </cell>
          <cell r="O18">
            <v>0</v>
          </cell>
        </row>
        <row r="21">
          <cell r="M21">
            <v>-3.4499999999994202E-2</v>
          </cell>
          <cell r="O21">
            <v>-6.1499999999995225E-2</v>
          </cell>
        </row>
        <row r="22">
          <cell r="M22">
            <v>0</v>
          </cell>
          <cell r="O22">
            <v>0</v>
          </cell>
        </row>
        <row r="26">
          <cell r="M26">
            <v>-27.846581999999938</v>
          </cell>
          <cell r="O26">
            <v>116.36751600000004</v>
          </cell>
        </row>
        <row r="27">
          <cell r="M27">
            <v>-2.7148560000000144</v>
          </cell>
          <cell r="O27">
            <v>-16.156560000000013</v>
          </cell>
        </row>
        <row r="28">
          <cell r="M28">
            <v>0</v>
          </cell>
          <cell r="O28">
            <v>0</v>
          </cell>
        </row>
        <row r="29">
          <cell r="M29">
            <v>-9.6432000000005999E-2</v>
          </cell>
          <cell r="O29">
            <v>1.9012320000000009</v>
          </cell>
        </row>
        <row r="30">
          <cell r="M30">
            <v>0</v>
          </cell>
          <cell r="O30">
            <v>0</v>
          </cell>
        </row>
        <row r="31">
          <cell r="M31">
            <v>0</v>
          </cell>
          <cell r="O31">
            <v>0</v>
          </cell>
        </row>
        <row r="34">
          <cell r="M34">
            <v>-1.711176</v>
          </cell>
          <cell r="O34">
            <v>-59.474927999999991</v>
          </cell>
        </row>
        <row r="35">
          <cell r="M35">
            <v>16.584</v>
          </cell>
          <cell r="O35">
            <v>0</v>
          </cell>
        </row>
        <row r="36">
          <cell r="M36">
            <v>409.21137599999997</v>
          </cell>
          <cell r="O36">
            <v>12.479999999999999</v>
          </cell>
        </row>
        <row r="37">
          <cell r="M37">
            <v>5.8619999999999894</v>
          </cell>
          <cell r="O37">
            <v>-15.546600000000002</v>
          </cell>
        </row>
        <row r="38">
          <cell r="M38">
            <v>-0.82728000000000068</v>
          </cell>
          <cell r="O38">
            <v>-1.5746400000000011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I748"/>
  <sheetViews>
    <sheetView tabSelected="1" zoomScale="65" workbookViewId="0">
      <selection activeCell="A71" sqref="A71"/>
    </sheetView>
  </sheetViews>
  <sheetFormatPr defaultColWidth="8.81640625" defaultRowHeight="15.6" x14ac:dyDescent="0.3"/>
  <cols>
    <col min="1" max="1" width="30.6328125" style="167" customWidth="1"/>
    <col min="2" max="2" width="2.1796875" style="167" customWidth="1"/>
    <col min="3" max="3" width="6.54296875" style="167" customWidth="1"/>
    <col min="4" max="4" width="10.90625" style="167" customWidth="1"/>
    <col min="5" max="5" width="1.81640625" style="167" customWidth="1"/>
    <col min="6" max="6" width="10.90625" style="176" customWidth="1"/>
    <col min="7" max="7" width="2.36328125" style="167" customWidth="1"/>
    <col min="8" max="8" width="11" style="167" customWidth="1"/>
    <col min="9" max="9" width="2.08984375" style="167" customWidth="1"/>
    <col min="10" max="10" width="10.90625" style="176" customWidth="1"/>
    <col min="11" max="11" width="1.1796875" style="167" customWidth="1"/>
    <col min="12" max="12" width="9.6328125" style="167" customWidth="1"/>
    <col min="13" max="13" width="2.36328125" style="167" customWidth="1"/>
    <col min="14" max="14" width="9.6328125" style="176" customWidth="1"/>
    <col min="15" max="15" width="1.1796875" style="167" customWidth="1"/>
    <col min="16" max="16" width="8.81640625" style="167" customWidth="1"/>
    <col min="17" max="17" width="1.453125" customWidth="1"/>
    <col min="18" max="18" width="9" style="41" customWidth="1"/>
    <col min="19" max="19" width="3.36328125" customWidth="1"/>
    <col min="20" max="20" width="9.6328125" customWidth="1"/>
    <col min="21" max="21" width="5.81640625" customWidth="1"/>
    <col min="22" max="22" width="9.81640625" customWidth="1"/>
    <col min="23" max="23" width="5.81640625" customWidth="1"/>
    <col min="24" max="24" width="4.81640625" customWidth="1"/>
    <col min="25" max="25" width="7.81640625" customWidth="1"/>
    <col min="26" max="26" width="12.81640625" customWidth="1"/>
    <col min="27" max="28" width="9.81640625" customWidth="1"/>
    <col min="29" max="29" width="10.81640625" customWidth="1"/>
  </cols>
  <sheetData>
    <row r="1" spans="1:27" ht="15.9" customHeight="1" x14ac:dyDescent="0.35">
      <c r="A1" s="165" t="s">
        <v>0</v>
      </c>
      <c r="B1" s="27"/>
      <c r="C1" s="27"/>
      <c r="D1" s="27"/>
      <c r="E1" s="27"/>
      <c r="F1" s="166"/>
      <c r="G1" s="27"/>
      <c r="H1" s="27"/>
      <c r="I1" s="27"/>
      <c r="J1" s="276" t="s">
        <v>67</v>
      </c>
      <c r="K1" s="27"/>
      <c r="L1" s="27"/>
      <c r="M1" s="27"/>
      <c r="N1" s="27"/>
      <c r="O1" s="27"/>
      <c r="P1" s="27"/>
      <c r="Q1" s="10"/>
      <c r="R1" s="40"/>
      <c r="S1" s="10"/>
      <c r="T1" s="10"/>
    </row>
    <row r="2" spans="1:27" ht="15.9" customHeight="1" x14ac:dyDescent="0.35">
      <c r="A2" s="165" t="s">
        <v>73</v>
      </c>
      <c r="B2" s="27"/>
      <c r="C2" s="27"/>
      <c r="D2" s="27"/>
      <c r="E2" s="27"/>
      <c r="F2" s="166"/>
      <c r="G2" s="27"/>
      <c r="H2" s="27"/>
      <c r="I2" s="27"/>
      <c r="J2" s="27"/>
      <c r="K2" s="27"/>
      <c r="L2" s="276" t="s">
        <v>68</v>
      </c>
      <c r="M2" s="27"/>
      <c r="N2" s="27"/>
      <c r="O2" s="27"/>
      <c r="P2" s="27"/>
      <c r="Q2" s="10"/>
      <c r="R2"/>
      <c r="X2" s="1"/>
    </row>
    <row r="3" spans="1:27" ht="17.25" customHeight="1" x14ac:dyDescent="0.35">
      <c r="A3" s="278" t="s">
        <v>167</v>
      </c>
      <c r="B3" s="27"/>
      <c r="C3" s="27"/>
      <c r="F3" s="167"/>
      <c r="J3" s="117"/>
      <c r="K3" s="168"/>
      <c r="L3" s="27" t="s">
        <v>69</v>
      </c>
      <c r="M3" s="117"/>
      <c r="N3" s="117"/>
      <c r="O3" s="117"/>
      <c r="P3" s="117"/>
      <c r="Q3" s="22"/>
      <c r="R3"/>
      <c r="U3" s="42"/>
      <c r="V3" s="21"/>
    </row>
    <row r="4" spans="1:27" ht="17.25" customHeight="1" thickBot="1" x14ac:dyDescent="0.4">
      <c r="B4" s="27"/>
      <c r="C4" s="27"/>
      <c r="D4" s="52"/>
      <c r="E4" s="157"/>
      <c r="F4" s="158" t="s">
        <v>1</v>
      </c>
      <c r="G4" s="170"/>
      <c r="H4" s="52"/>
      <c r="I4" s="171"/>
      <c r="J4" s="172" t="s">
        <v>2</v>
      </c>
      <c r="K4" s="172"/>
      <c r="L4" s="172"/>
      <c r="M4" s="172"/>
      <c r="N4" s="172"/>
      <c r="O4" s="172"/>
      <c r="P4" s="172"/>
      <c r="R4"/>
      <c r="U4" s="2"/>
    </row>
    <row r="5" spans="1:27" ht="17.25" customHeight="1" x14ac:dyDescent="0.35">
      <c r="A5" s="173"/>
      <c r="B5" s="27"/>
      <c r="C5" s="27"/>
      <c r="D5" s="254"/>
      <c r="E5" s="255"/>
      <c r="F5" s="256"/>
      <c r="G5" s="257"/>
      <c r="H5" s="258"/>
      <c r="I5" s="174"/>
      <c r="J5" s="254"/>
      <c r="K5" s="259"/>
      <c r="L5" s="259"/>
      <c r="M5" s="259"/>
      <c r="N5" s="259"/>
      <c r="O5" s="259"/>
      <c r="P5" s="260"/>
      <c r="Q5" s="10"/>
      <c r="R5"/>
      <c r="U5" s="10"/>
      <c r="V5" s="20"/>
      <c r="W5" s="22"/>
      <c r="Z5" s="17"/>
      <c r="AA5" s="18"/>
    </row>
    <row r="6" spans="1:27" ht="14.25" customHeight="1" x14ac:dyDescent="0.35">
      <c r="A6" s="277" t="s">
        <v>188</v>
      </c>
      <c r="B6" s="27"/>
      <c r="C6" s="27"/>
      <c r="D6" s="261"/>
      <c r="E6" s="262"/>
      <c r="F6" s="263"/>
      <c r="G6" s="264"/>
      <c r="H6" s="265"/>
      <c r="I6" s="174"/>
      <c r="J6" s="266" t="s">
        <v>3</v>
      </c>
      <c r="K6" s="174"/>
      <c r="L6" s="263"/>
      <c r="M6" s="170"/>
      <c r="N6" s="263"/>
      <c r="O6" s="263"/>
      <c r="P6" s="265" t="s">
        <v>6</v>
      </c>
      <c r="Q6" s="10"/>
      <c r="R6"/>
      <c r="U6" s="11"/>
      <c r="V6" s="20"/>
      <c r="W6" s="20"/>
      <c r="Z6" s="5"/>
      <c r="AA6" s="5"/>
    </row>
    <row r="7" spans="1:27" ht="14.25" customHeight="1" thickBot="1" x14ac:dyDescent="0.4">
      <c r="A7" s="360"/>
      <c r="B7" s="27"/>
      <c r="C7" s="27"/>
      <c r="D7" s="267" t="s">
        <v>3</v>
      </c>
      <c r="E7" s="268"/>
      <c r="F7" s="268" t="s">
        <v>162</v>
      </c>
      <c r="G7" s="269"/>
      <c r="H7" s="270" t="s">
        <v>8</v>
      </c>
      <c r="I7" s="174"/>
      <c r="J7" s="267" t="s">
        <v>9</v>
      </c>
      <c r="K7" s="269"/>
      <c r="L7" s="268" t="s">
        <v>162</v>
      </c>
      <c r="M7" s="271"/>
      <c r="N7" s="268" t="s">
        <v>8</v>
      </c>
      <c r="O7" s="268"/>
      <c r="P7" s="270" t="s">
        <v>10</v>
      </c>
      <c r="Q7" s="39"/>
      <c r="R7"/>
      <c r="U7" s="39"/>
      <c r="V7" s="20"/>
      <c r="W7" s="20"/>
      <c r="Z7" s="6"/>
      <c r="AA7" s="6"/>
    </row>
    <row r="8" spans="1:27" ht="15" customHeight="1" x14ac:dyDescent="0.35">
      <c r="A8" s="27"/>
      <c r="B8" s="27"/>
      <c r="C8" s="27"/>
      <c r="D8" s="175"/>
      <c r="E8" s="175"/>
      <c r="J8" s="117"/>
      <c r="K8" s="117"/>
      <c r="L8" s="175"/>
      <c r="M8" s="27"/>
      <c r="N8" s="175"/>
      <c r="O8" s="175"/>
      <c r="P8" s="175"/>
      <c r="Q8" s="11"/>
      <c r="R8"/>
      <c r="U8" s="11"/>
      <c r="V8" s="23"/>
      <c r="W8" s="23"/>
      <c r="X8" s="23"/>
    </row>
    <row r="9" spans="1:27" ht="16.2" x14ac:dyDescent="0.35">
      <c r="A9" s="177" t="s">
        <v>11</v>
      </c>
      <c r="B9" s="27"/>
      <c r="C9" s="178"/>
      <c r="D9" s="113"/>
      <c r="E9" s="178"/>
      <c r="F9" s="179"/>
      <c r="G9" s="27"/>
      <c r="H9" s="113"/>
      <c r="I9" s="27"/>
      <c r="J9" s="113"/>
      <c r="K9" s="173"/>
      <c r="L9" s="113"/>
      <c r="M9" s="27"/>
      <c r="N9" s="113"/>
      <c r="O9" s="27"/>
      <c r="P9" s="180"/>
      <c r="Q9" s="10"/>
      <c r="R9"/>
    </row>
    <row r="10" spans="1:27" ht="16.2" x14ac:dyDescent="0.35">
      <c r="A10" s="177" t="s">
        <v>12</v>
      </c>
      <c r="B10" s="173"/>
      <c r="C10" s="181"/>
      <c r="D10" s="182">
        <v>611.5</v>
      </c>
      <c r="E10" s="350"/>
      <c r="F10" s="182">
        <v>495</v>
      </c>
      <c r="G10" s="350"/>
      <c r="H10" s="182">
        <v>652</v>
      </c>
      <c r="I10" s="173"/>
      <c r="J10" s="182">
        <f>(574.8+489.7+543+619+611.5+769.1+828.8+846+886.8+781.6+611.5)/11</f>
        <v>687.43636363636369</v>
      </c>
      <c r="K10" s="35"/>
      <c r="L10" s="182">
        <f>(574.8+489.7+543+619+611.5+769.1+828.8+846+886.8+832.2+495)/11</f>
        <v>681.44545454545448</v>
      </c>
      <c r="M10" s="27"/>
      <c r="N10" s="182">
        <f>(652+652+652+790+886.6+886.6+886.6+886.6+886.6+790+652)/11</f>
        <v>783.72727272727275</v>
      </c>
      <c r="O10" s="35"/>
      <c r="P10" s="182">
        <v>779.7</v>
      </c>
      <c r="Q10" s="32"/>
      <c r="R10" s="31"/>
      <c r="S10" s="31"/>
      <c r="T10" s="31"/>
      <c r="U10" s="31"/>
      <c r="V10" s="31"/>
    </row>
    <row r="11" spans="1:27" ht="16.2" x14ac:dyDescent="0.35">
      <c r="A11" s="177" t="s">
        <v>13</v>
      </c>
      <c r="B11" s="173"/>
      <c r="C11" s="181"/>
      <c r="D11" s="182">
        <v>678.3</v>
      </c>
      <c r="E11" s="350"/>
      <c r="F11" s="182">
        <v>707.4</v>
      </c>
      <c r="G11" s="350"/>
      <c r="H11" s="182">
        <v>765.6</v>
      </c>
      <c r="I11" s="173"/>
      <c r="J11" s="182">
        <f>(421.6+405.2+530.6+647+675.4+682.9+713.8+697.9+730.2+740.3+678.3)/11</f>
        <v>629.38181818181818</v>
      </c>
      <c r="K11" s="35"/>
      <c r="L11" s="182">
        <f>(421.6+405.2+530.6+647+675.4+682.9+713.8+697.9+730.2+717.6+707.4)/11</f>
        <v>629.96363636363628</v>
      </c>
      <c r="M11" s="27"/>
      <c r="N11" s="182">
        <f>(633+665+698+730+680+680.4+680.1+680.1+680.1+736.7+765.6)/11</f>
        <v>693.54545454545462</v>
      </c>
      <c r="O11" s="35"/>
      <c r="P11" s="182">
        <v>558.5</v>
      </c>
      <c r="Q11" s="34"/>
      <c r="R11" s="31"/>
      <c r="S11" s="31"/>
      <c r="T11" s="31"/>
      <c r="U11" s="31"/>
      <c r="V11" s="31"/>
    </row>
    <row r="12" spans="1:27" ht="16.2" x14ac:dyDescent="0.35">
      <c r="A12" s="177" t="s">
        <v>59</v>
      </c>
      <c r="B12" s="173"/>
      <c r="C12" s="181"/>
      <c r="D12" s="183">
        <v>10.199999999999999</v>
      </c>
      <c r="E12" s="350"/>
      <c r="F12" s="183">
        <v>7.6</v>
      </c>
      <c r="G12" s="350"/>
      <c r="H12" s="183">
        <v>15.6</v>
      </c>
      <c r="I12" s="173"/>
      <c r="J12" s="183">
        <f>(27.2+7.5+7.1+4.6+13.5+23+7.6+26.2+83.5+106.1+10.2)/11</f>
        <v>28.772727272727266</v>
      </c>
      <c r="K12" s="35"/>
      <c r="L12" s="183">
        <f>(27.2+7.5+7.1+4.6+13.5+23+7.6+26.2+83.5+50.2+7.6)/11</f>
        <v>23.454545454545453</v>
      </c>
      <c r="M12" s="27"/>
      <c r="N12" s="183">
        <f>(20.5+25.5+28.5+29.5+25.6+30.6+30.6+30.6+25.6+16.6+15.6)/11</f>
        <v>25.381818181818179</v>
      </c>
      <c r="O12" s="35"/>
      <c r="P12" s="183">
        <v>34</v>
      </c>
      <c r="Q12" s="34"/>
      <c r="R12" s="31"/>
      <c r="S12" s="31"/>
      <c r="T12" s="31"/>
      <c r="U12" s="31"/>
      <c r="V12" s="31"/>
    </row>
    <row r="13" spans="1:27" ht="16.2" x14ac:dyDescent="0.35">
      <c r="A13" s="177" t="s">
        <v>14</v>
      </c>
      <c r="B13" s="173"/>
      <c r="C13" s="181"/>
      <c r="D13" s="182">
        <f>SUM(D10:D12)</f>
        <v>1300</v>
      </c>
      <c r="E13" s="350"/>
      <c r="F13" s="182">
        <f>SUM(F10:F12)</f>
        <v>1210</v>
      </c>
      <c r="G13" s="350"/>
      <c r="H13" s="182">
        <f>SUM(H10:H12)</f>
        <v>1433.1999999999998</v>
      </c>
      <c r="I13" s="173"/>
      <c r="J13" s="182">
        <f>SUM(J10:J12)</f>
        <v>1345.5909090909092</v>
      </c>
      <c r="K13" s="184"/>
      <c r="L13" s="182">
        <f>SUM(L10:L12)</f>
        <v>1334.8636363636363</v>
      </c>
      <c r="M13" s="27"/>
      <c r="N13" s="182">
        <f>SUM(N10:N12)</f>
        <v>1502.6545454545458</v>
      </c>
      <c r="O13" s="184"/>
      <c r="P13" s="182">
        <f>SUM(P10:P12)</f>
        <v>1372.2</v>
      </c>
      <c r="Q13" s="33"/>
      <c r="R13" s="31"/>
      <c r="S13" s="31"/>
      <c r="T13" s="31"/>
      <c r="U13" s="31"/>
      <c r="V13" s="31"/>
    </row>
    <row r="14" spans="1:27" ht="16.2" x14ac:dyDescent="0.35">
      <c r="A14" s="177" t="s">
        <v>55</v>
      </c>
      <c r="B14" s="173"/>
      <c r="C14" s="181"/>
      <c r="D14" s="183">
        <v>245.9</v>
      </c>
      <c r="E14" s="350"/>
      <c r="F14" s="183">
        <v>274.7</v>
      </c>
      <c r="G14" s="350"/>
      <c r="H14" s="183">
        <v>172.90199999999999</v>
      </c>
      <c r="I14" s="173"/>
      <c r="J14" s="183">
        <f>(238.8+196.2+239.9+196.6+194.8+275.7+300+302.1+246+217.6+245.9)/11</f>
        <v>241.23636363636362</v>
      </c>
      <c r="K14" s="35"/>
      <c r="L14" s="183">
        <f>(238.8+196.2+239.9+196.6+194.8+275.7+300+302.1+246+200.2+274.7)/11</f>
        <v>242.27272727272722</v>
      </c>
      <c r="M14" s="27"/>
      <c r="N14" s="183">
        <v>172.90199999999999</v>
      </c>
      <c r="O14" s="35"/>
      <c r="P14" s="183">
        <v>155.4</v>
      </c>
      <c r="Q14" s="12"/>
      <c r="R14" s="31"/>
      <c r="S14" s="31"/>
      <c r="T14" s="31"/>
      <c r="U14" s="31"/>
      <c r="V14" s="31"/>
    </row>
    <row r="15" spans="1:27" ht="16.2" x14ac:dyDescent="0.35">
      <c r="A15" s="177" t="s">
        <v>56</v>
      </c>
      <c r="B15" s="27"/>
      <c r="C15" s="185"/>
      <c r="D15" s="182">
        <f>D13+D14</f>
        <v>1545.9</v>
      </c>
      <c r="E15" s="185"/>
      <c r="F15" s="182">
        <f>F13+F14</f>
        <v>1484.7</v>
      </c>
      <c r="G15" s="185"/>
      <c r="H15" s="182">
        <f>H13+H14</f>
        <v>1606.1019999999999</v>
      </c>
      <c r="I15" s="27"/>
      <c r="J15" s="182">
        <f>J13+J14</f>
        <v>1586.8272727272729</v>
      </c>
      <c r="K15" s="35"/>
      <c r="L15" s="182">
        <f>L13+L14</f>
        <v>1577.1363636363635</v>
      </c>
      <c r="M15" s="27"/>
      <c r="N15" s="182">
        <f>N13+N14</f>
        <v>1675.5565454545458</v>
      </c>
      <c r="O15" s="35"/>
      <c r="P15" s="182">
        <f>P13+P14</f>
        <v>1527.6000000000001</v>
      </c>
      <c r="Q15" s="11"/>
      <c r="R15" s="31"/>
      <c r="S15" s="31"/>
      <c r="T15" s="31"/>
      <c r="U15" s="31"/>
      <c r="V15" s="31"/>
      <c r="AA15" s="3"/>
    </row>
    <row r="16" spans="1:27" ht="16.2" x14ac:dyDescent="0.35">
      <c r="A16" s="177"/>
      <c r="B16" s="27"/>
      <c r="C16" s="185"/>
      <c r="D16" s="186"/>
      <c r="E16" s="350"/>
      <c r="F16" s="186"/>
      <c r="G16" s="185"/>
      <c r="H16" s="186"/>
      <c r="I16" s="27"/>
      <c r="J16" s="186"/>
      <c r="K16" s="173"/>
      <c r="L16" s="186"/>
      <c r="M16" s="169"/>
      <c r="N16" s="186"/>
      <c r="O16" s="27"/>
      <c r="P16" s="186"/>
      <c r="Q16" s="11"/>
      <c r="R16" s="31"/>
      <c r="S16" s="31"/>
      <c r="T16" s="31"/>
      <c r="U16" s="31"/>
      <c r="V16" s="31"/>
      <c r="AA16" s="3"/>
    </row>
    <row r="17" spans="1:28" ht="16.2" x14ac:dyDescent="0.35">
      <c r="A17" s="177" t="s">
        <v>15</v>
      </c>
      <c r="B17" s="27"/>
      <c r="C17" s="185"/>
      <c r="D17" s="187">
        <f>(11.164+17.453)/((D15*30)/1000)</f>
        <v>0.61705155572805481</v>
      </c>
      <c r="E17" s="188"/>
      <c r="F17" s="187">
        <f>(11.099+17.469)/((F15*30)/1000)</f>
        <v>0.64138658763835577</v>
      </c>
      <c r="G17" s="185"/>
      <c r="H17" s="187">
        <f>(10.921+17.361)/((H15*30)/1000)</f>
        <v>0.5869697773449839</v>
      </c>
      <c r="I17" s="27"/>
      <c r="J17" s="187">
        <f>(128.712+178.555)/((J15*334)/1000)</f>
        <v>0.57974871849988951</v>
      </c>
      <c r="K17" s="28"/>
      <c r="L17" s="187">
        <f>(178.569+128.636)/((L15*334)/1000)</f>
        <v>0.58319335620484536</v>
      </c>
      <c r="M17" s="169"/>
      <c r="N17" s="187">
        <f>(124.434+169.919)/((N15*334)/1000)</f>
        <v>0.52597234606997412</v>
      </c>
      <c r="O17" s="28"/>
      <c r="P17" s="187">
        <f>(141.518+127.746)/((P15*334)/1000)</f>
        <v>0.5277426294308476</v>
      </c>
      <c r="Q17" s="11"/>
      <c r="R17" s="31"/>
      <c r="S17" s="31"/>
      <c r="T17" s="31"/>
      <c r="U17" s="31"/>
      <c r="V17" s="31"/>
      <c r="AA17" s="3"/>
    </row>
    <row r="18" spans="1:28" ht="16.2" x14ac:dyDescent="0.35">
      <c r="A18" s="27"/>
      <c r="B18" s="27"/>
      <c r="C18" s="178"/>
      <c r="D18" s="27"/>
      <c r="E18" s="185"/>
      <c r="F18" s="27"/>
      <c r="G18" s="185"/>
      <c r="H18" s="27"/>
      <c r="I18" s="27"/>
      <c r="J18" s="27"/>
      <c r="K18" s="27"/>
      <c r="L18" s="27"/>
      <c r="M18" s="27"/>
      <c r="N18" s="27"/>
      <c r="O18" s="27"/>
      <c r="P18" s="27"/>
      <c r="Q18" s="10"/>
      <c r="R18" s="31"/>
      <c r="S18" s="31"/>
      <c r="T18" s="31"/>
      <c r="U18" s="31"/>
      <c r="V18" s="31"/>
      <c r="AA18" s="3"/>
    </row>
    <row r="19" spans="1:28" ht="16.2" hidden="1" x14ac:dyDescent="0.35">
      <c r="A19" s="177" t="s">
        <v>16</v>
      </c>
      <c r="B19" s="27"/>
      <c r="C19" s="178"/>
      <c r="D19" s="44">
        <v>0</v>
      </c>
      <c r="E19" s="50"/>
      <c r="F19" s="44">
        <v>0</v>
      </c>
      <c r="G19" s="50"/>
      <c r="H19" s="44">
        <f>11205/31</f>
        <v>361.45161290322579</v>
      </c>
      <c r="I19" s="27"/>
      <c r="J19" s="44">
        <v>0</v>
      </c>
      <c r="K19" s="35"/>
      <c r="L19" s="44">
        <v>0</v>
      </c>
      <c r="M19" s="189"/>
      <c r="N19" s="44">
        <f>(7922+7156+7922+7667+11205)/151</f>
        <v>277.29801324503313</v>
      </c>
      <c r="O19" s="35"/>
      <c r="P19" s="44">
        <f>(8705+8151+8777+8384+11412)/(152)</f>
        <v>298.875</v>
      </c>
      <c r="Q19" s="36"/>
      <c r="R19" s="31"/>
      <c r="S19" s="31"/>
      <c r="T19" s="31"/>
      <c r="U19" s="31"/>
      <c r="V19" s="31"/>
    </row>
    <row r="20" spans="1:28" ht="16.2" hidden="1" x14ac:dyDescent="0.35">
      <c r="A20" s="27"/>
      <c r="B20" s="27"/>
      <c r="C20" s="178"/>
      <c r="D20" s="52"/>
      <c r="E20" s="50"/>
      <c r="F20" s="52"/>
      <c r="G20" s="50"/>
      <c r="H20" s="52"/>
      <c r="I20" s="27"/>
      <c r="J20" s="52"/>
      <c r="K20" s="27"/>
      <c r="L20" s="52"/>
      <c r="M20" s="169"/>
      <c r="N20" s="52"/>
      <c r="O20" s="27"/>
      <c r="P20" s="52"/>
      <c r="Q20" s="11"/>
      <c r="R20" s="31"/>
      <c r="S20" s="31"/>
      <c r="T20" s="31"/>
      <c r="U20" s="31"/>
      <c r="V20" s="31"/>
      <c r="AA20" s="3"/>
    </row>
    <row r="21" spans="1:28" ht="16.2" hidden="1" x14ac:dyDescent="0.35">
      <c r="A21" s="27" t="s">
        <v>17</v>
      </c>
      <c r="B21" s="27"/>
      <c r="C21" s="178"/>
      <c r="D21" s="53">
        <v>0</v>
      </c>
      <c r="E21" s="51"/>
      <c r="F21" s="53">
        <v>0</v>
      </c>
      <c r="G21" s="50"/>
      <c r="H21" s="53">
        <f>(0.627-0.29)/(((H19)*31)/1000)</f>
        <v>3.0075858991521643E-2</v>
      </c>
      <c r="I21" s="27"/>
      <c r="J21" s="53">
        <v>0</v>
      </c>
      <c r="K21" s="28"/>
      <c r="L21" s="53">
        <v>0</v>
      </c>
      <c r="M21" s="169"/>
      <c r="N21" s="53">
        <f>(1.375-0.945)/(((N19)*151)/1000)</f>
        <v>1.0269392434084831E-2</v>
      </c>
      <c r="O21" s="28"/>
      <c r="P21" s="53">
        <f>(4.745-0.951)/(((P19)*152)/1000)</f>
        <v>8.3514935393691245E-2</v>
      </c>
      <c r="Q21" s="11"/>
      <c r="R21" s="31"/>
      <c r="S21" s="31"/>
      <c r="T21" s="31"/>
      <c r="U21" s="31"/>
      <c r="V21" s="31"/>
      <c r="AA21" s="3"/>
    </row>
    <row r="22" spans="1:28" ht="16.2" hidden="1" x14ac:dyDescent="0.35">
      <c r="A22" s="27"/>
      <c r="B22" s="27"/>
      <c r="C22" s="178"/>
      <c r="D22" s="27"/>
      <c r="E22" s="185"/>
      <c r="F22" s="27"/>
      <c r="G22" s="185"/>
      <c r="H22" s="27"/>
      <c r="I22" s="27"/>
      <c r="J22" s="27"/>
      <c r="K22" s="27"/>
      <c r="L22" s="27"/>
      <c r="M22" s="169"/>
      <c r="N22" s="27"/>
      <c r="O22" s="27"/>
      <c r="P22" s="27"/>
      <c r="Q22" s="11"/>
      <c r="R22" s="31"/>
      <c r="S22" s="31"/>
      <c r="T22" s="31"/>
      <c r="U22" s="31"/>
      <c r="V22" s="31"/>
      <c r="AA22" s="3"/>
    </row>
    <row r="23" spans="1:28" ht="16.2" x14ac:dyDescent="0.35">
      <c r="A23" s="177" t="s">
        <v>18</v>
      </c>
      <c r="B23" s="27"/>
      <c r="C23" s="178"/>
      <c r="D23" s="190">
        <f>10.472+17.713</f>
        <v>28.185000000000002</v>
      </c>
      <c r="E23" s="51"/>
      <c r="F23" s="190">
        <f>10.472+17.713</f>
        <v>28.185000000000002</v>
      </c>
      <c r="G23" s="185"/>
      <c r="H23" s="190">
        <f>10.391+17.26</f>
        <v>27.651000000000003</v>
      </c>
      <c r="I23" s="192"/>
      <c r="J23" s="190">
        <f>115.367+181.34</f>
        <v>296.70699999999999</v>
      </c>
      <c r="K23" s="191"/>
      <c r="L23" s="190">
        <f>115.367+181.34</f>
        <v>296.70699999999999</v>
      </c>
      <c r="M23" s="193"/>
      <c r="N23" s="190">
        <f>114.478+173.311</f>
        <v>287.78899999999999</v>
      </c>
      <c r="O23" s="191">
        <v>0</v>
      </c>
      <c r="P23" s="190">
        <f>115.202+145.759</f>
        <v>260.96100000000001</v>
      </c>
      <c r="Q23" s="25"/>
      <c r="R23" s="31"/>
      <c r="S23" s="31"/>
      <c r="T23" s="31"/>
      <c r="U23" s="31"/>
      <c r="V23" s="31"/>
      <c r="Z23" s="4"/>
      <c r="AA23" s="4"/>
    </row>
    <row r="24" spans="1:28" ht="16.2" x14ac:dyDescent="0.35">
      <c r="A24" s="177" t="s">
        <v>19</v>
      </c>
      <c r="B24" s="27"/>
      <c r="C24" s="178"/>
      <c r="D24" s="190">
        <f>D31+D32+0.545</f>
        <v>28.962</v>
      </c>
      <c r="E24" s="191"/>
      <c r="F24" s="190">
        <f>F31+F32+0.545</f>
        <v>28.913000000000004</v>
      </c>
      <c r="G24" s="178"/>
      <c r="H24" s="190">
        <f>H31+H32+0.545</f>
        <v>28.445000000000004</v>
      </c>
      <c r="I24" s="168"/>
      <c r="J24" s="190">
        <f>J31+J32+6.159</f>
        <v>309.346</v>
      </c>
      <c r="K24" s="191"/>
      <c r="L24" s="190">
        <f>L31+L32+6.131</f>
        <v>309.25599999999997</v>
      </c>
      <c r="M24" s="191"/>
      <c r="N24" s="190">
        <f>N31+N32+6.067</f>
        <v>296.02000000000004</v>
      </c>
      <c r="O24" s="191"/>
      <c r="P24" s="190">
        <f>127.746+141.518-4.4+6.187</f>
        <v>271.05100000000004</v>
      </c>
      <c r="Q24" s="16"/>
      <c r="R24" s="31"/>
      <c r="S24" s="31"/>
      <c r="T24" s="31"/>
      <c r="U24" s="31"/>
      <c r="V24" s="31"/>
      <c r="Z24" s="4"/>
      <c r="AA24" s="4"/>
    </row>
    <row r="25" spans="1:28" ht="12.9" customHeight="1" x14ac:dyDescent="0.35">
      <c r="A25" s="177"/>
      <c r="B25" s="27"/>
      <c r="C25" s="178"/>
      <c r="D25" s="191"/>
      <c r="E25" s="191"/>
      <c r="F25" s="191"/>
      <c r="G25" s="178"/>
      <c r="H25" s="191"/>
      <c r="I25" s="168"/>
      <c r="J25" s="191"/>
      <c r="K25" s="191"/>
      <c r="L25" s="191"/>
      <c r="M25" s="191"/>
      <c r="N25" s="191"/>
      <c r="O25" s="191"/>
      <c r="P25" s="191"/>
      <c r="Q25" s="16"/>
      <c r="R25" s="31"/>
      <c r="S25" s="31"/>
      <c r="T25" s="31"/>
      <c r="U25" s="31"/>
      <c r="V25" s="31"/>
      <c r="Z25" s="4"/>
      <c r="AA25" s="4"/>
    </row>
    <row r="26" spans="1:28" ht="16.5" customHeight="1" thickBot="1" x14ac:dyDescent="0.4">
      <c r="A26" s="27" t="s">
        <v>64</v>
      </c>
      <c r="B26" s="27"/>
      <c r="C26" s="27"/>
      <c r="D26" s="114" t="s">
        <v>1</v>
      </c>
      <c r="E26" s="114"/>
      <c r="F26" s="114"/>
      <c r="G26" s="194"/>
      <c r="H26" s="114"/>
      <c r="I26" s="27"/>
      <c r="J26" s="362" t="s">
        <v>2</v>
      </c>
      <c r="K26" s="362"/>
      <c r="L26" s="362"/>
      <c r="M26" s="362"/>
      <c r="N26" s="362"/>
      <c r="O26" s="46"/>
      <c r="P26" s="46"/>
      <c r="Q26" s="117"/>
      <c r="R26" s="117"/>
      <c r="S26" s="117"/>
      <c r="T26" s="117"/>
      <c r="U26" s="31"/>
      <c r="V26" s="31"/>
    </row>
    <row r="27" spans="1:28" ht="14.25" customHeight="1" x14ac:dyDescent="0.35">
      <c r="A27" s="27"/>
      <c r="B27" s="27"/>
      <c r="C27" s="27"/>
      <c r="D27" s="47"/>
      <c r="E27" s="77"/>
      <c r="F27" s="45"/>
      <c r="G27" s="77"/>
      <c r="H27" s="115"/>
      <c r="I27" s="168"/>
      <c r="J27" s="47"/>
      <c r="K27" s="118"/>
      <c r="L27" s="118"/>
      <c r="M27" s="118"/>
      <c r="N27" s="119"/>
      <c r="O27" s="168"/>
      <c r="P27" s="168"/>
      <c r="Q27" s="117"/>
      <c r="R27" s="117"/>
      <c r="S27" s="117"/>
      <c r="T27" s="117"/>
      <c r="U27" s="31"/>
      <c r="V27" s="31"/>
    </row>
    <row r="28" spans="1:28" ht="15.75" customHeight="1" x14ac:dyDescent="0.35">
      <c r="A28" s="195" t="s">
        <v>20</v>
      </c>
      <c r="B28" s="27"/>
      <c r="C28" s="27"/>
      <c r="D28" s="48"/>
      <c r="E28" s="78"/>
      <c r="F28" s="263"/>
      <c r="G28" s="196"/>
      <c r="H28" s="120"/>
      <c r="I28" s="168"/>
      <c r="J28" s="197" t="s">
        <v>3</v>
      </c>
      <c r="K28" s="168"/>
      <c r="L28" s="263"/>
      <c r="M28" s="168"/>
      <c r="N28" s="120"/>
      <c r="O28" s="46"/>
      <c r="P28" s="46"/>
      <c r="Q28" s="117"/>
      <c r="R28" s="117"/>
      <c r="S28" s="117"/>
      <c r="T28" s="117"/>
      <c r="U28" s="31"/>
      <c r="V28" s="31"/>
    </row>
    <row r="29" spans="1:28" ht="14.25" customHeight="1" thickBot="1" x14ac:dyDescent="0.4">
      <c r="A29" s="27"/>
      <c r="B29" s="27"/>
      <c r="C29" s="27"/>
      <c r="D29" s="198" t="s">
        <v>3</v>
      </c>
      <c r="E29" s="121"/>
      <c r="F29" s="268" t="s">
        <v>162</v>
      </c>
      <c r="G29" s="199"/>
      <c r="H29" s="116" t="s">
        <v>8</v>
      </c>
      <c r="I29" s="168"/>
      <c r="J29" s="198" t="s">
        <v>9</v>
      </c>
      <c r="K29" s="200"/>
      <c r="L29" s="268" t="s">
        <v>162</v>
      </c>
      <c r="M29" s="200"/>
      <c r="N29" s="116" t="s">
        <v>8</v>
      </c>
      <c r="O29" s="46"/>
      <c r="P29" s="46"/>
      <c r="Q29" s="27"/>
      <c r="R29" s="117"/>
      <c r="S29" s="117"/>
      <c r="T29" s="117"/>
      <c r="U29" s="31"/>
      <c r="V29" s="31"/>
      <c r="Y29" s="3"/>
      <c r="AA29" s="3"/>
      <c r="AB29" s="3"/>
    </row>
    <row r="30" spans="1:28" ht="14.1" customHeight="1" x14ac:dyDescent="0.35">
      <c r="A30" s="177" t="s">
        <v>74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10"/>
      <c r="R30" s="31"/>
      <c r="S30" s="31"/>
      <c r="T30" s="31"/>
      <c r="U30" s="31"/>
      <c r="V30" s="31"/>
    </row>
    <row r="31" spans="1:28" ht="14.1" customHeight="1" x14ac:dyDescent="0.35">
      <c r="A31" s="177" t="s">
        <v>80</v>
      </c>
      <c r="B31" s="27"/>
      <c r="C31" s="27"/>
      <c r="D31" s="202">
        <f>11.164+17.453</f>
        <v>28.616999999999997</v>
      </c>
      <c r="E31" s="203"/>
      <c r="F31" s="202">
        <f>17.469+11.099</f>
        <v>28.568000000000001</v>
      </c>
      <c r="G31" s="204"/>
      <c r="H31" s="202">
        <v>28.3</v>
      </c>
      <c r="I31" s="204"/>
      <c r="J31" s="202">
        <f>128.712+178.555+0.32</f>
        <v>307.58699999999999</v>
      </c>
      <c r="K31" s="203"/>
      <c r="L31" s="202">
        <f>128.636+178.569+0.32</f>
        <v>307.52499999999998</v>
      </c>
      <c r="M31" s="204"/>
      <c r="N31" s="202">
        <f>169.919+124.434</f>
        <v>294.35300000000001</v>
      </c>
      <c r="O31" s="203"/>
      <c r="P31" s="202"/>
      <c r="Q31" s="37"/>
      <c r="R31" s="31"/>
      <c r="S31" s="31"/>
      <c r="T31" s="31"/>
      <c r="U31" s="31"/>
      <c r="V31" s="31"/>
      <c r="Z31" s="7"/>
    </row>
    <row r="32" spans="1:28" ht="14.1" customHeight="1" x14ac:dyDescent="0.35">
      <c r="A32" s="177" t="s">
        <v>81</v>
      </c>
      <c r="B32" s="27"/>
      <c r="C32" s="27"/>
      <c r="D32" s="251">
        <v>-0.2</v>
      </c>
      <c r="E32" s="204"/>
      <c r="F32" s="251">
        <v>-0.2</v>
      </c>
      <c r="G32" s="253"/>
      <c r="H32" s="251">
        <v>-0.4</v>
      </c>
      <c r="I32" s="27"/>
      <c r="J32" s="251">
        <v>-4.4000000000000004</v>
      </c>
      <c r="K32" s="35"/>
      <c r="L32" s="251">
        <f>-4.6+0.2</f>
        <v>-4.3999999999999995</v>
      </c>
      <c r="M32" s="35"/>
      <c r="N32" s="251">
        <f>-5+0.6</f>
        <v>-4.4000000000000004</v>
      </c>
      <c r="O32" s="35"/>
      <c r="P32" s="251"/>
      <c r="Q32" s="15"/>
      <c r="R32" s="31"/>
      <c r="S32" s="31"/>
      <c r="T32" s="31"/>
      <c r="U32" s="31"/>
      <c r="V32" s="31"/>
    </row>
    <row r="33" spans="1:35" ht="14.1" customHeight="1" x14ac:dyDescent="0.35">
      <c r="A33" s="177" t="s">
        <v>82</v>
      </c>
      <c r="B33" s="27"/>
      <c r="C33" s="27"/>
      <c r="D33" s="282">
        <v>0</v>
      </c>
      <c r="E33" s="35"/>
      <c r="F33" s="282">
        <v>0</v>
      </c>
      <c r="G33" s="35"/>
      <c r="H33" s="282">
        <v>0</v>
      </c>
      <c r="I33" s="27"/>
      <c r="J33" s="282">
        <f>1.3+3.4</f>
        <v>4.7</v>
      </c>
      <c r="K33" s="35"/>
      <c r="L33" s="282">
        <f>1.3+3.4</f>
        <v>4.7</v>
      </c>
      <c r="M33" s="35"/>
      <c r="N33" s="282">
        <v>0</v>
      </c>
      <c r="O33" s="35"/>
      <c r="P33" s="35"/>
      <c r="Q33" s="15"/>
      <c r="R33" s="31"/>
      <c r="S33" s="31"/>
      <c r="T33" s="31"/>
      <c r="U33" s="31"/>
      <c r="V33" s="31"/>
    </row>
    <row r="34" spans="1:35" ht="14.1" customHeight="1" x14ac:dyDescent="0.35">
      <c r="A34" s="27" t="s">
        <v>83</v>
      </c>
      <c r="B34" s="27"/>
      <c r="C34" s="27"/>
      <c r="D34" s="206">
        <f>SUM(D31:D33)</f>
        <v>28.416999999999998</v>
      </c>
      <c r="E34" s="35"/>
      <c r="F34" s="206">
        <f>SUM(F31:F33)</f>
        <v>28.368000000000002</v>
      </c>
      <c r="G34" s="35"/>
      <c r="H34" s="206">
        <f>SUM(H31:H33)</f>
        <v>27.900000000000002</v>
      </c>
      <c r="I34" s="27"/>
      <c r="J34" s="206">
        <f>SUM(J31:J33)</f>
        <v>307.887</v>
      </c>
      <c r="K34" s="35"/>
      <c r="L34" s="206">
        <f>SUM(L31:L33)</f>
        <v>307.82499999999999</v>
      </c>
      <c r="M34" s="27"/>
      <c r="N34" s="206">
        <f>SUM(N31:N33)</f>
        <v>289.95300000000003</v>
      </c>
      <c r="O34" s="205"/>
      <c r="P34" s="205"/>
      <c r="Q34" s="15"/>
      <c r="R34" s="31"/>
      <c r="S34" s="31"/>
      <c r="T34" s="31"/>
      <c r="U34" s="31"/>
      <c r="V34" s="31"/>
    </row>
    <row r="35" spans="1:35" ht="14.1" customHeight="1" x14ac:dyDescent="0.35">
      <c r="A35" s="27" t="s">
        <v>75</v>
      </c>
      <c r="B35" s="27"/>
      <c r="C35" s="27"/>
      <c r="D35" s="206">
        <v>-0.4</v>
      </c>
      <c r="E35" s="35"/>
      <c r="F35" s="206">
        <v>-0.4</v>
      </c>
      <c r="G35" s="35"/>
      <c r="H35" s="206">
        <v>-0.4</v>
      </c>
      <c r="I35" s="27"/>
      <c r="J35" s="206">
        <v>-3.5</v>
      </c>
      <c r="K35" s="35"/>
      <c r="L35" s="206">
        <f>-3.9+0.4</f>
        <v>-3.5</v>
      </c>
      <c r="M35" s="27"/>
      <c r="N35" s="206">
        <f>-3.9+0.3</f>
        <v>-3.6</v>
      </c>
      <c r="O35" s="205"/>
      <c r="P35" s="205"/>
      <c r="Q35" s="15"/>
      <c r="R35" s="31"/>
      <c r="S35" s="31"/>
      <c r="T35" s="31"/>
      <c r="U35" s="31"/>
      <c r="V35" s="31"/>
    </row>
    <row r="36" spans="1:35" ht="14.1" customHeight="1" x14ac:dyDescent="0.35">
      <c r="A36" s="177" t="s">
        <v>76</v>
      </c>
      <c r="B36" s="27"/>
      <c r="C36" s="27"/>
      <c r="D36" s="35">
        <v>-2.2999999999999998</v>
      </c>
      <c r="E36" s="35"/>
      <c r="F36" s="35">
        <v>-2.2999999999999998</v>
      </c>
      <c r="G36" s="35"/>
      <c r="H36" s="35">
        <v>-2.5</v>
      </c>
      <c r="I36" s="27"/>
      <c r="J36" s="35">
        <v>-28.8</v>
      </c>
      <c r="K36" s="35"/>
      <c r="L36" s="35">
        <f>-30.8+2</f>
        <v>-28.8</v>
      </c>
      <c r="M36" s="35"/>
      <c r="N36" s="35">
        <f>-29.7+2.3</f>
        <v>-27.4</v>
      </c>
      <c r="O36" s="35"/>
      <c r="P36" s="35"/>
      <c r="Q36" s="15"/>
      <c r="R36" s="31"/>
      <c r="S36" s="31"/>
      <c r="T36" s="31"/>
      <c r="U36" s="31"/>
      <c r="V36" s="31"/>
    </row>
    <row r="37" spans="1:35" ht="14.1" customHeight="1" x14ac:dyDescent="0.35">
      <c r="A37" s="177" t="s">
        <v>77</v>
      </c>
      <c r="B37" s="27"/>
      <c r="C37" s="27"/>
      <c r="D37" s="35">
        <v>-8.6</v>
      </c>
      <c r="E37" s="35"/>
      <c r="F37" s="35">
        <v>-8.6</v>
      </c>
      <c r="G37" s="35"/>
      <c r="H37" s="35">
        <v>-8.5</v>
      </c>
      <c r="I37" s="27"/>
      <c r="J37" s="35">
        <f>-76.6+0.7</f>
        <v>-75.899999999999991</v>
      </c>
      <c r="K37" s="35"/>
      <c r="L37" s="35">
        <f>-83.7+8.6-L38</f>
        <v>-75.900000000000006</v>
      </c>
      <c r="M37" s="35"/>
      <c r="N37" s="35">
        <f>-100.6+8.3</f>
        <v>-92.3</v>
      </c>
      <c r="O37" s="35"/>
      <c r="P37" s="35"/>
      <c r="Q37" s="15"/>
      <c r="R37" s="31"/>
      <c r="S37" s="31"/>
      <c r="T37" s="31"/>
      <c r="U37" s="31"/>
      <c r="V37" s="31"/>
    </row>
    <row r="38" spans="1:35" ht="14.1" customHeight="1" x14ac:dyDescent="0.35">
      <c r="A38" s="177" t="s">
        <v>78</v>
      </c>
      <c r="B38" s="27"/>
      <c r="C38" s="27"/>
      <c r="D38" s="52">
        <v>0</v>
      </c>
      <c r="E38" s="44"/>
      <c r="F38" s="52">
        <v>0</v>
      </c>
      <c r="G38" s="44"/>
      <c r="H38" s="52">
        <v>0</v>
      </c>
      <c r="I38" s="168"/>
      <c r="J38" s="52">
        <f>-0.1+0.9</f>
        <v>0.8</v>
      </c>
      <c r="K38" s="44"/>
      <c r="L38" s="52">
        <f>-0.1+0.9</f>
        <v>0.8</v>
      </c>
      <c r="M38" s="44"/>
      <c r="N38" s="52">
        <v>0</v>
      </c>
      <c r="O38" s="35"/>
      <c r="P38" s="35"/>
      <c r="Q38" s="15"/>
      <c r="R38" s="31"/>
      <c r="S38" s="31"/>
      <c r="T38" s="31"/>
      <c r="U38" s="31"/>
      <c r="V38" s="31"/>
    </row>
    <row r="39" spans="1:35" ht="14.1" customHeight="1" x14ac:dyDescent="0.35">
      <c r="A39" s="177" t="s">
        <v>84</v>
      </c>
      <c r="B39" s="27"/>
      <c r="C39" s="27"/>
      <c r="D39" s="206">
        <v>-0.8</v>
      </c>
      <c r="E39" s="35"/>
      <c r="F39" s="206">
        <v>-0.8</v>
      </c>
      <c r="G39" s="35"/>
      <c r="H39" s="206">
        <v>-0.5</v>
      </c>
      <c r="I39" s="27"/>
      <c r="J39" s="206">
        <v>-5.5</v>
      </c>
      <c r="K39" s="35"/>
      <c r="L39" s="206">
        <f>-6.4+0.9</f>
        <v>-5.5</v>
      </c>
      <c r="M39" s="35"/>
      <c r="N39" s="206">
        <f>-6.4+0.5</f>
        <v>-5.9</v>
      </c>
      <c r="O39" s="35"/>
      <c r="P39" s="35"/>
      <c r="Q39" s="15"/>
      <c r="R39" s="31"/>
      <c r="S39" s="31"/>
      <c r="T39" s="31"/>
      <c r="U39" s="31"/>
      <c r="V39" s="31"/>
    </row>
    <row r="40" spans="1:35" ht="14.1" customHeight="1" x14ac:dyDescent="0.35">
      <c r="A40" s="177" t="s">
        <v>85</v>
      </c>
      <c r="B40" s="27"/>
      <c r="C40" s="27"/>
      <c r="D40" s="206">
        <v>-0.2</v>
      </c>
      <c r="E40" s="35"/>
      <c r="F40" s="206">
        <v>-0.2</v>
      </c>
      <c r="G40" s="35"/>
      <c r="H40" s="206">
        <f>-0.1-0.1</f>
        <v>-0.2</v>
      </c>
      <c r="I40" s="27"/>
      <c r="J40" s="206">
        <v>-2.2999999999999998</v>
      </c>
      <c r="K40" s="35"/>
      <c r="L40" s="206">
        <f>-1.3-0.6-0.7+0.2+0.1</f>
        <v>-2.2999999999999994</v>
      </c>
      <c r="M40" s="35"/>
      <c r="N40" s="206">
        <f>-1.5+0.1-0.6+0.1-0.5</f>
        <v>-2.4</v>
      </c>
      <c r="O40" s="44"/>
      <c r="P40" s="205"/>
      <c r="Q40" s="26"/>
      <c r="R40" s="31"/>
      <c r="S40" s="31"/>
      <c r="T40" s="31"/>
      <c r="U40" s="31"/>
      <c r="V40" s="31"/>
      <c r="AC40" s="3"/>
      <c r="AD40" s="3"/>
      <c r="AE40" s="3"/>
      <c r="AF40" s="3"/>
      <c r="AG40" s="3"/>
      <c r="AH40" s="3"/>
      <c r="AI40" s="3"/>
    </row>
    <row r="41" spans="1:35" ht="14.1" customHeight="1" x14ac:dyDescent="0.35">
      <c r="A41" s="177" t="s">
        <v>79</v>
      </c>
      <c r="B41" s="27"/>
      <c r="C41" s="27"/>
      <c r="D41" s="206">
        <v>-6.3</v>
      </c>
      <c r="E41" s="35"/>
      <c r="F41" s="206">
        <v>-6.3</v>
      </c>
      <c r="G41" s="35"/>
      <c r="H41" s="206">
        <f>1.6-8.6</f>
        <v>-7</v>
      </c>
      <c r="I41" s="27"/>
      <c r="J41" s="206">
        <f>-64.1+0.1</f>
        <v>-63.999999999999993</v>
      </c>
      <c r="K41" s="35"/>
      <c r="L41" s="206">
        <f>21.1-2-91+7.9</f>
        <v>-64</v>
      </c>
      <c r="M41" s="35"/>
      <c r="N41" s="206">
        <f>25.8-2.8-100.3+9.1</f>
        <v>-68.2</v>
      </c>
      <c r="O41" s="35"/>
      <c r="P41" s="35"/>
      <c r="Q41" s="15"/>
      <c r="R41" s="31"/>
      <c r="S41" s="31"/>
      <c r="T41" s="31"/>
      <c r="U41" s="31"/>
      <c r="V41" s="31"/>
      <c r="AC41" s="3"/>
      <c r="AD41" s="3"/>
      <c r="AE41" s="3"/>
      <c r="AF41" s="3"/>
      <c r="AG41" s="3"/>
      <c r="AH41" s="3"/>
      <c r="AI41" s="3"/>
    </row>
    <row r="42" spans="1:35" ht="14.1" customHeight="1" x14ac:dyDescent="0.35">
      <c r="A42" s="177" t="s">
        <v>21</v>
      </c>
      <c r="B42" s="27"/>
      <c r="C42" s="27"/>
      <c r="D42" s="252">
        <v>-3.8</v>
      </c>
      <c r="E42" s="44"/>
      <c r="F42" s="252">
        <v>-3.8</v>
      </c>
      <c r="G42" s="44"/>
      <c r="H42" s="252">
        <v>-3.4</v>
      </c>
      <c r="I42" s="207"/>
      <c r="J42" s="252">
        <v>-49.6</v>
      </c>
      <c r="K42" s="44"/>
      <c r="L42" s="252">
        <f>-53.8+4.3</f>
        <v>-49.5</v>
      </c>
      <c r="M42" s="44"/>
      <c r="N42" s="252">
        <f>-44.2+9.2</f>
        <v>-35</v>
      </c>
      <c r="O42" s="44"/>
      <c r="P42" s="44"/>
      <c r="Q42" s="15"/>
      <c r="R42" s="31"/>
      <c r="S42" s="31"/>
      <c r="T42" s="31"/>
      <c r="U42" s="31"/>
      <c r="V42" s="31"/>
    </row>
    <row r="43" spans="1:35" ht="14.1" customHeight="1" x14ac:dyDescent="0.4">
      <c r="A43" s="201" t="s">
        <v>22</v>
      </c>
      <c r="B43" s="27"/>
      <c r="C43" s="27"/>
      <c r="D43" s="280">
        <f>SUM(D34:D42)</f>
        <v>6.0169999999999968</v>
      </c>
      <c r="E43" s="211"/>
      <c r="F43" s="280">
        <f>SUM(F34:F42)</f>
        <v>5.9680000000000044</v>
      </c>
      <c r="G43" s="209"/>
      <c r="H43" s="280">
        <f>SUM(H34:H42)</f>
        <v>5.4000000000000039</v>
      </c>
      <c r="I43" s="210"/>
      <c r="J43" s="280">
        <f>SUM(J34:J42)</f>
        <v>79.087000000000018</v>
      </c>
      <c r="K43" s="208"/>
      <c r="L43" s="280">
        <f>SUM(L34:L42)</f>
        <v>79.124999999999972</v>
      </c>
      <c r="M43" s="44"/>
      <c r="N43" s="280">
        <f>SUM(N34:N42)</f>
        <v>55.153000000000006</v>
      </c>
      <c r="O43" s="211"/>
      <c r="P43" s="281"/>
      <c r="Q43" s="43"/>
      <c r="R43" s="31"/>
      <c r="S43" s="31"/>
      <c r="T43" s="31"/>
      <c r="U43" s="31"/>
      <c r="V43" s="31"/>
    </row>
    <row r="44" spans="1:35" ht="10.199999999999999" customHeight="1" x14ac:dyDescent="0.35">
      <c r="A44" s="165"/>
      <c r="B44" s="212"/>
      <c r="C44" s="212"/>
      <c r="D44" s="213"/>
      <c r="E44" s="213"/>
      <c r="F44" s="214"/>
      <c r="G44" s="215"/>
      <c r="H44" s="213"/>
      <c r="I44" s="212"/>
      <c r="J44" s="212"/>
      <c r="K44" s="213"/>
      <c r="L44" s="216"/>
      <c r="M44" s="215"/>
      <c r="N44" s="215"/>
      <c r="O44" s="213"/>
      <c r="P44" s="217"/>
      <c r="Q44" s="10"/>
      <c r="R44" s="31"/>
      <c r="S44" s="31"/>
      <c r="T44" s="31"/>
      <c r="U44" s="31"/>
      <c r="V44" s="31"/>
    </row>
    <row r="45" spans="1:35" ht="13.5" hidden="1" customHeight="1" x14ac:dyDescent="0.35">
      <c r="A45" s="218" t="s">
        <v>23</v>
      </c>
      <c r="B45" s="219"/>
      <c r="C45" s="217"/>
      <c r="D45" s="220">
        <v>2.37</v>
      </c>
      <c r="E45" s="220"/>
      <c r="F45" s="221"/>
      <c r="G45" s="217"/>
      <c r="H45" s="217"/>
      <c r="I45" s="220"/>
      <c r="J45" s="117"/>
      <c r="K45" s="117"/>
      <c r="L45" s="220">
        <f>2.261</f>
        <v>2.2610000000000001</v>
      </c>
      <c r="M45" s="220"/>
      <c r="N45" s="117"/>
      <c r="O45" s="117"/>
      <c r="P45" s="220"/>
      <c r="Q45" s="14"/>
      <c r="R45" s="31"/>
      <c r="S45" s="31"/>
      <c r="T45" s="31"/>
      <c r="U45" s="31"/>
      <c r="V45" s="31"/>
    </row>
    <row r="46" spans="1:35" ht="10.199999999999999" customHeight="1" thickBot="1" x14ac:dyDescent="0.35">
      <c r="A46" s="117"/>
      <c r="B46" s="117"/>
      <c r="C46" s="215"/>
      <c r="D46" s="215"/>
      <c r="E46" s="215"/>
      <c r="F46" s="221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79"/>
      <c r="R46" s="79"/>
      <c r="S46" s="79"/>
      <c r="T46" s="79"/>
      <c r="U46" s="79"/>
      <c r="V46" s="79"/>
    </row>
    <row r="47" spans="1:35" ht="13.5" customHeight="1" thickBot="1" x14ac:dyDescent="0.4">
      <c r="A47" s="222" t="s">
        <v>24</v>
      </c>
      <c r="B47" s="168"/>
      <c r="C47" s="168"/>
      <c r="D47" s="223" t="s">
        <v>25</v>
      </c>
      <c r="E47" s="223"/>
      <c r="F47" s="224"/>
      <c r="G47" s="27"/>
      <c r="H47" s="238" t="s">
        <v>157</v>
      </c>
      <c r="I47" s="239"/>
      <c r="J47" s="239"/>
      <c r="K47" s="239"/>
      <c r="L47" s="240"/>
      <c r="M47" s="241"/>
      <c r="N47" s="241"/>
      <c r="O47" s="241"/>
      <c r="P47" s="27"/>
      <c r="Q47" s="24"/>
      <c r="R47" s="31"/>
      <c r="S47" s="31"/>
      <c r="T47" s="31"/>
      <c r="U47" s="31"/>
      <c r="V47" s="31"/>
    </row>
    <row r="48" spans="1:35" ht="13.5" customHeight="1" x14ac:dyDescent="0.35">
      <c r="A48" s="27"/>
      <c r="B48" s="27"/>
      <c r="C48" s="279" t="s">
        <v>70</v>
      </c>
      <c r="D48" s="27"/>
      <c r="E48" s="27"/>
      <c r="F48" s="221"/>
      <c r="G48" s="27"/>
      <c r="H48" s="242" t="s">
        <v>158</v>
      </c>
      <c r="I48" s="223"/>
      <c r="J48" s="242" t="s">
        <v>159</v>
      </c>
      <c r="K48" s="243"/>
      <c r="L48" s="242" t="s">
        <v>160</v>
      </c>
      <c r="M48" s="223"/>
      <c r="N48" s="242" t="s">
        <v>32</v>
      </c>
      <c r="O48" s="223"/>
      <c r="P48" s="223" t="s">
        <v>33</v>
      </c>
      <c r="Q48" s="24"/>
      <c r="R48" s="31"/>
      <c r="S48" s="31"/>
      <c r="T48" s="31"/>
      <c r="U48" s="31"/>
      <c r="V48" s="31"/>
    </row>
    <row r="49" spans="1:24" ht="13.5" customHeight="1" x14ac:dyDescent="0.35">
      <c r="A49" s="231" t="s">
        <v>179</v>
      </c>
      <c r="B49" s="27"/>
      <c r="C49" s="27"/>
      <c r="D49" s="232">
        <f>F43</f>
        <v>5.9680000000000044</v>
      </c>
      <c r="E49" s="191"/>
      <c r="F49" s="27" t="s">
        <v>182</v>
      </c>
      <c r="H49" s="244">
        <v>5.5</v>
      </c>
      <c r="I49" s="245"/>
      <c r="J49" s="244">
        <v>5.4</v>
      </c>
      <c r="K49" s="245"/>
      <c r="L49" s="244">
        <v>14.7</v>
      </c>
      <c r="M49" s="245"/>
      <c r="N49" s="35">
        <f>SUM(H49:L49)</f>
        <v>25.6</v>
      </c>
      <c r="O49" s="35"/>
      <c r="P49" s="35"/>
      <c r="Q49" s="13"/>
      <c r="R49" s="31"/>
      <c r="S49" s="31"/>
      <c r="T49" s="31"/>
      <c r="U49" s="31"/>
      <c r="V49" s="31"/>
    </row>
    <row r="50" spans="1:24" ht="13.5" customHeight="1" x14ac:dyDescent="0.35">
      <c r="E50" s="44"/>
      <c r="F50" s="27" t="s">
        <v>183</v>
      </c>
      <c r="G50" s="27"/>
      <c r="H50" s="244">
        <v>5.7</v>
      </c>
      <c r="I50" s="245"/>
      <c r="J50" s="244">
        <v>5.6</v>
      </c>
      <c r="K50" s="245"/>
      <c r="L50" s="244">
        <v>6.2</v>
      </c>
      <c r="M50" s="245"/>
      <c r="N50" s="35">
        <f>SUM(H50:L50)</f>
        <v>17.5</v>
      </c>
      <c r="Q50" s="31"/>
      <c r="R50" s="31"/>
      <c r="S50" s="31"/>
      <c r="T50" s="31"/>
      <c r="U50" s="15"/>
      <c r="V50" s="31"/>
    </row>
    <row r="51" spans="1:24" ht="16.2" x14ac:dyDescent="0.35">
      <c r="A51" s="27" t="s">
        <v>180</v>
      </c>
      <c r="B51" s="27"/>
      <c r="C51" s="35">
        <v>0</v>
      </c>
      <c r="D51" s="35">
        <v>0</v>
      </c>
      <c r="E51" s="44"/>
      <c r="F51" s="27" t="s">
        <v>184</v>
      </c>
      <c r="G51" s="27"/>
      <c r="H51" s="244">
        <v>7.5</v>
      </c>
      <c r="I51" s="245"/>
      <c r="J51" s="244">
        <v>6</v>
      </c>
      <c r="K51" s="245"/>
      <c r="L51" s="244">
        <v>6.9</v>
      </c>
      <c r="M51" s="245"/>
      <c r="N51" s="35">
        <f>SUM(H51:L51)</f>
        <v>20.399999999999999</v>
      </c>
      <c r="O51" s="35"/>
      <c r="P51" s="35"/>
      <c r="Q51" s="31"/>
      <c r="R51" s="31"/>
      <c r="S51" s="31"/>
      <c r="T51" s="31"/>
      <c r="U51" s="15"/>
      <c r="V51" s="31"/>
    </row>
    <row r="52" spans="1:24" ht="16.2" x14ac:dyDescent="0.35">
      <c r="A52" s="27"/>
      <c r="B52" s="27"/>
      <c r="C52" s="35"/>
      <c r="D52" s="35"/>
      <c r="E52" s="44"/>
      <c r="F52" s="35" t="s">
        <v>185</v>
      </c>
      <c r="G52" s="27"/>
      <c r="H52" s="244">
        <v>7.5</v>
      </c>
      <c r="I52" s="245"/>
      <c r="J52" s="244">
        <v>6</v>
      </c>
      <c r="K52" s="245"/>
      <c r="L52" s="244">
        <v>6.9</v>
      </c>
      <c r="M52" s="247"/>
      <c r="N52" s="35">
        <f>SUM(H52:L52)</f>
        <v>20.399999999999999</v>
      </c>
      <c r="O52" s="35"/>
      <c r="P52" s="35">
        <v>20.399999999999999</v>
      </c>
      <c r="Q52" s="31"/>
      <c r="R52" s="31"/>
      <c r="S52" s="31"/>
      <c r="T52" s="31"/>
      <c r="U52" s="15"/>
      <c r="V52" s="31"/>
    </row>
    <row r="53" spans="1:24" ht="16.2" x14ac:dyDescent="0.35">
      <c r="A53" s="27"/>
      <c r="B53" s="27"/>
      <c r="C53" s="35"/>
      <c r="D53" s="35"/>
      <c r="E53" s="44"/>
      <c r="F53" s="27" t="s">
        <v>186</v>
      </c>
      <c r="G53" s="27"/>
      <c r="H53" s="244">
        <v>5</v>
      </c>
      <c r="I53" s="245"/>
      <c r="J53" s="244">
        <v>13.9</v>
      </c>
      <c r="K53" s="245"/>
      <c r="L53" s="244">
        <v>11.1</v>
      </c>
      <c r="M53" s="245"/>
      <c r="N53" s="35">
        <f>SUM(H53:L53)</f>
        <v>30</v>
      </c>
      <c r="O53" s="27"/>
      <c r="P53" s="27"/>
      <c r="Q53" s="31"/>
      <c r="R53" s="31"/>
      <c r="S53" s="31"/>
      <c r="T53" s="31"/>
      <c r="U53" s="31"/>
      <c r="V53" s="31"/>
    </row>
    <row r="54" spans="1:24" ht="16.2" x14ac:dyDescent="0.35">
      <c r="E54" s="44"/>
      <c r="F54" s="27"/>
      <c r="G54" s="247"/>
      <c r="H54" s="27"/>
      <c r="I54" s="117"/>
      <c r="J54" s="117"/>
      <c r="K54" s="117"/>
      <c r="L54" s="117"/>
      <c r="Q54" s="31"/>
      <c r="R54" s="31"/>
      <c r="S54" s="31"/>
      <c r="T54" s="31"/>
      <c r="U54" s="31"/>
      <c r="V54" s="112"/>
      <c r="W54" s="9"/>
      <c r="X54" s="8"/>
    </row>
    <row r="55" spans="1:24" ht="14.1" customHeight="1" x14ac:dyDescent="0.35">
      <c r="A55" s="27"/>
      <c r="B55" s="27"/>
      <c r="C55" s="44"/>
      <c r="D55" s="234"/>
      <c r="E55" s="44"/>
      <c r="F55" s="27"/>
      <c r="G55" s="191"/>
      <c r="H55" s="27"/>
      <c r="I55" s="117"/>
      <c r="J55" s="117"/>
      <c r="K55" s="117"/>
      <c r="L55" s="117"/>
      <c r="Q55" s="31"/>
      <c r="R55" s="31"/>
      <c r="S55" s="31"/>
      <c r="T55" s="31"/>
      <c r="U55" s="10"/>
      <c r="V55" s="31"/>
    </row>
    <row r="56" spans="1:24" ht="16.8" thickBot="1" x14ac:dyDescent="0.4">
      <c r="A56" s="231" t="s">
        <v>54</v>
      </c>
      <c r="B56" s="27"/>
      <c r="C56" s="27"/>
      <c r="D56" s="235">
        <f>SUM(D49:D55)</f>
        <v>5.9680000000000044</v>
      </c>
      <c r="E56" s="191"/>
      <c r="F56" s="27"/>
      <c r="G56" s="27"/>
      <c r="Q56" s="30"/>
      <c r="R56" s="31"/>
      <c r="S56" s="31"/>
      <c r="T56" s="31"/>
      <c r="U56" s="10"/>
      <c r="V56" s="31"/>
    </row>
    <row r="57" spans="1:24" ht="17.399999999999999" thickTop="1" thickBot="1" x14ac:dyDescent="0.4">
      <c r="E57" s="27"/>
      <c r="H57" s="225" t="s">
        <v>26</v>
      </c>
      <c r="I57" s="226"/>
      <c r="J57" s="227"/>
      <c r="K57" s="227"/>
      <c r="L57" s="228"/>
      <c r="M57" s="168"/>
      <c r="N57" s="175"/>
      <c r="O57" s="175"/>
      <c r="P57" s="229"/>
      <c r="Q57" s="10"/>
      <c r="R57" s="31"/>
      <c r="S57" s="31"/>
      <c r="T57" s="31"/>
      <c r="U57" s="19"/>
      <c r="V57" s="31"/>
    </row>
    <row r="58" spans="1:24" ht="16.2" x14ac:dyDescent="0.35">
      <c r="A58" s="231" t="s">
        <v>61</v>
      </c>
      <c r="B58" s="236"/>
      <c r="C58" s="236"/>
      <c r="D58" s="237">
        <f>(H43)</f>
        <v>5.4000000000000039</v>
      </c>
      <c r="E58" s="117"/>
      <c r="H58" s="27"/>
      <c r="I58" s="27"/>
      <c r="J58" s="230" t="s">
        <v>181</v>
      </c>
      <c r="K58" s="27"/>
      <c r="M58" s="230"/>
      <c r="N58" s="117"/>
      <c r="O58" s="117"/>
      <c r="P58" s="229"/>
      <c r="S58" s="31"/>
      <c r="T58" s="31"/>
      <c r="U58" s="19"/>
      <c r="V58" s="31"/>
    </row>
    <row r="59" spans="1:24" ht="15.75" customHeight="1" x14ac:dyDescent="0.35">
      <c r="A59" s="27"/>
      <c r="B59" s="27"/>
      <c r="C59" s="27"/>
      <c r="D59" s="27"/>
      <c r="E59" s="117"/>
      <c r="H59" s="27"/>
      <c r="I59" s="27"/>
      <c r="J59" s="223" t="s">
        <v>27</v>
      </c>
      <c r="K59" s="27"/>
      <c r="M59" s="223"/>
      <c r="S59" s="31"/>
      <c r="T59" s="31"/>
      <c r="U59" s="19"/>
      <c r="V59" s="31"/>
    </row>
    <row r="60" spans="1:24" ht="15.75" customHeight="1" x14ac:dyDescent="0.35">
      <c r="A60" s="27" t="s">
        <v>71</v>
      </c>
      <c r="B60" s="27"/>
      <c r="C60" s="35">
        <v>0.3</v>
      </c>
      <c r="D60" s="35">
        <v>0.2</v>
      </c>
      <c r="E60" s="246"/>
      <c r="H60" s="177" t="s">
        <v>30</v>
      </c>
      <c r="I60" s="177"/>
      <c r="J60" s="193">
        <f>35.3</f>
        <v>35.299999999999997</v>
      </c>
      <c r="K60" s="359"/>
      <c r="M60" s="193"/>
      <c r="N60" s="27"/>
      <c r="O60" s="27"/>
      <c r="P60" s="117"/>
      <c r="S60" s="31"/>
      <c r="T60" s="31"/>
      <c r="U60" s="31"/>
      <c r="V60" s="31"/>
    </row>
    <row r="61" spans="1:24" ht="15.75" customHeight="1" x14ac:dyDescent="0.35">
      <c r="A61" s="27" t="s">
        <v>72</v>
      </c>
      <c r="B61" s="27"/>
      <c r="C61" s="35">
        <v>0.2</v>
      </c>
      <c r="D61" s="35">
        <v>0.1</v>
      </c>
      <c r="E61" s="35"/>
      <c r="H61" s="177"/>
      <c r="I61" s="177"/>
      <c r="J61" s="27"/>
      <c r="K61" s="27"/>
      <c r="L61" s="193"/>
      <c r="M61" s="193"/>
      <c r="N61" s="233" t="s">
        <v>28</v>
      </c>
      <c r="O61" s="233"/>
      <c r="P61" s="223" t="s">
        <v>29</v>
      </c>
      <c r="S61" s="31"/>
      <c r="T61" s="31"/>
      <c r="U61" s="31"/>
      <c r="V61" s="31"/>
    </row>
    <row r="62" spans="1:24" ht="15.75" customHeight="1" x14ac:dyDescent="0.35">
      <c r="A62" s="27" t="s">
        <v>154</v>
      </c>
      <c r="B62" s="27"/>
      <c r="C62" s="27"/>
      <c r="D62" s="27"/>
      <c r="E62" s="44"/>
      <c r="H62" s="27" t="s">
        <v>175</v>
      </c>
      <c r="I62" s="27"/>
      <c r="J62" s="27"/>
      <c r="K62" s="27"/>
      <c r="L62" s="193">
        <v>30</v>
      </c>
      <c r="M62" s="193"/>
      <c r="N62" s="193">
        <v>0</v>
      </c>
      <c r="O62" s="193"/>
      <c r="P62" s="113"/>
      <c r="S62" s="31"/>
      <c r="T62" s="31"/>
      <c r="U62" s="31"/>
      <c r="V62" s="31"/>
    </row>
    <row r="63" spans="1:24" ht="15.75" customHeight="1" x14ac:dyDescent="0.35">
      <c r="A63" s="27" t="s">
        <v>153</v>
      </c>
      <c r="C63" s="44">
        <v>-0.5</v>
      </c>
      <c r="D63" s="44">
        <v>-0.3</v>
      </c>
      <c r="E63" s="44"/>
      <c r="H63" s="27" t="s">
        <v>176</v>
      </c>
      <c r="I63" s="27"/>
      <c r="J63" s="166"/>
      <c r="K63" s="27"/>
      <c r="L63" s="193">
        <v>40</v>
      </c>
      <c r="M63" s="27"/>
      <c r="N63" s="193">
        <v>0</v>
      </c>
      <c r="O63" s="193"/>
      <c r="P63" s="274" t="s">
        <v>66</v>
      </c>
      <c r="S63" s="31"/>
      <c r="T63" s="31"/>
      <c r="U63" s="31"/>
      <c r="V63" s="31"/>
    </row>
    <row r="64" spans="1:24" ht="14.85" customHeight="1" x14ac:dyDescent="0.35">
      <c r="A64" s="27" t="s">
        <v>86</v>
      </c>
      <c r="C64" s="44">
        <v>0.2</v>
      </c>
      <c r="D64" s="44">
        <v>0.1</v>
      </c>
      <c r="E64" s="35"/>
      <c r="H64" s="177" t="s">
        <v>31</v>
      </c>
      <c r="I64" s="177"/>
      <c r="J64" s="27"/>
      <c r="K64" s="27"/>
      <c r="L64" s="193">
        <v>70</v>
      </c>
      <c r="M64" s="193"/>
      <c r="N64" s="193">
        <v>0</v>
      </c>
      <c r="P64" s="113"/>
      <c r="Q64" s="31"/>
      <c r="R64" s="31"/>
      <c r="S64" s="31"/>
      <c r="T64" s="31"/>
      <c r="U64" s="31"/>
      <c r="V64" s="31"/>
    </row>
    <row r="65" spans="1:22" ht="14.85" customHeight="1" x14ac:dyDescent="0.35">
      <c r="A65" s="27" t="s">
        <v>87</v>
      </c>
      <c r="B65" s="27"/>
      <c r="C65" s="44">
        <v>-0.5</v>
      </c>
      <c r="D65" s="44">
        <v>-0.3</v>
      </c>
      <c r="E65" s="44"/>
      <c r="F65" s="35"/>
      <c r="G65" s="35"/>
      <c r="H65" s="177" t="s">
        <v>173</v>
      </c>
      <c r="L65" s="193">
        <v>210</v>
      </c>
      <c r="M65" s="193"/>
      <c r="N65" s="193">
        <v>40</v>
      </c>
      <c r="Q65" s="31"/>
      <c r="R65" s="31"/>
      <c r="S65" s="31"/>
      <c r="T65" s="31"/>
      <c r="U65" s="31"/>
      <c r="V65" s="31"/>
    </row>
    <row r="66" spans="1:22" ht="14.85" customHeight="1" x14ac:dyDescent="0.35">
      <c r="A66" s="27" t="s">
        <v>171</v>
      </c>
      <c r="B66" s="27"/>
      <c r="C66" s="44">
        <v>0.3</v>
      </c>
      <c r="D66" s="44">
        <v>0.2</v>
      </c>
      <c r="H66" s="27" t="s">
        <v>62</v>
      </c>
      <c r="I66" s="27"/>
      <c r="J66" s="166"/>
      <c r="K66" s="27"/>
      <c r="L66" s="193">
        <v>300</v>
      </c>
      <c r="M66" s="193"/>
      <c r="N66" s="193">
        <v>0</v>
      </c>
      <c r="Q66" s="10"/>
      <c r="R66" s="31"/>
      <c r="S66" s="31"/>
      <c r="T66" s="31"/>
      <c r="U66" s="31"/>
      <c r="V66" s="31"/>
    </row>
    <row r="67" spans="1:22" ht="14.85" customHeight="1" x14ac:dyDescent="0.35">
      <c r="A67" s="27" t="s">
        <v>161</v>
      </c>
      <c r="C67" s="44">
        <v>1</v>
      </c>
      <c r="D67" s="44">
        <v>0.6</v>
      </c>
      <c r="E67" s="38"/>
      <c r="H67" s="27" t="s">
        <v>63</v>
      </c>
      <c r="I67" s="27"/>
      <c r="J67" s="166"/>
      <c r="K67" s="27"/>
      <c r="L67" s="193">
        <v>300</v>
      </c>
      <c r="M67" s="193"/>
      <c r="N67" s="193">
        <v>0</v>
      </c>
      <c r="Q67" s="31"/>
      <c r="R67" s="31"/>
      <c r="S67" s="31"/>
      <c r="T67" s="31"/>
      <c r="U67" s="31"/>
      <c r="V67" s="31"/>
    </row>
    <row r="68" spans="1:22" ht="14.85" customHeight="1" x14ac:dyDescent="0.3">
      <c r="E68" s="117"/>
      <c r="O68" s="249"/>
      <c r="P68" s="117"/>
      <c r="Q68" s="31"/>
      <c r="R68" s="31"/>
      <c r="S68" s="31"/>
      <c r="T68" s="31"/>
      <c r="U68" s="31"/>
      <c r="V68" s="31"/>
    </row>
    <row r="69" spans="1:22" ht="13.5" customHeight="1" thickBot="1" x14ac:dyDescent="0.4">
      <c r="A69" s="27" t="s">
        <v>34</v>
      </c>
      <c r="B69" s="27"/>
      <c r="C69" s="27"/>
      <c r="D69" s="29">
        <f>SUM(D58:D68)</f>
        <v>6.0000000000000036</v>
      </c>
      <c r="E69" s="117"/>
      <c r="H69" s="167" t="s">
        <v>174</v>
      </c>
      <c r="O69" s="117"/>
      <c r="P69" s="117"/>
      <c r="Q69" s="31"/>
      <c r="R69" s="31"/>
      <c r="S69" s="31"/>
      <c r="T69" s="31"/>
      <c r="U69" s="31"/>
      <c r="V69" s="31"/>
    </row>
    <row r="70" spans="1:22" ht="16.8" thickTop="1" x14ac:dyDescent="0.35">
      <c r="A70" s="27"/>
      <c r="C70" s="44"/>
      <c r="D70" s="44"/>
      <c r="E70" s="117"/>
      <c r="F70" s="117"/>
      <c r="G70" s="117"/>
      <c r="O70" s="117"/>
      <c r="P70" s="117"/>
      <c r="Q70" s="31"/>
      <c r="R70" s="31"/>
      <c r="S70" s="31"/>
      <c r="T70" s="31"/>
      <c r="U70" s="31"/>
      <c r="V70" s="31"/>
    </row>
    <row r="71" spans="1:22" ht="16.2" x14ac:dyDescent="0.35">
      <c r="A71" s="361" t="s">
        <v>187</v>
      </c>
      <c r="E71" s="117"/>
      <c r="F71" s="117"/>
      <c r="G71" s="117"/>
      <c r="H71" s="250" t="str">
        <f ca="1">CELL("FILENAME",V59)</f>
        <v>P:\Finance\FGT Finance\LPALMA\EXCEL\WEEKLY\[November3.xls]A</v>
      </c>
      <c r="I71" s="250"/>
      <c r="J71" s="117"/>
      <c r="K71" s="117"/>
      <c r="L71" s="117"/>
      <c r="M71" s="117"/>
      <c r="N71" s="248">
        <f ca="1">NOW()</f>
        <v>37214.684880208333</v>
      </c>
      <c r="Q71" s="31"/>
      <c r="R71" s="31"/>
      <c r="S71" s="31"/>
      <c r="T71" s="31"/>
      <c r="U71" s="31"/>
      <c r="V71" s="31"/>
    </row>
    <row r="72" spans="1:22" ht="16.2" x14ac:dyDescent="0.35">
      <c r="E72" s="117"/>
      <c r="F72" s="35"/>
      <c r="G72" s="35"/>
      <c r="H72" s="117"/>
      <c r="I72" s="117"/>
      <c r="J72" s="117"/>
      <c r="K72" s="117"/>
      <c r="L72" s="117"/>
      <c r="M72" s="117"/>
      <c r="N72" s="249">
        <f ca="1">NOW()</f>
        <v>37214.684880208333</v>
      </c>
      <c r="Q72" s="31"/>
      <c r="R72" s="31"/>
      <c r="S72" s="31"/>
      <c r="T72" s="31"/>
      <c r="U72" s="31"/>
      <c r="V72" s="31"/>
    </row>
    <row r="73" spans="1:22" ht="16.2" x14ac:dyDescent="0.35">
      <c r="A73" s="27"/>
      <c r="B73" s="27"/>
      <c r="C73" s="27"/>
      <c r="D73" s="275"/>
      <c r="E73" s="117"/>
      <c r="M73" s="117"/>
      <c r="O73" s="117"/>
      <c r="P73" s="27"/>
      <c r="Q73" s="31"/>
      <c r="R73" s="31"/>
      <c r="S73" s="31"/>
      <c r="T73" s="31"/>
      <c r="U73" s="31"/>
      <c r="V73" s="31"/>
    </row>
    <row r="74" spans="1:22" ht="16.2" x14ac:dyDescent="0.35">
      <c r="A74" s="27"/>
      <c r="D74" s="275"/>
      <c r="F74" s="191"/>
      <c r="M74" s="117"/>
      <c r="N74" s="117"/>
      <c r="O74" s="117"/>
      <c r="P74" s="117"/>
      <c r="Q74" s="31"/>
      <c r="R74" s="31"/>
      <c r="S74" s="31"/>
      <c r="T74" s="31"/>
      <c r="U74" s="31"/>
      <c r="V74" s="31"/>
    </row>
    <row r="75" spans="1:22" ht="16.2" x14ac:dyDescent="0.35">
      <c r="A75" s="27"/>
      <c r="B75" s="27"/>
      <c r="C75" s="27"/>
      <c r="D75" s="275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31"/>
      <c r="R75" s="31"/>
      <c r="S75" s="31"/>
      <c r="T75" s="31"/>
      <c r="U75" s="31"/>
      <c r="V75" s="31"/>
    </row>
    <row r="76" spans="1:22" ht="16.2" x14ac:dyDescent="0.35">
      <c r="A76" s="27"/>
      <c r="B76" s="27"/>
      <c r="C76" s="27"/>
      <c r="D76" s="35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31"/>
      <c r="R76" s="31"/>
      <c r="S76" s="31"/>
      <c r="T76" s="31"/>
      <c r="U76" s="31"/>
      <c r="V76" s="31"/>
    </row>
    <row r="77" spans="1:22" x14ac:dyDescent="0.3"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31"/>
      <c r="R77" s="31"/>
      <c r="S77" s="31"/>
      <c r="T77" s="31"/>
      <c r="U77" s="31"/>
      <c r="V77" s="31"/>
    </row>
    <row r="78" spans="1:22" x14ac:dyDescent="0.3"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31"/>
      <c r="R78" s="31"/>
      <c r="S78" s="31"/>
      <c r="T78" s="31"/>
      <c r="U78" s="31"/>
      <c r="V78" s="31"/>
    </row>
    <row r="79" spans="1:22" x14ac:dyDescent="0.3"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31"/>
      <c r="R79" s="31"/>
      <c r="S79" s="31"/>
      <c r="T79" s="31"/>
      <c r="U79" s="31"/>
      <c r="V79" s="31"/>
    </row>
    <row r="80" spans="1:22" x14ac:dyDescent="0.3"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31"/>
      <c r="R80" s="31"/>
      <c r="S80" s="31"/>
      <c r="T80" s="31"/>
      <c r="U80" s="31"/>
      <c r="V80" s="31"/>
    </row>
    <row r="81" spans="6:22" x14ac:dyDescent="0.3"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31"/>
      <c r="R81" s="31"/>
      <c r="S81" s="31"/>
      <c r="T81" s="31"/>
      <c r="U81" s="31"/>
      <c r="V81" s="31"/>
    </row>
    <row r="82" spans="6:22" x14ac:dyDescent="0.3"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31"/>
      <c r="R82" s="31"/>
      <c r="S82" s="31"/>
      <c r="T82" s="31"/>
      <c r="U82" s="31"/>
      <c r="V82" s="31"/>
    </row>
    <row r="83" spans="6:22" x14ac:dyDescent="0.3"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31"/>
      <c r="R83" s="31"/>
      <c r="S83" s="31"/>
      <c r="T83" s="31"/>
      <c r="U83" s="31"/>
      <c r="V83" s="31"/>
    </row>
    <row r="84" spans="6:22" x14ac:dyDescent="0.3"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31"/>
      <c r="R84" s="31"/>
      <c r="S84" s="31"/>
      <c r="T84" s="31"/>
      <c r="U84" s="31"/>
      <c r="V84" s="31"/>
    </row>
    <row r="85" spans="6:22" x14ac:dyDescent="0.3"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31"/>
      <c r="R85" s="31"/>
      <c r="S85" s="31"/>
      <c r="T85" s="31"/>
      <c r="U85" s="31"/>
      <c r="V85" s="31"/>
    </row>
    <row r="86" spans="6:22" x14ac:dyDescent="0.3"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31"/>
      <c r="R86" s="31"/>
      <c r="S86" s="31"/>
      <c r="T86" s="31"/>
      <c r="U86" s="31"/>
      <c r="V86" s="31"/>
    </row>
    <row r="87" spans="6:22" x14ac:dyDescent="0.3"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31"/>
      <c r="R87" s="31"/>
      <c r="S87" s="31"/>
      <c r="T87" s="31"/>
      <c r="U87" s="31"/>
      <c r="V87" s="31"/>
    </row>
    <row r="88" spans="6:22" x14ac:dyDescent="0.3"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31"/>
      <c r="R88" s="31"/>
      <c r="S88" s="31"/>
      <c r="T88" s="31"/>
      <c r="U88" s="31"/>
      <c r="V88" s="31"/>
    </row>
    <row r="89" spans="6:22" x14ac:dyDescent="0.3"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31"/>
      <c r="R89" s="31"/>
      <c r="S89" s="31"/>
      <c r="T89" s="31"/>
      <c r="U89" s="31"/>
      <c r="V89" s="31"/>
    </row>
    <row r="90" spans="6:22" x14ac:dyDescent="0.3"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31"/>
      <c r="R90" s="31"/>
      <c r="S90" s="31"/>
      <c r="T90" s="31"/>
      <c r="U90" s="31"/>
      <c r="V90" s="31"/>
    </row>
    <row r="91" spans="6:22" x14ac:dyDescent="0.3"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31"/>
      <c r="R91" s="31"/>
      <c r="S91" s="31"/>
      <c r="T91" s="31"/>
      <c r="U91" s="31"/>
      <c r="V91" s="31"/>
    </row>
    <row r="92" spans="6:22" x14ac:dyDescent="0.3"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31"/>
      <c r="R92" s="31"/>
      <c r="S92" s="31"/>
      <c r="T92" s="31"/>
      <c r="U92" s="31"/>
      <c r="V92" s="31"/>
    </row>
    <row r="93" spans="6:22" x14ac:dyDescent="0.3"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31"/>
      <c r="R93" s="31"/>
      <c r="S93" s="31"/>
      <c r="T93" s="31"/>
      <c r="U93" s="31"/>
      <c r="V93" s="31"/>
    </row>
    <row r="94" spans="6:22" x14ac:dyDescent="0.3"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31"/>
      <c r="R94" s="31"/>
      <c r="S94" s="31"/>
      <c r="T94" s="31"/>
      <c r="U94" s="31"/>
      <c r="V94" s="31"/>
    </row>
    <row r="95" spans="6:22" x14ac:dyDescent="0.3"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31"/>
      <c r="R95" s="31"/>
      <c r="S95" s="31"/>
      <c r="T95" s="31"/>
      <c r="U95" s="31"/>
      <c r="V95" s="31"/>
    </row>
    <row r="96" spans="6:22" x14ac:dyDescent="0.3"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31"/>
      <c r="R96" s="31"/>
      <c r="S96" s="31"/>
      <c r="T96" s="31"/>
      <c r="U96" s="31"/>
      <c r="V96" s="31"/>
    </row>
    <row r="97" spans="6:22" x14ac:dyDescent="0.3"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31"/>
      <c r="R97" s="31"/>
      <c r="S97" s="31"/>
      <c r="T97" s="31"/>
      <c r="U97" s="31"/>
      <c r="V97" s="31"/>
    </row>
    <row r="98" spans="6:22" x14ac:dyDescent="0.3"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31"/>
      <c r="R98" s="31"/>
      <c r="S98" s="31"/>
      <c r="T98" s="31"/>
      <c r="U98" s="31"/>
      <c r="V98" s="31"/>
    </row>
    <row r="99" spans="6:22" x14ac:dyDescent="0.3"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31"/>
      <c r="R99" s="31"/>
      <c r="S99" s="31"/>
      <c r="T99" s="31"/>
      <c r="U99" s="31"/>
      <c r="V99" s="31"/>
    </row>
    <row r="100" spans="6:22" x14ac:dyDescent="0.3"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31"/>
      <c r="R100" s="31"/>
      <c r="S100" s="31"/>
      <c r="T100" s="31"/>
      <c r="U100" s="31"/>
      <c r="V100" s="31"/>
    </row>
    <row r="101" spans="6:22" x14ac:dyDescent="0.3"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31"/>
      <c r="R101" s="31"/>
      <c r="S101" s="31"/>
      <c r="T101" s="31"/>
      <c r="U101" s="31"/>
      <c r="V101" s="31"/>
    </row>
    <row r="102" spans="6:22" x14ac:dyDescent="0.3"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31"/>
      <c r="R102" s="31"/>
      <c r="S102" s="31"/>
      <c r="T102" s="31"/>
      <c r="U102" s="31"/>
      <c r="V102" s="31"/>
    </row>
    <row r="103" spans="6:22" x14ac:dyDescent="0.3"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31"/>
      <c r="R103" s="31"/>
      <c r="S103" s="31"/>
      <c r="T103" s="31"/>
      <c r="U103" s="31"/>
      <c r="V103" s="31"/>
    </row>
    <row r="104" spans="6:22" x14ac:dyDescent="0.3"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31"/>
      <c r="R104" s="31"/>
      <c r="S104" s="31"/>
      <c r="T104" s="31"/>
      <c r="U104" s="31"/>
      <c r="V104" s="31"/>
    </row>
    <row r="105" spans="6:22" x14ac:dyDescent="0.3"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31"/>
      <c r="R105" s="31"/>
      <c r="S105" s="31"/>
      <c r="T105" s="31"/>
      <c r="U105" s="31"/>
      <c r="V105" s="31"/>
    </row>
    <row r="106" spans="6:22" x14ac:dyDescent="0.3"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31"/>
      <c r="R106" s="31"/>
      <c r="S106" s="31"/>
      <c r="T106" s="31"/>
      <c r="U106" s="31"/>
      <c r="V106" s="31"/>
    </row>
    <row r="107" spans="6:22" x14ac:dyDescent="0.3"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31"/>
      <c r="R107" s="31"/>
      <c r="S107" s="31"/>
      <c r="T107" s="31"/>
      <c r="U107" s="31"/>
      <c r="V107" s="31"/>
    </row>
    <row r="108" spans="6:22" x14ac:dyDescent="0.3"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31"/>
      <c r="R108" s="31"/>
      <c r="S108" s="31"/>
      <c r="T108" s="31"/>
      <c r="U108" s="31"/>
      <c r="V108" s="31"/>
    </row>
    <row r="109" spans="6:22" x14ac:dyDescent="0.3"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31"/>
      <c r="R109" s="31"/>
      <c r="S109" s="31"/>
      <c r="T109" s="31"/>
      <c r="U109" s="31"/>
      <c r="V109" s="31"/>
    </row>
    <row r="110" spans="6:22" x14ac:dyDescent="0.3"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31"/>
      <c r="R110" s="31"/>
      <c r="S110" s="31"/>
      <c r="T110" s="31"/>
      <c r="U110" s="31"/>
      <c r="V110" s="31"/>
    </row>
    <row r="111" spans="6:22" x14ac:dyDescent="0.3"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31"/>
      <c r="R111" s="31"/>
      <c r="S111" s="31"/>
      <c r="T111" s="31"/>
      <c r="U111" s="31"/>
      <c r="V111" s="31"/>
    </row>
    <row r="112" spans="6:22" x14ac:dyDescent="0.3"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31"/>
      <c r="R112" s="31"/>
      <c r="S112" s="31"/>
      <c r="T112" s="31"/>
      <c r="U112" s="31"/>
      <c r="V112" s="31"/>
    </row>
    <row r="113" spans="6:22" x14ac:dyDescent="0.3"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31"/>
      <c r="R113" s="31"/>
      <c r="S113" s="31"/>
      <c r="T113" s="31"/>
      <c r="U113" s="31"/>
      <c r="V113" s="31"/>
    </row>
    <row r="114" spans="6:22" x14ac:dyDescent="0.3"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31"/>
      <c r="R114" s="31"/>
      <c r="S114" s="31"/>
      <c r="T114" s="31"/>
      <c r="U114" s="31"/>
      <c r="V114" s="31"/>
    </row>
    <row r="115" spans="6:22" x14ac:dyDescent="0.3"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31"/>
      <c r="R115" s="31"/>
      <c r="S115" s="31"/>
      <c r="T115" s="31"/>
      <c r="U115" s="31"/>
      <c r="V115" s="31"/>
    </row>
    <row r="116" spans="6:22" x14ac:dyDescent="0.3"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31"/>
      <c r="R116" s="31"/>
      <c r="S116" s="31"/>
      <c r="T116" s="31"/>
      <c r="U116" s="31"/>
      <c r="V116" s="31"/>
    </row>
    <row r="117" spans="6:22" x14ac:dyDescent="0.3"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31"/>
      <c r="R117" s="31"/>
      <c r="S117" s="31"/>
      <c r="T117" s="31"/>
      <c r="U117" s="31"/>
      <c r="V117" s="31"/>
    </row>
    <row r="118" spans="6:22" x14ac:dyDescent="0.3"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31"/>
      <c r="R118" s="31"/>
      <c r="S118" s="31"/>
      <c r="T118" s="31"/>
      <c r="U118" s="31"/>
      <c r="V118" s="31"/>
    </row>
    <row r="119" spans="6:22" x14ac:dyDescent="0.3"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31"/>
      <c r="R119" s="31"/>
      <c r="S119" s="31"/>
      <c r="T119" s="31"/>
      <c r="U119" s="31"/>
      <c r="V119" s="31"/>
    </row>
    <row r="120" spans="6:22" x14ac:dyDescent="0.3"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31"/>
      <c r="R120" s="31"/>
      <c r="S120" s="31"/>
      <c r="T120" s="31"/>
      <c r="U120" s="31"/>
      <c r="V120" s="31"/>
    </row>
    <row r="121" spans="6:22" x14ac:dyDescent="0.3"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31"/>
      <c r="R121" s="31"/>
      <c r="S121" s="31"/>
      <c r="T121" s="31"/>
      <c r="U121" s="31"/>
      <c r="V121" s="31"/>
    </row>
    <row r="122" spans="6:22" x14ac:dyDescent="0.3"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31"/>
      <c r="R122" s="31"/>
      <c r="S122" s="31"/>
      <c r="T122" s="31"/>
      <c r="U122" s="31"/>
      <c r="V122" s="31"/>
    </row>
    <row r="123" spans="6:22" x14ac:dyDescent="0.3"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31"/>
      <c r="R123" s="31"/>
      <c r="S123" s="31"/>
      <c r="T123" s="31"/>
      <c r="U123" s="31"/>
      <c r="V123" s="31"/>
    </row>
    <row r="124" spans="6:22" x14ac:dyDescent="0.3"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31"/>
      <c r="R124" s="31"/>
      <c r="S124" s="31"/>
      <c r="T124" s="31"/>
      <c r="U124" s="31"/>
      <c r="V124" s="31"/>
    </row>
    <row r="125" spans="6:22" x14ac:dyDescent="0.3"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31"/>
      <c r="R125" s="31"/>
      <c r="S125" s="31"/>
      <c r="T125" s="31"/>
      <c r="U125" s="31"/>
      <c r="V125" s="31"/>
    </row>
    <row r="126" spans="6:22" x14ac:dyDescent="0.3"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31"/>
      <c r="R126" s="31"/>
      <c r="S126" s="31"/>
      <c r="T126" s="31"/>
      <c r="U126" s="31"/>
      <c r="V126" s="31"/>
    </row>
    <row r="127" spans="6:22" x14ac:dyDescent="0.3"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31"/>
      <c r="R127" s="31"/>
      <c r="S127" s="31"/>
      <c r="T127" s="31"/>
      <c r="U127" s="31"/>
      <c r="V127" s="31"/>
    </row>
    <row r="128" spans="6:22" x14ac:dyDescent="0.3"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31"/>
      <c r="R128" s="31"/>
      <c r="S128" s="31"/>
      <c r="T128" s="31"/>
      <c r="U128" s="31"/>
      <c r="V128" s="31"/>
    </row>
    <row r="129" spans="6:22" x14ac:dyDescent="0.3"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31"/>
      <c r="R129" s="31"/>
      <c r="S129" s="31"/>
      <c r="T129" s="31"/>
      <c r="U129" s="31"/>
      <c r="V129" s="31"/>
    </row>
    <row r="130" spans="6:22" x14ac:dyDescent="0.3"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31"/>
      <c r="R130" s="31"/>
      <c r="S130" s="31"/>
      <c r="T130" s="31"/>
      <c r="U130" s="31"/>
      <c r="V130" s="31"/>
    </row>
    <row r="131" spans="6:22" x14ac:dyDescent="0.3"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31"/>
      <c r="R131" s="31"/>
      <c r="S131" s="31"/>
      <c r="T131" s="31"/>
      <c r="U131" s="31"/>
      <c r="V131" s="31"/>
    </row>
    <row r="132" spans="6:22" x14ac:dyDescent="0.3"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31"/>
      <c r="R132" s="31"/>
      <c r="S132" s="31"/>
      <c r="T132" s="31"/>
      <c r="U132" s="31"/>
      <c r="V132" s="31"/>
    </row>
    <row r="133" spans="6:22" x14ac:dyDescent="0.3"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31"/>
      <c r="R133" s="31"/>
      <c r="S133" s="31"/>
      <c r="T133" s="31"/>
      <c r="U133" s="31"/>
      <c r="V133" s="31"/>
    </row>
    <row r="134" spans="6:22" x14ac:dyDescent="0.3"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31"/>
      <c r="R134" s="31"/>
      <c r="S134" s="31"/>
      <c r="T134" s="31"/>
      <c r="U134" s="31"/>
      <c r="V134" s="31"/>
    </row>
    <row r="135" spans="6:22" x14ac:dyDescent="0.3"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31"/>
      <c r="R135" s="31"/>
      <c r="S135" s="31"/>
      <c r="T135" s="31"/>
      <c r="U135" s="31"/>
      <c r="V135" s="31"/>
    </row>
    <row r="136" spans="6:22" x14ac:dyDescent="0.3"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31"/>
      <c r="R136" s="31"/>
      <c r="S136" s="31"/>
      <c r="T136" s="31"/>
      <c r="U136" s="31"/>
      <c r="V136" s="31"/>
    </row>
    <row r="137" spans="6:22" x14ac:dyDescent="0.3"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31"/>
      <c r="R137" s="31"/>
      <c r="S137" s="31"/>
      <c r="T137" s="31"/>
      <c r="U137" s="31"/>
      <c r="V137" s="31"/>
    </row>
    <row r="138" spans="6:22" x14ac:dyDescent="0.3"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31"/>
      <c r="R138" s="31"/>
      <c r="S138" s="31"/>
      <c r="T138" s="31"/>
      <c r="U138" s="31"/>
      <c r="V138" s="31"/>
    </row>
    <row r="139" spans="6:22" x14ac:dyDescent="0.3"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31"/>
      <c r="R139" s="31"/>
      <c r="S139" s="31"/>
      <c r="T139" s="31"/>
      <c r="U139" s="31"/>
      <c r="V139" s="31"/>
    </row>
    <row r="140" spans="6:22" x14ac:dyDescent="0.3"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31"/>
      <c r="R140" s="31"/>
      <c r="S140" s="31"/>
      <c r="T140" s="31"/>
      <c r="U140" s="31"/>
      <c r="V140" s="31"/>
    </row>
    <row r="141" spans="6:22" x14ac:dyDescent="0.3"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31"/>
      <c r="R141" s="31"/>
      <c r="S141" s="31"/>
      <c r="T141" s="31"/>
      <c r="U141" s="31"/>
      <c r="V141" s="31"/>
    </row>
    <row r="142" spans="6:22" x14ac:dyDescent="0.3"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31"/>
      <c r="R142" s="31"/>
      <c r="S142" s="31"/>
      <c r="T142" s="31"/>
      <c r="U142" s="31"/>
      <c r="V142" s="31"/>
    </row>
    <row r="143" spans="6:22" x14ac:dyDescent="0.3"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31"/>
      <c r="R143" s="31"/>
      <c r="S143" s="31"/>
      <c r="T143" s="31"/>
      <c r="U143" s="31"/>
      <c r="V143" s="31"/>
    </row>
    <row r="144" spans="6:22" x14ac:dyDescent="0.3"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31"/>
      <c r="R144" s="31"/>
      <c r="S144" s="31"/>
      <c r="T144" s="31"/>
      <c r="U144" s="31"/>
      <c r="V144" s="31"/>
    </row>
    <row r="145" spans="6:22" x14ac:dyDescent="0.3"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31"/>
      <c r="R145" s="31"/>
      <c r="S145" s="31"/>
      <c r="T145" s="31"/>
      <c r="U145" s="31"/>
      <c r="V145" s="31"/>
    </row>
    <row r="146" spans="6:22" x14ac:dyDescent="0.3"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31"/>
      <c r="R146" s="31"/>
      <c r="S146" s="31"/>
      <c r="T146" s="31"/>
      <c r="U146" s="31"/>
      <c r="V146" s="31"/>
    </row>
    <row r="147" spans="6:22" x14ac:dyDescent="0.3"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31"/>
      <c r="R147" s="31"/>
      <c r="S147" s="31"/>
      <c r="T147" s="31"/>
      <c r="U147" s="31"/>
      <c r="V147" s="31"/>
    </row>
    <row r="148" spans="6:22" x14ac:dyDescent="0.3"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31"/>
      <c r="R148" s="31"/>
      <c r="S148" s="31"/>
      <c r="T148" s="31"/>
      <c r="U148" s="31"/>
      <c r="V148" s="31"/>
    </row>
    <row r="149" spans="6:22" x14ac:dyDescent="0.3"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31"/>
      <c r="R149" s="31"/>
      <c r="S149" s="31"/>
      <c r="T149" s="31"/>
      <c r="U149" s="31"/>
      <c r="V149" s="31"/>
    </row>
    <row r="150" spans="6:22" x14ac:dyDescent="0.3"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31"/>
      <c r="R150" s="31"/>
      <c r="S150" s="31"/>
      <c r="T150" s="31"/>
      <c r="U150" s="31"/>
      <c r="V150" s="31"/>
    </row>
    <row r="151" spans="6:22" x14ac:dyDescent="0.3"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31"/>
      <c r="R151" s="31"/>
      <c r="S151" s="31"/>
      <c r="T151" s="31"/>
      <c r="U151" s="31"/>
      <c r="V151" s="31"/>
    </row>
    <row r="152" spans="6:22" x14ac:dyDescent="0.3"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31"/>
      <c r="R152" s="31"/>
      <c r="S152" s="31"/>
      <c r="T152" s="31"/>
      <c r="U152" s="31"/>
      <c r="V152" s="31"/>
    </row>
    <row r="153" spans="6:22" x14ac:dyDescent="0.3"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31"/>
      <c r="R153" s="31"/>
      <c r="S153" s="31"/>
      <c r="T153" s="31"/>
      <c r="U153" s="31"/>
      <c r="V153" s="31"/>
    </row>
    <row r="154" spans="6:22" x14ac:dyDescent="0.3"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31"/>
      <c r="R154" s="31"/>
      <c r="S154" s="31"/>
      <c r="T154" s="31"/>
      <c r="U154" s="31"/>
      <c r="V154" s="31"/>
    </row>
    <row r="155" spans="6:22" x14ac:dyDescent="0.3"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31"/>
      <c r="R155" s="31"/>
      <c r="S155" s="31"/>
      <c r="T155" s="31"/>
      <c r="U155" s="31"/>
      <c r="V155" s="31"/>
    </row>
    <row r="156" spans="6:22" x14ac:dyDescent="0.3"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31"/>
      <c r="R156" s="31"/>
      <c r="S156" s="31"/>
      <c r="T156" s="31"/>
      <c r="U156" s="31"/>
      <c r="V156" s="31"/>
    </row>
    <row r="157" spans="6:22" x14ac:dyDescent="0.3"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31"/>
      <c r="R157" s="31"/>
      <c r="S157" s="31"/>
      <c r="T157" s="31"/>
      <c r="U157" s="31"/>
      <c r="V157" s="31"/>
    </row>
    <row r="158" spans="6:22" x14ac:dyDescent="0.3"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31"/>
      <c r="R158" s="31"/>
      <c r="S158" s="31"/>
      <c r="T158" s="31"/>
      <c r="U158" s="31"/>
      <c r="V158" s="31"/>
    </row>
    <row r="159" spans="6:22" x14ac:dyDescent="0.3"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31"/>
      <c r="R159" s="31"/>
      <c r="S159" s="31"/>
      <c r="T159" s="31"/>
      <c r="U159" s="31"/>
      <c r="V159" s="31"/>
    </row>
    <row r="160" spans="6:22" x14ac:dyDescent="0.3"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31"/>
      <c r="R160" s="31"/>
      <c r="S160" s="31"/>
      <c r="T160" s="31"/>
      <c r="U160" s="31"/>
      <c r="V160" s="31"/>
    </row>
    <row r="161" spans="6:22" x14ac:dyDescent="0.3"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31"/>
      <c r="R161" s="31"/>
      <c r="S161" s="31"/>
      <c r="T161" s="31"/>
      <c r="U161" s="31"/>
      <c r="V161" s="31"/>
    </row>
    <row r="162" spans="6:22" x14ac:dyDescent="0.3"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31"/>
      <c r="R162" s="31"/>
      <c r="S162" s="31"/>
      <c r="T162" s="31"/>
      <c r="U162" s="31"/>
      <c r="V162" s="31"/>
    </row>
    <row r="163" spans="6:22" x14ac:dyDescent="0.3"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31"/>
      <c r="R163" s="31"/>
      <c r="S163" s="31"/>
      <c r="T163" s="31"/>
      <c r="U163" s="31"/>
      <c r="V163" s="31"/>
    </row>
    <row r="164" spans="6:22" x14ac:dyDescent="0.3"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31"/>
      <c r="R164" s="31"/>
      <c r="S164" s="31"/>
      <c r="T164" s="31"/>
      <c r="U164" s="31"/>
      <c r="V164" s="31"/>
    </row>
    <row r="165" spans="6:22" x14ac:dyDescent="0.3"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31"/>
      <c r="R165" s="31"/>
      <c r="S165" s="31"/>
      <c r="T165" s="31"/>
      <c r="U165" s="31"/>
      <c r="V165" s="31"/>
    </row>
    <row r="166" spans="6:22" x14ac:dyDescent="0.3"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31"/>
      <c r="R166" s="31"/>
      <c r="S166" s="31"/>
      <c r="T166" s="31"/>
      <c r="U166" s="31"/>
      <c r="V166" s="31"/>
    </row>
    <row r="167" spans="6:22" x14ac:dyDescent="0.3"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31"/>
      <c r="R167" s="31"/>
      <c r="S167" s="31"/>
      <c r="T167" s="31"/>
      <c r="U167" s="31"/>
      <c r="V167" s="31"/>
    </row>
    <row r="168" spans="6:22" x14ac:dyDescent="0.3"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31"/>
      <c r="R168" s="31"/>
      <c r="S168" s="31"/>
      <c r="T168" s="31"/>
      <c r="U168" s="31"/>
      <c r="V168" s="31"/>
    </row>
    <row r="169" spans="6:22" x14ac:dyDescent="0.3"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31"/>
      <c r="R169" s="31"/>
      <c r="S169" s="31"/>
      <c r="T169" s="31"/>
      <c r="U169" s="31"/>
      <c r="V169" s="31"/>
    </row>
    <row r="170" spans="6:22" x14ac:dyDescent="0.3"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31"/>
      <c r="R170" s="31"/>
      <c r="S170" s="31"/>
      <c r="T170" s="31"/>
      <c r="U170" s="31"/>
      <c r="V170" s="31"/>
    </row>
    <row r="171" spans="6:22" x14ac:dyDescent="0.3"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31"/>
      <c r="R171" s="31"/>
      <c r="S171" s="31"/>
      <c r="T171" s="31"/>
      <c r="U171" s="31"/>
      <c r="V171" s="31"/>
    </row>
    <row r="172" spans="6:22" x14ac:dyDescent="0.3"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31"/>
      <c r="R172" s="31"/>
      <c r="S172" s="31"/>
      <c r="T172" s="31"/>
      <c r="U172" s="31"/>
      <c r="V172" s="31"/>
    </row>
    <row r="173" spans="6:22" x14ac:dyDescent="0.3"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31"/>
      <c r="R173" s="31"/>
      <c r="S173" s="31"/>
      <c r="T173" s="31"/>
      <c r="U173" s="31"/>
      <c r="V173" s="31"/>
    </row>
    <row r="174" spans="6:22" x14ac:dyDescent="0.3"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31"/>
      <c r="R174" s="31"/>
      <c r="S174" s="31"/>
      <c r="T174" s="31"/>
      <c r="U174" s="31"/>
      <c r="V174" s="31"/>
    </row>
    <row r="175" spans="6:22" x14ac:dyDescent="0.3"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31"/>
      <c r="R175" s="31"/>
      <c r="S175" s="31"/>
      <c r="T175" s="31"/>
      <c r="U175" s="31"/>
      <c r="V175" s="31"/>
    </row>
    <row r="176" spans="6:22" x14ac:dyDescent="0.3"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31"/>
      <c r="R176" s="31"/>
      <c r="S176" s="31"/>
      <c r="T176" s="31"/>
      <c r="U176" s="31"/>
      <c r="V176" s="31"/>
    </row>
    <row r="177" spans="6:22" x14ac:dyDescent="0.3"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31"/>
      <c r="R177" s="31"/>
      <c r="S177" s="31"/>
      <c r="T177" s="31"/>
      <c r="U177" s="31"/>
      <c r="V177" s="31"/>
    </row>
    <row r="178" spans="6:22" x14ac:dyDescent="0.3"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31"/>
      <c r="R178" s="31"/>
      <c r="S178" s="31"/>
      <c r="T178" s="31"/>
      <c r="U178" s="31"/>
      <c r="V178" s="31"/>
    </row>
    <row r="179" spans="6:22" x14ac:dyDescent="0.3"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31"/>
      <c r="R179" s="31"/>
      <c r="S179" s="31"/>
      <c r="T179" s="31"/>
      <c r="U179" s="31"/>
      <c r="V179" s="31"/>
    </row>
    <row r="180" spans="6:22" x14ac:dyDescent="0.3"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31"/>
      <c r="R180" s="31"/>
      <c r="S180" s="31"/>
      <c r="T180" s="31"/>
      <c r="U180" s="31"/>
      <c r="V180" s="31"/>
    </row>
    <row r="181" spans="6:22" x14ac:dyDescent="0.3"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31"/>
      <c r="R181" s="31"/>
      <c r="S181" s="31"/>
      <c r="T181" s="31"/>
      <c r="U181" s="31"/>
      <c r="V181" s="31"/>
    </row>
    <row r="182" spans="6:22" x14ac:dyDescent="0.3"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31"/>
      <c r="R182" s="31"/>
      <c r="S182" s="31"/>
      <c r="T182" s="31"/>
      <c r="U182" s="31"/>
      <c r="V182" s="31"/>
    </row>
    <row r="183" spans="6:22" x14ac:dyDescent="0.3"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31"/>
      <c r="R183" s="31"/>
      <c r="S183" s="31"/>
      <c r="T183" s="31"/>
      <c r="U183" s="31"/>
      <c r="V183" s="31"/>
    </row>
    <row r="184" spans="6:22" x14ac:dyDescent="0.3"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31"/>
      <c r="R184" s="31"/>
      <c r="S184" s="31"/>
      <c r="T184" s="31"/>
      <c r="U184" s="31"/>
      <c r="V184" s="31"/>
    </row>
    <row r="185" spans="6:22" x14ac:dyDescent="0.3"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31"/>
      <c r="R185" s="31"/>
      <c r="S185" s="31"/>
      <c r="T185" s="31"/>
      <c r="U185" s="31"/>
      <c r="V185" s="31"/>
    </row>
    <row r="186" spans="6:22" x14ac:dyDescent="0.3"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31"/>
      <c r="R186" s="31"/>
      <c r="S186" s="31"/>
      <c r="T186" s="31"/>
      <c r="U186" s="31"/>
      <c r="V186" s="31"/>
    </row>
    <row r="187" spans="6:22" x14ac:dyDescent="0.3"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31"/>
      <c r="R187" s="31"/>
      <c r="S187" s="31"/>
      <c r="T187" s="31"/>
      <c r="U187" s="31"/>
      <c r="V187" s="31"/>
    </row>
    <row r="188" spans="6:22" x14ac:dyDescent="0.3"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31"/>
      <c r="R188" s="31"/>
      <c r="S188" s="31"/>
      <c r="T188" s="31"/>
      <c r="U188" s="31"/>
      <c r="V188" s="31"/>
    </row>
    <row r="189" spans="6:22" x14ac:dyDescent="0.3"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31"/>
      <c r="R189" s="31"/>
      <c r="S189" s="31"/>
      <c r="T189" s="31"/>
      <c r="U189" s="31"/>
      <c r="V189" s="31"/>
    </row>
    <row r="190" spans="6:22" x14ac:dyDescent="0.3"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31"/>
      <c r="R190" s="31"/>
      <c r="S190" s="31"/>
      <c r="T190" s="31"/>
      <c r="U190" s="31"/>
      <c r="V190" s="31"/>
    </row>
    <row r="191" spans="6:22" x14ac:dyDescent="0.3"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31"/>
      <c r="R191" s="31"/>
      <c r="S191" s="31"/>
      <c r="T191" s="31"/>
      <c r="U191" s="31"/>
      <c r="V191" s="31"/>
    </row>
    <row r="192" spans="6:22" x14ac:dyDescent="0.3"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31"/>
      <c r="R192" s="31"/>
      <c r="S192" s="31"/>
      <c r="T192" s="31"/>
      <c r="U192" s="31"/>
      <c r="V192" s="31"/>
    </row>
    <row r="193" spans="6:22" x14ac:dyDescent="0.3"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31"/>
      <c r="R193" s="31"/>
      <c r="S193" s="31"/>
      <c r="T193" s="31"/>
      <c r="U193" s="31"/>
      <c r="V193" s="31"/>
    </row>
    <row r="194" spans="6:22" x14ac:dyDescent="0.3"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31"/>
      <c r="R194" s="31"/>
      <c r="S194" s="31"/>
      <c r="T194" s="31"/>
      <c r="U194" s="31"/>
      <c r="V194" s="31"/>
    </row>
    <row r="195" spans="6:22" x14ac:dyDescent="0.3"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31"/>
      <c r="R195" s="31"/>
      <c r="S195" s="31"/>
      <c r="T195" s="31"/>
      <c r="U195" s="31"/>
      <c r="V195" s="31"/>
    </row>
    <row r="196" spans="6:22" x14ac:dyDescent="0.3"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31"/>
      <c r="R196" s="31"/>
      <c r="S196" s="31"/>
      <c r="T196" s="31"/>
      <c r="U196" s="31"/>
      <c r="V196" s="31"/>
    </row>
    <row r="197" spans="6:22" x14ac:dyDescent="0.3"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31"/>
      <c r="R197" s="31"/>
      <c r="S197" s="31"/>
      <c r="T197" s="31"/>
      <c r="U197" s="31"/>
      <c r="V197" s="31"/>
    </row>
    <row r="198" spans="6:22" x14ac:dyDescent="0.3"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31"/>
      <c r="R198" s="31"/>
      <c r="S198" s="31"/>
      <c r="T198" s="31"/>
      <c r="U198" s="31"/>
      <c r="V198" s="31"/>
    </row>
    <row r="199" spans="6:22" x14ac:dyDescent="0.3"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31"/>
      <c r="R199" s="31"/>
      <c r="S199" s="31"/>
      <c r="T199" s="31"/>
      <c r="U199" s="31"/>
      <c r="V199" s="31"/>
    </row>
    <row r="200" spans="6:22" x14ac:dyDescent="0.3"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31"/>
      <c r="R200" s="31"/>
      <c r="S200" s="31"/>
      <c r="T200" s="31"/>
      <c r="U200" s="31"/>
      <c r="V200" s="31"/>
    </row>
    <row r="201" spans="6:22" x14ac:dyDescent="0.3"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31"/>
      <c r="R201" s="31"/>
      <c r="S201" s="31"/>
      <c r="T201" s="31"/>
      <c r="U201" s="31"/>
      <c r="V201" s="31"/>
    </row>
    <row r="202" spans="6:22" x14ac:dyDescent="0.3"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31"/>
      <c r="R202" s="31"/>
      <c r="S202" s="31"/>
      <c r="T202" s="31"/>
      <c r="U202" s="31"/>
      <c r="V202" s="31"/>
    </row>
    <row r="203" spans="6:22" x14ac:dyDescent="0.3"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31"/>
      <c r="R203" s="31"/>
      <c r="S203" s="31"/>
      <c r="T203" s="31"/>
      <c r="U203" s="31"/>
      <c r="V203" s="31"/>
    </row>
    <row r="204" spans="6:22" x14ac:dyDescent="0.3"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31"/>
      <c r="R204" s="31"/>
      <c r="S204" s="31"/>
      <c r="T204" s="31"/>
      <c r="U204" s="31"/>
      <c r="V204" s="31"/>
    </row>
    <row r="205" spans="6:22" x14ac:dyDescent="0.3"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31"/>
      <c r="R205" s="31"/>
      <c r="S205" s="31"/>
      <c r="T205" s="31"/>
      <c r="U205" s="31"/>
      <c r="V205" s="31"/>
    </row>
    <row r="206" spans="6:22" x14ac:dyDescent="0.3"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31"/>
      <c r="R206" s="31"/>
      <c r="S206" s="31"/>
      <c r="T206" s="31"/>
      <c r="U206" s="31"/>
      <c r="V206" s="31"/>
    </row>
    <row r="207" spans="6:22" x14ac:dyDescent="0.3"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31"/>
      <c r="R207" s="31"/>
      <c r="S207" s="31"/>
      <c r="T207" s="31"/>
      <c r="U207" s="31"/>
      <c r="V207" s="31"/>
    </row>
    <row r="208" spans="6:22" x14ac:dyDescent="0.3"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31"/>
      <c r="R208" s="31"/>
      <c r="S208" s="31"/>
      <c r="T208" s="31"/>
      <c r="U208" s="31"/>
      <c r="V208" s="31"/>
    </row>
    <row r="209" spans="6:22" x14ac:dyDescent="0.3"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31"/>
      <c r="R209" s="31"/>
      <c r="S209" s="31"/>
      <c r="T209" s="31"/>
      <c r="U209" s="31"/>
      <c r="V209" s="31"/>
    </row>
    <row r="210" spans="6:22" x14ac:dyDescent="0.3"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31"/>
      <c r="R210" s="31"/>
      <c r="S210" s="31"/>
      <c r="T210" s="31"/>
      <c r="U210" s="31"/>
      <c r="V210" s="31"/>
    </row>
    <row r="211" spans="6:22" x14ac:dyDescent="0.3"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31"/>
      <c r="R211" s="31"/>
      <c r="S211" s="31"/>
      <c r="T211" s="31"/>
      <c r="U211" s="31"/>
      <c r="V211" s="31"/>
    </row>
    <row r="212" spans="6:22" x14ac:dyDescent="0.3"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31"/>
      <c r="R212" s="31"/>
      <c r="S212" s="31"/>
      <c r="T212" s="31"/>
      <c r="U212" s="31"/>
      <c r="V212" s="31"/>
    </row>
    <row r="213" spans="6:22" x14ac:dyDescent="0.3"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31"/>
      <c r="R213" s="31"/>
      <c r="S213" s="31"/>
      <c r="T213" s="31"/>
      <c r="U213" s="31"/>
      <c r="V213" s="31"/>
    </row>
    <row r="214" spans="6:22" x14ac:dyDescent="0.3"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31"/>
      <c r="R214" s="31"/>
      <c r="S214" s="31"/>
      <c r="T214" s="31"/>
      <c r="U214" s="31"/>
      <c r="V214" s="31"/>
    </row>
    <row r="215" spans="6:22" x14ac:dyDescent="0.3"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31"/>
      <c r="R215" s="31"/>
      <c r="S215" s="31"/>
      <c r="T215" s="31"/>
      <c r="U215" s="31"/>
      <c r="V215" s="31"/>
    </row>
    <row r="216" spans="6:22" x14ac:dyDescent="0.3"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31"/>
      <c r="R216" s="31"/>
      <c r="S216" s="31"/>
      <c r="T216" s="31"/>
      <c r="U216" s="31"/>
      <c r="V216" s="31"/>
    </row>
    <row r="217" spans="6:22" x14ac:dyDescent="0.3"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31"/>
      <c r="R217" s="31"/>
      <c r="S217" s="31"/>
      <c r="T217" s="31"/>
      <c r="U217" s="31"/>
      <c r="V217" s="31"/>
    </row>
    <row r="218" spans="6:22" x14ac:dyDescent="0.3"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31"/>
      <c r="R218" s="31"/>
      <c r="S218" s="31"/>
      <c r="T218" s="31"/>
      <c r="U218" s="31"/>
      <c r="V218" s="31"/>
    </row>
    <row r="219" spans="6:22" x14ac:dyDescent="0.3"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31"/>
      <c r="R219" s="31"/>
      <c r="S219" s="31"/>
      <c r="T219" s="31"/>
      <c r="U219" s="31"/>
      <c r="V219" s="31"/>
    </row>
    <row r="220" spans="6:22" x14ac:dyDescent="0.3"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31"/>
      <c r="R220" s="31"/>
      <c r="S220" s="31"/>
      <c r="T220" s="31"/>
      <c r="U220" s="31"/>
      <c r="V220" s="31"/>
    </row>
    <row r="221" spans="6:22" x14ac:dyDescent="0.3"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31"/>
      <c r="R221" s="31"/>
      <c r="S221" s="31"/>
      <c r="T221" s="31"/>
      <c r="U221" s="31"/>
      <c r="V221" s="31"/>
    </row>
    <row r="222" spans="6:22" x14ac:dyDescent="0.3"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31"/>
      <c r="R222" s="31"/>
      <c r="S222" s="31"/>
      <c r="T222" s="31"/>
      <c r="U222" s="31"/>
      <c r="V222" s="31"/>
    </row>
    <row r="223" spans="6:22" x14ac:dyDescent="0.3"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31"/>
      <c r="R223" s="31"/>
      <c r="S223" s="31"/>
      <c r="T223" s="31"/>
      <c r="U223" s="31"/>
      <c r="V223" s="31"/>
    </row>
    <row r="224" spans="6:22" x14ac:dyDescent="0.3"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31"/>
      <c r="R224" s="31"/>
      <c r="S224" s="31"/>
      <c r="T224" s="31"/>
      <c r="U224" s="31"/>
      <c r="V224" s="31"/>
    </row>
    <row r="225" spans="6:22" x14ac:dyDescent="0.3"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31"/>
      <c r="R225" s="31"/>
      <c r="S225" s="31"/>
      <c r="T225" s="31"/>
      <c r="U225" s="31"/>
      <c r="V225" s="31"/>
    </row>
    <row r="226" spans="6:22" x14ac:dyDescent="0.3"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31"/>
      <c r="R226" s="31"/>
      <c r="S226" s="31"/>
      <c r="T226" s="31"/>
      <c r="U226" s="31"/>
      <c r="V226" s="31"/>
    </row>
    <row r="227" spans="6:22" x14ac:dyDescent="0.3"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31"/>
      <c r="R227" s="31"/>
      <c r="S227" s="31"/>
      <c r="T227" s="31"/>
      <c r="U227" s="31"/>
      <c r="V227" s="31"/>
    </row>
    <row r="228" spans="6:22" x14ac:dyDescent="0.3"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31"/>
      <c r="R228" s="31"/>
      <c r="S228" s="31"/>
      <c r="T228" s="31"/>
      <c r="U228" s="31"/>
      <c r="V228" s="31"/>
    </row>
    <row r="229" spans="6:22" x14ac:dyDescent="0.3"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31"/>
      <c r="R229" s="31"/>
      <c r="S229" s="31"/>
      <c r="T229" s="31"/>
      <c r="U229" s="31"/>
      <c r="V229" s="31"/>
    </row>
    <row r="230" spans="6:22" x14ac:dyDescent="0.3"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31"/>
      <c r="R230" s="31"/>
      <c r="S230" s="31"/>
      <c r="T230" s="31"/>
      <c r="U230" s="31"/>
      <c r="V230" s="31"/>
    </row>
    <row r="231" spans="6:22" x14ac:dyDescent="0.3"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31"/>
      <c r="R231" s="31"/>
      <c r="S231" s="31"/>
      <c r="T231" s="31"/>
      <c r="U231" s="31"/>
      <c r="V231" s="31"/>
    </row>
    <row r="232" spans="6:22" x14ac:dyDescent="0.3"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31"/>
      <c r="R232" s="31"/>
      <c r="S232" s="31"/>
      <c r="T232" s="31"/>
      <c r="U232" s="31"/>
      <c r="V232" s="31"/>
    </row>
    <row r="233" spans="6:22" x14ac:dyDescent="0.3"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31"/>
      <c r="R233" s="31"/>
      <c r="S233" s="31"/>
      <c r="T233" s="31"/>
      <c r="U233" s="31"/>
      <c r="V233" s="31"/>
    </row>
    <row r="234" spans="6:22" x14ac:dyDescent="0.3"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31"/>
      <c r="R234" s="31"/>
      <c r="S234" s="31"/>
      <c r="T234" s="31"/>
      <c r="U234" s="31"/>
      <c r="V234" s="31"/>
    </row>
    <row r="235" spans="6:22" x14ac:dyDescent="0.3"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31"/>
      <c r="R235" s="31"/>
      <c r="S235" s="31"/>
      <c r="T235" s="31"/>
      <c r="U235" s="31"/>
      <c r="V235" s="31"/>
    </row>
    <row r="236" spans="6:22" x14ac:dyDescent="0.3"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31"/>
      <c r="R236" s="31"/>
      <c r="S236" s="31"/>
      <c r="T236" s="31"/>
      <c r="U236" s="31"/>
      <c r="V236" s="31"/>
    </row>
    <row r="237" spans="6:22" x14ac:dyDescent="0.3"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31"/>
      <c r="R237" s="31"/>
      <c r="S237" s="31"/>
      <c r="T237" s="31"/>
      <c r="U237" s="31"/>
      <c r="V237" s="31"/>
    </row>
    <row r="238" spans="6:22" x14ac:dyDescent="0.3"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31"/>
      <c r="R238" s="31"/>
      <c r="S238" s="31"/>
      <c r="T238" s="31"/>
      <c r="U238" s="31"/>
      <c r="V238" s="31"/>
    </row>
    <row r="239" spans="6:22" x14ac:dyDescent="0.3"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31"/>
      <c r="R239" s="31"/>
      <c r="S239" s="31"/>
      <c r="T239" s="31"/>
      <c r="U239" s="31"/>
      <c r="V239" s="31"/>
    </row>
    <row r="240" spans="6:22" x14ac:dyDescent="0.3"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31"/>
      <c r="R240" s="31"/>
      <c r="S240" s="31"/>
      <c r="T240" s="31"/>
      <c r="U240" s="31"/>
      <c r="V240" s="31"/>
    </row>
    <row r="241" spans="6:22" x14ac:dyDescent="0.3"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31"/>
      <c r="R241" s="31"/>
      <c r="S241" s="31"/>
      <c r="T241" s="31"/>
      <c r="U241" s="31"/>
      <c r="V241" s="31"/>
    </row>
    <row r="242" spans="6:22" x14ac:dyDescent="0.3"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31"/>
      <c r="R242" s="31"/>
      <c r="S242" s="31"/>
      <c r="T242" s="31"/>
      <c r="U242" s="31"/>
      <c r="V242" s="31"/>
    </row>
    <row r="243" spans="6:22" x14ac:dyDescent="0.3"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31"/>
      <c r="R243" s="31"/>
      <c r="S243" s="31"/>
      <c r="T243" s="31"/>
      <c r="U243" s="31"/>
      <c r="V243" s="31"/>
    </row>
    <row r="244" spans="6:22" x14ac:dyDescent="0.3"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31"/>
      <c r="R244" s="31"/>
      <c r="S244" s="31"/>
      <c r="T244" s="31"/>
      <c r="U244" s="31"/>
      <c r="V244" s="31"/>
    </row>
    <row r="245" spans="6:22" x14ac:dyDescent="0.3"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31"/>
      <c r="R245" s="31"/>
      <c r="S245" s="31"/>
      <c r="T245" s="31"/>
      <c r="U245" s="31"/>
      <c r="V245" s="31"/>
    </row>
    <row r="246" spans="6:22" x14ac:dyDescent="0.3"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31"/>
      <c r="R246" s="31"/>
      <c r="S246" s="31"/>
      <c r="T246" s="31"/>
      <c r="U246" s="31"/>
      <c r="V246" s="31"/>
    </row>
    <row r="247" spans="6:22" x14ac:dyDescent="0.3"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31"/>
      <c r="R247" s="31"/>
      <c r="S247" s="31"/>
      <c r="T247" s="31"/>
      <c r="U247" s="31"/>
      <c r="V247" s="31"/>
    </row>
    <row r="248" spans="6:22" x14ac:dyDescent="0.3"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31"/>
      <c r="R248" s="31"/>
      <c r="S248" s="31"/>
      <c r="T248" s="31"/>
      <c r="U248" s="31"/>
      <c r="V248" s="31"/>
    </row>
    <row r="249" spans="6:22" x14ac:dyDescent="0.3"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31"/>
      <c r="R249" s="31"/>
      <c r="S249" s="31"/>
      <c r="T249" s="31"/>
      <c r="U249" s="31"/>
      <c r="V249" s="31"/>
    </row>
    <row r="250" spans="6:22" x14ac:dyDescent="0.3"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31"/>
      <c r="R250" s="31"/>
      <c r="S250" s="31"/>
      <c r="T250" s="31"/>
      <c r="U250" s="31"/>
      <c r="V250" s="31"/>
    </row>
    <row r="251" spans="6:22" x14ac:dyDescent="0.3"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31"/>
      <c r="R251" s="31"/>
      <c r="S251" s="31"/>
      <c r="T251" s="31"/>
      <c r="U251" s="31"/>
      <c r="V251" s="31"/>
    </row>
    <row r="252" spans="6:22" x14ac:dyDescent="0.3"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31"/>
      <c r="R252" s="31"/>
      <c r="S252" s="31"/>
      <c r="T252" s="31"/>
      <c r="U252" s="31"/>
      <c r="V252" s="31"/>
    </row>
    <row r="253" spans="6:22" x14ac:dyDescent="0.3"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31"/>
      <c r="R253" s="31"/>
      <c r="S253" s="31"/>
      <c r="T253" s="31"/>
      <c r="U253" s="31"/>
      <c r="V253" s="31"/>
    </row>
    <row r="254" spans="6:22" x14ac:dyDescent="0.3"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31"/>
      <c r="R254" s="31"/>
      <c r="S254" s="31"/>
      <c r="T254" s="31"/>
      <c r="U254" s="31"/>
      <c r="V254" s="31"/>
    </row>
    <row r="255" spans="6:22" x14ac:dyDescent="0.3"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31"/>
      <c r="R255" s="31"/>
      <c r="S255" s="31"/>
      <c r="T255" s="31"/>
      <c r="U255" s="31"/>
      <c r="V255" s="31"/>
    </row>
    <row r="256" spans="6:22" x14ac:dyDescent="0.3"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31"/>
      <c r="R256" s="31"/>
      <c r="S256" s="31"/>
      <c r="T256" s="31"/>
      <c r="U256" s="31"/>
      <c r="V256" s="31"/>
    </row>
    <row r="257" spans="6:22" x14ac:dyDescent="0.3"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31"/>
      <c r="R257" s="31"/>
      <c r="S257" s="31"/>
      <c r="T257" s="31"/>
      <c r="U257" s="31"/>
      <c r="V257" s="31"/>
    </row>
    <row r="258" spans="6:22" x14ac:dyDescent="0.3"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31"/>
      <c r="R258" s="31"/>
      <c r="S258" s="31"/>
      <c r="T258" s="31"/>
      <c r="U258" s="31"/>
      <c r="V258" s="31"/>
    </row>
    <row r="259" spans="6:22" x14ac:dyDescent="0.3"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31"/>
      <c r="R259" s="31"/>
      <c r="S259" s="31"/>
      <c r="T259" s="31"/>
      <c r="U259" s="31"/>
      <c r="V259" s="31"/>
    </row>
    <row r="260" spans="6:22" x14ac:dyDescent="0.3"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31"/>
      <c r="R260" s="31"/>
      <c r="S260" s="31"/>
      <c r="T260" s="31"/>
      <c r="U260" s="31"/>
      <c r="V260" s="31"/>
    </row>
    <row r="261" spans="6:22" x14ac:dyDescent="0.3"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31"/>
      <c r="R261" s="31"/>
      <c r="S261" s="31"/>
      <c r="T261" s="31"/>
      <c r="U261" s="31"/>
      <c r="V261" s="31"/>
    </row>
    <row r="262" spans="6:22" x14ac:dyDescent="0.3"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31"/>
      <c r="R262" s="31"/>
      <c r="S262" s="31"/>
      <c r="T262" s="31"/>
      <c r="U262" s="31"/>
      <c r="V262" s="31"/>
    </row>
    <row r="263" spans="6:22" x14ac:dyDescent="0.3"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31"/>
      <c r="R263" s="31"/>
      <c r="S263" s="31"/>
      <c r="T263" s="31"/>
      <c r="U263" s="31"/>
      <c r="V263" s="31"/>
    </row>
    <row r="264" spans="6:22" x14ac:dyDescent="0.3"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31"/>
      <c r="R264" s="31"/>
      <c r="S264" s="31"/>
      <c r="T264" s="31"/>
      <c r="U264" s="31"/>
      <c r="V264" s="31"/>
    </row>
    <row r="265" spans="6:22" x14ac:dyDescent="0.3"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31"/>
      <c r="R265" s="31"/>
      <c r="S265" s="31"/>
      <c r="T265" s="31"/>
      <c r="U265" s="31"/>
      <c r="V265" s="31"/>
    </row>
    <row r="266" spans="6:22" x14ac:dyDescent="0.3"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31"/>
      <c r="R266" s="31"/>
      <c r="S266" s="31"/>
      <c r="T266" s="31"/>
      <c r="U266" s="31"/>
      <c r="V266" s="31"/>
    </row>
    <row r="267" spans="6:22" x14ac:dyDescent="0.3"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31"/>
      <c r="R267" s="31"/>
      <c r="S267" s="31"/>
      <c r="T267" s="31"/>
      <c r="U267" s="31"/>
      <c r="V267" s="31"/>
    </row>
    <row r="268" spans="6:22" x14ac:dyDescent="0.3"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31"/>
      <c r="R268" s="31"/>
      <c r="S268" s="31"/>
      <c r="T268" s="31"/>
      <c r="U268" s="31"/>
      <c r="V268" s="31"/>
    </row>
    <row r="269" spans="6:22" x14ac:dyDescent="0.3"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31"/>
      <c r="R269" s="31"/>
      <c r="S269" s="31"/>
      <c r="T269" s="31"/>
      <c r="U269" s="31"/>
      <c r="V269" s="31"/>
    </row>
    <row r="270" spans="6:22" x14ac:dyDescent="0.3"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31"/>
      <c r="R270" s="31"/>
      <c r="S270" s="31"/>
      <c r="T270" s="31"/>
      <c r="U270" s="31"/>
      <c r="V270" s="31"/>
    </row>
    <row r="271" spans="6:22" x14ac:dyDescent="0.3"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31"/>
      <c r="R271" s="31"/>
      <c r="S271" s="31"/>
      <c r="T271" s="31"/>
      <c r="U271" s="31"/>
      <c r="V271" s="31"/>
    </row>
    <row r="272" spans="6:22" x14ac:dyDescent="0.3"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31"/>
      <c r="R272" s="31"/>
      <c r="S272" s="31"/>
      <c r="T272" s="31"/>
      <c r="U272" s="31"/>
      <c r="V272" s="31"/>
    </row>
    <row r="273" spans="6:22" x14ac:dyDescent="0.3"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31"/>
      <c r="R273" s="31"/>
      <c r="S273" s="31"/>
      <c r="T273" s="31"/>
      <c r="U273" s="31"/>
      <c r="V273" s="31"/>
    </row>
    <row r="274" spans="6:22" x14ac:dyDescent="0.3"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31"/>
      <c r="R274" s="31"/>
      <c r="S274" s="31"/>
      <c r="T274" s="31"/>
      <c r="U274" s="31"/>
      <c r="V274" s="31"/>
    </row>
    <row r="275" spans="6:22" x14ac:dyDescent="0.3"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31"/>
      <c r="R275" s="31"/>
      <c r="S275" s="31"/>
      <c r="T275" s="31"/>
      <c r="U275" s="31"/>
      <c r="V275" s="31"/>
    </row>
    <row r="276" spans="6:22" x14ac:dyDescent="0.3"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31"/>
      <c r="R276" s="31"/>
      <c r="S276" s="31"/>
      <c r="T276" s="31"/>
      <c r="U276" s="31"/>
      <c r="V276" s="31"/>
    </row>
    <row r="277" spans="6:22" x14ac:dyDescent="0.3"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31"/>
      <c r="R277" s="31"/>
      <c r="S277" s="31"/>
      <c r="T277" s="31"/>
      <c r="U277" s="31"/>
      <c r="V277" s="31"/>
    </row>
    <row r="278" spans="6:22" x14ac:dyDescent="0.3"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31"/>
      <c r="R278" s="31"/>
      <c r="S278" s="31"/>
      <c r="T278" s="31"/>
      <c r="U278" s="31"/>
      <c r="V278" s="31"/>
    </row>
    <row r="279" spans="6:22" x14ac:dyDescent="0.3"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31"/>
      <c r="R279" s="31"/>
      <c r="S279" s="31"/>
      <c r="T279" s="31"/>
      <c r="U279" s="31"/>
      <c r="V279" s="31"/>
    </row>
    <row r="280" spans="6:22" x14ac:dyDescent="0.3"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31"/>
      <c r="R280" s="31"/>
      <c r="S280" s="31"/>
      <c r="T280" s="31"/>
      <c r="U280" s="31"/>
      <c r="V280" s="31"/>
    </row>
    <row r="281" spans="6:22" x14ac:dyDescent="0.3"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31"/>
      <c r="R281" s="31"/>
      <c r="S281" s="31"/>
      <c r="T281" s="31"/>
      <c r="U281" s="31"/>
      <c r="V281" s="31"/>
    </row>
    <row r="282" spans="6:22" x14ac:dyDescent="0.3"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31"/>
      <c r="R282" s="31"/>
      <c r="S282" s="31"/>
      <c r="T282" s="31"/>
      <c r="U282" s="31"/>
      <c r="V282" s="31"/>
    </row>
    <row r="283" spans="6:22" x14ac:dyDescent="0.3"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31"/>
      <c r="R283" s="31"/>
      <c r="S283" s="31"/>
      <c r="T283" s="31"/>
      <c r="U283" s="31"/>
      <c r="V283" s="31"/>
    </row>
    <row r="284" spans="6:22" x14ac:dyDescent="0.3"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31"/>
      <c r="R284" s="31"/>
      <c r="S284" s="31"/>
      <c r="T284" s="31"/>
      <c r="U284" s="31"/>
      <c r="V284" s="31"/>
    </row>
    <row r="285" spans="6:22" x14ac:dyDescent="0.3"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31"/>
      <c r="R285" s="31"/>
      <c r="S285" s="31"/>
      <c r="T285" s="31"/>
      <c r="U285" s="31"/>
      <c r="V285" s="31"/>
    </row>
    <row r="286" spans="6:22" x14ac:dyDescent="0.3"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31"/>
      <c r="R286" s="31"/>
      <c r="S286" s="31"/>
      <c r="T286" s="31"/>
      <c r="U286" s="31"/>
      <c r="V286" s="31"/>
    </row>
    <row r="287" spans="6:22" x14ac:dyDescent="0.3"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31"/>
      <c r="R287" s="31"/>
      <c r="S287" s="31"/>
      <c r="T287" s="31"/>
      <c r="U287" s="31"/>
      <c r="V287" s="31"/>
    </row>
    <row r="288" spans="6:22" x14ac:dyDescent="0.3"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31"/>
      <c r="R288" s="31"/>
      <c r="S288" s="31"/>
      <c r="T288" s="31"/>
      <c r="U288" s="31"/>
      <c r="V288" s="31"/>
    </row>
    <row r="289" spans="6:22" x14ac:dyDescent="0.3"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31"/>
      <c r="R289" s="31"/>
      <c r="S289" s="31"/>
      <c r="T289" s="31"/>
      <c r="U289" s="31"/>
      <c r="V289" s="31"/>
    </row>
    <row r="290" spans="6:22" x14ac:dyDescent="0.3"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31"/>
      <c r="R290" s="31"/>
      <c r="S290" s="31"/>
      <c r="T290" s="31"/>
      <c r="U290" s="31"/>
      <c r="V290" s="31"/>
    </row>
    <row r="291" spans="6:22" x14ac:dyDescent="0.3"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31"/>
      <c r="R291" s="31"/>
      <c r="S291" s="31"/>
      <c r="T291" s="31"/>
      <c r="U291" s="31"/>
      <c r="V291" s="31"/>
    </row>
    <row r="292" spans="6:22" x14ac:dyDescent="0.3"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31"/>
      <c r="R292" s="31"/>
      <c r="S292" s="31"/>
      <c r="T292" s="31"/>
      <c r="U292" s="31"/>
      <c r="V292" s="31"/>
    </row>
    <row r="293" spans="6:22" x14ac:dyDescent="0.3"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31"/>
      <c r="R293" s="31"/>
      <c r="S293" s="31"/>
      <c r="T293" s="31"/>
      <c r="U293" s="31"/>
      <c r="V293" s="31"/>
    </row>
    <row r="294" spans="6:22" x14ac:dyDescent="0.3"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31"/>
      <c r="R294" s="31"/>
      <c r="S294" s="31"/>
      <c r="T294" s="31"/>
      <c r="U294" s="31"/>
      <c r="V294" s="31"/>
    </row>
    <row r="295" spans="6:22" x14ac:dyDescent="0.3"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31"/>
      <c r="R295" s="31"/>
      <c r="S295" s="31"/>
      <c r="T295" s="31"/>
      <c r="U295" s="31"/>
      <c r="V295" s="31"/>
    </row>
    <row r="296" spans="6:22" x14ac:dyDescent="0.3"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31"/>
      <c r="R296" s="31"/>
      <c r="S296" s="31"/>
      <c r="T296" s="31"/>
      <c r="U296" s="31"/>
      <c r="V296" s="31"/>
    </row>
    <row r="297" spans="6:22" x14ac:dyDescent="0.3"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31"/>
      <c r="R297" s="31"/>
      <c r="S297" s="31"/>
      <c r="T297" s="31"/>
      <c r="U297" s="31"/>
      <c r="V297" s="31"/>
    </row>
    <row r="298" spans="6:22" x14ac:dyDescent="0.3"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31"/>
      <c r="R298" s="31"/>
      <c r="S298" s="31"/>
      <c r="T298" s="31"/>
      <c r="U298" s="31"/>
      <c r="V298" s="31"/>
    </row>
    <row r="299" spans="6:22" x14ac:dyDescent="0.3"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31"/>
      <c r="R299" s="31"/>
      <c r="S299" s="31"/>
      <c r="T299" s="31"/>
      <c r="U299" s="31"/>
      <c r="V299" s="31"/>
    </row>
    <row r="300" spans="6:22" x14ac:dyDescent="0.3"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31"/>
      <c r="R300" s="31"/>
      <c r="S300" s="31"/>
      <c r="T300" s="31"/>
      <c r="U300" s="31"/>
      <c r="V300" s="31"/>
    </row>
    <row r="301" spans="6:22" x14ac:dyDescent="0.3"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31"/>
      <c r="R301" s="31"/>
      <c r="S301" s="31"/>
      <c r="T301" s="31"/>
      <c r="U301" s="31"/>
      <c r="V301" s="31"/>
    </row>
    <row r="302" spans="6:22" x14ac:dyDescent="0.3"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31"/>
      <c r="R302" s="31"/>
      <c r="S302" s="31"/>
      <c r="T302" s="31"/>
      <c r="U302" s="31"/>
      <c r="V302" s="31"/>
    </row>
    <row r="303" spans="6:22" x14ac:dyDescent="0.3"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31"/>
      <c r="R303" s="31"/>
      <c r="S303" s="31"/>
      <c r="T303" s="31"/>
      <c r="U303" s="31"/>
      <c r="V303" s="31"/>
    </row>
    <row r="304" spans="6:22" x14ac:dyDescent="0.3"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31"/>
      <c r="R304" s="31"/>
      <c r="S304" s="31"/>
      <c r="T304" s="31"/>
      <c r="U304" s="31"/>
      <c r="V304" s="31"/>
    </row>
    <row r="305" spans="6:22" x14ac:dyDescent="0.3"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31"/>
      <c r="R305" s="31"/>
      <c r="S305" s="31"/>
      <c r="T305" s="31"/>
      <c r="U305" s="31"/>
      <c r="V305" s="31"/>
    </row>
    <row r="306" spans="6:22" x14ac:dyDescent="0.3"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31"/>
      <c r="R306" s="31"/>
      <c r="S306" s="31"/>
      <c r="T306" s="31"/>
      <c r="U306" s="31"/>
      <c r="V306" s="31"/>
    </row>
    <row r="307" spans="6:22" x14ac:dyDescent="0.3"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31"/>
      <c r="R307" s="31"/>
      <c r="S307" s="31"/>
      <c r="T307" s="31"/>
      <c r="U307" s="31"/>
      <c r="V307" s="31"/>
    </row>
    <row r="308" spans="6:22" x14ac:dyDescent="0.3"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31"/>
      <c r="R308" s="31"/>
      <c r="S308" s="31"/>
      <c r="T308" s="31"/>
      <c r="U308" s="31"/>
      <c r="V308" s="31"/>
    </row>
    <row r="309" spans="6:22" x14ac:dyDescent="0.3"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31"/>
      <c r="R309" s="31"/>
      <c r="S309" s="31"/>
      <c r="T309" s="31"/>
      <c r="U309" s="31"/>
      <c r="V309" s="31"/>
    </row>
    <row r="310" spans="6:22" x14ac:dyDescent="0.3"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31"/>
      <c r="R310" s="31"/>
      <c r="S310" s="31"/>
      <c r="T310" s="31"/>
      <c r="U310" s="31"/>
      <c r="V310" s="31"/>
    </row>
    <row r="311" spans="6:22" x14ac:dyDescent="0.3"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31"/>
      <c r="R311" s="31"/>
      <c r="S311" s="31"/>
      <c r="T311" s="31"/>
      <c r="U311" s="31"/>
      <c r="V311" s="31"/>
    </row>
    <row r="312" spans="6:22" x14ac:dyDescent="0.3"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31"/>
      <c r="R312" s="31"/>
      <c r="S312" s="31"/>
      <c r="T312" s="31"/>
      <c r="U312" s="31"/>
      <c r="V312" s="31"/>
    </row>
    <row r="313" spans="6:22" x14ac:dyDescent="0.3"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31"/>
      <c r="R313" s="31"/>
      <c r="S313" s="31"/>
      <c r="T313" s="31"/>
      <c r="U313" s="31"/>
      <c r="V313" s="31"/>
    </row>
    <row r="314" spans="6:22" x14ac:dyDescent="0.3"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31"/>
      <c r="R314" s="31"/>
      <c r="S314" s="31"/>
      <c r="T314" s="31"/>
      <c r="U314" s="31"/>
      <c r="V314" s="31"/>
    </row>
    <row r="315" spans="6:22" x14ac:dyDescent="0.3"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31"/>
      <c r="R315" s="31"/>
      <c r="S315" s="31"/>
      <c r="T315" s="31"/>
      <c r="U315" s="31"/>
      <c r="V315" s="31"/>
    </row>
    <row r="316" spans="6:22" x14ac:dyDescent="0.3"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31"/>
      <c r="R316" s="31"/>
      <c r="S316" s="31"/>
      <c r="T316" s="31"/>
      <c r="U316" s="31"/>
      <c r="V316" s="31"/>
    </row>
    <row r="317" spans="6:22" x14ac:dyDescent="0.3"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31"/>
      <c r="R317" s="31"/>
      <c r="S317" s="31"/>
      <c r="T317" s="31"/>
      <c r="U317" s="31"/>
      <c r="V317" s="31"/>
    </row>
    <row r="318" spans="6:22" x14ac:dyDescent="0.3"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31"/>
      <c r="R318" s="31"/>
      <c r="S318" s="31"/>
      <c r="T318" s="31"/>
      <c r="U318" s="31"/>
      <c r="V318" s="31"/>
    </row>
    <row r="319" spans="6:22" x14ac:dyDescent="0.3"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31"/>
      <c r="R319" s="31"/>
      <c r="S319" s="31"/>
      <c r="T319" s="31"/>
      <c r="U319" s="31"/>
      <c r="V319" s="31"/>
    </row>
    <row r="320" spans="6:22" x14ac:dyDescent="0.3"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31"/>
      <c r="R320" s="31"/>
      <c r="S320" s="31"/>
      <c r="T320" s="31"/>
      <c r="U320" s="31"/>
      <c r="V320" s="31"/>
    </row>
    <row r="321" spans="6:22" x14ac:dyDescent="0.3"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31"/>
      <c r="R321" s="31"/>
      <c r="S321" s="31"/>
      <c r="T321" s="31"/>
      <c r="U321" s="31"/>
      <c r="V321" s="31"/>
    </row>
    <row r="322" spans="6:22" x14ac:dyDescent="0.3"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31"/>
      <c r="R322" s="31"/>
      <c r="S322" s="31"/>
      <c r="T322" s="31"/>
      <c r="U322" s="31"/>
      <c r="V322" s="31"/>
    </row>
    <row r="323" spans="6:22" x14ac:dyDescent="0.3"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31"/>
      <c r="R323" s="31"/>
      <c r="S323" s="31"/>
      <c r="T323" s="31"/>
      <c r="U323" s="31"/>
      <c r="V323" s="31"/>
    </row>
    <row r="324" spans="6:22" x14ac:dyDescent="0.3"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31"/>
      <c r="R324" s="31"/>
      <c r="S324" s="31"/>
      <c r="T324" s="31"/>
      <c r="U324" s="31"/>
      <c r="V324" s="31"/>
    </row>
    <row r="325" spans="6:22" x14ac:dyDescent="0.3"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31"/>
      <c r="R325" s="31"/>
      <c r="S325" s="31"/>
      <c r="T325" s="31"/>
      <c r="U325" s="31"/>
      <c r="V325" s="31"/>
    </row>
    <row r="326" spans="6:22" x14ac:dyDescent="0.3"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31"/>
      <c r="R326" s="31"/>
      <c r="S326" s="31"/>
      <c r="T326" s="31"/>
      <c r="U326" s="31"/>
      <c r="V326" s="31"/>
    </row>
    <row r="327" spans="6:22" x14ac:dyDescent="0.3"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31"/>
      <c r="R327" s="31"/>
      <c r="S327" s="31"/>
      <c r="T327" s="31"/>
      <c r="U327" s="31"/>
      <c r="V327" s="31"/>
    </row>
    <row r="328" spans="6:22" x14ac:dyDescent="0.3"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31"/>
      <c r="R328" s="31"/>
      <c r="S328" s="31"/>
      <c r="T328" s="31"/>
      <c r="U328" s="31"/>
      <c r="V328" s="31"/>
    </row>
    <row r="329" spans="6:22" x14ac:dyDescent="0.3"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31"/>
      <c r="R329" s="31"/>
      <c r="S329" s="31"/>
      <c r="T329" s="31"/>
      <c r="U329" s="31"/>
      <c r="V329" s="31"/>
    </row>
    <row r="330" spans="6:22" x14ac:dyDescent="0.3"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31"/>
      <c r="R330" s="31"/>
      <c r="S330" s="31"/>
      <c r="T330" s="31"/>
      <c r="U330" s="31"/>
      <c r="V330" s="31"/>
    </row>
    <row r="331" spans="6:22" x14ac:dyDescent="0.3"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31"/>
      <c r="R331" s="31"/>
      <c r="S331" s="31"/>
      <c r="T331" s="31"/>
      <c r="U331" s="31"/>
      <c r="V331" s="31"/>
    </row>
    <row r="332" spans="6:22" x14ac:dyDescent="0.3"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31"/>
      <c r="R332" s="31"/>
      <c r="S332" s="31"/>
      <c r="T332" s="31"/>
      <c r="U332" s="31"/>
      <c r="V332" s="31"/>
    </row>
    <row r="333" spans="6:22" x14ac:dyDescent="0.3"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31"/>
      <c r="R333" s="31"/>
      <c r="S333" s="31"/>
      <c r="T333" s="31"/>
      <c r="U333" s="31"/>
      <c r="V333" s="31"/>
    </row>
    <row r="334" spans="6:22" x14ac:dyDescent="0.3"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31"/>
      <c r="R334" s="31"/>
      <c r="S334" s="31"/>
      <c r="T334" s="31"/>
      <c r="U334" s="31"/>
      <c r="V334" s="31"/>
    </row>
    <row r="335" spans="6:22" x14ac:dyDescent="0.3"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31"/>
      <c r="R335" s="31"/>
      <c r="S335" s="31"/>
      <c r="T335" s="31"/>
      <c r="U335" s="31"/>
      <c r="V335" s="31"/>
    </row>
    <row r="336" spans="6:22" x14ac:dyDescent="0.3"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31"/>
      <c r="R336" s="31"/>
      <c r="S336" s="31"/>
      <c r="T336" s="31"/>
      <c r="U336" s="31"/>
      <c r="V336" s="31"/>
    </row>
    <row r="337" spans="6:22" x14ac:dyDescent="0.3"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31"/>
      <c r="R337" s="31"/>
      <c r="S337" s="31"/>
      <c r="T337" s="31"/>
      <c r="U337" s="31"/>
      <c r="V337" s="31"/>
    </row>
    <row r="338" spans="6:22" x14ac:dyDescent="0.3"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31"/>
      <c r="R338" s="31"/>
      <c r="S338" s="31"/>
      <c r="T338" s="31"/>
      <c r="U338" s="31"/>
      <c r="V338" s="31"/>
    </row>
    <row r="339" spans="6:22" x14ac:dyDescent="0.3"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31"/>
      <c r="R339" s="31"/>
      <c r="S339" s="31"/>
      <c r="T339" s="31"/>
      <c r="U339" s="31"/>
      <c r="V339" s="31"/>
    </row>
    <row r="340" spans="6:22" x14ac:dyDescent="0.3"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31"/>
      <c r="R340" s="31"/>
      <c r="S340" s="31"/>
      <c r="T340" s="31"/>
      <c r="U340" s="31"/>
      <c r="V340" s="31"/>
    </row>
    <row r="341" spans="6:22" x14ac:dyDescent="0.3"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31"/>
      <c r="R341" s="31"/>
      <c r="S341" s="31"/>
      <c r="T341" s="31"/>
      <c r="U341" s="31"/>
      <c r="V341" s="31"/>
    </row>
    <row r="342" spans="6:22" x14ac:dyDescent="0.3"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31"/>
      <c r="R342" s="31"/>
      <c r="S342" s="31"/>
      <c r="T342" s="31"/>
      <c r="U342" s="31"/>
      <c r="V342" s="31"/>
    </row>
    <row r="343" spans="6:22" x14ac:dyDescent="0.3"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31"/>
      <c r="R343" s="31"/>
      <c r="S343" s="31"/>
      <c r="T343" s="31"/>
      <c r="U343" s="31"/>
      <c r="V343" s="31"/>
    </row>
    <row r="344" spans="6:22" x14ac:dyDescent="0.3"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31"/>
      <c r="R344" s="31"/>
      <c r="S344" s="31"/>
      <c r="T344" s="31"/>
      <c r="U344" s="31"/>
      <c r="V344" s="31"/>
    </row>
    <row r="345" spans="6:22" x14ac:dyDescent="0.3"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31"/>
      <c r="R345" s="31"/>
      <c r="S345" s="31"/>
      <c r="T345" s="31"/>
      <c r="U345" s="31"/>
      <c r="V345" s="31"/>
    </row>
    <row r="346" spans="6:22" x14ac:dyDescent="0.3"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31"/>
      <c r="R346" s="31"/>
      <c r="S346" s="31"/>
      <c r="T346" s="31"/>
      <c r="U346" s="31"/>
      <c r="V346" s="31"/>
    </row>
    <row r="347" spans="6:22" x14ac:dyDescent="0.3"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31"/>
      <c r="R347" s="31"/>
      <c r="S347" s="31"/>
      <c r="T347" s="31"/>
      <c r="U347" s="31"/>
      <c r="V347" s="31"/>
    </row>
    <row r="348" spans="6:22" x14ac:dyDescent="0.3"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31"/>
      <c r="R348" s="31"/>
      <c r="S348" s="31"/>
      <c r="T348" s="31"/>
      <c r="U348" s="31"/>
      <c r="V348" s="31"/>
    </row>
    <row r="349" spans="6:22" x14ac:dyDescent="0.3"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31"/>
      <c r="R349" s="31"/>
      <c r="S349" s="31"/>
      <c r="T349" s="31"/>
      <c r="U349" s="31"/>
      <c r="V349" s="31"/>
    </row>
    <row r="350" spans="6:22" x14ac:dyDescent="0.3"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31"/>
      <c r="R350" s="31"/>
      <c r="S350" s="31"/>
      <c r="T350" s="31"/>
      <c r="U350" s="31"/>
      <c r="V350" s="31"/>
    </row>
    <row r="351" spans="6:22" x14ac:dyDescent="0.3"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31"/>
      <c r="R351" s="31"/>
      <c r="S351" s="31"/>
      <c r="T351" s="31"/>
      <c r="U351" s="31"/>
      <c r="V351" s="31"/>
    </row>
    <row r="352" spans="6:22" x14ac:dyDescent="0.3"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31"/>
      <c r="R352" s="31"/>
      <c r="S352" s="31"/>
      <c r="T352" s="31"/>
      <c r="U352" s="31"/>
      <c r="V352" s="31"/>
    </row>
    <row r="353" spans="6:22" x14ac:dyDescent="0.3"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31"/>
      <c r="R353" s="31"/>
      <c r="S353" s="31"/>
      <c r="T353" s="31"/>
      <c r="U353" s="31"/>
      <c r="V353" s="31"/>
    </row>
    <row r="354" spans="6:22" x14ac:dyDescent="0.3"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31"/>
      <c r="R354" s="31"/>
      <c r="S354" s="31"/>
      <c r="T354" s="31"/>
      <c r="U354" s="31"/>
      <c r="V354" s="31"/>
    </row>
    <row r="355" spans="6:22" x14ac:dyDescent="0.3"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31"/>
      <c r="R355" s="31"/>
      <c r="S355" s="31"/>
      <c r="T355" s="31"/>
      <c r="U355" s="31"/>
      <c r="V355" s="31"/>
    </row>
    <row r="356" spans="6:22" x14ac:dyDescent="0.3"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31"/>
      <c r="R356" s="31"/>
      <c r="S356" s="31"/>
      <c r="T356" s="31"/>
      <c r="U356" s="31"/>
      <c r="V356" s="31"/>
    </row>
    <row r="357" spans="6:22" x14ac:dyDescent="0.3"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31"/>
      <c r="R357" s="31"/>
      <c r="S357" s="31"/>
      <c r="T357" s="31"/>
      <c r="U357" s="31"/>
      <c r="V357" s="31"/>
    </row>
    <row r="358" spans="6:22" x14ac:dyDescent="0.3"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31"/>
      <c r="R358" s="31"/>
      <c r="S358" s="31"/>
      <c r="T358" s="31"/>
      <c r="U358" s="31"/>
      <c r="V358" s="31"/>
    </row>
    <row r="359" spans="6:22" x14ac:dyDescent="0.3"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31"/>
      <c r="R359" s="31"/>
      <c r="S359" s="31"/>
      <c r="T359" s="31"/>
      <c r="U359" s="31"/>
      <c r="V359" s="31"/>
    </row>
    <row r="360" spans="6:22" x14ac:dyDescent="0.3"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31"/>
      <c r="R360" s="31"/>
      <c r="S360" s="31"/>
      <c r="T360" s="31"/>
      <c r="U360" s="31"/>
      <c r="V360" s="31"/>
    </row>
    <row r="361" spans="6:22" x14ac:dyDescent="0.3"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31"/>
      <c r="R361" s="31"/>
      <c r="S361" s="31"/>
      <c r="T361" s="31"/>
      <c r="U361" s="31"/>
      <c r="V361" s="31"/>
    </row>
    <row r="362" spans="6:22" x14ac:dyDescent="0.3"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31"/>
      <c r="R362" s="31"/>
      <c r="S362" s="31"/>
      <c r="T362" s="31"/>
      <c r="U362" s="31"/>
      <c r="V362" s="31"/>
    </row>
    <row r="363" spans="6:22" x14ac:dyDescent="0.3"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31"/>
      <c r="R363" s="31"/>
      <c r="S363" s="31"/>
      <c r="T363" s="31"/>
      <c r="U363" s="31"/>
      <c r="V363" s="31"/>
    </row>
    <row r="364" spans="6:22" x14ac:dyDescent="0.3"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31"/>
      <c r="R364" s="31"/>
      <c r="S364" s="31"/>
      <c r="T364" s="31"/>
      <c r="U364" s="31"/>
      <c r="V364" s="31"/>
    </row>
    <row r="365" spans="6:22" x14ac:dyDescent="0.3"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31"/>
      <c r="R365" s="31"/>
      <c r="S365" s="31"/>
      <c r="T365" s="31"/>
      <c r="U365" s="31"/>
      <c r="V365" s="31"/>
    </row>
    <row r="366" spans="6:22" x14ac:dyDescent="0.3"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31"/>
      <c r="R366" s="31"/>
      <c r="S366" s="31"/>
      <c r="T366" s="31"/>
      <c r="U366" s="31"/>
      <c r="V366" s="31"/>
    </row>
    <row r="367" spans="6:22" x14ac:dyDescent="0.3"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31"/>
      <c r="R367" s="31"/>
      <c r="S367" s="31"/>
      <c r="T367" s="31"/>
      <c r="U367" s="31"/>
      <c r="V367" s="31"/>
    </row>
    <row r="368" spans="6:22" x14ac:dyDescent="0.3"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31"/>
      <c r="R368" s="31"/>
      <c r="S368" s="31"/>
      <c r="T368" s="31"/>
      <c r="U368" s="31"/>
      <c r="V368" s="31"/>
    </row>
    <row r="369" spans="6:22" x14ac:dyDescent="0.3"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31"/>
      <c r="R369" s="31"/>
      <c r="S369" s="31"/>
      <c r="T369" s="31"/>
      <c r="U369" s="31"/>
      <c r="V369" s="31"/>
    </row>
    <row r="370" spans="6:22" x14ac:dyDescent="0.3"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31"/>
      <c r="R370" s="31"/>
      <c r="S370" s="31"/>
      <c r="T370" s="31"/>
      <c r="U370" s="31"/>
      <c r="V370" s="31"/>
    </row>
    <row r="371" spans="6:22" x14ac:dyDescent="0.3"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31"/>
      <c r="R371" s="31"/>
      <c r="S371" s="31"/>
      <c r="T371" s="31"/>
      <c r="U371" s="31"/>
      <c r="V371" s="31"/>
    </row>
    <row r="372" spans="6:22" x14ac:dyDescent="0.3"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31"/>
      <c r="R372" s="31"/>
      <c r="S372" s="31"/>
      <c r="T372" s="31"/>
      <c r="U372" s="31"/>
      <c r="V372" s="31"/>
    </row>
    <row r="373" spans="6:22" x14ac:dyDescent="0.3"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31"/>
      <c r="R373" s="31"/>
      <c r="S373" s="31"/>
      <c r="T373" s="31"/>
      <c r="U373" s="31"/>
      <c r="V373" s="31"/>
    </row>
    <row r="374" spans="6:22" x14ac:dyDescent="0.3"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31"/>
      <c r="R374" s="31"/>
      <c r="S374" s="31"/>
      <c r="T374" s="31"/>
      <c r="U374" s="31"/>
      <c r="V374" s="31"/>
    </row>
    <row r="375" spans="6:22" x14ac:dyDescent="0.3"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31"/>
      <c r="R375" s="31"/>
      <c r="S375" s="31"/>
      <c r="T375" s="31"/>
      <c r="U375" s="31"/>
      <c r="V375" s="31"/>
    </row>
    <row r="376" spans="6:22" x14ac:dyDescent="0.3"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31"/>
      <c r="R376" s="31"/>
      <c r="S376" s="31"/>
      <c r="T376" s="31"/>
      <c r="U376" s="31"/>
      <c r="V376" s="31"/>
    </row>
    <row r="377" spans="6:22" x14ac:dyDescent="0.3"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31"/>
      <c r="R377" s="31"/>
      <c r="S377" s="31"/>
      <c r="T377" s="31"/>
      <c r="U377" s="31"/>
      <c r="V377" s="31"/>
    </row>
    <row r="378" spans="6:22" x14ac:dyDescent="0.3"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31"/>
      <c r="R378" s="31"/>
      <c r="S378" s="31"/>
      <c r="T378" s="31"/>
      <c r="U378" s="31"/>
      <c r="V378" s="31"/>
    </row>
    <row r="379" spans="6:22" x14ac:dyDescent="0.3"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31"/>
      <c r="R379" s="31"/>
      <c r="S379" s="31"/>
      <c r="T379" s="31"/>
      <c r="U379" s="31"/>
      <c r="V379" s="31"/>
    </row>
    <row r="380" spans="6:22" x14ac:dyDescent="0.3"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31"/>
      <c r="R380" s="31"/>
      <c r="S380" s="31"/>
      <c r="T380" s="31"/>
      <c r="U380" s="31"/>
      <c r="V380" s="31"/>
    </row>
    <row r="381" spans="6:22" x14ac:dyDescent="0.3"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31"/>
      <c r="R381" s="31"/>
      <c r="S381" s="31"/>
      <c r="T381" s="31"/>
      <c r="U381" s="31"/>
      <c r="V381" s="31"/>
    </row>
    <row r="382" spans="6:22" x14ac:dyDescent="0.3"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31"/>
      <c r="R382" s="31"/>
      <c r="S382" s="31"/>
      <c r="T382" s="31"/>
      <c r="U382" s="31"/>
      <c r="V382" s="31"/>
    </row>
    <row r="383" spans="6:22" x14ac:dyDescent="0.3"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31"/>
      <c r="R383" s="31"/>
      <c r="S383" s="31"/>
      <c r="T383" s="31"/>
      <c r="U383" s="31"/>
      <c r="V383" s="31"/>
    </row>
    <row r="384" spans="6:22" x14ac:dyDescent="0.3"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31"/>
      <c r="R384" s="31"/>
      <c r="S384" s="31"/>
      <c r="T384" s="31"/>
      <c r="U384" s="31"/>
      <c r="V384" s="31"/>
    </row>
    <row r="385" spans="6:22" x14ac:dyDescent="0.3"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31"/>
      <c r="R385" s="31"/>
      <c r="S385" s="31"/>
      <c r="T385" s="31"/>
      <c r="U385" s="31"/>
      <c r="V385" s="31"/>
    </row>
    <row r="386" spans="6:22" x14ac:dyDescent="0.3"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31"/>
      <c r="R386" s="31"/>
      <c r="S386" s="31"/>
      <c r="T386" s="31"/>
      <c r="U386" s="31"/>
      <c r="V386" s="31"/>
    </row>
    <row r="387" spans="6:22" x14ac:dyDescent="0.3"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31"/>
      <c r="R387" s="31"/>
      <c r="S387" s="31"/>
      <c r="T387" s="31"/>
      <c r="U387" s="31"/>
      <c r="V387" s="31"/>
    </row>
    <row r="388" spans="6:22" x14ac:dyDescent="0.3"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31"/>
      <c r="R388" s="31"/>
      <c r="S388" s="31"/>
      <c r="T388" s="31"/>
      <c r="U388" s="31"/>
      <c r="V388" s="31"/>
    </row>
    <row r="389" spans="6:22" x14ac:dyDescent="0.3"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31"/>
      <c r="R389" s="31"/>
      <c r="S389" s="31"/>
      <c r="T389" s="31"/>
      <c r="U389" s="31"/>
      <c r="V389" s="31"/>
    </row>
    <row r="390" spans="6:22" x14ac:dyDescent="0.3"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31"/>
      <c r="R390" s="31"/>
      <c r="S390" s="31"/>
      <c r="T390" s="31"/>
      <c r="U390" s="31"/>
      <c r="V390" s="31"/>
    </row>
    <row r="391" spans="6:22" x14ac:dyDescent="0.3"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31"/>
      <c r="R391" s="31"/>
      <c r="S391" s="31"/>
      <c r="T391" s="31"/>
      <c r="U391" s="31"/>
      <c r="V391" s="31"/>
    </row>
    <row r="392" spans="6:22" x14ac:dyDescent="0.3"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31"/>
      <c r="R392" s="31"/>
      <c r="S392" s="31"/>
      <c r="T392" s="31"/>
      <c r="U392" s="31"/>
      <c r="V392" s="31"/>
    </row>
    <row r="393" spans="6:22" x14ac:dyDescent="0.3"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31"/>
      <c r="R393" s="31"/>
      <c r="S393" s="31"/>
      <c r="T393" s="31"/>
      <c r="U393" s="31"/>
      <c r="V393" s="31"/>
    </row>
    <row r="394" spans="6:22" x14ac:dyDescent="0.3"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31"/>
      <c r="R394" s="31"/>
      <c r="S394" s="31"/>
      <c r="T394" s="31"/>
      <c r="U394" s="31"/>
      <c r="V394" s="31"/>
    </row>
    <row r="395" spans="6:22" x14ac:dyDescent="0.3"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31"/>
      <c r="R395" s="31"/>
      <c r="S395" s="31"/>
      <c r="T395" s="31"/>
      <c r="U395" s="31"/>
      <c r="V395" s="31"/>
    </row>
    <row r="396" spans="6:22" x14ac:dyDescent="0.3"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31"/>
      <c r="R396" s="31"/>
      <c r="S396" s="31"/>
      <c r="T396" s="31"/>
      <c r="U396" s="31"/>
      <c r="V396" s="31"/>
    </row>
    <row r="397" spans="6:22" x14ac:dyDescent="0.3"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31"/>
      <c r="R397" s="31"/>
      <c r="S397" s="31"/>
      <c r="T397" s="31"/>
      <c r="U397" s="31"/>
      <c r="V397" s="31"/>
    </row>
    <row r="398" spans="6:22" x14ac:dyDescent="0.3"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31"/>
      <c r="R398" s="31"/>
      <c r="S398" s="31"/>
      <c r="T398" s="31"/>
      <c r="U398" s="31"/>
      <c r="V398" s="31"/>
    </row>
    <row r="399" spans="6:22" x14ac:dyDescent="0.3"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31"/>
      <c r="R399" s="31"/>
      <c r="S399" s="31"/>
      <c r="T399" s="31"/>
      <c r="U399" s="31"/>
      <c r="V399" s="31"/>
    </row>
    <row r="400" spans="6:22" x14ac:dyDescent="0.3"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31"/>
      <c r="R400" s="31"/>
      <c r="S400" s="31"/>
      <c r="T400" s="31"/>
      <c r="U400" s="31"/>
      <c r="V400" s="31"/>
    </row>
    <row r="401" spans="6:22" x14ac:dyDescent="0.3"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31"/>
      <c r="R401" s="31"/>
      <c r="S401" s="31"/>
      <c r="T401" s="31"/>
      <c r="U401" s="31"/>
      <c r="V401" s="31"/>
    </row>
    <row r="402" spans="6:22" x14ac:dyDescent="0.3"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31"/>
      <c r="R402" s="31"/>
      <c r="S402" s="31"/>
      <c r="T402" s="31"/>
      <c r="U402" s="31"/>
      <c r="V402" s="31"/>
    </row>
    <row r="403" spans="6:22" x14ac:dyDescent="0.3"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31"/>
      <c r="R403" s="31"/>
      <c r="S403" s="31"/>
      <c r="T403" s="31"/>
      <c r="U403" s="31"/>
      <c r="V403" s="31"/>
    </row>
    <row r="404" spans="6:22" x14ac:dyDescent="0.3"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31"/>
      <c r="R404" s="31"/>
      <c r="S404" s="31"/>
      <c r="T404" s="31"/>
      <c r="U404" s="31"/>
      <c r="V404" s="31"/>
    </row>
    <row r="405" spans="6:22" x14ac:dyDescent="0.3"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31"/>
      <c r="R405" s="31"/>
      <c r="S405" s="31"/>
      <c r="T405" s="31"/>
      <c r="U405" s="31"/>
      <c r="V405" s="31"/>
    </row>
    <row r="406" spans="6:22" x14ac:dyDescent="0.3"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31"/>
      <c r="R406" s="31"/>
      <c r="S406" s="31"/>
      <c r="T406" s="31"/>
      <c r="U406" s="31"/>
      <c r="V406" s="31"/>
    </row>
    <row r="407" spans="6:22" x14ac:dyDescent="0.3"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31"/>
      <c r="R407" s="31"/>
      <c r="S407" s="31"/>
      <c r="T407" s="31"/>
      <c r="U407" s="31"/>
      <c r="V407" s="31"/>
    </row>
    <row r="408" spans="6:22" x14ac:dyDescent="0.3"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31"/>
      <c r="R408" s="31"/>
      <c r="S408" s="31"/>
      <c r="T408" s="31"/>
      <c r="U408" s="31"/>
      <c r="V408" s="31"/>
    </row>
    <row r="409" spans="6:22" x14ac:dyDescent="0.3"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31"/>
      <c r="R409" s="31"/>
      <c r="S409" s="31"/>
      <c r="T409" s="31"/>
      <c r="U409" s="31"/>
      <c r="V409" s="31"/>
    </row>
    <row r="410" spans="6:22" x14ac:dyDescent="0.3"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31"/>
      <c r="R410" s="31"/>
      <c r="S410" s="31"/>
      <c r="T410" s="31"/>
      <c r="U410" s="31"/>
      <c r="V410" s="31"/>
    </row>
    <row r="411" spans="6:22" x14ac:dyDescent="0.3"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31"/>
      <c r="R411" s="31"/>
      <c r="S411" s="31"/>
      <c r="T411" s="31"/>
      <c r="U411" s="31"/>
      <c r="V411" s="31"/>
    </row>
    <row r="412" spans="6:22" x14ac:dyDescent="0.3"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31"/>
      <c r="R412" s="31"/>
      <c r="S412" s="31"/>
      <c r="T412" s="31"/>
      <c r="U412" s="31"/>
      <c r="V412" s="31"/>
    </row>
    <row r="413" spans="6:22" x14ac:dyDescent="0.3"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31"/>
      <c r="R413" s="31"/>
      <c r="S413" s="31"/>
      <c r="T413" s="31"/>
      <c r="U413" s="31"/>
      <c r="V413" s="31"/>
    </row>
    <row r="414" spans="6:22" x14ac:dyDescent="0.3"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31"/>
      <c r="R414" s="31"/>
      <c r="S414" s="31"/>
      <c r="T414" s="31"/>
      <c r="U414" s="31"/>
      <c r="V414" s="31"/>
    </row>
    <row r="415" spans="6:22" x14ac:dyDescent="0.3"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31"/>
      <c r="R415" s="31"/>
      <c r="S415" s="31"/>
      <c r="T415" s="31"/>
      <c r="U415" s="31"/>
      <c r="V415" s="31"/>
    </row>
    <row r="416" spans="6:22" x14ac:dyDescent="0.3"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31"/>
      <c r="R416" s="31"/>
      <c r="S416" s="31"/>
      <c r="T416" s="31"/>
      <c r="U416" s="31"/>
      <c r="V416" s="31"/>
    </row>
    <row r="417" spans="6:22" x14ac:dyDescent="0.3"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31"/>
      <c r="R417" s="31"/>
      <c r="S417" s="31"/>
      <c r="T417" s="31"/>
      <c r="U417" s="31"/>
      <c r="V417" s="31"/>
    </row>
    <row r="418" spans="6:22" x14ac:dyDescent="0.3"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31"/>
      <c r="R418" s="31"/>
      <c r="S418" s="31"/>
      <c r="T418" s="31"/>
      <c r="U418" s="31"/>
      <c r="V418" s="31"/>
    </row>
    <row r="419" spans="6:22" x14ac:dyDescent="0.3"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31"/>
      <c r="R419" s="31"/>
      <c r="S419" s="31"/>
      <c r="T419" s="31"/>
      <c r="U419" s="31"/>
      <c r="V419" s="31"/>
    </row>
    <row r="420" spans="6:22" x14ac:dyDescent="0.3"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31"/>
      <c r="R420" s="31"/>
      <c r="S420" s="31"/>
      <c r="T420" s="31"/>
      <c r="U420" s="31"/>
      <c r="V420" s="31"/>
    </row>
    <row r="421" spans="6:22" x14ac:dyDescent="0.3"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31"/>
      <c r="R421" s="31"/>
      <c r="S421" s="31"/>
      <c r="T421" s="31"/>
      <c r="U421" s="31"/>
      <c r="V421" s="31"/>
    </row>
    <row r="422" spans="6:22" x14ac:dyDescent="0.3"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31"/>
      <c r="R422" s="31"/>
      <c r="S422" s="31"/>
      <c r="T422" s="31"/>
      <c r="U422" s="31"/>
      <c r="V422" s="31"/>
    </row>
    <row r="423" spans="6:22" x14ac:dyDescent="0.3"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31"/>
      <c r="R423" s="31"/>
      <c r="S423" s="31"/>
      <c r="T423" s="31"/>
      <c r="U423" s="31"/>
      <c r="V423" s="31"/>
    </row>
    <row r="424" spans="6:22" x14ac:dyDescent="0.3"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31"/>
      <c r="R424" s="31"/>
      <c r="S424" s="31"/>
      <c r="T424" s="31"/>
      <c r="U424" s="31"/>
      <c r="V424" s="31"/>
    </row>
    <row r="425" spans="6:22" x14ac:dyDescent="0.3"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31"/>
      <c r="R425" s="31"/>
      <c r="S425" s="31"/>
      <c r="T425" s="31"/>
      <c r="U425" s="31"/>
      <c r="V425" s="31"/>
    </row>
    <row r="426" spans="6:22" x14ac:dyDescent="0.3"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31"/>
      <c r="R426" s="31"/>
      <c r="S426" s="31"/>
      <c r="T426" s="31"/>
      <c r="U426" s="31"/>
      <c r="V426" s="31"/>
    </row>
    <row r="427" spans="6:22" x14ac:dyDescent="0.3"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31"/>
      <c r="R427" s="31"/>
      <c r="S427" s="31"/>
      <c r="T427" s="31"/>
      <c r="U427" s="31"/>
      <c r="V427" s="31"/>
    </row>
    <row r="428" spans="6:22" x14ac:dyDescent="0.3"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31"/>
      <c r="R428" s="31"/>
      <c r="S428" s="31"/>
      <c r="T428" s="31"/>
      <c r="U428" s="31"/>
      <c r="V428" s="31"/>
    </row>
    <row r="429" spans="6:22" x14ac:dyDescent="0.3"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31"/>
      <c r="R429" s="31"/>
      <c r="S429" s="31"/>
      <c r="T429" s="31"/>
      <c r="U429" s="31"/>
      <c r="V429" s="31"/>
    </row>
    <row r="430" spans="6:22" x14ac:dyDescent="0.3"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31"/>
      <c r="R430" s="31"/>
      <c r="S430" s="31"/>
      <c r="T430" s="31"/>
      <c r="U430" s="31"/>
      <c r="V430" s="31"/>
    </row>
    <row r="431" spans="6:22" x14ac:dyDescent="0.3"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31"/>
      <c r="R431" s="31"/>
      <c r="S431" s="31"/>
      <c r="T431" s="31"/>
      <c r="U431" s="31"/>
      <c r="V431" s="31"/>
    </row>
    <row r="432" spans="6:22" x14ac:dyDescent="0.3"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31"/>
      <c r="R432" s="31"/>
      <c r="S432" s="31"/>
      <c r="T432" s="31"/>
      <c r="U432" s="31"/>
      <c r="V432" s="31"/>
    </row>
    <row r="433" spans="6:22" x14ac:dyDescent="0.3"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31"/>
      <c r="R433" s="31"/>
      <c r="S433" s="31"/>
      <c r="T433" s="31"/>
      <c r="U433" s="31"/>
      <c r="V433" s="31"/>
    </row>
    <row r="434" spans="6:22" x14ac:dyDescent="0.3"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31"/>
      <c r="R434" s="31"/>
      <c r="S434" s="31"/>
      <c r="T434" s="31"/>
      <c r="U434" s="31"/>
      <c r="V434" s="31"/>
    </row>
    <row r="435" spans="6:22" x14ac:dyDescent="0.3"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31"/>
      <c r="R435" s="31"/>
      <c r="S435" s="31"/>
      <c r="T435" s="31"/>
      <c r="U435" s="31"/>
      <c r="V435" s="31"/>
    </row>
    <row r="436" spans="6:22" x14ac:dyDescent="0.3"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31"/>
      <c r="R436" s="31"/>
      <c r="S436" s="31"/>
      <c r="T436" s="31"/>
      <c r="U436" s="31"/>
      <c r="V436" s="31"/>
    </row>
    <row r="437" spans="6:22" x14ac:dyDescent="0.3"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31"/>
      <c r="R437" s="31"/>
      <c r="S437" s="31"/>
      <c r="T437" s="31"/>
      <c r="U437" s="31"/>
      <c r="V437" s="31"/>
    </row>
    <row r="438" spans="6:22" x14ac:dyDescent="0.3"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31"/>
      <c r="R438" s="31"/>
      <c r="S438" s="31"/>
      <c r="T438" s="31"/>
      <c r="U438" s="31"/>
      <c r="V438" s="31"/>
    </row>
    <row r="439" spans="6:22" x14ac:dyDescent="0.3"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31"/>
      <c r="R439" s="31"/>
      <c r="S439" s="31"/>
      <c r="T439" s="31"/>
      <c r="U439" s="31"/>
      <c r="V439" s="31"/>
    </row>
    <row r="440" spans="6:22" x14ac:dyDescent="0.3"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31"/>
      <c r="R440" s="31"/>
      <c r="S440" s="31"/>
      <c r="T440" s="31"/>
      <c r="U440" s="31"/>
      <c r="V440" s="31"/>
    </row>
    <row r="441" spans="6:22" x14ac:dyDescent="0.3"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31"/>
      <c r="R441" s="31"/>
      <c r="S441" s="31"/>
      <c r="T441" s="31"/>
      <c r="U441" s="31"/>
      <c r="V441" s="31"/>
    </row>
    <row r="442" spans="6:22" x14ac:dyDescent="0.3"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31"/>
      <c r="R442" s="31"/>
      <c r="S442" s="31"/>
      <c r="T442" s="31"/>
      <c r="U442" s="31"/>
      <c r="V442" s="31"/>
    </row>
    <row r="443" spans="6:22" x14ac:dyDescent="0.3"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31"/>
      <c r="R443" s="31"/>
      <c r="S443" s="31"/>
      <c r="T443" s="31"/>
      <c r="U443" s="31"/>
      <c r="V443" s="31"/>
    </row>
    <row r="444" spans="6:22" x14ac:dyDescent="0.3"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31"/>
      <c r="R444" s="31"/>
      <c r="S444" s="31"/>
      <c r="T444" s="31"/>
      <c r="U444" s="31"/>
      <c r="V444" s="31"/>
    </row>
    <row r="445" spans="6:22" x14ac:dyDescent="0.3"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31"/>
      <c r="R445" s="31"/>
      <c r="S445" s="31"/>
      <c r="T445" s="31"/>
      <c r="U445" s="31"/>
      <c r="V445" s="31"/>
    </row>
    <row r="446" spans="6:22" x14ac:dyDescent="0.3"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31"/>
      <c r="R446" s="31"/>
      <c r="S446" s="31"/>
      <c r="T446" s="31"/>
      <c r="U446" s="31"/>
      <c r="V446" s="31"/>
    </row>
    <row r="447" spans="6:22" x14ac:dyDescent="0.3"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31"/>
      <c r="R447" s="31"/>
      <c r="S447" s="31"/>
      <c r="T447" s="31"/>
      <c r="U447" s="31"/>
      <c r="V447" s="31"/>
    </row>
    <row r="448" spans="6:22" x14ac:dyDescent="0.3"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31"/>
      <c r="R448" s="31"/>
      <c r="S448" s="31"/>
      <c r="T448" s="31"/>
      <c r="U448" s="31"/>
      <c r="V448" s="31"/>
    </row>
    <row r="449" spans="6:22" x14ac:dyDescent="0.3"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31"/>
      <c r="R449" s="31"/>
      <c r="S449" s="31"/>
      <c r="T449" s="31"/>
      <c r="U449" s="31"/>
      <c r="V449" s="31"/>
    </row>
    <row r="450" spans="6:22" x14ac:dyDescent="0.3"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31"/>
      <c r="R450" s="31"/>
      <c r="S450" s="31"/>
      <c r="T450" s="31"/>
      <c r="U450" s="31"/>
      <c r="V450" s="31"/>
    </row>
    <row r="451" spans="6:22" x14ac:dyDescent="0.3"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31"/>
      <c r="R451" s="31"/>
      <c r="S451" s="31"/>
      <c r="T451" s="31"/>
      <c r="U451" s="31"/>
      <c r="V451" s="31"/>
    </row>
    <row r="452" spans="6:22" x14ac:dyDescent="0.3"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31"/>
      <c r="R452" s="31"/>
      <c r="S452" s="31"/>
      <c r="T452" s="31"/>
      <c r="U452" s="31"/>
      <c r="V452" s="31"/>
    </row>
    <row r="453" spans="6:22" x14ac:dyDescent="0.3"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31"/>
      <c r="R453" s="31"/>
      <c r="S453" s="31"/>
      <c r="T453" s="31"/>
      <c r="U453" s="31"/>
      <c r="V453" s="31"/>
    </row>
    <row r="454" spans="6:22" x14ac:dyDescent="0.3"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31"/>
      <c r="R454" s="31"/>
      <c r="S454" s="31"/>
      <c r="T454" s="31"/>
      <c r="U454" s="31"/>
      <c r="V454" s="31"/>
    </row>
    <row r="455" spans="6:22" x14ac:dyDescent="0.3"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31"/>
      <c r="R455" s="31"/>
      <c r="S455" s="31"/>
      <c r="T455" s="31"/>
      <c r="U455" s="31"/>
      <c r="V455" s="31"/>
    </row>
    <row r="456" spans="6:22" x14ac:dyDescent="0.3"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31"/>
      <c r="R456" s="31"/>
      <c r="S456" s="31"/>
      <c r="T456" s="31"/>
      <c r="U456" s="31"/>
      <c r="V456" s="31"/>
    </row>
    <row r="457" spans="6:22" x14ac:dyDescent="0.3"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31"/>
      <c r="R457" s="31"/>
      <c r="S457" s="31"/>
      <c r="T457" s="31"/>
      <c r="U457" s="31"/>
      <c r="V457" s="31"/>
    </row>
    <row r="458" spans="6:22" x14ac:dyDescent="0.3"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31"/>
      <c r="R458" s="31"/>
      <c r="S458" s="31"/>
      <c r="T458" s="31"/>
      <c r="U458" s="31"/>
      <c r="V458" s="31"/>
    </row>
    <row r="459" spans="6:22" x14ac:dyDescent="0.3"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31"/>
      <c r="R459" s="31"/>
      <c r="S459" s="31"/>
      <c r="T459" s="31"/>
      <c r="U459" s="31"/>
      <c r="V459" s="31"/>
    </row>
    <row r="460" spans="6:22" x14ac:dyDescent="0.3"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31"/>
      <c r="R460" s="31"/>
      <c r="S460" s="31"/>
      <c r="T460" s="31"/>
      <c r="U460" s="31"/>
      <c r="V460" s="31"/>
    </row>
    <row r="461" spans="6:22" x14ac:dyDescent="0.3"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31"/>
      <c r="R461" s="31"/>
      <c r="S461" s="31"/>
      <c r="T461" s="31"/>
      <c r="U461" s="31"/>
      <c r="V461" s="31"/>
    </row>
    <row r="462" spans="6:22" x14ac:dyDescent="0.3"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31"/>
      <c r="R462" s="31"/>
      <c r="S462" s="31"/>
      <c r="T462" s="31"/>
      <c r="U462" s="31"/>
      <c r="V462" s="31"/>
    </row>
    <row r="463" spans="6:22" x14ac:dyDescent="0.3"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31"/>
      <c r="R463" s="31"/>
      <c r="S463" s="31"/>
      <c r="T463" s="31"/>
      <c r="U463" s="31"/>
      <c r="V463" s="31"/>
    </row>
    <row r="464" spans="6:22" x14ac:dyDescent="0.3"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31"/>
      <c r="R464" s="31"/>
      <c r="S464" s="31"/>
      <c r="T464" s="31"/>
      <c r="U464" s="31"/>
      <c r="V464" s="31"/>
    </row>
    <row r="465" spans="6:22" x14ac:dyDescent="0.3"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31"/>
      <c r="R465" s="31"/>
      <c r="S465" s="31"/>
      <c r="T465" s="31"/>
      <c r="U465" s="31"/>
      <c r="V465" s="31"/>
    </row>
    <row r="466" spans="6:22" x14ac:dyDescent="0.3"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31"/>
      <c r="R466" s="31"/>
      <c r="S466" s="31"/>
      <c r="T466" s="31"/>
      <c r="U466" s="31"/>
      <c r="V466" s="31"/>
    </row>
    <row r="467" spans="6:22" x14ac:dyDescent="0.3"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31"/>
      <c r="R467" s="31"/>
      <c r="S467" s="31"/>
      <c r="T467" s="31"/>
      <c r="U467" s="31"/>
      <c r="V467" s="31"/>
    </row>
    <row r="468" spans="6:22" x14ac:dyDescent="0.3"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31"/>
      <c r="R468" s="31"/>
      <c r="S468" s="31"/>
      <c r="T468" s="31"/>
      <c r="U468" s="31"/>
      <c r="V468" s="31"/>
    </row>
    <row r="469" spans="6:22" x14ac:dyDescent="0.3"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31"/>
      <c r="R469" s="31"/>
      <c r="S469" s="31"/>
      <c r="T469" s="31"/>
      <c r="U469" s="31"/>
      <c r="V469" s="31"/>
    </row>
    <row r="470" spans="6:22" x14ac:dyDescent="0.3"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31"/>
      <c r="R470" s="31"/>
      <c r="S470" s="31"/>
      <c r="T470" s="31"/>
      <c r="U470" s="31"/>
      <c r="V470" s="31"/>
    </row>
    <row r="471" spans="6:22" x14ac:dyDescent="0.3"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31"/>
      <c r="R471" s="31"/>
      <c r="S471" s="31"/>
      <c r="T471" s="31"/>
      <c r="U471" s="31"/>
      <c r="V471" s="31"/>
    </row>
    <row r="472" spans="6:22" x14ac:dyDescent="0.3"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31"/>
      <c r="R472" s="31"/>
      <c r="S472" s="31"/>
      <c r="T472" s="31"/>
      <c r="U472" s="31"/>
      <c r="V472" s="31"/>
    </row>
    <row r="473" spans="6:22" x14ac:dyDescent="0.3"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31"/>
      <c r="R473" s="31"/>
      <c r="S473" s="31"/>
      <c r="T473" s="31"/>
      <c r="U473" s="31"/>
      <c r="V473" s="31"/>
    </row>
    <row r="474" spans="6:22" x14ac:dyDescent="0.3"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31"/>
      <c r="R474" s="31"/>
      <c r="S474" s="31"/>
      <c r="T474" s="31"/>
      <c r="U474" s="31"/>
      <c r="V474" s="31"/>
    </row>
    <row r="475" spans="6:22" x14ac:dyDescent="0.3"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31"/>
      <c r="R475" s="31"/>
      <c r="S475" s="31"/>
      <c r="T475" s="31"/>
      <c r="U475" s="31"/>
      <c r="V475" s="31"/>
    </row>
    <row r="476" spans="6:22" x14ac:dyDescent="0.3"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31"/>
      <c r="R476" s="31"/>
      <c r="S476" s="31"/>
      <c r="T476" s="31"/>
      <c r="U476" s="31"/>
      <c r="V476" s="31"/>
    </row>
    <row r="477" spans="6:22" x14ac:dyDescent="0.3"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31"/>
      <c r="R477" s="31"/>
      <c r="S477" s="31"/>
      <c r="T477" s="31"/>
      <c r="U477" s="31"/>
      <c r="V477" s="31"/>
    </row>
    <row r="478" spans="6:22" x14ac:dyDescent="0.3"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31"/>
      <c r="R478" s="31"/>
      <c r="S478" s="31"/>
      <c r="T478" s="31"/>
      <c r="U478" s="31"/>
      <c r="V478" s="31"/>
    </row>
    <row r="479" spans="6:22" x14ac:dyDescent="0.3"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31"/>
      <c r="R479" s="31"/>
      <c r="S479" s="31"/>
      <c r="T479" s="31"/>
      <c r="U479" s="31"/>
      <c r="V479" s="31"/>
    </row>
    <row r="480" spans="6:22" x14ac:dyDescent="0.3"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31"/>
      <c r="R480" s="31"/>
      <c r="S480" s="31"/>
      <c r="T480" s="31"/>
      <c r="U480" s="31"/>
      <c r="V480" s="31"/>
    </row>
    <row r="481" spans="6:22" x14ac:dyDescent="0.3"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31"/>
      <c r="R481" s="31"/>
      <c r="S481" s="31"/>
      <c r="T481" s="31"/>
      <c r="U481" s="31"/>
      <c r="V481" s="31"/>
    </row>
    <row r="482" spans="6:22" x14ac:dyDescent="0.3"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31"/>
      <c r="R482" s="31"/>
      <c r="S482" s="31"/>
      <c r="T482" s="31"/>
      <c r="U482" s="31"/>
      <c r="V482" s="31"/>
    </row>
    <row r="483" spans="6:22" x14ac:dyDescent="0.3"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31"/>
      <c r="R483" s="31"/>
      <c r="S483" s="31"/>
      <c r="T483" s="31"/>
      <c r="U483" s="31"/>
      <c r="V483" s="31"/>
    </row>
    <row r="484" spans="6:22" x14ac:dyDescent="0.3"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31"/>
      <c r="R484" s="31"/>
      <c r="S484" s="31"/>
      <c r="T484" s="31"/>
      <c r="U484" s="31"/>
      <c r="V484" s="31"/>
    </row>
    <row r="485" spans="6:22" x14ac:dyDescent="0.3"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31"/>
      <c r="R485" s="31"/>
      <c r="S485" s="31"/>
      <c r="T485" s="31"/>
      <c r="U485" s="31"/>
      <c r="V485" s="31"/>
    </row>
    <row r="486" spans="6:22" x14ac:dyDescent="0.3"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31"/>
      <c r="R486" s="31"/>
      <c r="S486" s="31"/>
      <c r="T486" s="31"/>
      <c r="U486" s="31"/>
      <c r="V486" s="31"/>
    </row>
    <row r="487" spans="6:22" x14ac:dyDescent="0.3"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31"/>
      <c r="R487" s="31"/>
      <c r="S487" s="31"/>
      <c r="T487" s="31"/>
      <c r="U487" s="31"/>
      <c r="V487" s="31"/>
    </row>
    <row r="488" spans="6:22" x14ac:dyDescent="0.3"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31"/>
      <c r="R488" s="31"/>
      <c r="S488" s="31"/>
      <c r="T488" s="31"/>
      <c r="U488" s="31"/>
      <c r="V488" s="31"/>
    </row>
    <row r="489" spans="6:22" x14ac:dyDescent="0.3"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31"/>
      <c r="R489" s="31"/>
      <c r="S489" s="31"/>
      <c r="T489" s="31"/>
      <c r="U489" s="31"/>
      <c r="V489" s="31"/>
    </row>
    <row r="490" spans="6:22" x14ac:dyDescent="0.3"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31"/>
      <c r="R490" s="31"/>
      <c r="S490" s="31"/>
      <c r="T490" s="31"/>
      <c r="U490" s="31"/>
      <c r="V490" s="31"/>
    </row>
    <row r="491" spans="6:22" x14ac:dyDescent="0.3"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31"/>
      <c r="R491" s="31"/>
      <c r="S491" s="31"/>
      <c r="T491" s="31"/>
      <c r="U491" s="31"/>
      <c r="V491" s="31"/>
    </row>
    <row r="492" spans="6:22" x14ac:dyDescent="0.3"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31"/>
      <c r="R492" s="31"/>
      <c r="S492" s="31"/>
      <c r="T492" s="31"/>
      <c r="U492" s="31"/>
      <c r="V492" s="31"/>
    </row>
    <row r="493" spans="6:22" x14ac:dyDescent="0.3"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31"/>
      <c r="R493" s="31"/>
      <c r="S493" s="31"/>
      <c r="T493" s="31"/>
      <c r="U493" s="31"/>
      <c r="V493" s="31"/>
    </row>
    <row r="494" spans="6:22" x14ac:dyDescent="0.3"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31"/>
      <c r="R494" s="31"/>
      <c r="S494" s="31"/>
      <c r="T494" s="31"/>
      <c r="U494" s="31"/>
      <c r="V494" s="31"/>
    </row>
    <row r="495" spans="6:22" x14ac:dyDescent="0.3"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31"/>
      <c r="R495" s="31"/>
      <c r="S495" s="31"/>
      <c r="T495" s="31"/>
      <c r="U495" s="31"/>
      <c r="V495" s="31"/>
    </row>
    <row r="496" spans="6:22" x14ac:dyDescent="0.3"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31"/>
      <c r="R496" s="31"/>
      <c r="S496" s="31"/>
      <c r="T496" s="31"/>
      <c r="U496" s="31"/>
      <c r="V496" s="31"/>
    </row>
    <row r="497" spans="6:22" x14ac:dyDescent="0.3"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31"/>
      <c r="R497" s="31"/>
      <c r="S497" s="31"/>
      <c r="T497" s="31"/>
      <c r="U497" s="31"/>
      <c r="V497" s="31"/>
    </row>
    <row r="498" spans="6:22" x14ac:dyDescent="0.3"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31"/>
      <c r="R498" s="31"/>
      <c r="S498" s="31"/>
      <c r="T498" s="31"/>
      <c r="U498" s="31"/>
      <c r="V498" s="31"/>
    </row>
    <row r="499" spans="6:22" x14ac:dyDescent="0.3"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31"/>
      <c r="R499" s="31"/>
      <c r="S499" s="31"/>
      <c r="T499" s="31"/>
      <c r="U499" s="31"/>
      <c r="V499" s="31"/>
    </row>
    <row r="500" spans="6:22" x14ac:dyDescent="0.3"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31"/>
      <c r="R500" s="31"/>
      <c r="S500" s="31"/>
      <c r="T500" s="31"/>
      <c r="U500" s="31"/>
      <c r="V500" s="31"/>
    </row>
    <row r="501" spans="6:22" x14ac:dyDescent="0.3"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31"/>
      <c r="R501" s="31"/>
      <c r="S501" s="31"/>
      <c r="T501" s="31"/>
      <c r="U501" s="31"/>
      <c r="V501" s="31"/>
    </row>
    <row r="502" spans="6:22" x14ac:dyDescent="0.3"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31"/>
      <c r="R502" s="31"/>
      <c r="S502" s="31"/>
      <c r="T502" s="31"/>
      <c r="U502" s="31"/>
      <c r="V502" s="31"/>
    </row>
    <row r="503" spans="6:22" x14ac:dyDescent="0.3"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31"/>
      <c r="R503" s="31"/>
      <c r="S503" s="31"/>
      <c r="T503" s="31"/>
      <c r="U503" s="31"/>
      <c r="V503" s="31"/>
    </row>
    <row r="504" spans="6:22" x14ac:dyDescent="0.3"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31"/>
      <c r="R504" s="31"/>
      <c r="S504" s="31"/>
      <c r="T504" s="31"/>
      <c r="U504" s="31"/>
      <c r="V504" s="31"/>
    </row>
    <row r="505" spans="6:22" x14ac:dyDescent="0.3"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31"/>
      <c r="R505" s="31"/>
      <c r="S505" s="31"/>
      <c r="T505" s="31"/>
      <c r="U505" s="31"/>
      <c r="V505" s="31"/>
    </row>
    <row r="506" spans="6:22" x14ac:dyDescent="0.3"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31"/>
      <c r="R506" s="31"/>
      <c r="S506" s="31"/>
      <c r="T506" s="31"/>
      <c r="U506" s="31"/>
      <c r="V506" s="31"/>
    </row>
    <row r="507" spans="6:22" x14ac:dyDescent="0.3"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31"/>
      <c r="R507" s="31"/>
      <c r="S507" s="31"/>
      <c r="T507" s="31"/>
      <c r="U507" s="31"/>
      <c r="V507" s="31"/>
    </row>
    <row r="508" spans="6:22" x14ac:dyDescent="0.3"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31"/>
      <c r="R508" s="31"/>
      <c r="S508" s="31"/>
      <c r="T508" s="31"/>
      <c r="U508" s="31"/>
      <c r="V508" s="31"/>
    </row>
    <row r="509" spans="6:22" x14ac:dyDescent="0.3"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31"/>
      <c r="R509" s="31"/>
      <c r="S509" s="31"/>
      <c r="T509" s="31"/>
      <c r="U509" s="31"/>
      <c r="V509" s="31"/>
    </row>
    <row r="510" spans="6:22" x14ac:dyDescent="0.3"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31"/>
      <c r="R510" s="31"/>
      <c r="S510" s="31"/>
      <c r="T510" s="31"/>
      <c r="U510" s="31"/>
      <c r="V510" s="31"/>
    </row>
    <row r="511" spans="6:22" x14ac:dyDescent="0.3"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31"/>
      <c r="R511" s="31"/>
      <c r="S511" s="31"/>
      <c r="T511" s="31"/>
      <c r="U511" s="31"/>
      <c r="V511" s="31"/>
    </row>
    <row r="512" spans="6:22" x14ac:dyDescent="0.3"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31"/>
      <c r="R512" s="31"/>
      <c r="S512" s="31"/>
      <c r="T512" s="31"/>
      <c r="U512" s="31"/>
      <c r="V512" s="31"/>
    </row>
    <row r="513" spans="6:22" x14ac:dyDescent="0.3"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31"/>
      <c r="R513" s="31"/>
      <c r="S513" s="31"/>
      <c r="T513" s="31"/>
      <c r="U513" s="31"/>
      <c r="V513" s="31"/>
    </row>
    <row r="514" spans="6:22" x14ac:dyDescent="0.3"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31"/>
      <c r="R514" s="31"/>
      <c r="S514" s="31"/>
      <c r="T514" s="31"/>
      <c r="U514" s="31"/>
      <c r="V514" s="31"/>
    </row>
    <row r="515" spans="6:22" x14ac:dyDescent="0.3"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31"/>
      <c r="R515" s="31"/>
      <c r="S515" s="31"/>
      <c r="T515" s="31"/>
      <c r="U515" s="31"/>
      <c r="V515" s="31"/>
    </row>
    <row r="516" spans="6:22" x14ac:dyDescent="0.3"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31"/>
      <c r="R516" s="31"/>
      <c r="S516" s="31"/>
      <c r="T516" s="31"/>
      <c r="U516" s="31"/>
      <c r="V516" s="31"/>
    </row>
    <row r="517" spans="6:22" x14ac:dyDescent="0.3"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31"/>
      <c r="R517" s="31"/>
      <c r="S517" s="31"/>
      <c r="T517" s="31"/>
      <c r="U517" s="31"/>
      <c r="V517" s="31"/>
    </row>
    <row r="518" spans="6:22" x14ac:dyDescent="0.3"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31"/>
      <c r="R518" s="31"/>
      <c r="S518" s="31"/>
      <c r="T518" s="31"/>
      <c r="U518" s="31"/>
      <c r="V518" s="31"/>
    </row>
    <row r="519" spans="6:22" x14ac:dyDescent="0.3"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31"/>
      <c r="R519" s="31"/>
      <c r="S519" s="31"/>
      <c r="T519" s="31"/>
      <c r="U519" s="31"/>
      <c r="V519" s="31"/>
    </row>
    <row r="520" spans="6:22" x14ac:dyDescent="0.3"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31"/>
      <c r="R520" s="31"/>
      <c r="S520" s="31"/>
      <c r="T520" s="31"/>
      <c r="U520" s="31"/>
      <c r="V520" s="31"/>
    </row>
    <row r="521" spans="6:22" x14ac:dyDescent="0.3"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31"/>
      <c r="R521" s="31"/>
      <c r="S521" s="31"/>
      <c r="T521" s="31"/>
      <c r="U521" s="31"/>
      <c r="V521" s="31"/>
    </row>
    <row r="522" spans="6:22" x14ac:dyDescent="0.3"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31"/>
      <c r="R522" s="31"/>
      <c r="S522" s="31"/>
      <c r="T522" s="31"/>
      <c r="U522" s="31"/>
      <c r="V522" s="31"/>
    </row>
    <row r="523" spans="6:22" x14ac:dyDescent="0.3"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31"/>
      <c r="R523" s="31"/>
      <c r="S523" s="31"/>
      <c r="T523" s="31"/>
      <c r="U523" s="31"/>
      <c r="V523" s="31"/>
    </row>
    <row r="524" spans="6:22" x14ac:dyDescent="0.3"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31"/>
      <c r="R524" s="31"/>
      <c r="S524" s="31"/>
      <c r="T524" s="31"/>
      <c r="U524" s="31"/>
      <c r="V524" s="31"/>
    </row>
    <row r="525" spans="6:22" x14ac:dyDescent="0.3"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31"/>
      <c r="R525" s="31"/>
      <c r="S525" s="31"/>
      <c r="T525" s="31"/>
      <c r="U525" s="31"/>
      <c r="V525" s="31"/>
    </row>
    <row r="526" spans="6:22" x14ac:dyDescent="0.3"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31"/>
      <c r="R526" s="31"/>
      <c r="S526" s="31"/>
      <c r="T526" s="31"/>
      <c r="U526" s="31"/>
      <c r="V526" s="31"/>
    </row>
    <row r="527" spans="6:22" x14ac:dyDescent="0.3"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31"/>
      <c r="R527" s="31"/>
      <c r="S527" s="31"/>
      <c r="T527" s="31"/>
      <c r="U527" s="31"/>
      <c r="V527" s="31"/>
    </row>
    <row r="528" spans="6:22" x14ac:dyDescent="0.3"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31"/>
      <c r="R528" s="31"/>
      <c r="S528" s="31"/>
      <c r="T528" s="31"/>
      <c r="U528" s="31"/>
      <c r="V528" s="31"/>
    </row>
    <row r="529" spans="6:22" x14ac:dyDescent="0.3"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31"/>
      <c r="R529" s="31"/>
      <c r="S529" s="31"/>
      <c r="T529" s="31"/>
      <c r="U529" s="31"/>
      <c r="V529" s="31"/>
    </row>
    <row r="530" spans="6:22" x14ac:dyDescent="0.3"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31"/>
      <c r="R530" s="31"/>
      <c r="S530" s="31"/>
      <c r="T530" s="31"/>
      <c r="U530" s="31"/>
      <c r="V530" s="31"/>
    </row>
    <row r="531" spans="6:22" x14ac:dyDescent="0.3"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31"/>
      <c r="R531" s="31"/>
      <c r="S531" s="31"/>
      <c r="T531" s="31"/>
      <c r="U531" s="31"/>
      <c r="V531" s="31"/>
    </row>
    <row r="532" spans="6:22" x14ac:dyDescent="0.3"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31"/>
      <c r="R532" s="31"/>
      <c r="S532" s="31"/>
      <c r="T532" s="31"/>
      <c r="U532" s="31"/>
      <c r="V532" s="31"/>
    </row>
    <row r="533" spans="6:22" x14ac:dyDescent="0.3"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31"/>
      <c r="R533" s="31"/>
      <c r="S533" s="31"/>
      <c r="T533" s="31"/>
      <c r="U533" s="31"/>
      <c r="V533" s="31"/>
    </row>
    <row r="534" spans="6:22" x14ac:dyDescent="0.3"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31"/>
      <c r="R534" s="31"/>
      <c r="S534" s="31"/>
      <c r="T534" s="31"/>
      <c r="U534" s="31"/>
      <c r="V534" s="31"/>
    </row>
    <row r="535" spans="6:22" x14ac:dyDescent="0.3"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31"/>
      <c r="R535" s="31"/>
      <c r="S535" s="31"/>
      <c r="T535" s="31"/>
      <c r="U535" s="31"/>
      <c r="V535" s="31"/>
    </row>
    <row r="536" spans="6:22" x14ac:dyDescent="0.3"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31"/>
      <c r="R536" s="31"/>
      <c r="S536" s="31"/>
      <c r="T536" s="31"/>
      <c r="U536" s="31"/>
      <c r="V536" s="31"/>
    </row>
    <row r="537" spans="6:22" x14ac:dyDescent="0.3"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31"/>
      <c r="R537" s="31"/>
      <c r="S537" s="31"/>
      <c r="T537" s="31"/>
      <c r="U537" s="31"/>
      <c r="V537" s="31"/>
    </row>
    <row r="538" spans="6:22" x14ac:dyDescent="0.3"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31"/>
      <c r="R538" s="31"/>
      <c r="S538" s="31"/>
      <c r="T538" s="31"/>
      <c r="U538" s="31"/>
      <c r="V538" s="31"/>
    </row>
    <row r="539" spans="6:22" x14ac:dyDescent="0.3"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31"/>
      <c r="R539" s="31"/>
      <c r="S539" s="31"/>
      <c r="T539" s="31"/>
      <c r="U539" s="31"/>
      <c r="V539" s="31"/>
    </row>
    <row r="540" spans="6:22" x14ac:dyDescent="0.3"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31"/>
      <c r="R540" s="31"/>
      <c r="S540" s="31"/>
      <c r="T540" s="31"/>
      <c r="U540" s="31"/>
      <c r="V540" s="31"/>
    </row>
    <row r="541" spans="6:22" x14ac:dyDescent="0.3"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31"/>
      <c r="R541" s="31"/>
      <c r="S541" s="31"/>
      <c r="T541" s="31"/>
      <c r="U541" s="31"/>
      <c r="V541" s="31"/>
    </row>
    <row r="542" spans="6:22" x14ac:dyDescent="0.3"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31"/>
      <c r="R542" s="31"/>
      <c r="S542" s="31"/>
      <c r="T542" s="31"/>
      <c r="U542" s="31"/>
      <c r="V542" s="31"/>
    </row>
    <row r="543" spans="6:22" x14ac:dyDescent="0.3"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31"/>
      <c r="R543" s="31"/>
      <c r="S543" s="31"/>
      <c r="T543" s="31"/>
      <c r="U543" s="31"/>
      <c r="V543" s="31"/>
    </row>
    <row r="544" spans="6:22" x14ac:dyDescent="0.3"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31"/>
      <c r="R544" s="31"/>
      <c r="S544" s="31"/>
      <c r="T544" s="31"/>
      <c r="U544" s="31"/>
      <c r="V544" s="31"/>
    </row>
    <row r="545" spans="6:22" x14ac:dyDescent="0.3"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31"/>
      <c r="R545" s="31"/>
      <c r="S545" s="31"/>
      <c r="T545" s="31"/>
      <c r="U545" s="31"/>
      <c r="V545" s="31"/>
    </row>
    <row r="546" spans="6:22" x14ac:dyDescent="0.3"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31"/>
      <c r="R546" s="31"/>
      <c r="S546" s="31"/>
      <c r="T546" s="31"/>
      <c r="U546" s="31"/>
      <c r="V546" s="31"/>
    </row>
    <row r="547" spans="6:22" x14ac:dyDescent="0.3"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31"/>
      <c r="R547" s="31"/>
      <c r="S547" s="31"/>
      <c r="T547" s="31"/>
      <c r="U547" s="31"/>
      <c r="V547" s="31"/>
    </row>
    <row r="548" spans="6:22" x14ac:dyDescent="0.3"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31"/>
      <c r="R548" s="31"/>
      <c r="S548" s="31"/>
      <c r="T548" s="31"/>
      <c r="U548" s="31"/>
      <c r="V548" s="31"/>
    </row>
    <row r="549" spans="6:22" x14ac:dyDescent="0.3"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31"/>
      <c r="R549" s="31"/>
      <c r="S549" s="31"/>
      <c r="T549" s="31"/>
      <c r="U549" s="31"/>
      <c r="V549" s="31"/>
    </row>
    <row r="550" spans="6:22" x14ac:dyDescent="0.3"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31"/>
      <c r="R550" s="31"/>
      <c r="S550" s="31"/>
      <c r="T550" s="31"/>
      <c r="U550" s="31"/>
      <c r="V550" s="31"/>
    </row>
    <row r="551" spans="6:22" x14ac:dyDescent="0.3"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31"/>
      <c r="R551" s="31"/>
      <c r="S551" s="31"/>
      <c r="T551" s="31"/>
      <c r="U551" s="31"/>
      <c r="V551" s="31"/>
    </row>
    <row r="552" spans="6:22" x14ac:dyDescent="0.3"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31"/>
      <c r="R552" s="31"/>
      <c r="S552" s="31"/>
      <c r="T552" s="31"/>
      <c r="U552" s="31"/>
      <c r="V552" s="31"/>
    </row>
    <row r="553" spans="6:22" x14ac:dyDescent="0.3"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31"/>
      <c r="R553" s="31"/>
      <c r="S553" s="31"/>
      <c r="T553" s="31"/>
      <c r="U553" s="31"/>
      <c r="V553" s="31"/>
    </row>
    <row r="554" spans="6:22" x14ac:dyDescent="0.3"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31"/>
      <c r="R554" s="31"/>
      <c r="S554" s="31"/>
      <c r="T554" s="31"/>
      <c r="U554" s="31"/>
      <c r="V554" s="31"/>
    </row>
    <row r="555" spans="6:22" x14ac:dyDescent="0.3"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31"/>
      <c r="R555" s="31"/>
      <c r="S555" s="31"/>
      <c r="T555" s="31"/>
      <c r="U555" s="31"/>
      <c r="V555" s="31"/>
    </row>
    <row r="556" spans="6:22" x14ac:dyDescent="0.3"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31"/>
      <c r="R556" s="31"/>
      <c r="S556" s="31"/>
      <c r="T556" s="31"/>
      <c r="U556" s="31"/>
      <c r="V556" s="31"/>
    </row>
    <row r="557" spans="6:22" x14ac:dyDescent="0.3"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31"/>
      <c r="R557" s="31"/>
      <c r="S557" s="31"/>
      <c r="T557" s="31"/>
      <c r="U557" s="31"/>
      <c r="V557" s="31"/>
    </row>
    <row r="558" spans="6:22" x14ac:dyDescent="0.3"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31"/>
      <c r="R558" s="31"/>
      <c r="S558" s="31"/>
      <c r="T558" s="31"/>
      <c r="U558" s="31"/>
      <c r="V558" s="31"/>
    </row>
    <row r="559" spans="6:22" x14ac:dyDescent="0.3"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31"/>
      <c r="R559" s="31"/>
      <c r="S559" s="31"/>
      <c r="T559" s="31"/>
      <c r="U559" s="31"/>
      <c r="V559" s="31"/>
    </row>
    <row r="560" spans="6:22" x14ac:dyDescent="0.3"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31"/>
      <c r="R560" s="31"/>
      <c r="S560" s="31"/>
      <c r="T560" s="31"/>
      <c r="U560" s="31"/>
      <c r="V560" s="31"/>
    </row>
    <row r="561" spans="6:22" x14ac:dyDescent="0.3"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31"/>
      <c r="R561" s="31"/>
      <c r="S561" s="31"/>
      <c r="T561" s="31"/>
      <c r="U561" s="31"/>
      <c r="V561" s="31"/>
    </row>
    <row r="562" spans="6:22" x14ac:dyDescent="0.3"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31"/>
      <c r="R562" s="31"/>
      <c r="S562" s="31"/>
      <c r="T562" s="31"/>
      <c r="U562" s="31"/>
      <c r="V562" s="31"/>
    </row>
    <row r="563" spans="6:22" x14ac:dyDescent="0.3"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31"/>
      <c r="R563" s="31"/>
      <c r="S563" s="31"/>
      <c r="T563" s="31"/>
      <c r="U563" s="31"/>
      <c r="V563" s="31"/>
    </row>
    <row r="564" spans="6:22" x14ac:dyDescent="0.3"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31"/>
      <c r="R564" s="31"/>
      <c r="S564" s="31"/>
      <c r="T564" s="31"/>
      <c r="U564" s="31"/>
      <c r="V564" s="31"/>
    </row>
    <row r="565" spans="6:22" x14ac:dyDescent="0.3"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31"/>
      <c r="R565" s="31"/>
      <c r="S565" s="31"/>
      <c r="T565" s="31"/>
      <c r="U565" s="31"/>
      <c r="V565" s="31"/>
    </row>
    <row r="566" spans="6:22" x14ac:dyDescent="0.3"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31"/>
      <c r="R566" s="31"/>
      <c r="S566" s="31"/>
      <c r="T566" s="31"/>
      <c r="U566" s="31"/>
      <c r="V566" s="31"/>
    </row>
    <row r="567" spans="6:22" x14ac:dyDescent="0.3"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31"/>
      <c r="R567" s="31"/>
      <c r="S567" s="31"/>
      <c r="T567" s="31"/>
      <c r="U567" s="31"/>
      <c r="V567" s="31"/>
    </row>
    <row r="568" spans="6:22" x14ac:dyDescent="0.3"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31"/>
      <c r="R568" s="31"/>
      <c r="S568" s="31"/>
      <c r="T568" s="31"/>
      <c r="U568" s="31"/>
      <c r="V568" s="31"/>
    </row>
    <row r="569" spans="6:22" x14ac:dyDescent="0.3"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31"/>
      <c r="R569" s="31"/>
      <c r="S569" s="31"/>
      <c r="T569" s="31"/>
      <c r="U569" s="31"/>
      <c r="V569" s="31"/>
    </row>
    <row r="570" spans="6:22" x14ac:dyDescent="0.3"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31"/>
      <c r="R570" s="31"/>
      <c r="S570" s="31"/>
      <c r="T570" s="31"/>
      <c r="U570" s="31"/>
      <c r="V570" s="31"/>
    </row>
    <row r="571" spans="6:22" x14ac:dyDescent="0.3"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31"/>
      <c r="R571" s="31"/>
      <c r="S571" s="31"/>
      <c r="T571" s="31"/>
      <c r="U571" s="31"/>
      <c r="V571" s="31"/>
    </row>
    <row r="572" spans="6:22" x14ac:dyDescent="0.3"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31"/>
      <c r="R572" s="31"/>
      <c r="S572" s="31"/>
      <c r="T572" s="31"/>
      <c r="U572" s="31"/>
      <c r="V572" s="31"/>
    </row>
    <row r="573" spans="6:22" x14ac:dyDescent="0.3"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31"/>
      <c r="R573" s="31"/>
      <c r="S573" s="31"/>
      <c r="T573" s="31"/>
      <c r="U573" s="31"/>
      <c r="V573" s="31"/>
    </row>
    <row r="574" spans="6:22" x14ac:dyDescent="0.3"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31"/>
      <c r="R574" s="31"/>
      <c r="S574" s="31"/>
      <c r="T574" s="31"/>
      <c r="U574" s="31"/>
      <c r="V574" s="31"/>
    </row>
    <row r="575" spans="6:22" x14ac:dyDescent="0.3"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31"/>
      <c r="R575" s="31"/>
      <c r="S575" s="31"/>
      <c r="T575" s="31"/>
      <c r="U575" s="31"/>
      <c r="V575" s="31"/>
    </row>
    <row r="576" spans="6:22" x14ac:dyDescent="0.3"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31"/>
      <c r="R576" s="31"/>
      <c r="S576" s="31"/>
      <c r="T576" s="31"/>
      <c r="U576" s="31"/>
      <c r="V576" s="31"/>
    </row>
    <row r="577" spans="6:22" x14ac:dyDescent="0.3"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31"/>
      <c r="R577" s="31"/>
      <c r="S577" s="31"/>
      <c r="T577" s="31"/>
      <c r="U577" s="31"/>
      <c r="V577" s="31"/>
    </row>
    <row r="578" spans="6:22" x14ac:dyDescent="0.3"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31"/>
      <c r="R578" s="31"/>
      <c r="S578" s="31"/>
      <c r="T578" s="31"/>
      <c r="U578" s="31"/>
      <c r="V578" s="31"/>
    </row>
    <row r="579" spans="6:22" x14ac:dyDescent="0.3"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31"/>
      <c r="R579" s="31"/>
      <c r="S579" s="31"/>
      <c r="T579" s="31"/>
      <c r="U579" s="31"/>
      <c r="V579" s="31"/>
    </row>
    <row r="580" spans="6:22" x14ac:dyDescent="0.3"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31"/>
      <c r="R580" s="31"/>
      <c r="S580" s="31"/>
      <c r="T580" s="31"/>
      <c r="U580" s="31"/>
      <c r="V580" s="31"/>
    </row>
    <row r="581" spans="6:22" x14ac:dyDescent="0.3"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31"/>
      <c r="R581" s="31"/>
      <c r="S581" s="31"/>
      <c r="T581" s="31"/>
      <c r="U581" s="31"/>
      <c r="V581" s="31"/>
    </row>
    <row r="582" spans="6:22" x14ac:dyDescent="0.3"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31"/>
      <c r="R582" s="31"/>
      <c r="S582" s="31"/>
      <c r="T582" s="31"/>
      <c r="U582" s="31"/>
      <c r="V582" s="31"/>
    </row>
    <row r="583" spans="6:22" x14ac:dyDescent="0.3"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31"/>
      <c r="R583" s="31"/>
      <c r="S583" s="31"/>
      <c r="T583" s="31"/>
      <c r="U583" s="31"/>
      <c r="V583" s="31"/>
    </row>
    <row r="584" spans="6:22" x14ac:dyDescent="0.3"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31"/>
      <c r="R584" s="31"/>
      <c r="S584" s="31"/>
      <c r="T584" s="31"/>
      <c r="U584" s="31"/>
      <c r="V584" s="31"/>
    </row>
    <row r="585" spans="6:22" x14ac:dyDescent="0.3"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31"/>
      <c r="R585" s="31"/>
      <c r="S585" s="31"/>
      <c r="T585" s="31"/>
      <c r="U585" s="31"/>
      <c r="V585" s="31"/>
    </row>
    <row r="586" spans="6:22" x14ac:dyDescent="0.3"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31"/>
      <c r="R586" s="31"/>
      <c r="S586" s="31"/>
      <c r="T586" s="31"/>
      <c r="U586" s="31"/>
      <c r="V586" s="31"/>
    </row>
    <row r="587" spans="6:22" x14ac:dyDescent="0.3"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31"/>
      <c r="R587" s="31"/>
      <c r="S587" s="31"/>
      <c r="T587" s="31"/>
      <c r="U587" s="31"/>
      <c r="V587" s="31"/>
    </row>
    <row r="588" spans="6:22" x14ac:dyDescent="0.3"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31"/>
      <c r="R588" s="31"/>
      <c r="S588" s="31"/>
      <c r="T588" s="31"/>
      <c r="U588" s="31"/>
      <c r="V588" s="31"/>
    </row>
    <row r="589" spans="6:22" x14ac:dyDescent="0.3"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31"/>
      <c r="R589" s="31"/>
      <c r="S589" s="31"/>
      <c r="T589" s="31"/>
      <c r="U589" s="31"/>
      <c r="V589" s="31"/>
    </row>
    <row r="590" spans="6:22" x14ac:dyDescent="0.3"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31"/>
      <c r="R590" s="31"/>
      <c r="S590" s="31"/>
      <c r="T590" s="31"/>
      <c r="U590" s="31"/>
      <c r="V590" s="31"/>
    </row>
    <row r="591" spans="6:22" x14ac:dyDescent="0.3"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31"/>
      <c r="R591" s="31"/>
      <c r="S591" s="31"/>
      <c r="T591" s="31"/>
      <c r="U591" s="31"/>
      <c r="V591" s="31"/>
    </row>
    <row r="592" spans="6:22" x14ac:dyDescent="0.3"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31"/>
      <c r="R592" s="31"/>
      <c r="S592" s="31"/>
      <c r="T592" s="31"/>
      <c r="U592" s="31"/>
      <c r="V592" s="31"/>
    </row>
    <row r="593" spans="6:22" x14ac:dyDescent="0.3"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31"/>
      <c r="R593" s="31"/>
      <c r="S593" s="31"/>
      <c r="T593" s="31"/>
      <c r="U593" s="31"/>
      <c r="V593" s="31"/>
    </row>
    <row r="594" spans="6:22" x14ac:dyDescent="0.3"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31"/>
      <c r="R594" s="31"/>
      <c r="S594" s="31"/>
      <c r="T594" s="31"/>
      <c r="U594" s="31"/>
      <c r="V594" s="31"/>
    </row>
    <row r="595" spans="6:22" x14ac:dyDescent="0.3"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31"/>
      <c r="R595" s="31"/>
      <c r="S595" s="31"/>
      <c r="T595" s="31"/>
      <c r="U595" s="31"/>
      <c r="V595" s="31"/>
    </row>
    <row r="596" spans="6:22" x14ac:dyDescent="0.3"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31"/>
      <c r="R596" s="31"/>
      <c r="S596" s="31"/>
      <c r="T596" s="31"/>
      <c r="U596" s="31"/>
      <c r="V596" s="31"/>
    </row>
    <row r="597" spans="6:22" x14ac:dyDescent="0.3"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31"/>
      <c r="R597" s="31"/>
      <c r="S597" s="31"/>
      <c r="T597" s="31"/>
      <c r="U597" s="31"/>
      <c r="V597" s="31"/>
    </row>
    <row r="598" spans="6:22" x14ac:dyDescent="0.3"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31"/>
      <c r="R598" s="31"/>
      <c r="S598" s="31"/>
      <c r="T598" s="31"/>
      <c r="U598" s="31"/>
      <c r="V598" s="31"/>
    </row>
    <row r="599" spans="6:22" x14ac:dyDescent="0.3"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31"/>
      <c r="R599" s="31"/>
      <c r="S599" s="31"/>
      <c r="T599" s="31"/>
      <c r="U599" s="31"/>
      <c r="V599" s="31"/>
    </row>
    <row r="600" spans="6:22" x14ac:dyDescent="0.3"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31"/>
      <c r="R600" s="31"/>
      <c r="S600" s="31"/>
      <c r="T600" s="31"/>
      <c r="U600" s="31"/>
      <c r="V600" s="31"/>
    </row>
    <row r="601" spans="6:22" x14ac:dyDescent="0.3"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31"/>
      <c r="R601" s="31"/>
      <c r="S601" s="31"/>
      <c r="T601" s="31"/>
      <c r="U601" s="31"/>
      <c r="V601" s="31"/>
    </row>
    <row r="602" spans="6:22" x14ac:dyDescent="0.3"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31"/>
      <c r="R602" s="31"/>
      <c r="S602" s="31"/>
      <c r="T602" s="31"/>
      <c r="U602" s="31"/>
      <c r="V602" s="31"/>
    </row>
    <row r="603" spans="6:22" x14ac:dyDescent="0.3"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31"/>
      <c r="R603" s="31"/>
      <c r="S603" s="31"/>
      <c r="T603" s="31"/>
      <c r="U603" s="31"/>
      <c r="V603" s="31"/>
    </row>
    <row r="604" spans="6:22" x14ac:dyDescent="0.3"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31"/>
      <c r="R604" s="31"/>
      <c r="S604" s="31"/>
      <c r="T604" s="31"/>
      <c r="U604" s="31"/>
      <c r="V604" s="31"/>
    </row>
    <row r="605" spans="6:22" x14ac:dyDescent="0.3"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31"/>
      <c r="R605" s="31"/>
      <c r="S605" s="31"/>
      <c r="T605" s="31"/>
      <c r="U605" s="31"/>
      <c r="V605" s="31"/>
    </row>
    <row r="606" spans="6:22" x14ac:dyDescent="0.3"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31"/>
      <c r="R606" s="31"/>
      <c r="S606" s="31"/>
      <c r="T606" s="31"/>
      <c r="U606" s="31"/>
      <c r="V606" s="31"/>
    </row>
    <row r="607" spans="6:22" x14ac:dyDescent="0.3"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31"/>
      <c r="R607" s="31"/>
      <c r="S607" s="31"/>
      <c r="T607" s="31"/>
      <c r="U607" s="31"/>
      <c r="V607" s="31"/>
    </row>
    <row r="608" spans="6:22" x14ac:dyDescent="0.3"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31"/>
      <c r="R608" s="31"/>
      <c r="S608" s="31"/>
      <c r="T608" s="31"/>
      <c r="U608" s="31"/>
      <c r="V608" s="31"/>
    </row>
    <row r="609" spans="6:22" x14ac:dyDescent="0.3"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31"/>
      <c r="R609" s="31"/>
      <c r="S609" s="31"/>
      <c r="T609" s="31"/>
      <c r="U609" s="31"/>
      <c r="V609" s="31"/>
    </row>
    <row r="610" spans="6:22" x14ac:dyDescent="0.3"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31"/>
      <c r="R610" s="31"/>
      <c r="S610" s="31"/>
      <c r="T610" s="31"/>
      <c r="U610" s="31"/>
      <c r="V610" s="31"/>
    </row>
    <row r="611" spans="6:22" x14ac:dyDescent="0.3"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31"/>
      <c r="R611" s="31"/>
      <c r="S611" s="31"/>
      <c r="T611" s="31"/>
      <c r="U611" s="31"/>
      <c r="V611" s="31"/>
    </row>
    <row r="612" spans="6:22" x14ac:dyDescent="0.3"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31"/>
      <c r="R612" s="31"/>
      <c r="S612" s="31"/>
      <c r="T612" s="31"/>
      <c r="U612" s="31"/>
      <c r="V612" s="31"/>
    </row>
    <row r="613" spans="6:22" x14ac:dyDescent="0.3"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31"/>
      <c r="R613" s="31"/>
      <c r="S613" s="31"/>
      <c r="T613" s="31"/>
      <c r="U613" s="31"/>
      <c r="V613" s="31"/>
    </row>
    <row r="614" spans="6:22" x14ac:dyDescent="0.3"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31"/>
      <c r="R614" s="31"/>
      <c r="S614" s="31"/>
      <c r="T614" s="31"/>
      <c r="U614" s="31"/>
      <c r="V614" s="31"/>
    </row>
    <row r="615" spans="6:22" x14ac:dyDescent="0.3"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31"/>
      <c r="R615" s="31"/>
      <c r="S615" s="31"/>
      <c r="T615" s="31"/>
      <c r="U615" s="31"/>
      <c r="V615" s="31"/>
    </row>
    <row r="616" spans="6:22" x14ac:dyDescent="0.3"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31"/>
      <c r="R616" s="31"/>
      <c r="S616" s="31"/>
      <c r="T616" s="31"/>
      <c r="U616" s="31"/>
      <c r="V616" s="31"/>
    </row>
    <row r="617" spans="6:22" x14ac:dyDescent="0.3"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31"/>
      <c r="R617" s="31"/>
      <c r="S617" s="31"/>
      <c r="T617" s="31"/>
      <c r="U617" s="31"/>
      <c r="V617" s="31"/>
    </row>
    <row r="618" spans="6:22" x14ac:dyDescent="0.3"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31"/>
      <c r="R618" s="31"/>
      <c r="S618" s="31"/>
      <c r="T618" s="31"/>
      <c r="U618" s="31"/>
      <c r="V618" s="31"/>
    </row>
    <row r="619" spans="6:22" x14ac:dyDescent="0.3"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31"/>
      <c r="R619" s="31"/>
      <c r="S619" s="31"/>
      <c r="T619" s="31"/>
      <c r="U619" s="31"/>
      <c r="V619" s="31"/>
    </row>
    <row r="620" spans="6:22" x14ac:dyDescent="0.3"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31"/>
      <c r="R620" s="31"/>
      <c r="S620" s="31"/>
      <c r="T620" s="31"/>
      <c r="U620" s="31"/>
      <c r="V620" s="31"/>
    </row>
    <row r="621" spans="6:22" x14ac:dyDescent="0.3"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31"/>
      <c r="R621" s="31"/>
      <c r="S621" s="31"/>
      <c r="T621" s="31"/>
      <c r="U621" s="31"/>
      <c r="V621" s="31"/>
    </row>
    <row r="622" spans="6:22" x14ac:dyDescent="0.3"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31"/>
      <c r="R622" s="31"/>
      <c r="S622" s="31"/>
      <c r="T622" s="31"/>
      <c r="U622" s="31"/>
      <c r="V622" s="31"/>
    </row>
    <row r="623" spans="6:22" x14ac:dyDescent="0.3"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31"/>
      <c r="R623" s="31"/>
      <c r="S623" s="31"/>
      <c r="T623" s="31"/>
      <c r="U623" s="31"/>
      <c r="V623" s="31"/>
    </row>
    <row r="624" spans="6:22" x14ac:dyDescent="0.3"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31"/>
      <c r="R624" s="31"/>
      <c r="S624" s="31"/>
      <c r="T624" s="31"/>
      <c r="U624" s="31"/>
      <c r="V624" s="31"/>
    </row>
    <row r="625" spans="6:22" x14ac:dyDescent="0.3"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31"/>
      <c r="R625" s="31"/>
      <c r="S625" s="31"/>
      <c r="T625" s="31"/>
      <c r="U625" s="31"/>
      <c r="V625" s="31"/>
    </row>
    <row r="626" spans="6:22" x14ac:dyDescent="0.3"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31"/>
      <c r="R626" s="31"/>
      <c r="S626" s="31"/>
      <c r="T626" s="31"/>
      <c r="U626" s="31"/>
      <c r="V626" s="31"/>
    </row>
    <row r="627" spans="6:22" x14ac:dyDescent="0.3"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31"/>
      <c r="R627" s="31"/>
      <c r="S627" s="31"/>
      <c r="T627" s="31"/>
      <c r="U627" s="31"/>
      <c r="V627" s="31"/>
    </row>
    <row r="628" spans="6:22" x14ac:dyDescent="0.3"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31"/>
      <c r="R628" s="31"/>
      <c r="S628" s="31"/>
      <c r="T628" s="31"/>
      <c r="U628" s="31"/>
      <c r="V628" s="31"/>
    </row>
    <row r="629" spans="6:22" x14ac:dyDescent="0.3"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31"/>
      <c r="R629" s="31"/>
      <c r="S629" s="31"/>
      <c r="T629" s="31"/>
      <c r="U629" s="31"/>
      <c r="V629" s="31"/>
    </row>
    <row r="630" spans="6:22" x14ac:dyDescent="0.3"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31"/>
      <c r="R630" s="31"/>
      <c r="S630" s="31"/>
      <c r="T630" s="31"/>
      <c r="U630" s="31"/>
      <c r="V630" s="31"/>
    </row>
    <row r="631" spans="6:22" x14ac:dyDescent="0.3"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31"/>
      <c r="R631" s="31"/>
      <c r="S631" s="31"/>
      <c r="T631" s="31"/>
      <c r="U631" s="31"/>
      <c r="V631" s="31"/>
    </row>
    <row r="632" spans="6:22" x14ac:dyDescent="0.3"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31"/>
      <c r="R632" s="31"/>
      <c r="S632" s="31"/>
      <c r="T632" s="31"/>
      <c r="U632" s="31"/>
      <c r="V632" s="31"/>
    </row>
    <row r="633" spans="6:22" x14ac:dyDescent="0.3"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31"/>
      <c r="R633" s="31"/>
      <c r="S633" s="31"/>
      <c r="T633" s="31"/>
      <c r="U633" s="31"/>
      <c r="V633" s="31"/>
    </row>
    <row r="634" spans="6:22" x14ac:dyDescent="0.3"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31"/>
      <c r="R634" s="31"/>
      <c r="S634" s="31"/>
      <c r="T634" s="31"/>
      <c r="U634" s="31"/>
      <c r="V634" s="31"/>
    </row>
    <row r="635" spans="6:22" x14ac:dyDescent="0.3"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31"/>
      <c r="R635" s="31"/>
      <c r="S635" s="31"/>
      <c r="T635" s="31"/>
      <c r="U635" s="31"/>
      <c r="V635" s="31"/>
    </row>
    <row r="636" spans="6:22" x14ac:dyDescent="0.3"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31"/>
      <c r="R636" s="31"/>
      <c r="S636" s="31"/>
      <c r="T636" s="31"/>
      <c r="U636" s="31"/>
      <c r="V636" s="31"/>
    </row>
    <row r="637" spans="6:22" x14ac:dyDescent="0.3"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31"/>
      <c r="R637" s="31"/>
      <c r="S637" s="31"/>
      <c r="T637" s="31"/>
      <c r="U637" s="31"/>
      <c r="V637" s="31"/>
    </row>
    <row r="638" spans="6:22" x14ac:dyDescent="0.3"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31"/>
      <c r="R638" s="31"/>
      <c r="S638" s="31"/>
      <c r="T638" s="31"/>
      <c r="U638" s="31"/>
      <c r="V638" s="31"/>
    </row>
    <row r="639" spans="6:22" x14ac:dyDescent="0.3"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31"/>
      <c r="R639" s="31"/>
      <c r="S639" s="31"/>
      <c r="T639" s="31"/>
      <c r="U639" s="31"/>
      <c r="V639" s="31"/>
    </row>
    <row r="640" spans="6:22" x14ac:dyDescent="0.3"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31"/>
      <c r="R640" s="31"/>
      <c r="S640" s="31"/>
      <c r="T640" s="31"/>
      <c r="U640" s="31"/>
      <c r="V640" s="31"/>
    </row>
    <row r="641" spans="6:22" x14ac:dyDescent="0.3"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31"/>
      <c r="R641" s="31"/>
      <c r="S641" s="31"/>
      <c r="T641" s="31"/>
      <c r="U641" s="31"/>
      <c r="V641" s="31"/>
    </row>
    <row r="642" spans="6:22" x14ac:dyDescent="0.3"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31"/>
      <c r="R642" s="31"/>
      <c r="S642" s="31"/>
      <c r="T642" s="31"/>
      <c r="U642" s="31"/>
      <c r="V642" s="31"/>
    </row>
    <row r="643" spans="6:22" x14ac:dyDescent="0.3"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31"/>
      <c r="R643" s="31"/>
      <c r="S643" s="31"/>
      <c r="T643" s="31"/>
      <c r="U643" s="31"/>
      <c r="V643" s="31"/>
    </row>
    <row r="644" spans="6:22" x14ac:dyDescent="0.3"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31"/>
      <c r="R644" s="31"/>
      <c r="S644" s="31"/>
      <c r="T644" s="31"/>
      <c r="U644" s="31"/>
      <c r="V644" s="31"/>
    </row>
    <row r="645" spans="6:22" x14ac:dyDescent="0.3"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31"/>
      <c r="R645" s="31"/>
      <c r="S645" s="31"/>
      <c r="T645" s="31"/>
      <c r="U645" s="31"/>
      <c r="V645" s="31"/>
    </row>
    <row r="646" spans="6:22" x14ac:dyDescent="0.3"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31"/>
      <c r="R646" s="31"/>
      <c r="S646" s="31"/>
      <c r="T646" s="31"/>
      <c r="U646" s="31"/>
      <c r="V646" s="31"/>
    </row>
    <row r="647" spans="6:22" x14ac:dyDescent="0.3"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31"/>
      <c r="R647" s="31"/>
      <c r="S647" s="31"/>
      <c r="T647" s="31"/>
      <c r="U647" s="31"/>
      <c r="V647" s="31"/>
    </row>
    <row r="648" spans="6:22" x14ac:dyDescent="0.3"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31"/>
      <c r="R648" s="31"/>
      <c r="S648" s="31"/>
      <c r="T648" s="31"/>
      <c r="U648" s="31"/>
      <c r="V648" s="31"/>
    </row>
    <row r="649" spans="6:22" x14ac:dyDescent="0.3"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31"/>
      <c r="R649" s="31"/>
      <c r="S649" s="31"/>
      <c r="T649" s="31"/>
      <c r="U649" s="31"/>
      <c r="V649" s="31"/>
    </row>
    <row r="650" spans="6:22" x14ac:dyDescent="0.3"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31"/>
      <c r="R650" s="31"/>
      <c r="S650" s="31"/>
      <c r="T650" s="31"/>
      <c r="U650" s="31"/>
      <c r="V650" s="31"/>
    </row>
    <row r="651" spans="6:22" x14ac:dyDescent="0.3"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31"/>
      <c r="R651" s="31"/>
      <c r="S651" s="31"/>
      <c r="T651" s="31"/>
      <c r="U651" s="31"/>
      <c r="V651" s="31"/>
    </row>
    <row r="652" spans="6:22" x14ac:dyDescent="0.3"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31"/>
      <c r="R652" s="31"/>
      <c r="S652" s="31"/>
      <c r="T652" s="31"/>
      <c r="U652" s="31"/>
      <c r="V652" s="31"/>
    </row>
    <row r="653" spans="6:22" x14ac:dyDescent="0.3"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31"/>
      <c r="R653" s="31"/>
      <c r="S653" s="31"/>
      <c r="T653" s="31"/>
      <c r="U653" s="31"/>
      <c r="V653" s="31"/>
    </row>
    <row r="654" spans="6:22" x14ac:dyDescent="0.3"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31"/>
      <c r="R654" s="31"/>
      <c r="S654" s="31"/>
      <c r="T654" s="31"/>
      <c r="U654" s="31"/>
      <c r="V654" s="31"/>
    </row>
    <row r="655" spans="6:22" x14ac:dyDescent="0.3"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31"/>
      <c r="R655" s="31"/>
      <c r="S655" s="31"/>
      <c r="T655" s="31"/>
      <c r="U655" s="31"/>
      <c r="V655" s="31"/>
    </row>
    <row r="656" spans="6:22" x14ac:dyDescent="0.3"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31"/>
      <c r="R656" s="31"/>
      <c r="S656" s="31"/>
      <c r="T656" s="31"/>
      <c r="U656" s="31"/>
      <c r="V656" s="31"/>
    </row>
    <row r="657" spans="6:22" x14ac:dyDescent="0.3"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31"/>
      <c r="R657" s="31"/>
      <c r="S657" s="31"/>
      <c r="T657" s="31"/>
      <c r="U657" s="31"/>
      <c r="V657" s="31"/>
    </row>
    <row r="658" spans="6:22" x14ac:dyDescent="0.3"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31"/>
      <c r="R658" s="31"/>
      <c r="S658" s="31"/>
      <c r="T658" s="31"/>
      <c r="U658" s="31"/>
      <c r="V658" s="31"/>
    </row>
    <row r="659" spans="6:22" x14ac:dyDescent="0.3"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31"/>
      <c r="R659" s="31"/>
      <c r="S659" s="31"/>
      <c r="T659" s="31"/>
      <c r="U659" s="31"/>
      <c r="V659" s="31"/>
    </row>
    <row r="660" spans="6:22" x14ac:dyDescent="0.3"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31"/>
      <c r="R660" s="31"/>
      <c r="S660" s="31"/>
      <c r="T660" s="31"/>
      <c r="U660" s="31"/>
      <c r="V660" s="31"/>
    </row>
    <row r="661" spans="6:22" x14ac:dyDescent="0.3"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31"/>
      <c r="R661" s="31"/>
      <c r="S661" s="31"/>
      <c r="T661" s="31"/>
      <c r="U661" s="31"/>
      <c r="V661" s="31"/>
    </row>
    <row r="662" spans="6:22" x14ac:dyDescent="0.3"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31"/>
      <c r="R662" s="31"/>
      <c r="S662" s="31"/>
      <c r="T662" s="31"/>
      <c r="U662" s="31"/>
      <c r="V662" s="31"/>
    </row>
    <row r="663" spans="6:22" x14ac:dyDescent="0.3"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31"/>
      <c r="R663" s="31"/>
      <c r="S663" s="31"/>
      <c r="T663" s="31"/>
      <c r="U663" s="31"/>
      <c r="V663" s="31"/>
    </row>
    <row r="664" spans="6:22" x14ac:dyDescent="0.3"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31"/>
      <c r="R664" s="31"/>
      <c r="S664" s="31"/>
      <c r="T664" s="31"/>
      <c r="U664" s="31"/>
      <c r="V664" s="31"/>
    </row>
    <row r="665" spans="6:22" x14ac:dyDescent="0.3"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31"/>
      <c r="R665" s="31"/>
      <c r="S665" s="31"/>
      <c r="T665" s="31"/>
      <c r="U665" s="31"/>
      <c r="V665" s="31"/>
    </row>
    <row r="666" spans="6:22" x14ac:dyDescent="0.3"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31"/>
      <c r="R666" s="31"/>
      <c r="S666" s="31"/>
      <c r="T666" s="31"/>
      <c r="U666" s="31"/>
      <c r="V666" s="31"/>
    </row>
    <row r="667" spans="6:22" x14ac:dyDescent="0.3"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31"/>
      <c r="R667" s="31"/>
      <c r="S667" s="31"/>
      <c r="T667" s="31"/>
      <c r="U667" s="31"/>
      <c r="V667" s="31"/>
    </row>
    <row r="668" spans="6:22" x14ac:dyDescent="0.3"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31"/>
      <c r="R668" s="31"/>
      <c r="S668" s="31"/>
      <c r="T668" s="31"/>
      <c r="U668" s="31"/>
      <c r="V668" s="31"/>
    </row>
    <row r="669" spans="6:22" x14ac:dyDescent="0.3"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31"/>
      <c r="R669" s="31"/>
      <c r="S669" s="31"/>
      <c r="T669" s="31"/>
      <c r="U669" s="31"/>
      <c r="V669" s="31"/>
    </row>
    <row r="670" spans="6:22" x14ac:dyDescent="0.3"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31"/>
      <c r="R670" s="31"/>
      <c r="S670" s="31"/>
      <c r="T670" s="31"/>
      <c r="U670" s="31"/>
      <c r="V670" s="31"/>
    </row>
    <row r="671" spans="6:22" x14ac:dyDescent="0.3"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31"/>
      <c r="R671" s="31"/>
      <c r="S671" s="31"/>
      <c r="T671" s="31"/>
      <c r="U671" s="31"/>
      <c r="V671" s="31"/>
    </row>
    <row r="672" spans="6:22" x14ac:dyDescent="0.3"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31"/>
      <c r="R672" s="31"/>
      <c r="S672" s="31"/>
      <c r="T672" s="31"/>
      <c r="U672" s="31"/>
      <c r="V672" s="31"/>
    </row>
    <row r="673" spans="6:22" x14ac:dyDescent="0.3"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31"/>
      <c r="R673" s="31"/>
      <c r="S673" s="31"/>
      <c r="T673" s="31"/>
      <c r="U673" s="31"/>
      <c r="V673" s="31"/>
    </row>
    <row r="674" spans="6:22" x14ac:dyDescent="0.3"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31"/>
      <c r="R674" s="31"/>
      <c r="S674" s="31"/>
      <c r="T674" s="31"/>
      <c r="U674" s="31"/>
      <c r="V674" s="31"/>
    </row>
    <row r="675" spans="6:22" x14ac:dyDescent="0.3"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31"/>
      <c r="R675" s="31"/>
      <c r="S675" s="31"/>
      <c r="T675" s="31"/>
      <c r="U675" s="31"/>
      <c r="V675" s="31"/>
    </row>
    <row r="676" spans="6:22" x14ac:dyDescent="0.3"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31"/>
      <c r="R676" s="31"/>
      <c r="S676" s="31"/>
      <c r="T676" s="31"/>
      <c r="U676" s="31"/>
      <c r="V676" s="31"/>
    </row>
    <row r="677" spans="6:22" x14ac:dyDescent="0.3"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31"/>
      <c r="R677" s="31"/>
      <c r="S677" s="31"/>
      <c r="T677" s="31"/>
      <c r="U677" s="31"/>
      <c r="V677" s="31"/>
    </row>
    <row r="678" spans="6:22" x14ac:dyDescent="0.3"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31"/>
      <c r="R678" s="31"/>
      <c r="S678" s="31"/>
      <c r="T678" s="31"/>
      <c r="U678" s="31"/>
      <c r="V678" s="31"/>
    </row>
    <row r="679" spans="6:22" x14ac:dyDescent="0.3"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31"/>
      <c r="R679" s="31"/>
      <c r="S679" s="31"/>
      <c r="T679" s="31"/>
      <c r="U679" s="31"/>
      <c r="V679" s="31"/>
    </row>
    <row r="680" spans="6:22" x14ac:dyDescent="0.3"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31"/>
      <c r="R680" s="31"/>
      <c r="S680" s="31"/>
      <c r="T680" s="31"/>
      <c r="U680" s="31"/>
      <c r="V680" s="31"/>
    </row>
    <row r="681" spans="6:22" x14ac:dyDescent="0.3"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31"/>
      <c r="R681" s="31"/>
      <c r="S681" s="31"/>
      <c r="T681" s="31"/>
      <c r="U681" s="31"/>
      <c r="V681" s="31"/>
    </row>
    <row r="682" spans="6:22" x14ac:dyDescent="0.3"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31"/>
      <c r="R682" s="31"/>
      <c r="S682" s="31"/>
      <c r="T682" s="31"/>
      <c r="U682" s="31"/>
      <c r="V682" s="31"/>
    </row>
    <row r="683" spans="6:22" x14ac:dyDescent="0.3"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31"/>
      <c r="R683" s="31"/>
      <c r="S683" s="31"/>
      <c r="T683" s="31"/>
      <c r="U683" s="31"/>
      <c r="V683" s="31"/>
    </row>
    <row r="684" spans="6:22" x14ac:dyDescent="0.3"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31"/>
      <c r="R684" s="31"/>
      <c r="S684" s="31"/>
      <c r="T684" s="31"/>
      <c r="U684" s="31"/>
      <c r="V684" s="31"/>
    </row>
    <row r="685" spans="6:22" x14ac:dyDescent="0.3"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31"/>
      <c r="R685" s="31"/>
      <c r="S685" s="31"/>
      <c r="T685" s="31"/>
      <c r="U685" s="31"/>
      <c r="V685" s="31"/>
    </row>
    <row r="686" spans="6:22" x14ac:dyDescent="0.3"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31"/>
      <c r="R686" s="31"/>
      <c r="S686" s="31"/>
      <c r="T686" s="31"/>
      <c r="U686" s="31"/>
      <c r="V686" s="31"/>
    </row>
    <row r="687" spans="6:22" x14ac:dyDescent="0.3"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31"/>
      <c r="R687" s="31"/>
      <c r="S687" s="31"/>
      <c r="T687" s="31"/>
      <c r="U687" s="31"/>
      <c r="V687" s="31"/>
    </row>
    <row r="688" spans="6:22" x14ac:dyDescent="0.3"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31"/>
      <c r="R688" s="31"/>
      <c r="S688" s="31"/>
      <c r="T688" s="31"/>
      <c r="U688" s="31"/>
      <c r="V688" s="31"/>
    </row>
    <row r="689" spans="6:22" x14ac:dyDescent="0.3"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31"/>
      <c r="R689" s="31"/>
      <c r="S689" s="31"/>
      <c r="T689" s="31"/>
      <c r="U689" s="31"/>
      <c r="V689" s="31"/>
    </row>
    <row r="690" spans="6:22" x14ac:dyDescent="0.3"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31"/>
      <c r="R690" s="31"/>
      <c r="S690" s="31"/>
      <c r="T690" s="31"/>
      <c r="U690" s="31"/>
      <c r="V690" s="31"/>
    </row>
    <row r="691" spans="6:22" x14ac:dyDescent="0.3"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31"/>
      <c r="R691" s="31"/>
      <c r="S691" s="31"/>
      <c r="T691" s="31"/>
      <c r="U691" s="31"/>
      <c r="V691" s="31"/>
    </row>
    <row r="692" spans="6:22" x14ac:dyDescent="0.3"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31"/>
      <c r="R692" s="31"/>
      <c r="S692" s="31"/>
      <c r="T692" s="31"/>
      <c r="U692" s="31"/>
      <c r="V692" s="31"/>
    </row>
    <row r="693" spans="6:22" x14ac:dyDescent="0.3"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31"/>
      <c r="R693" s="31"/>
      <c r="S693" s="31"/>
      <c r="T693" s="31"/>
      <c r="U693" s="31"/>
      <c r="V693" s="31"/>
    </row>
    <row r="694" spans="6:22" x14ac:dyDescent="0.3"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31"/>
      <c r="R694" s="31"/>
      <c r="S694" s="31"/>
      <c r="T694" s="31"/>
      <c r="U694" s="31"/>
      <c r="V694" s="31"/>
    </row>
    <row r="695" spans="6:22" x14ac:dyDescent="0.3"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31"/>
      <c r="R695" s="31"/>
      <c r="S695" s="31"/>
      <c r="T695" s="31"/>
      <c r="U695" s="31"/>
      <c r="V695" s="31"/>
    </row>
    <row r="696" spans="6:22" x14ac:dyDescent="0.3"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31"/>
      <c r="R696" s="31"/>
      <c r="S696" s="31"/>
      <c r="T696" s="31"/>
      <c r="U696" s="31"/>
      <c r="V696" s="31"/>
    </row>
    <row r="697" spans="6:22" x14ac:dyDescent="0.3"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31"/>
      <c r="R697" s="31"/>
      <c r="S697" s="31"/>
      <c r="T697" s="31"/>
      <c r="U697" s="31"/>
      <c r="V697" s="31"/>
    </row>
    <row r="698" spans="6:22" x14ac:dyDescent="0.3"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31"/>
      <c r="R698" s="31"/>
      <c r="S698" s="31"/>
      <c r="T698" s="31"/>
      <c r="U698" s="31"/>
      <c r="V698" s="31"/>
    </row>
    <row r="699" spans="6:22" x14ac:dyDescent="0.3"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31"/>
      <c r="R699" s="31"/>
      <c r="S699" s="31"/>
      <c r="T699" s="31"/>
      <c r="U699" s="31"/>
      <c r="V699" s="31"/>
    </row>
    <row r="700" spans="6:22" x14ac:dyDescent="0.3"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31"/>
      <c r="R700" s="31"/>
      <c r="S700" s="31"/>
      <c r="T700" s="31"/>
      <c r="U700" s="31"/>
      <c r="V700" s="31"/>
    </row>
    <row r="701" spans="6:22" x14ac:dyDescent="0.3"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31"/>
      <c r="R701" s="31"/>
      <c r="S701" s="31"/>
      <c r="T701" s="31"/>
      <c r="U701" s="31"/>
      <c r="V701" s="31"/>
    </row>
    <row r="702" spans="6:22" x14ac:dyDescent="0.3"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31"/>
      <c r="R702" s="31"/>
      <c r="S702" s="31"/>
      <c r="T702" s="31"/>
      <c r="U702" s="31"/>
      <c r="V702" s="31"/>
    </row>
    <row r="703" spans="6:22" x14ac:dyDescent="0.3"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31"/>
      <c r="R703" s="31"/>
      <c r="S703" s="31"/>
      <c r="T703" s="31"/>
      <c r="U703" s="31"/>
      <c r="V703" s="31"/>
    </row>
    <row r="704" spans="6:22" x14ac:dyDescent="0.3"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31"/>
      <c r="R704" s="31"/>
      <c r="S704" s="31"/>
      <c r="T704" s="31"/>
      <c r="U704" s="31"/>
      <c r="V704" s="31"/>
    </row>
    <row r="705" spans="6:22" x14ac:dyDescent="0.3"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31"/>
      <c r="R705" s="31"/>
      <c r="S705" s="31"/>
      <c r="T705" s="31"/>
      <c r="U705" s="31"/>
      <c r="V705" s="31"/>
    </row>
    <row r="706" spans="6:22" x14ac:dyDescent="0.3"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31"/>
      <c r="R706" s="31"/>
      <c r="S706" s="31"/>
      <c r="T706" s="31"/>
      <c r="U706" s="31"/>
      <c r="V706" s="31"/>
    </row>
    <row r="707" spans="6:22" x14ac:dyDescent="0.3"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31"/>
      <c r="R707" s="31"/>
      <c r="S707" s="31"/>
      <c r="T707" s="31"/>
      <c r="U707" s="31"/>
      <c r="V707" s="31"/>
    </row>
    <row r="708" spans="6:22" x14ac:dyDescent="0.3"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31"/>
      <c r="R708" s="31"/>
      <c r="S708" s="31"/>
      <c r="T708" s="31"/>
      <c r="U708" s="31"/>
      <c r="V708" s="31"/>
    </row>
    <row r="709" spans="6:22" x14ac:dyDescent="0.3"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31"/>
      <c r="R709" s="31"/>
      <c r="S709" s="31"/>
      <c r="T709" s="31"/>
      <c r="U709" s="31"/>
      <c r="V709" s="31"/>
    </row>
    <row r="710" spans="6:22" x14ac:dyDescent="0.3"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31"/>
      <c r="R710" s="31"/>
      <c r="S710" s="31"/>
      <c r="T710" s="31"/>
      <c r="U710" s="31"/>
      <c r="V710" s="31"/>
    </row>
    <row r="711" spans="6:22" x14ac:dyDescent="0.3"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31"/>
      <c r="R711" s="31"/>
      <c r="S711" s="31"/>
      <c r="T711" s="31"/>
      <c r="U711" s="31"/>
      <c r="V711" s="31"/>
    </row>
    <row r="712" spans="6:22" x14ac:dyDescent="0.3"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31"/>
      <c r="R712" s="31"/>
      <c r="S712" s="31"/>
      <c r="T712" s="31"/>
      <c r="U712" s="31"/>
      <c r="V712" s="31"/>
    </row>
    <row r="713" spans="6:22" x14ac:dyDescent="0.3"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31"/>
      <c r="R713" s="31"/>
      <c r="S713" s="31"/>
      <c r="T713" s="31"/>
      <c r="U713" s="31"/>
      <c r="V713" s="31"/>
    </row>
    <row r="714" spans="6:22" x14ac:dyDescent="0.3"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31"/>
      <c r="R714" s="31"/>
      <c r="S714" s="31"/>
      <c r="T714" s="31"/>
      <c r="U714" s="31"/>
      <c r="V714" s="31"/>
    </row>
    <row r="715" spans="6:22" x14ac:dyDescent="0.3"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31"/>
      <c r="R715" s="31"/>
      <c r="S715" s="31"/>
      <c r="T715" s="31"/>
      <c r="U715" s="31"/>
      <c r="V715" s="31"/>
    </row>
    <row r="716" spans="6:22" x14ac:dyDescent="0.3"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31"/>
      <c r="R716" s="31"/>
      <c r="S716" s="31"/>
      <c r="T716" s="31"/>
      <c r="U716" s="31"/>
      <c r="V716" s="31"/>
    </row>
    <row r="717" spans="6:22" x14ac:dyDescent="0.3"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31"/>
      <c r="R717" s="31"/>
      <c r="S717" s="31"/>
      <c r="T717" s="31"/>
      <c r="U717" s="31"/>
      <c r="V717" s="31"/>
    </row>
    <row r="718" spans="6:22" x14ac:dyDescent="0.3"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31"/>
      <c r="R718" s="31"/>
      <c r="S718" s="31"/>
      <c r="T718" s="31"/>
      <c r="U718" s="31"/>
      <c r="V718" s="31"/>
    </row>
    <row r="719" spans="6:22" x14ac:dyDescent="0.3"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31"/>
      <c r="R719" s="31"/>
      <c r="S719" s="31"/>
      <c r="T719" s="31"/>
      <c r="U719" s="31"/>
      <c r="V719" s="31"/>
    </row>
    <row r="720" spans="6:22" x14ac:dyDescent="0.3"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31"/>
      <c r="R720" s="31"/>
      <c r="S720" s="31"/>
      <c r="T720" s="31"/>
      <c r="U720" s="31"/>
      <c r="V720" s="31"/>
    </row>
    <row r="721" spans="6:22" x14ac:dyDescent="0.3"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31"/>
      <c r="R721" s="31"/>
      <c r="S721" s="31"/>
      <c r="T721" s="31"/>
      <c r="U721" s="31"/>
      <c r="V721" s="31"/>
    </row>
    <row r="722" spans="6:22" x14ac:dyDescent="0.3"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31"/>
      <c r="R722" s="31"/>
      <c r="S722" s="31"/>
      <c r="T722" s="31"/>
      <c r="U722" s="31"/>
      <c r="V722" s="31"/>
    </row>
    <row r="723" spans="6:22" x14ac:dyDescent="0.3"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31"/>
      <c r="R723" s="31"/>
      <c r="S723" s="31"/>
      <c r="T723" s="31"/>
      <c r="U723" s="31"/>
      <c r="V723" s="31"/>
    </row>
    <row r="724" spans="6:22" x14ac:dyDescent="0.3"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31"/>
      <c r="R724" s="31"/>
      <c r="S724" s="31"/>
      <c r="T724" s="31"/>
      <c r="U724" s="31"/>
      <c r="V724" s="31"/>
    </row>
    <row r="725" spans="6:22" x14ac:dyDescent="0.3"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31"/>
      <c r="R725" s="31"/>
      <c r="S725" s="31"/>
      <c r="T725" s="31"/>
      <c r="U725" s="31"/>
      <c r="V725" s="31"/>
    </row>
    <row r="726" spans="6:22" x14ac:dyDescent="0.3"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31"/>
      <c r="R726" s="31"/>
      <c r="S726" s="31"/>
      <c r="T726" s="31"/>
      <c r="U726" s="31"/>
      <c r="V726" s="31"/>
    </row>
    <row r="727" spans="6:22" x14ac:dyDescent="0.3"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31"/>
      <c r="R727" s="31"/>
      <c r="S727" s="31"/>
      <c r="T727" s="31"/>
      <c r="U727" s="31"/>
      <c r="V727" s="31"/>
    </row>
    <row r="728" spans="6:22" x14ac:dyDescent="0.3"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31"/>
      <c r="R728" s="31"/>
      <c r="S728" s="31"/>
      <c r="T728" s="31"/>
      <c r="U728" s="31"/>
      <c r="V728" s="31"/>
    </row>
    <row r="729" spans="6:22" x14ac:dyDescent="0.3"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31"/>
      <c r="R729" s="31"/>
      <c r="S729" s="31"/>
      <c r="T729" s="31"/>
      <c r="U729" s="31"/>
      <c r="V729" s="31"/>
    </row>
    <row r="730" spans="6:22" x14ac:dyDescent="0.3"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31"/>
      <c r="R730" s="31"/>
      <c r="S730" s="31"/>
      <c r="T730" s="31"/>
      <c r="U730" s="31"/>
      <c r="V730" s="31"/>
    </row>
    <row r="731" spans="6:22" x14ac:dyDescent="0.3"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31"/>
      <c r="R731" s="31"/>
      <c r="S731" s="31"/>
      <c r="T731" s="31"/>
      <c r="U731" s="31"/>
      <c r="V731" s="31"/>
    </row>
    <row r="732" spans="6:22" x14ac:dyDescent="0.3"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31"/>
      <c r="R732" s="31"/>
      <c r="S732" s="31"/>
      <c r="T732" s="31"/>
      <c r="U732" s="31"/>
      <c r="V732" s="31"/>
    </row>
    <row r="733" spans="6:22" x14ac:dyDescent="0.3"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31"/>
      <c r="R733" s="31"/>
      <c r="S733" s="31"/>
      <c r="T733" s="31"/>
      <c r="U733" s="31"/>
      <c r="V733" s="31"/>
    </row>
    <row r="734" spans="6:22" x14ac:dyDescent="0.3"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31"/>
      <c r="R734" s="31"/>
      <c r="S734" s="31"/>
      <c r="T734" s="31"/>
      <c r="U734" s="31"/>
      <c r="V734" s="31"/>
    </row>
    <row r="735" spans="6:22" x14ac:dyDescent="0.3"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31"/>
      <c r="R735" s="31"/>
      <c r="S735" s="31"/>
      <c r="T735" s="31"/>
      <c r="U735" s="31"/>
      <c r="V735" s="31"/>
    </row>
    <row r="736" spans="6:22" x14ac:dyDescent="0.3"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31"/>
      <c r="R736" s="31"/>
      <c r="S736" s="31"/>
      <c r="T736" s="31"/>
      <c r="U736" s="31"/>
      <c r="V736" s="31"/>
    </row>
    <row r="737" spans="6:22" x14ac:dyDescent="0.3"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31"/>
      <c r="R737" s="31"/>
      <c r="S737" s="31"/>
      <c r="T737" s="31"/>
      <c r="U737" s="31"/>
      <c r="V737" s="31"/>
    </row>
    <row r="738" spans="6:22" x14ac:dyDescent="0.3"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31"/>
      <c r="R738" s="31"/>
      <c r="S738" s="31"/>
      <c r="T738" s="31"/>
      <c r="U738" s="31"/>
      <c r="V738" s="31"/>
    </row>
    <row r="739" spans="6:22" x14ac:dyDescent="0.3"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31"/>
      <c r="R739" s="31"/>
      <c r="S739" s="31"/>
      <c r="T739" s="31"/>
      <c r="U739" s="31"/>
      <c r="V739" s="31"/>
    </row>
    <row r="740" spans="6:22" x14ac:dyDescent="0.3"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31"/>
      <c r="R740" s="31"/>
      <c r="S740" s="31"/>
      <c r="T740" s="31"/>
      <c r="U740" s="31"/>
      <c r="V740" s="31"/>
    </row>
    <row r="741" spans="6:22" x14ac:dyDescent="0.3"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31"/>
      <c r="R741" s="31"/>
      <c r="S741" s="31"/>
      <c r="T741" s="31"/>
      <c r="U741" s="31"/>
      <c r="V741" s="31"/>
    </row>
    <row r="742" spans="6:22" x14ac:dyDescent="0.3"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31"/>
      <c r="R742" s="31"/>
      <c r="S742" s="31"/>
      <c r="T742" s="31"/>
      <c r="U742" s="31"/>
      <c r="V742" s="31"/>
    </row>
    <row r="743" spans="6:22" x14ac:dyDescent="0.3"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31"/>
      <c r="R743" s="31"/>
      <c r="S743" s="31"/>
      <c r="T743" s="31"/>
      <c r="U743" s="31"/>
      <c r="V743" s="31"/>
    </row>
    <row r="744" spans="6:22" x14ac:dyDescent="0.3"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31"/>
      <c r="R744" s="31"/>
      <c r="S744" s="31"/>
      <c r="T744" s="31"/>
      <c r="U744" s="31"/>
      <c r="V744" s="31"/>
    </row>
    <row r="745" spans="6:22" x14ac:dyDescent="0.3"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31"/>
      <c r="R745" s="31"/>
      <c r="S745" s="31"/>
      <c r="T745" s="31"/>
      <c r="U745" s="31"/>
      <c r="V745" s="31"/>
    </row>
    <row r="746" spans="6:22" x14ac:dyDescent="0.3"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31"/>
      <c r="R746" s="31"/>
      <c r="S746" s="31"/>
      <c r="T746" s="31"/>
      <c r="U746" s="31"/>
      <c r="V746" s="31"/>
    </row>
    <row r="747" spans="6:22" x14ac:dyDescent="0.3"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31"/>
      <c r="R747" s="31"/>
      <c r="S747" s="31"/>
      <c r="T747" s="31"/>
      <c r="U747" s="31"/>
      <c r="V747" s="31"/>
    </row>
    <row r="748" spans="6:22" x14ac:dyDescent="0.3"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31"/>
      <c r="R748" s="31"/>
      <c r="S748" s="31"/>
      <c r="T748" s="31"/>
      <c r="U748" s="31"/>
      <c r="V748" s="31"/>
    </row>
  </sheetData>
  <mergeCells count="1">
    <mergeCell ref="J26:N26"/>
  </mergeCells>
  <phoneticPr fontId="12" type="noConversion"/>
  <pageMargins left="0.3" right="0.3" top="0.5" bottom="0.2" header="0" footer="0"/>
  <pageSetup scale="69" orientation="portrait" horizontalDpi="300" verticalDpi="300" r:id="rId1"/>
  <headerFooter alignWithMargins="0">
    <oddFooter>&amp;C&amp;7This is a special management report and may not comply with FERC or GAAP reporting requirements.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Q66"/>
  <sheetViews>
    <sheetView topLeftCell="L1" zoomScale="70" zoomScaleNormal="70" workbookViewId="0">
      <selection activeCell="H78" sqref="H78"/>
    </sheetView>
  </sheetViews>
  <sheetFormatPr defaultColWidth="6.81640625" defaultRowHeight="15" x14ac:dyDescent="0.25"/>
  <cols>
    <col min="1" max="1" width="3.6328125" style="321" customWidth="1"/>
    <col min="2" max="2" width="21.90625" style="321" customWidth="1"/>
    <col min="3" max="3" width="3.81640625" style="321" customWidth="1"/>
    <col min="4" max="4" width="19.08984375" style="321" customWidth="1"/>
    <col min="5" max="5" width="13.1796875" style="321" customWidth="1"/>
    <col min="6" max="6" width="4.453125" style="321" customWidth="1"/>
    <col min="7" max="7" width="2.36328125" style="321" customWidth="1"/>
    <col min="8" max="8" width="19.54296875" style="321" customWidth="1"/>
    <col min="9" max="9" width="2.1796875" style="321" customWidth="1"/>
    <col min="10" max="10" width="3.1796875" style="321" customWidth="1"/>
    <col min="11" max="11" width="17.36328125" style="321" customWidth="1"/>
    <col min="12" max="12" width="13.1796875" style="321" customWidth="1"/>
    <col min="13" max="13" width="4.08984375" style="321" customWidth="1"/>
    <col min="14" max="14" width="34" style="321" customWidth="1"/>
    <col min="15" max="15" width="14.81640625" style="321" customWidth="1"/>
    <col min="16" max="16" width="16" style="321" customWidth="1"/>
    <col min="17" max="17" width="1.453125" style="321" customWidth="1"/>
    <col min="18" max="18" width="16" style="321" customWidth="1"/>
    <col min="19" max="19" width="1.453125" style="321" customWidth="1"/>
    <col min="20" max="20" width="11.54296875" style="321" customWidth="1"/>
    <col min="21" max="21" width="10.36328125" style="321" customWidth="1"/>
    <col min="22" max="16384" width="6.81640625" style="321"/>
  </cols>
  <sheetData>
    <row r="1" spans="1:43" ht="21" x14ac:dyDescent="0.4">
      <c r="A1" s="317" t="s">
        <v>88</v>
      </c>
      <c r="B1" s="317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9" t="s">
        <v>88</v>
      </c>
      <c r="O1" s="320"/>
      <c r="P1" s="320"/>
      <c r="Q1" s="320"/>
      <c r="R1" s="320"/>
      <c r="S1" s="320"/>
      <c r="T1" s="320"/>
    </row>
    <row r="2" spans="1:43" ht="20.399999999999999" x14ac:dyDescent="0.35">
      <c r="A2" s="317" t="s">
        <v>163</v>
      </c>
      <c r="B2" s="317"/>
      <c r="C2" s="318"/>
      <c r="D2" s="318"/>
      <c r="E2" s="318"/>
      <c r="F2" s="318"/>
      <c r="G2" s="318"/>
      <c r="H2" s="318"/>
      <c r="I2" s="322"/>
      <c r="J2" s="322"/>
      <c r="K2" s="322"/>
      <c r="L2" s="322"/>
      <c r="M2" s="322"/>
      <c r="N2" s="317" t="s">
        <v>163</v>
      </c>
      <c r="O2" s="320"/>
      <c r="P2" s="320"/>
      <c r="Q2" s="320"/>
      <c r="R2" s="320"/>
      <c r="S2" s="323"/>
      <c r="T2" s="323"/>
    </row>
    <row r="3" spans="1:43" ht="20.399999999999999" x14ac:dyDescent="0.35">
      <c r="A3" s="317" t="s">
        <v>169</v>
      </c>
      <c r="B3" s="317"/>
      <c r="C3" s="318"/>
      <c r="D3" s="318"/>
      <c r="E3" s="318"/>
      <c r="F3" s="318"/>
      <c r="G3" s="318"/>
      <c r="H3" s="318"/>
      <c r="I3" s="322"/>
      <c r="J3" s="322"/>
      <c r="K3" s="322"/>
      <c r="L3" s="322"/>
      <c r="M3" s="322"/>
      <c r="N3" s="317" t="s">
        <v>170</v>
      </c>
      <c r="O3" s="320"/>
      <c r="P3" s="320"/>
      <c r="Q3" s="320"/>
      <c r="R3" s="320"/>
      <c r="S3" s="323"/>
      <c r="T3" s="323"/>
    </row>
    <row r="4" spans="1:43" ht="18.75" customHeight="1" x14ac:dyDescent="0.35">
      <c r="A4" s="324" t="s">
        <v>89</v>
      </c>
      <c r="B4" s="318"/>
      <c r="C4" s="318"/>
      <c r="D4" s="318"/>
      <c r="E4" s="318"/>
      <c r="F4" s="318"/>
      <c r="G4" s="318"/>
      <c r="H4" s="318"/>
      <c r="I4" s="322"/>
      <c r="J4" s="322"/>
      <c r="K4" s="322"/>
      <c r="L4" s="322"/>
      <c r="M4" s="322"/>
      <c r="N4" s="324" t="s">
        <v>89</v>
      </c>
      <c r="O4" s="320"/>
      <c r="P4" s="320"/>
      <c r="Q4" s="320"/>
      <c r="R4" s="320"/>
      <c r="S4" s="323"/>
      <c r="T4" s="323"/>
    </row>
    <row r="5" spans="1:43" ht="13.5" customHeight="1" x14ac:dyDescent="0.3">
      <c r="D5" s="325"/>
      <c r="E5" s="326"/>
      <c r="F5" s="326"/>
      <c r="H5" s="326"/>
      <c r="J5" s="326"/>
      <c r="L5" s="326"/>
      <c r="M5" s="326"/>
      <c r="N5" s="327"/>
      <c r="R5" s="292"/>
    </row>
    <row r="6" spans="1:43" ht="15.6" x14ac:dyDescent="0.3">
      <c r="A6" s="321" t="str">
        <f ca="1">CELL("filename")</f>
        <v>P:\Finance\FGT Finance\LPALMA\EXCEL\WEEKLY\[November3.xls]A</v>
      </c>
      <c r="C6" s="328"/>
      <c r="N6" s="329"/>
      <c r="O6" s="329"/>
      <c r="P6" s="329"/>
      <c r="Q6" s="330"/>
      <c r="R6" s="293"/>
      <c r="S6" s="329"/>
      <c r="T6" s="329"/>
    </row>
    <row r="7" spans="1:43" ht="15.6" x14ac:dyDescent="0.3">
      <c r="C7" s="325"/>
      <c r="N7" s="329"/>
      <c r="O7" s="329"/>
      <c r="P7" s="331" t="s">
        <v>131</v>
      </c>
      <c r="Q7" s="330"/>
      <c r="R7" s="331" t="s">
        <v>164</v>
      </c>
      <c r="S7" s="329"/>
      <c r="T7" s="331" t="s">
        <v>90</v>
      </c>
    </row>
    <row r="8" spans="1:43" ht="15.6" x14ac:dyDescent="0.3">
      <c r="B8" s="332" t="s">
        <v>91</v>
      </c>
      <c r="C8" s="325"/>
      <c r="D8" s="333" t="s">
        <v>165</v>
      </c>
      <c r="E8" s="331" t="s">
        <v>92</v>
      </c>
      <c r="G8" s="334"/>
      <c r="H8" s="332" t="s">
        <v>93</v>
      </c>
      <c r="K8" s="333" t="s">
        <v>165</v>
      </c>
      <c r="L8" s="331" t="s">
        <v>92</v>
      </c>
      <c r="O8" s="329" t="s">
        <v>94</v>
      </c>
      <c r="P8" s="294">
        <v>11376</v>
      </c>
      <c r="Q8" s="329"/>
      <c r="R8" s="294">
        <v>11287</v>
      </c>
      <c r="S8" s="329"/>
      <c r="T8" s="329"/>
    </row>
    <row r="9" spans="1:43" ht="15.6" x14ac:dyDescent="0.3">
      <c r="A9" s="334"/>
      <c r="B9" s="335" t="s">
        <v>95</v>
      </c>
      <c r="C9" s="325"/>
      <c r="E9" s="295">
        <f>+[1]Rev2001!O13-[1]RevPlan!O13</f>
        <v>-6.6366000000925851E-2</v>
      </c>
      <c r="F9" s="334"/>
      <c r="G9" s="335" t="s">
        <v>95</v>
      </c>
      <c r="H9" s="329"/>
      <c r="K9" s="329"/>
      <c r="L9" s="295">
        <f>+[1]Rev2001!O26-[1]RevPlan!O26</f>
        <v>116.36751599999985</v>
      </c>
      <c r="M9" s="296" t="s">
        <v>136</v>
      </c>
      <c r="O9" s="329" t="s">
        <v>96</v>
      </c>
      <c r="P9" s="297">
        <v>18127</v>
      </c>
      <c r="Q9" s="330"/>
      <c r="R9" s="297">
        <v>18151</v>
      </c>
      <c r="S9" s="329"/>
      <c r="T9" s="329"/>
    </row>
    <row r="10" spans="1:43" ht="15.6" x14ac:dyDescent="0.3">
      <c r="B10" s="321" t="s">
        <v>97</v>
      </c>
      <c r="C10" s="336"/>
      <c r="D10" s="272">
        <f>SUM([1]Vol01_01!O13:O13)</f>
        <v>-6.6365999999688147E-2</v>
      </c>
      <c r="G10" s="321" t="s">
        <v>97</v>
      </c>
      <c r="K10" s="272">
        <f>SUM([1]Vol01_01!O26:O26)</f>
        <v>116.36751600000004</v>
      </c>
      <c r="N10" s="329" t="s">
        <v>98</v>
      </c>
      <c r="O10" s="298" t="s">
        <v>99</v>
      </c>
      <c r="P10" s="294">
        <f>SUM(P8:P9)</f>
        <v>29503</v>
      </c>
      <c r="Q10" s="294"/>
      <c r="R10" s="294">
        <f>SUM(R8:R9)</f>
        <v>29438</v>
      </c>
    </row>
    <row r="11" spans="1:43" ht="16.8" x14ac:dyDescent="0.4">
      <c r="B11" s="321" t="s">
        <v>100</v>
      </c>
      <c r="C11" s="325"/>
      <c r="D11" s="299">
        <f>SUM([1]Price01_01!O13:O13)</f>
        <v>0</v>
      </c>
      <c r="G11" s="321" t="s">
        <v>100</v>
      </c>
      <c r="K11" s="299">
        <f>SUM([1]Price01_01!O26:O26)</f>
        <v>0</v>
      </c>
      <c r="N11" s="337"/>
      <c r="O11" s="329" t="s">
        <v>101</v>
      </c>
      <c r="P11" s="300">
        <v>-341</v>
      </c>
      <c r="R11" s="300">
        <v>-322.89999999999998</v>
      </c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  <c r="AO11" s="273"/>
      <c r="AP11" s="273"/>
      <c r="AQ11" s="273"/>
    </row>
    <row r="12" spans="1:43" ht="16.8" x14ac:dyDescent="0.4">
      <c r="C12" s="325"/>
      <c r="D12" s="301">
        <f>SUM(D10:D11)</f>
        <v>-6.6365999999688147E-2</v>
      </c>
      <c r="K12" s="302">
        <f>SUM(K10:K11)</f>
        <v>116.36751600000004</v>
      </c>
      <c r="N12" s="337"/>
      <c r="O12" s="338" t="s">
        <v>102</v>
      </c>
      <c r="P12" s="297">
        <v>-545</v>
      </c>
      <c r="R12" s="297">
        <v>-545</v>
      </c>
      <c r="S12" s="337"/>
      <c r="T12" s="337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3"/>
      <c r="AO12" s="273"/>
      <c r="AP12" s="273"/>
      <c r="AQ12" s="273"/>
    </row>
    <row r="13" spans="1:43" ht="15.6" x14ac:dyDescent="0.3">
      <c r="A13" s="334"/>
      <c r="B13" s="335" t="s">
        <v>103</v>
      </c>
      <c r="C13" s="325"/>
      <c r="E13" s="295">
        <f>+[1]Rev2001!O14-[1]RevPlan!O14</f>
        <v>0.28836599999976897</v>
      </c>
      <c r="F13" s="334"/>
      <c r="G13" s="335" t="s">
        <v>148</v>
      </c>
      <c r="L13" s="295">
        <f>(+[1]Rev2001!O27+[1]Rev2001!O28)-([1]RevPlan!O27+[1]RevPlan!O28)</f>
        <v>-14.255327999999992</v>
      </c>
      <c r="M13" s="296"/>
      <c r="N13" s="329" t="s">
        <v>104</v>
      </c>
      <c r="O13" s="329"/>
      <c r="P13" s="303">
        <f>SUM(P10:P12)</f>
        <v>28617</v>
      </c>
      <c r="Q13" s="329"/>
      <c r="R13" s="303">
        <f>SUM(R10:R12)</f>
        <v>28570.1</v>
      </c>
      <c r="S13" s="329"/>
      <c r="T13" s="303">
        <f>P13-R13</f>
        <v>46.900000000001455</v>
      </c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3"/>
      <c r="AH13" s="273"/>
      <c r="AI13" s="273"/>
      <c r="AJ13" s="273"/>
      <c r="AK13" s="273"/>
      <c r="AL13" s="273"/>
      <c r="AM13" s="273"/>
      <c r="AN13" s="273"/>
      <c r="AO13" s="273"/>
      <c r="AP13" s="273"/>
      <c r="AQ13" s="273"/>
    </row>
    <row r="14" spans="1:43" ht="15.6" x14ac:dyDescent="0.3">
      <c r="B14" s="321" t="s">
        <v>97</v>
      </c>
      <c r="C14" s="325"/>
      <c r="D14" s="272">
        <f>SUM([1]Vol01_01!O14:O14)</f>
        <v>0.28836599999948553</v>
      </c>
      <c r="G14" s="321" t="s">
        <v>97</v>
      </c>
      <c r="K14" s="272">
        <f>SUM([1]Vol01_01!O27:O27)+SUM([1]Vol01_01!O28:O28)+SUM([1]Vol01_01!O29:O29)</f>
        <v>-14.255328000000013</v>
      </c>
      <c r="O14" s="329"/>
      <c r="P14" s="298"/>
      <c r="Q14" s="298"/>
      <c r="R14" s="298"/>
      <c r="S14" s="298"/>
      <c r="T14" s="298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73"/>
      <c r="AO14" s="273"/>
      <c r="AP14" s="273"/>
      <c r="AQ14" s="273"/>
    </row>
    <row r="15" spans="1:43" ht="16.8" x14ac:dyDescent="0.4">
      <c r="B15" s="321" t="s">
        <v>100</v>
      </c>
      <c r="C15" s="336"/>
      <c r="D15" s="299">
        <f>SUM([1]Price01_01!O14:O14)</f>
        <v>0</v>
      </c>
      <c r="G15" s="321" t="s">
        <v>100</v>
      </c>
      <c r="K15" s="299">
        <f>SUM([1]Price01_01!O27:O27)+([1]Price01_01!O28:O28)</f>
        <v>0</v>
      </c>
      <c r="N15" s="329" t="s">
        <v>105</v>
      </c>
      <c r="O15" s="298"/>
      <c r="P15" s="304"/>
      <c r="Q15" s="304"/>
      <c r="R15" s="304">
        <f>T15*-1</f>
        <v>-38.15651999999983</v>
      </c>
      <c r="S15" s="298"/>
      <c r="T15" s="298">
        <f>D47+K47</f>
        <v>38.15651999999983</v>
      </c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3"/>
      <c r="AN15" s="273"/>
      <c r="AO15" s="273"/>
      <c r="AP15" s="273"/>
      <c r="AQ15" s="273"/>
    </row>
    <row r="16" spans="1:43" ht="16.8" x14ac:dyDescent="0.4">
      <c r="C16" s="325"/>
      <c r="D16" s="301">
        <f>SUM(D14:D15)</f>
        <v>0.28836599999948553</v>
      </c>
      <c r="K16" s="302">
        <f>SUM(K14:K15)</f>
        <v>-14.255328000000013</v>
      </c>
      <c r="N16" s="329" t="s">
        <v>106</v>
      </c>
      <c r="O16" s="298"/>
      <c r="P16" s="304"/>
      <c r="Q16" s="304"/>
      <c r="R16" s="304">
        <f>T16*-1</f>
        <v>-6.0000000000000036</v>
      </c>
      <c r="S16" s="298"/>
      <c r="T16" s="297">
        <f>D48+K48</f>
        <v>6.0000000000000036</v>
      </c>
    </row>
    <row r="17" spans="1:20" ht="15.6" x14ac:dyDescent="0.3">
      <c r="B17" s="335" t="s">
        <v>107</v>
      </c>
      <c r="C17" s="325"/>
      <c r="D17" s="339"/>
      <c r="E17" s="295">
        <f>+[1]Rev2001!O15-[1]RevPlan!O15</f>
        <v>0</v>
      </c>
      <c r="G17" s="335" t="s">
        <v>108</v>
      </c>
      <c r="I17" s="329"/>
      <c r="J17" s="329"/>
      <c r="L17" s="295">
        <f>+[1]Rev2001!O29-[1]RevPlan!O29</f>
        <v>0</v>
      </c>
      <c r="M17" s="296"/>
      <c r="N17" s="329" t="s">
        <v>109</v>
      </c>
      <c r="O17" s="298"/>
      <c r="P17" s="304"/>
      <c r="Q17" s="304"/>
      <c r="R17" s="304">
        <f>SUM(R15:R16)</f>
        <v>-44.15651999999983</v>
      </c>
      <c r="S17" s="298"/>
      <c r="T17" s="298">
        <f>SUM(T15:T16)</f>
        <v>44.15651999999983</v>
      </c>
    </row>
    <row r="18" spans="1:20" ht="15.6" x14ac:dyDescent="0.3">
      <c r="B18" s="321" t="s">
        <v>97</v>
      </c>
      <c r="C18" s="325"/>
      <c r="D18" s="272">
        <f>SUM([1]Vol01_01!O15:O15)</f>
        <v>0</v>
      </c>
      <c r="G18" s="321" t="s">
        <v>97</v>
      </c>
      <c r="I18" s="329"/>
      <c r="J18" s="329"/>
      <c r="K18" s="272">
        <f>SUM([1]Vol01_01!O30:O30)</f>
        <v>0</v>
      </c>
      <c r="N18" s="337"/>
    </row>
    <row r="19" spans="1:20" ht="16.8" x14ac:dyDescent="0.4">
      <c r="A19" s="334"/>
      <c r="B19" s="321" t="s">
        <v>100</v>
      </c>
      <c r="C19" s="325"/>
      <c r="D19" s="299">
        <f>SUM([1]Price01_01!O15:O15)</f>
        <v>0</v>
      </c>
      <c r="F19" s="334"/>
      <c r="G19" s="321" t="s">
        <v>100</v>
      </c>
      <c r="I19" s="329"/>
      <c r="J19" s="329"/>
      <c r="K19" s="299">
        <f>SUM([1]Price01_01!O30:O30)</f>
        <v>0</v>
      </c>
      <c r="N19" s="329" t="s">
        <v>110</v>
      </c>
      <c r="O19" s="298"/>
      <c r="P19" s="304"/>
      <c r="Q19" s="304"/>
      <c r="R19" s="304"/>
      <c r="S19" s="298"/>
      <c r="T19" s="298"/>
    </row>
    <row r="20" spans="1:20" ht="16.8" x14ac:dyDescent="0.4">
      <c r="A20" s="334"/>
      <c r="C20" s="325"/>
      <c r="D20" s="305">
        <f>SUM(D18:D19)</f>
        <v>0</v>
      </c>
      <c r="F20" s="334"/>
      <c r="G20" s="335"/>
      <c r="H20" s="329"/>
      <c r="I20" s="329"/>
      <c r="J20" s="329"/>
      <c r="K20" s="302">
        <f>SUM(K18:K19)</f>
        <v>0</v>
      </c>
      <c r="N20" s="340" t="s">
        <v>111</v>
      </c>
      <c r="O20" s="304"/>
      <c r="P20" s="304"/>
      <c r="Q20" s="304">
        <v>0</v>
      </c>
      <c r="R20" s="298"/>
      <c r="S20" s="298"/>
      <c r="T20" s="300">
        <f>P12-R12</f>
        <v>0</v>
      </c>
    </row>
    <row r="21" spans="1:20" ht="15.6" x14ac:dyDescent="0.3">
      <c r="A21" s="334"/>
      <c r="B21" s="335" t="s">
        <v>112</v>
      </c>
      <c r="C21" s="325"/>
      <c r="E21" s="295">
        <f>+[1]Rev2001!O16-[1]RevPlan!O16</f>
        <v>0</v>
      </c>
      <c r="F21" s="334"/>
      <c r="G21" s="335" t="s">
        <v>113</v>
      </c>
      <c r="I21" s="329"/>
      <c r="J21" s="329"/>
      <c r="L21" s="295">
        <f>+[1]Rev2001!O30-[1]RevPlan!O30</f>
        <v>0</v>
      </c>
      <c r="M21" s="296"/>
      <c r="N21" s="340" t="s">
        <v>114</v>
      </c>
      <c r="O21" s="337"/>
      <c r="P21" s="337"/>
      <c r="Q21" s="337"/>
      <c r="R21" s="337"/>
      <c r="S21" s="337"/>
      <c r="T21" s="306">
        <v>0</v>
      </c>
    </row>
    <row r="22" spans="1:20" ht="15.6" x14ac:dyDescent="0.3">
      <c r="A22" s="334"/>
      <c r="B22" s="321" t="s">
        <v>97</v>
      </c>
      <c r="C22" s="325"/>
      <c r="D22" s="272">
        <f>SUM([1]Vol01_01!O16:O16)</f>
        <v>0</v>
      </c>
      <c r="F22" s="334"/>
      <c r="G22" s="321" t="s">
        <v>97</v>
      </c>
      <c r="I22" s="329"/>
      <c r="J22" s="329"/>
      <c r="K22" s="272">
        <f>SUM([1]Vol01_01!O31:O31)</f>
        <v>0</v>
      </c>
      <c r="N22" s="340" t="s">
        <v>115</v>
      </c>
      <c r="O22" s="337"/>
      <c r="P22" s="337"/>
      <c r="Q22" s="337"/>
      <c r="R22" s="337"/>
      <c r="S22" s="337"/>
      <c r="T22" s="307">
        <v>2.7</v>
      </c>
    </row>
    <row r="23" spans="1:20" ht="16.8" x14ac:dyDescent="0.4">
      <c r="A23" s="335"/>
      <c r="B23" s="321" t="s">
        <v>100</v>
      </c>
      <c r="C23" s="325"/>
      <c r="D23" s="299">
        <f>SUM([1]Price01_01!O16:O16)</f>
        <v>0</v>
      </c>
      <c r="F23" s="335"/>
      <c r="G23" s="321" t="s">
        <v>100</v>
      </c>
      <c r="I23" s="329"/>
      <c r="J23" s="329"/>
      <c r="K23" s="299">
        <f>SUM([1]Price01_01!O31:O31)</f>
        <v>0</v>
      </c>
      <c r="N23" s="329" t="s">
        <v>116</v>
      </c>
      <c r="O23" s="298"/>
      <c r="P23" s="304">
        <f>SUM(P13:P19)</f>
        <v>28617</v>
      </c>
      <c r="Q23" s="304"/>
      <c r="R23" s="304" t="e">
        <f>R13+R17+#REF!+#REF!</f>
        <v>#REF!</v>
      </c>
      <c r="S23" s="298"/>
      <c r="T23" s="303">
        <f>SUM(T17:T22)</f>
        <v>46.856519999999833</v>
      </c>
    </row>
    <row r="24" spans="1:20" ht="16.8" x14ac:dyDescent="0.4">
      <c r="A24" s="334"/>
      <c r="C24" s="325"/>
      <c r="D24" s="301">
        <f>SUM(D22:D23)</f>
        <v>0</v>
      </c>
      <c r="F24" s="334"/>
      <c r="G24" s="335"/>
      <c r="H24" s="329"/>
      <c r="I24" s="329"/>
      <c r="J24" s="329"/>
      <c r="K24" s="302">
        <f>SUM(K22:K23)</f>
        <v>0</v>
      </c>
    </row>
    <row r="25" spans="1:20" ht="16.5" customHeight="1" x14ac:dyDescent="0.3">
      <c r="B25" s="335" t="s">
        <v>117</v>
      </c>
      <c r="C25" s="325"/>
      <c r="E25" s="295">
        <f>+[1]Rev2001!O17-[1]RevPlan!O17</f>
        <v>0</v>
      </c>
      <c r="F25" s="334"/>
      <c r="G25" s="329" t="s">
        <v>118</v>
      </c>
      <c r="L25" s="295">
        <f>+[1]Rev2001!O33-[1]RevPlan!O33</f>
        <v>-59.474927999999998</v>
      </c>
      <c r="M25" s="296" t="s">
        <v>137</v>
      </c>
    </row>
    <row r="26" spans="1:20" ht="15.6" x14ac:dyDescent="0.3">
      <c r="B26" s="321" t="s">
        <v>97</v>
      </c>
      <c r="C26" s="336"/>
      <c r="D26" s="272">
        <f>SUM([1]Vol01_01!O17:O17)</f>
        <v>0</v>
      </c>
      <c r="F26" s="334"/>
      <c r="G26" s="321" t="s">
        <v>97</v>
      </c>
      <c r="K26" s="272">
        <f>SUM([1]Vol01_01!O34:O34)</f>
        <v>-59.474927999999991</v>
      </c>
    </row>
    <row r="27" spans="1:20" ht="16.8" x14ac:dyDescent="0.4">
      <c r="B27" s="321" t="s">
        <v>100</v>
      </c>
      <c r="C27" s="336"/>
      <c r="D27" s="299">
        <f>SUM([1]Price01_01!O17:O17)</f>
        <v>0</v>
      </c>
      <c r="F27" s="334"/>
      <c r="G27" s="321" t="s">
        <v>100</v>
      </c>
      <c r="K27" s="299">
        <f>SUM([1]Price01_01!O34:O34)</f>
        <v>0</v>
      </c>
    </row>
    <row r="28" spans="1:20" ht="16.8" x14ac:dyDescent="0.4">
      <c r="C28" s="325"/>
      <c r="D28" s="301">
        <f>SUM(D26:D27)</f>
        <v>0</v>
      </c>
      <c r="F28" s="334"/>
      <c r="G28" s="334"/>
      <c r="K28" s="302">
        <f>SUM(K26:K27)</f>
        <v>-59.474927999999991</v>
      </c>
    </row>
    <row r="29" spans="1:20" ht="21" customHeight="1" x14ac:dyDescent="0.3">
      <c r="B29" s="335" t="s">
        <v>119</v>
      </c>
      <c r="C29" s="325"/>
      <c r="E29" s="295">
        <f>+[1]Rev2001!O18-[1]RevPlan!O18</f>
        <v>0</v>
      </c>
      <c r="F29" s="334"/>
      <c r="G29" s="335" t="s">
        <v>120</v>
      </c>
      <c r="L29" s="295">
        <f>+[1]Rev2001!O35-[1]RevPlan!O35</f>
        <v>18.480000000000004</v>
      </c>
      <c r="M29" s="296"/>
    </row>
    <row r="30" spans="1:20" ht="15.6" x14ac:dyDescent="0.3">
      <c r="B30" s="321" t="s">
        <v>97</v>
      </c>
      <c r="C30" s="336"/>
      <c r="D30" s="272">
        <f>SUM([1]Vol01_01!O18:O18)</f>
        <v>0</v>
      </c>
      <c r="F30" s="334"/>
      <c r="G30" s="321" t="s">
        <v>97</v>
      </c>
      <c r="J30" s="292"/>
      <c r="K30" s="272">
        <f>SUM([1]Vol01_01!O36:O36)</f>
        <v>12.479999999999999</v>
      </c>
    </row>
    <row r="31" spans="1:20" ht="16.8" x14ac:dyDescent="0.4">
      <c r="B31" s="321" t="s">
        <v>100</v>
      </c>
      <c r="C31" s="325"/>
      <c r="D31" s="299">
        <f>SUM([1]Price01_01!O18:O18)</f>
        <v>0</v>
      </c>
      <c r="F31" s="334"/>
      <c r="G31" s="321" t="s">
        <v>100</v>
      </c>
      <c r="K31" s="299">
        <f>SUM([1]Price01_01!O36:O36)</f>
        <v>6.0000000000000036</v>
      </c>
    </row>
    <row r="32" spans="1:20" ht="16.8" x14ac:dyDescent="0.4">
      <c r="C32" s="325"/>
      <c r="D32" s="301">
        <f>SUM(D30:D31)</f>
        <v>0</v>
      </c>
      <c r="F32" s="334"/>
      <c r="G32" s="334"/>
      <c r="K32" s="302">
        <f>SUM(K30:K31)</f>
        <v>18.480000000000004</v>
      </c>
    </row>
    <row r="33" spans="1:13" ht="15.6" x14ac:dyDescent="0.3">
      <c r="B33" s="335" t="s">
        <v>121</v>
      </c>
      <c r="C33" s="325"/>
      <c r="E33" s="295">
        <f>+[1]Rev2001!O21-[1]RevPlan!O21</f>
        <v>-6.1499999999995225E-2</v>
      </c>
      <c r="G33" s="353" t="s">
        <v>121</v>
      </c>
      <c r="H33" s="354"/>
      <c r="I33" s="354"/>
      <c r="J33" s="354"/>
      <c r="K33" s="354"/>
      <c r="L33" s="295">
        <f>+[1]Rev2001!O37-[1]RevPlan!O37+[1]Rev2001!O38-[1]RevPlan!O38</f>
        <v>-17.12124</v>
      </c>
      <c r="M33" s="296"/>
    </row>
    <row r="34" spans="1:13" ht="15.6" x14ac:dyDescent="0.3">
      <c r="A34" s="334"/>
      <c r="B34" s="321" t="s">
        <v>97</v>
      </c>
      <c r="C34" s="336"/>
      <c r="D34" s="272">
        <f>SUM([1]Vol01_01!O21:O21)</f>
        <v>-6.1499999999995225E-2</v>
      </c>
      <c r="G34" s="354" t="s">
        <v>97</v>
      </c>
      <c r="H34" s="354"/>
      <c r="I34" s="354"/>
      <c r="J34" s="355"/>
      <c r="K34" s="356">
        <f>SUM([1]Vol01_01!O37:O38)</f>
        <v>-17.121240000000004</v>
      </c>
      <c r="L34" s="354"/>
    </row>
    <row r="35" spans="1:13" ht="16.8" x14ac:dyDescent="0.4">
      <c r="A35" s="334"/>
      <c r="B35" s="321" t="s">
        <v>100</v>
      </c>
      <c r="C35" s="336"/>
      <c r="D35" s="299">
        <f>SUM([1]Price01_01!O21:O21)</f>
        <v>0</v>
      </c>
      <c r="G35" s="354" t="s">
        <v>100</v>
      </c>
      <c r="H35" s="354"/>
      <c r="I35" s="354"/>
      <c r="J35" s="354"/>
      <c r="K35" s="357">
        <f>SUM([1]Price01_01!O37:O38)</f>
        <v>0</v>
      </c>
      <c r="L35" s="354"/>
    </row>
    <row r="36" spans="1:13" ht="16.8" x14ac:dyDescent="0.4">
      <c r="A36" s="334"/>
      <c r="C36" s="325"/>
      <c r="D36" s="301">
        <f>SUM(D34:D35)</f>
        <v>-6.1499999999995225E-2</v>
      </c>
      <c r="G36" s="355"/>
      <c r="H36" s="354"/>
      <c r="I36" s="354"/>
      <c r="J36" s="354"/>
      <c r="K36" s="358">
        <f>SUM(K34:K35)</f>
        <v>-17.121240000000004</v>
      </c>
      <c r="L36" s="354"/>
    </row>
    <row r="37" spans="1:13" ht="15.6" x14ac:dyDescent="0.3">
      <c r="A37" s="334"/>
      <c r="B37" s="335" t="s">
        <v>122</v>
      </c>
      <c r="C37" s="325"/>
      <c r="E37" s="295">
        <f>+[1]Rev2001!O22-[1]RevPlan!O22</f>
        <v>0</v>
      </c>
      <c r="G37" s="335" t="s">
        <v>123</v>
      </c>
      <c r="L37" s="295">
        <f>+[1]Rev2001!O34-[1]RevPlan!O34</f>
        <v>0</v>
      </c>
      <c r="M37" s="296"/>
    </row>
    <row r="38" spans="1:13" ht="15.6" x14ac:dyDescent="0.3">
      <c r="A38" s="334"/>
      <c r="B38" s="321" t="s">
        <v>97</v>
      </c>
      <c r="C38" s="325"/>
      <c r="D38" s="272">
        <f>SUM([1]Vol01_01!O22:O22)</f>
        <v>0</v>
      </c>
      <c r="G38" s="321" t="s">
        <v>97</v>
      </c>
      <c r="K38" s="272">
        <f>SUM([1]Vol01_01!O35:O35)</f>
        <v>0</v>
      </c>
      <c r="M38" s="296"/>
    </row>
    <row r="39" spans="1:13" ht="16.8" x14ac:dyDescent="0.4">
      <c r="A39" s="334"/>
      <c r="B39" s="321" t="s">
        <v>100</v>
      </c>
      <c r="C39" s="325"/>
      <c r="D39" s="299">
        <f>SUM([1]Price01_01!O22:O22)</f>
        <v>0</v>
      </c>
      <c r="G39" s="321" t="s">
        <v>100</v>
      </c>
      <c r="K39" s="299">
        <f>SUM([1]Price01_01!O35:O35)</f>
        <v>0</v>
      </c>
      <c r="M39" s="296"/>
    </row>
    <row r="40" spans="1:13" ht="16.8" x14ac:dyDescent="0.4">
      <c r="A40" s="334"/>
      <c r="C40" s="325"/>
      <c r="D40" s="301">
        <f>SUM(D38:D39)</f>
        <v>0</v>
      </c>
      <c r="G40" s="329"/>
      <c r="K40" s="302">
        <f>SUM(K38:K39)</f>
        <v>0</v>
      </c>
      <c r="M40" s="296"/>
    </row>
    <row r="41" spans="1:13" x14ac:dyDescent="0.25">
      <c r="A41" s="334"/>
      <c r="M41" s="296"/>
    </row>
    <row r="42" spans="1:13" x14ac:dyDescent="0.25">
      <c r="A42" s="334"/>
      <c r="M42" s="296"/>
    </row>
    <row r="43" spans="1:13" ht="15.6" x14ac:dyDescent="0.3">
      <c r="C43" s="325"/>
      <c r="E43" s="273"/>
    </row>
    <row r="44" spans="1:13" ht="18.75" customHeight="1" x14ac:dyDescent="0.3">
      <c r="A44" s="334"/>
      <c r="B44" s="334"/>
      <c r="C44" s="325"/>
      <c r="M44" s="308"/>
    </row>
    <row r="45" spans="1:13" ht="18.75" customHeight="1" thickBot="1" x14ac:dyDescent="0.35">
      <c r="C45" s="325"/>
      <c r="D45" s="341" t="s">
        <v>124</v>
      </c>
      <c r="E45" s="309">
        <f>SUM(E9:E40)</f>
        <v>0.1604999999988479</v>
      </c>
      <c r="H45" s="341" t="s">
        <v>125</v>
      </c>
      <c r="L45" s="309">
        <f>SUM(L9:L40)</f>
        <v>43.996019999999866</v>
      </c>
      <c r="M45" s="308"/>
    </row>
    <row r="46" spans="1:13" ht="18" customHeight="1" thickTop="1" x14ac:dyDescent="0.3">
      <c r="C46" s="325"/>
    </row>
    <row r="47" spans="1:13" ht="18" customHeight="1" x14ac:dyDescent="0.3">
      <c r="A47" s="329" t="s">
        <v>126</v>
      </c>
      <c r="B47" s="329"/>
      <c r="C47" s="325"/>
      <c r="D47" s="310">
        <f>D10+D14+D18+D22+D26+D30+D34+D38</f>
        <v>0.16049999999980216</v>
      </c>
      <c r="E47" s="296"/>
      <c r="H47" s="329" t="s">
        <v>127</v>
      </c>
      <c r="I47" s="329"/>
      <c r="J47" s="325"/>
      <c r="K47" s="310">
        <f>K10+K14+K18+K22+K26+K30+K34+K38</f>
        <v>37.99602000000003</v>
      </c>
      <c r="M47" s="296"/>
    </row>
    <row r="48" spans="1:13" ht="19.2" x14ac:dyDescent="0.6">
      <c r="A48" s="329" t="s">
        <v>128</v>
      </c>
      <c r="B48" s="329"/>
      <c r="C48" s="325"/>
      <c r="D48" s="311">
        <f>D11+D15+D19+D23+D27+D31+D35+D39</f>
        <v>0</v>
      </c>
      <c r="E48" s="312"/>
      <c r="H48" s="329" t="s">
        <v>129</v>
      </c>
      <c r="I48" s="329"/>
      <c r="J48" s="325"/>
      <c r="K48" s="311">
        <f>K11+K15+K19+K23+K27+K31+K35+K39</f>
        <v>6.0000000000000036</v>
      </c>
    </row>
    <row r="49" spans="1:12" ht="19.2" x14ac:dyDescent="0.6">
      <c r="C49" s="325"/>
      <c r="D49" s="311">
        <f>SUM(D47:D48)</f>
        <v>0.16049999999980216</v>
      </c>
      <c r="E49" s="313"/>
      <c r="J49" s="325"/>
      <c r="K49" s="311">
        <f>SUM(K47:K48)</f>
        <v>43.99602000000003</v>
      </c>
      <c r="L49" s="314"/>
    </row>
    <row r="50" spans="1:12" ht="21" customHeight="1" x14ac:dyDescent="0.3">
      <c r="A50" s="336"/>
      <c r="F50" s="329"/>
      <c r="K50" s="296"/>
      <c r="L50" s="331"/>
    </row>
    <row r="51" spans="1:12" ht="20.25" customHeight="1" x14ac:dyDescent="0.3">
      <c r="A51" s="336"/>
      <c r="G51" s="329"/>
      <c r="H51" s="342" t="s">
        <v>130</v>
      </c>
      <c r="I51" s="315"/>
      <c r="J51" s="343"/>
      <c r="K51" s="315"/>
      <c r="L51" s="316">
        <f>E45+L45</f>
        <v>44.156519999998714</v>
      </c>
    </row>
    <row r="52" spans="1:12" ht="21" customHeight="1" x14ac:dyDescent="0.6">
      <c r="A52" s="336"/>
      <c r="G52" s="329"/>
      <c r="H52" s="329"/>
      <c r="I52" s="311"/>
      <c r="J52" s="329"/>
      <c r="K52" s="311"/>
      <c r="L52" s="311"/>
    </row>
    <row r="53" spans="1:12" ht="18" customHeight="1" x14ac:dyDescent="0.6">
      <c r="A53" s="336"/>
      <c r="B53" s="344" t="s">
        <v>141</v>
      </c>
      <c r="C53" s="329"/>
      <c r="D53" s="348" t="s">
        <v>131</v>
      </c>
      <c r="E53" s="348" t="s">
        <v>172</v>
      </c>
      <c r="K53" s="311"/>
      <c r="L53" s="311"/>
    </row>
    <row r="54" spans="1:12" ht="16.5" customHeight="1" x14ac:dyDescent="0.3">
      <c r="A54" s="336"/>
      <c r="G54" s="321" t="s">
        <v>136</v>
      </c>
      <c r="H54" s="321" t="s">
        <v>177</v>
      </c>
    </row>
    <row r="55" spans="1:12" ht="21" customHeight="1" x14ac:dyDescent="0.3">
      <c r="A55" s="336"/>
      <c r="B55" s="321" t="s">
        <v>95</v>
      </c>
      <c r="D55" s="345">
        <v>611.5</v>
      </c>
      <c r="E55" s="345">
        <v>495</v>
      </c>
    </row>
    <row r="56" spans="1:12" x14ac:dyDescent="0.25">
      <c r="B56" s="321" t="s">
        <v>135</v>
      </c>
      <c r="D56" s="345">
        <v>404.3</v>
      </c>
      <c r="E56" s="345">
        <v>437.3</v>
      </c>
      <c r="G56" s="321" t="s">
        <v>137</v>
      </c>
      <c r="H56" s="321" t="s">
        <v>178</v>
      </c>
    </row>
    <row r="57" spans="1:12" x14ac:dyDescent="0.25">
      <c r="B57" s="321" t="s">
        <v>140</v>
      </c>
      <c r="D57" s="345">
        <v>23.9</v>
      </c>
      <c r="E57" s="345">
        <v>20</v>
      </c>
    </row>
    <row r="58" spans="1:12" x14ac:dyDescent="0.25">
      <c r="B58" s="321" t="s">
        <v>132</v>
      </c>
      <c r="D58" s="345">
        <v>46.1</v>
      </c>
      <c r="E58" s="345">
        <v>46.1</v>
      </c>
    </row>
    <row r="59" spans="1:12" x14ac:dyDescent="0.25">
      <c r="B59" s="321" t="s">
        <v>133</v>
      </c>
      <c r="D59" s="345">
        <v>204</v>
      </c>
      <c r="E59" s="345">
        <v>204</v>
      </c>
      <c r="H59" s="292"/>
    </row>
    <row r="60" spans="1:12" x14ac:dyDescent="0.25">
      <c r="B60" s="321" t="s">
        <v>118</v>
      </c>
      <c r="D60" s="345">
        <v>0</v>
      </c>
      <c r="E60" s="345">
        <v>2.6</v>
      </c>
      <c r="G60" s="346"/>
      <c r="H60" s="351"/>
    </row>
    <row r="61" spans="1:12" x14ac:dyDescent="0.25">
      <c r="B61" s="321" t="s">
        <v>120</v>
      </c>
      <c r="D61" s="347">
        <v>10.199999999999999</v>
      </c>
      <c r="E61" s="347">
        <v>5</v>
      </c>
      <c r="G61" s="346"/>
      <c r="H61" s="349"/>
    </row>
    <row r="62" spans="1:12" x14ac:dyDescent="0.25">
      <c r="B62" s="326" t="s">
        <v>134</v>
      </c>
      <c r="D62" s="345">
        <f>SUM(D55:D61)</f>
        <v>1300</v>
      </c>
      <c r="E62" s="345">
        <f>SUM(E55:E61)</f>
        <v>1210</v>
      </c>
      <c r="G62" s="346"/>
      <c r="H62" s="346"/>
    </row>
    <row r="63" spans="1:12" x14ac:dyDescent="0.25">
      <c r="B63" s="321" t="s">
        <v>121</v>
      </c>
      <c r="D63" s="347">
        <v>245.9</v>
      </c>
      <c r="E63" s="347">
        <v>274.7</v>
      </c>
    </row>
    <row r="64" spans="1:12" x14ac:dyDescent="0.25">
      <c r="B64" s="326" t="s">
        <v>138</v>
      </c>
      <c r="D64" s="345">
        <f>SUM(D62:D63)</f>
        <v>1545.9</v>
      </c>
      <c r="E64" s="345">
        <f>SUM(E62:E63)</f>
        <v>1484.7</v>
      </c>
    </row>
    <row r="65" spans="2:5" x14ac:dyDescent="0.25">
      <c r="D65" s="345"/>
      <c r="E65" s="345"/>
    </row>
    <row r="66" spans="2:5" x14ac:dyDescent="0.25">
      <c r="B66" s="321" t="s">
        <v>139</v>
      </c>
      <c r="D66" s="345">
        <v>15</v>
      </c>
      <c r="E66" s="345">
        <v>15</v>
      </c>
    </row>
  </sheetData>
  <phoneticPr fontId="9" type="noConversion"/>
  <printOptions horizontalCentered="1" verticalCentered="1"/>
  <pageMargins left="0.65" right="0.65" top="1" bottom="0.3" header="0.5" footer="0.5"/>
  <pageSetup scale="60" orientation="portrait" horizontalDpi="300" verticalDpi="300" r:id="rId1"/>
  <headerFooter alignWithMargins="0">
    <oddFooter xml:space="preserve">&amp;C&amp;"Arial,Regular"&amp;7&amp;F&amp;R&amp;"Arial,Regular"&amp;7&amp;D
&amp;T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Q66"/>
  <sheetViews>
    <sheetView view="pageBreakPreview" topLeftCell="G33" zoomScale="60" zoomScaleNormal="70" workbookViewId="0">
      <selection activeCell="O43" sqref="O43"/>
    </sheetView>
  </sheetViews>
  <sheetFormatPr defaultColWidth="6.81640625" defaultRowHeight="15" x14ac:dyDescent="0.25"/>
  <cols>
    <col min="1" max="1" width="3.6328125" style="321" customWidth="1"/>
    <col min="2" max="2" width="21.90625" style="321" customWidth="1"/>
    <col min="3" max="3" width="3.81640625" style="321" customWidth="1"/>
    <col min="4" max="4" width="19.08984375" style="321" customWidth="1"/>
    <col min="5" max="5" width="13.1796875" style="321" customWidth="1"/>
    <col min="6" max="6" width="4.453125" style="321" customWidth="1"/>
    <col min="7" max="7" width="2.36328125" style="321" customWidth="1"/>
    <col min="8" max="8" width="19.54296875" style="321" customWidth="1"/>
    <col min="9" max="9" width="2.1796875" style="321" customWidth="1"/>
    <col min="10" max="10" width="3.1796875" style="321" customWidth="1"/>
    <col min="11" max="11" width="17.36328125" style="321" customWidth="1"/>
    <col min="12" max="12" width="13.1796875" style="321" customWidth="1"/>
    <col min="13" max="13" width="4.08984375" style="321" customWidth="1"/>
    <col min="14" max="14" width="34" style="321" customWidth="1"/>
    <col min="15" max="15" width="14.81640625" style="321" customWidth="1"/>
    <col min="16" max="16" width="16" style="321" customWidth="1"/>
    <col min="17" max="17" width="1.453125" style="321" customWidth="1"/>
    <col min="18" max="18" width="16" style="321" customWidth="1"/>
    <col min="19" max="19" width="1.453125" style="321" customWidth="1"/>
    <col min="20" max="20" width="11.54296875" style="321" customWidth="1"/>
    <col min="21" max="21" width="10.36328125" style="321" customWidth="1"/>
    <col min="22" max="16384" width="6.81640625" style="321"/>
  </cols>
  <sheetData>
    <row r="1" spans="1:43" ht="21" x14ac:dyDescent="0.4">
      <c r="A1" s="317" t="s">
        <v>88</v>
      </c>
      <c r="B1" s="317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9" t="s">
        <v>88</v>
      </c>
      <c r="O1" s="320"/>
      <c r="P1" s="320"/>
      <c r="Q1" s="320"/>
      <c r="R1" s="320"/>
      <c r="S1" s="320"/>
      <c r="T1" s="320"/>
    </row>
    <row r="2" spans="1:43" ht="20.399999999999999" x14ac:dyDescent="0.35">
      <c r="A2" s="317" t="s">
        <v>142</v>
      </c>
      <c r="B2" s="317"/>
      <c r="C2" s="318"/>
      <c r="D2" s="318"/>
      <c r="E2" s="318"/>
      <c r="F2" s="318"/>
      <c r="G2" s="318"/>
      <c r="H2" s="318"/>
      <c r="I2" s="322"/>
      <c r="J2" s="322"/>
      <c r="K2" s="322"/>
      <c r="L2" s="322"/>
      <c r="M2" s="322"/>
      <c r="N2" s="352" t="s">
        <v>145</v>
      </c>
      <c r="O2" s="320"/>
      <c r="P2" s="320"/>
      <c r="Q2" s="320"/>
      <c r="R2" s="320"/>
      <c r="S2" s="323"/>
      <c r="T2" s="323"/>
    </row>
    <row r="3" spans="1:43" ht="20.399999999999999" x14ac:dyDescent="0.35">
      <c r="A3" s="317" t="s">
        <v>146</v>
      </c>
      <c r="B3" s="317"/>
      <c r="C3" s="318"/>
      <c r="D3" s="318"/>
      <c r="E3" s="318"/>
      <c r="F3" s="318"/>
      <c r="G3" s="318"/>
      <c r="H3" s="318"/>
      <c r="I3" s="322"/>
      <c r="J3" s="322"/>
      <c r="K3" s="322"/>
      <c r="L3" s="322"/>
      <c r="M3" s="322"/>
      <c r="N3" s="317" t="s">
        <v>147</v>
      </c>
      <c r="O3" s="320"/>
      <c r="P3" s="320"/>
      <c r="Q3" s="320"/>
      <c r="R3" s="320"/>
      <c r="S3" s="323"/>
      <c r="T3" s="323"/>
    </row>
    <row r="4" spans="1:43" ht="18.75" customHeight="1" x14ac:dyDescent="0.35">
      <c r="A4" s="324" t="s">
        <v>89</v>
      </c>
      <c r="B4" s="318"/>
      <c r="C4" s="318"/>
      <c r="D4" s="318"/>
      <c r="E4" s="318"/>
      <c r="F4" s="318"/>
      <c r="G4" s="318"/>
      <c r="H4" s="318"/>
      <c r="I4" s="322"/>
      <c r="J4" s="322"/>
      <c r="K4" s="322"/>
      <c r="L4" s="322"/>
      <c r="M4" s="322"/>
      <c r="N4" s="324" t="s">
        <v>89</v>
      </c>
      <c r="O4" s="320"/>
      <c r="P4" s="320"/>
      <c r="Q4" s="320"/>
      <c r="R4" s="320"/>
      <c r="S4" s="323"/>
      <c r="T4" s="323"/>
    </row>
    <row r="5" spans="1:43" ht="13.5" customHeight="1" x14ac:dyDescent="0.3">
      <c r="D5" s="325"/>
      <c r="E5" s="326"/>
      <c r="F5" s="326"/>
      <c r="H5" s="326"/>
      <c r="J5" s="326"/>
      <c r="L5" s="326"/>
      <c r="M5" s="326"/>
      <c r="N5" s="327"/>
      <c r="R5" s="292"/>
    </row>
    <row r="6" spans="1:43" ht="15.6" x14ac:dyDescent="0.3">
      <c r="A6" s="321" t="str">
        <f ca="1">CELL("filename")</f>
        <v>P:\Finance\FGT Finance\LPALMA\EXCEL\WEEKLY\[November3.xls]A</v>
      </c>
      <c r="C6" s="328"/>
      <c r="N6" s="329"/>
      <c r="O6" s="329"/>
      <c r="P6" s="329"/>
      <c r="Q6" s="330"/>
      <c r="R6" s="293"/>
      <c r="S6" s="329"/>
      <c r="T6" s="329"/>
    </row>
    <row r="7" spans="1:43" ht="15.6" x14ac:dyDescent="0.3">
      <c r="C7" s="325"/>
      <c r="N7" s="329"/>
      <c r="O7" s="329"/>
      <c r="P7" s="331" t="s">
        <v>131</v>
      </c>
      <c r="Q7" s="330"/>
      <c r="R7" s="331" t="s">
        <v>143</v>
      </c>
      <c r="S7" s="329"/>
      <c r="T7" s="331" t="s">
        <v>90</v>
      </c>
    </row>
    <row r="8" spans="1:43" ht="15.6" x14ac:dyDescent="0.3">
      <c r="B8" s="332" t="s">
        <v>91</v>
      </c>
      <c r="C8" s="325"/>
      <c r="D8" s="333" t="s">
        <v>144</v>
      </c>
      <c r="E8" s="331" t="s">
        <v>92</v>
      </c>
      <c r="G8" s="334"/>
      <c r="H8" s="332" t="s">
        <v>93</v>
      </c>
      <c r="K8" s="333" t="s">
        <v>144</v>
      </c>
      <c r="L8" s="331" t="s">
        <v>92</v>
      </c>
      <c r="O8" s="329" t="s">
        <v>94</v>
      </c>
      <c r="P8" s="294">
        <v>12173</v>
      </c>
      <c r="Q8" s="329"/>
      <c r="R8" s="294">
        <v>11523</v>
      </c>
      <c r="S8" s="329"/>
      <c r="T8" s="329"/>
    </row>
    <row r="9" spans="1:43" ht="15.6" x14ac:dyDescent="0.3">
      <c r="A9" s="334"/>
      <c r="B9" s="335" t="s">
        <v>95</v>
      </c>
      <c r="C9" s="325"/>
      <c r="E9" s="295">
        <f>+[1]Rev2001!M13-[1]RevPlan!M13</f>
        <v>-0.21015900000020338</v>
      </c>
      <c r="F9" s="334" t="s">
        <v>137</v>
      </c>
      <c r="G9" s="335" t="s">
        <v>95</v>
      </c>
      <c r="H9" s="329"/>
      <c r="K9" s="329"/>
      <c r="L9" s="295">
        <f>+[1]Rev2001!M26-[1]RevPlan!M26</f>
        <v>-27.846582000000012</v>
      </c>
      <c r="M9" s="296" t="s">
        <v>136</v>
      </c>
      <c r="O9" s="329" t="s">
        <v>96</v>
      </c>
      <c r="P9" s="297">
        <v>16981</v>
      </c>
      <c r="Q9" s="330"/>
      <c r="R9" s="297">
        <f>16717+42</f>
        <v>16759</v>
      </c>
      <c r="S9" s="329"/>
      <c r="T9" s="329"/>
    </row>
    <row r="10" spans="1:43" ht="15.6" x14ac:dyDescent="0.3">
      <c r="B10" s="321" t="s">
        <v>97</v>
      </c>
      <c r="C10" s="336"/>
      <c r="D10" s="272">
        <f>SUM([1]Vol01_01!M13:M13)</f>
        <v>-0.21015900000006038</v>
      </c>
      <c r="G10" s="321" t="s">
        <v>97</v>
      </c>
      <c r="K10" s="272">
        <f>SUM([1]Vol01_01!M26:M26)</f>
        <v>-27.846581999999938</v>
      </c>
      <c r="N10" s="329" t="s">
        <v>98</v>
      </c>
      <c r="O10" s="298" t="s">
        <v>99</v>
      </c>
      <c r="P10" s="294">
        <f>SUM(P8:P9)</f>
        <v>29154</v>
      </c>
      <c r="Q10" s="294"/>
      <c r="R10" s="294">
        <f>SUM(R8:R9)</f>
        <v>28282</v>
      </c>
    </row>
    <row r="11" spans="1:43" ht="16.8" x14ac:dyDescent="0.4">
      <c r="B11" s="321" t="s">
        <v>100</v>
      </c>
      <c r="C11" s="325"/>
      <c r="D11" s="299">
        <f>SUM([1]Price01_01!M13:M13)</f>
        <v>0</v>
      </c>
      <c r="G11" s="321" t="s">
        <v>100</v>
      </c>
      <c r="K11" s="299">
        <f>SUM([1]Price01_01!M26:M26)</f>
        <v>0</v>
      </c>
      <c r="N11" s="337"/>
      <c r="O11" s="329" t="s">
        <v>101</v>
      </c>
      <c r="P11" s="300">
        <v>-419</v>
      </c>
      <c r="R11" s="300">
        <v>-384</v>
      </c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  <c r="AO11" s="273"/>
      <c r="AP11" s="273"/>
      <c r="AQ11" s="273"/>
    </row>
    <row r="12" spans="1:43" ht="16.8" x14ac:dyDescent="0.4">
      <c r="C12" s="325"/>
      <c r="D12" s="301">
        <f>SUM(D10:D11)</f>
        <v>-0.21015900000006038</v>
      </c>
      <c r="K12" s="302">
        <f>SUM(K10:K11)</f>
        <v>-27.846581999999938</v>
      </c>
      <c r="N12" s="337"/>
      <c r="O12" s="338" t="s">
        <v>102</v>
      </c>
      <c r="P12" s="297">
        <v>-545</v>
      </c>
      <c r="R12" s="297">
        <v>-545</v>
      </c>
      <c r="S12" s="337"/>
      <c r="T12" s="337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3"/>
      <c r="AO12" s="273"/>
      <c r="AP12" s="273"/>
      <c r="AQ12" s="273"/>
    </row>
    <row r="13" spans="1:43" ht="15.6" x14ac:dyDescent="0.3">
      <c r="A13" s="334"/>
      <c r="B13" s="335" t="s">
        <v>103</v>
      </c>
      <c r="C13" s="325"/>
      <c r="E13" s="295">
        <f>+[1]Rev2001!M14-[1]RevPlan!M14</f>
        <v>0</v>
      </c>
      <c r="F13" s="334"/>
      <c r="G13" s="335" t="s">
        <v>148</v>
      </c>
      <c r="L13" s="295">
        <f>(+[1]Rev2001!M27)-[1]RevPlan!M27</f>
        <v>-2.7148560000000259</v>
      </c>
      <c r="M13" s="296" t="s">
        <v>136</v>
      </c>
      <c r="N13" s="329" t="s">
        <v>104</v>
      </c>
      <c r="O13" s="329"/>
      <c r="P13" s="303">
        <f>SUM(P10:P12)</f>
        <v>28190</v>
      </c>
      <c r="Q13" s="329"/>
      <c r="R13" s="303">
        <f>SUM(R10:R12)</f>
        <v>27353</v>
      </c>
      <c r="S13" s="329"/>
      <c r="T13" s="303">
        <f>P13-R13</f>
        <v>837</v>
      </c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3"/>
      <c r="AH13" s="273"/>
      <c r="AI13" s="273"/>
      <c r="AJ13" s="273"/>
      <c r="AK13" s="273"/>
      <c r="AL13" s="273"/>
      <c r="AM13" s="273"/>
      <c r="AN13" s="273"/>
      <c r="AO13" s="273"/>
      <c r="AP13" s="273"/>
      <c r="AQ13" s="273"/>
    </row>
    <row r="14" spans="1:43" ht="15.6" x14ac:dyDescent="0.3">
      <c r="B14" s="321" t="s">
        <v>97</v>
      </c>
      <c r="C14" s="325"/>
      <c r="D14" s="272">
        <f>SUM([1]Vol01_01!M14:M14)</f>
        <v>0</v>
      </c>
      <c r="G14" s="321" t="s">
        <v>97</v>
      </c>
      <c r="K14" s="272">
        <f>SUM([1]Vol01_01!M27:M27)+SUM([1]Vol01_01!M28:M28)</f>
        <v>-2.7148560000000144</v>
      </c>
      <c r="O14" s="329"/>
      <c r="P14" s="298"/>
      <c r="Q14" s="298"/>
      <c r="R14" s="298"/>
      <c r="S14" s="298"/>
      <c r="T14" s="298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73"/>
      <c r="AO14" s="273"/>
      <c r="AP14" s="273"/>
      <c r="AQ14" s="273"/>
    </row>
    <row r="15" spans="1:43" ht="16.8" x14ac:dyDescent="0.4">
      <c r="B15" s="321" t="s">
        <v>100</v>
      </c>
      <c r="C15" s="336"/>
      <c r="D15" s="299">
        <f>SUM([1]Price01_01!M14:M14)</f>
        <v>0</v>
      </c>
      <c r="G15" s="321" t="s">
        <v>100</v>
      </c>
      <c r="K15" s="299">
        <f>SUM([1]Price01_01!M27:M27)+([1]Price01_01!M28:M28)</f>
        <v>0</v>
      </c>
      <c r="N15" s="329" t="s">
        <v>105</v>
      </c>
      <c r="O15" s="298"/>
      <c r="P15" s="304"/>
      <c r="Q15" s="304"/>
      <c r="R15" s="304">
        <f>T15*-1</f>
        <v>-398.21639099999993</v>
      </c>
      <c r="S15" s="298"/>
      <c r="T15" s="298">
        <f>D47+K51</f>
        <v>398.21639099999993</v>
      </c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3"/>
      <c r="AN15" s="273"/>
      <c r="AO15" s="273"/>
      <c r="AP15" s="273"/>
      <c r="AQ15" s="273"/>
    </row>
    <row r="16" spans="1:43" ht="16.8" x14ac:dyDescent="0.4">
      <c r="C16" s="325"/>
      <c r="D16" s="301">
        <f>SUM(D14:D15)</f>
        <v>0</v>
      </c>
      <c r="K16" s="302">
        <f>SUM(K14:K15)</f>
        <v>-2.7148560000000144</v>
      </c>
      <c r="N16" s="329" t="s">
        <v>106</v>
      </c>
      <c r="O16" s="298"/>
      <c r="P16" s="304"/>
      <c r="Q16" s="304"/>
      <c r="R16" s="304">
        <f>T16*-1</f>
        <v>-35.755049999999969</v>
      </c>
      <c r="S16" s="298"/>
      <c r="T16" s="297">
        <f>D48+K52</f>
        <v>35.755049999999969</v>
      </c>
    </row>
    <row r="17" spans="1:20" ht="16.8" x14ac:dyDescent="0.4">
      <c r="B17" s="335" t="s">
        <v>107</v>
      </c>
      <c r="C17" s="325"/>
      <c r="D17" s="339"/>
      <c r="E17" s="295">
        <f>+[1]Rev2001!M15-[1]RevPlan!M15</f>
        <v>0</v>
      </c>
      <c r="G17" s="335" t="s">
        <v>112</v>
      </c>
      <c r="K17" s="302"/>
      <c r="L17" s="295">
        <f>(+[1]Rev2001!M28)-[1]RevPlan!M28</f>
        <v>-9.6432000000000073E-2</v>
      </c>
      <c r="M17" s="296" t="s">
        <v>136</v>
      </c>
      <c r="N17" s="329" t="s">
        <v>109</v>
      </c>
      <c r="O17" s="298"/>
      <c r="P17" s="304"/>
      <c r="Q17" s="304"/>
      <c r="R17" s="304">
        <f>SUM(R15:R16)</f>
        <v>-433.97144099999991</v>
      </c>
      <c r="S17" s="298"/>
      <c r="T17" s="298">
        <f>SUM(T15:T16)</f>
        <v>433.97144099999991</v>
      </c>
    </row>
    <row r="18" spans="1:20" ht="15.6" x14ac:dyDescent="0.3">
      <c r="B18" s="321" t="s">
        <v>97</v>
      </c>
      <c r="C18" s="325"/>
      <c r="D18" s="272">
        <f>SUM([1]Vol01_01!M15:M15)</f>
        <v>0</v>
      </c>
      <c r="G18" s="321" t="s">
        <v>97</v>
      </c>
      <c r="K18" s="272">
        <f>SUM([1]Vol01_01!M29:M29)</f>
        <v>-9.6432000000005999E-2</v>
      </c>
      <c r="N18" s="337"/>
    </row>
    <row r="19" spans="1:20" ht="16.8" x14ac:dyDescent="0.4">
      <c r="A19" s="334"/>
      <c r="B19" s="321" t="s">
        <v>100</v>
      </c>
      <c r="C19" s="325"/>
      <c r="D19" s="299">
        <f>SUM([1]Price01_01!M15:M15)</f>
        <v>0</v>
      </c>
      <c r="F19" s="334"/>
      <c r="G19" s="321" t="s">
        <v>100</v>
      </c>
      <c r="K19" s="299">
        <f>SUM([1]Price01_01!M29:M29)</f>
        <v>0</v>
      </c>
      <c r="N19" s="329" t="s">
        <v>110</v>
      </c>
      <c r="O19" s="298"/>
      <c r="P19" s="304"/>
      <c r="Q19" s="304"/>
      <c r="R19" s="304"/>
      <c r="S19" s="298"/>
      <c r="T19" s="298"/>
    </row>
    <row r="20" spans="1:20" ht="16.8" x14ac:dyDescent="0.4">
      <c r="A20" s="334"/>
      <c r="C20" s="325"/>
      <c r="D20" s="305">
        <f>SUM(D18:D19)</f>
        <v>0</v>
      </c>
      <c r="F20" s="334"/>
      <c r="K20" s="302">
        <f>SUM(K18:K19)</f>
        <v>-9.6432000000005999E-2</v>
      </c>
      <c r="N20" s="340" t="s">
        <v>111</v>
      </c>
      <c r="O20" s="304"/>
      <c r="P20" s="304"/>
      <c r="Q20" s="304">
        <v>0</v>
      </c>
      <c r="R20" s="298"/>
      <c r="S20" s="298"/>
      <c r="T20" s="300">
        <f>P12-R12</f>
        <v>0</v>
      </c>
    </row>
    <row r="21" spans="1:20" ht="15.6" x14ac:dyDescent="0.3">
      <c r="A21" s="334"/>
      <c r="B21" s="335" t="s">
        <v>112</v>
      </c>
      <c r="C21" s="325"/>
      <c r="E21" s="295">
        <f>+[1]Rev2001!M16-[1]RevPlan!M16</f>
        <v>0</v>
      </c>
      <c r="F21" s="334" t="s">
        <v>155</v>
      </c>
      <c r="G21" s="335" t="s">
        <v>108</v>
      </c>
      <c r="I21" s="329"/>
      <c r="J21" s="329"/>
      <c r="L21" s="295">
        <f>+[1]Rev2001!M29-[1]RevPlan!M29</f>
        <v>0</v>
      </c>
      <c r="M21" s="296"/>
      <c r="N21" s="340" t="s">
        <v>114</v>
      </c>
      <c r="O21" s="337"/>
      <c r="P21" s="337"/>
      <c r="Q21" s="337"/>
      <c r="R21" s="337"/>
      <c r="S21" s="337"/>
      <c r="T21" s="306">
        <v>0</v>
      </c>
    </row>
    <row r="22" spans="1:20" ht="15.6" x14ac:dyDescent="0.3">
      <c r="A22" s="334"/>
      <c r="B22" s="321" t="s">
        <v>97</v>
      </c>
      <c r="C22" s="325"/>
      <c r="D22" s="272">
        <f>SUM([1]Vol01_01!M16:M16)</f>
        <v>0</v>
      </c>
      <c r="F22" s="334"/>
      <c r="G22" s="321" t="s">
        <v>97</v>
      </c>
      <c r="I22" s="329"/>
      <c r="J22" s="329"/>
      <c r="K22" s="272">
        <f>SUM([1]Vol01_01!M30:M30)</f>
        <v>0</v>
      </c>
      <c r="N22" s="340" t="s">
        <v>115</v>
      </c>
      <c r="O22" s="337"/>
      <c r="P22" s="337"/>
      <c r="Q22" s="337"/>
      <c r="R22" s="337"/>
      <c r="S22" s="337"/>
      <c r="T22" s="307">
        <v>0</v>
      </c>
    </row>
    <row r="23" spans="1:20" ht="16.8" x14ac:dyDescent="0.4">
      <c r="A23" s="335"/>
      <c r="B23" s="321" t="s">
        <v>100</v>
      </c>
      <c r="C23" s="325"/>
      <c r="D23" s="299">
        <f>SUM([1]Price01_01!M16:M16)</f>
        <v>0</v>
      </c>
      <c r="F23" s="335"/>
      <c r="G23" s="321" t="s">
        <v>100</v>
      </c>
      <c r="I23" s="329"/>
      <c r="J23" s="329"/>
      <c r="K23" s="299">
        <f>SUM([1]Price01_01!M30:M30)</f>
        <v>0</v>
      </c>
      <c r="N23" s="329" t="s">
        <v>116</v>
      </c>
      <c r="O23" s="298"/>
      <c r="P23" s="304">
        <f>SUM(P13:P19)</f>
        <v>28190</v>
      </c>
      <c r="Q23" s="304"/>
      <c r="R23" s="304" t="e">
        <f>R13+R17+#REF!+#REF!</f>
        <v>#REF!</v>
      </c>
      <c r="S23" s="298"/>
      <c r="T23" s="303">
        <f>SUM(T17:T22)</f>
        <v>433.97144099999991</v>
      </c>
    </row>
    <row r="24" spans="1:20" ht="16.8" x14ac:dyDescent="0.4">
      <c r="A24" s="334"/>
      <c r="C24" s="325"/>
      <c r="D24" s="301">
        <f>SUM(D22:D23)</f>
        <v>0</v>
      </c>
      <c r="F24" s="334"/>
      <c r="G24" s="335"/>
      <c r="H24" s="329"/>
      <c r="I24" s="329"/>
      <c r="J24" s="329"/>
      <c r="K24" s="302">
        <f>SUM(K22:K23)</f>
        <v>0</v>
      </c>
    </row>
    <row r="25" spans="1:20" ht="16.5" customHeight="1" x14ac:dyDescent="0.3">
      <c r="B25" s="335" t="s">
        <v>117</v>
      </c>
      <c r="C25" s="325"/>
      <c r="E25" s="295">
        <f>+[1]Rev2001!M17-[1]RevPlan!M17</f>
        <v>0</v>
      </c>
      <c r="F25" s="334"/>
      <c r="G25" s="335" t="s">
        <v>113</v>
      </c>
      <c r="I25" s="329"/>
      <c r="J25" s="329"/>
      <c r="L25" s="295">
        <f>+[1]Rev2001!M30-[1]RevPlan!M30</f>
        <v>0</v>
      </c>
      <c r="M25" s="296"/>
    </row>
    <row r="26" spans="1:20" ht="15.6" x14ac:dyDescent="0.3">
      <c r="B26" s="321" t="s">
        <v>97</v>
      </c>
      <c r="C26" s="336"/>
      <c r="D26" s="272">
        <f>SUM([1]Vol01_01!M17:M17)</f>
        <v>0</v>
      </c>
      <c r="F26" s="334"/>
      <c r="G26" s="321" t="s">
        <v>97</v>
      </c>
      <c r="I26" s="329"/>
      <c r="J26" s="329"/>
      <c r="K26" s="272">
        <f>SUM([1]Vol01_01!M31:M31)</f>
        <v>0</v>
      </c>
    </row>
    <row r="27" spans="1:20" ht="16.8" x14ac:dyDescent="0.4">
      <c r="B27" s="321" t="s">
        <v>100</v>
      </c>
      <c r="C27" s="336"/>
      <c r="D27" s="299">
        <f>SUM([1]Price01_01!M17:M17)</f>
        <v>0</v>
      </c>
      <c r="F27" s="334"/>
      <c r="G27" s="321" t="s">
        <v>100</v>
      </c>
      <c r="I27" s="329"/>
      <c r="J27" s="329"/>
      <c r="K27" s="299">
        <f>SUM([1]Price01_01!M31:M31)</f>
        <v>0</v>
      </c>
    </row>
    <row r="28" spans="1:20" ht="16.8" x14ac:dyDescent="0.4">
      <c r="C28" s="325"/>
      <c r="D28" s="301">
        <f>SUM(D26:D27)</f>
        <v>0</v>
      </c>
      <c r="F28" s="334"/>
      <c r="G28" s="335"/>
      <c r="H28" s="329"/>
      <c r="I28" s="329"/>
      <c r="J28" s="329"/>
      <c r="K28" s="302">
        <f>SUM(K26:K27)</f>
        <v>0</v>
      </c>
    </row>
    <row r="29" spans="1:20" ht="21" customHeight="1" x14ac:dyDescent="0.3">
      <c r="B29" s="335" t="s">
        <v>119</v>
      </c>
      <c r="C29" s="325"/>
      <c r="E29" s="295">
        <f>+[1]Rev2001!M18-[1]RevPlan!M18</f>
        <v>0</v>
      </c>
      <c r="F29" s="334"/>
      <c r="G29" s="329" t="s">
        <v>118</v>
      </c>
      <c r="L29" s="295">
        <f>+[1]Rev2001!M33-[1]RevPlan!M33</f>
        <v>-1.711176</v>
      </c>
      <c r="M29" s="296"/>
    </row>
    <row r="30" spans="1:20" ht="15.6" x14ac:dyDescent="0.3">
      <c r="B30" s="321" t="s">
        <v>97</v>
      </c>
      <c r="C30" s="336"/>
      <c r="D30" s="272">
        <f>SUM([1]Vol01_01!M18:M18)</f>
        <v>0</v>
      </c>
      <c r="F30" s="334"/>
      <c r="G30" s="321" t="s">
        <v>97</v>
      </c>
      <c r="K30" s="272">
        <f>SUM([1]Vol01_01!M34:M34)</f>
        <v>-1.711176</v>
      </c>
    </row>
    <row r="31" spans="1:20" ht="16.8" x14ac:dyDescent="0.4">
      <c r="B31" s="321" t="s">
        <v>100</v>
      </c>
      <c r="C31" s="325"/>
      <c r="D31" s="299">
        <f>SUM([1]Price01_01!M18:M18)</f>
        <v>0</v>
      </c>
      <c r="F31" s="334"/>
      <c r="G31" s="321" t="s">
        <v>100</v>
      </c>
      <c r="K31" s="299">
        <f>SUM([1]Price01_01!M34:M34)</f>
        <v>0</v>
      </c>
    </row>
    <row r="32" spans="1:20" ht="16.8" x14ac:dyDescent="0.4">
      <c r="C32" s="325"/>
      <c r="D32" s="301">
        <f>SUM(D30:D31)</f>
        <v>0</v>
      </c>
      <c r="F32" s="334"/>
      <c r="G32" s="334"/>
      <c r="K32" s="302">
        <f>SUM(K30:K31)</f>
        <v>-1.711176</v>
      </c>
    </row>
    <row r="33" spans="1:13" ht="15.6" x14ac:dyDescent="0.3">
      <c r="B33" s="335" t="s">
        <v>121</v>
      </c>
      <c r="C33" s="325"/>
      <c r="E33" s="295">
        <f>+[1]Rev2001!M21-[1]RevPlan!M21</f>
        <v>-3.4500000000008413E-2</v>
      </c>
      <c r="G33" s="335" t="s">
        <v>120</v>
      </c>
      <c r="L33" s="295">
        <f>+[1]Rev2001!M35-[1]RevPlan!M35</f>
        <v>417.91617599999989</v>
      </c>
      <c r="M33" s="296" t="s">
        <v>136</v>
      </c>
    </row>
    <row r="34" spans="1:13" ht="15.6" x14ac:dyDescent="0.3">
      <c r="A34" s="334"/>
      <c r="B34" s="321" t="s">
        <v>97</v>
      </c>
      <c r="C34" s="336"/>
      <c r="D34" s="272">
        <f>SUM([1]Vol01_01!M21:M21)</f>
        <v>-3.4499999999994202E-2</v>
      </c>
      <c r="G34" s="321" t="s">
        <v>97</v>
      </c>
      <c r="J34" s="292"/>
      <c r="K34" s="272">
        <f>SUM([1]Vol01_01!M36:M36)</f>
        <v>409.21137599999997</v>
      </c>
    </row>
    <row r="35" spans="1:13" ht="16.8" x14ac:dyDescent="0.4">
      <c r="A35" s="334"/>
      <c r="B35" s="321" t="s">
        <v>100</v>
      </c>
      <c r="C35" s="336"/>
      <c r="D35" s="299">
        <f>SUM([1]Price01_01!M21:M21)</f>
        <v>0</v>
      </c>
      <c r="G35" s="321" t="s">
        <v>100</v>
      </c>
      <c r="K35" s="299">
        <f>SUM([1]Price01_01!M36:M36)</f>
        <v>8.7047999999999774</v>
      </c>
    </row>
    <row r="36" spans="1:13" ht="16.8" x14ac:dyDescent="0.4">
      <c r="A36" s="334"/>
      <c r="C36" s="325"/>
      <c r="D36" s="301">
        <f>SUM(D34:D35)</f>
        <v>-3.4499999999994202E-2</v>
      </c>
      <c r="G36" s="334"/>
      <c r="K36" s="302">
        <f>SUM(K34:K35)</f>
        <v>417.91617599999995</v>
      </c>
    </row>
    <row r="37" spans="1:13" ht="15.6" x14ac:dyDescent="0.3">
      <c r="A37" s="334"/>
      <c r="B37" s="335" t="s">
        <v>122</v>
      </c>
      <c r="C37" s="325"/>
      <c r="E37" s="295">
        <f>+[1]Rev2001!M22-[1]RevPlan!M22</f>
        <v>0</v>
      </c>
      <c r="G37" s="353" t="s">
        <v>121</v>
      </c>
      <c r="H37" s="354"/>
      <c r="I37" s="354"/>
      <c r="J37" s="354"/>
      <c r="K37" s="354"/>
      <c r="L37" s="295">
        <f>+[1]Rev2001!M38-[1]RevPlan!M38+[1]Rev2001!M37-[1]RevPlan!M37</f>
        <v>17.08496999999997</v>
      </c>
      <c r="M37" s="296"/>
    </row>
    <row r="38" spans="1:13" ht="15.6" x14ac:dyDescent="0.3">
      <c r="A38" s="334"/>
      <c r="B38" s="321" t="s">
        <v>97</v>
      </c>
      <c r="C38" s="325"/>
      <c r="D38" s="272">
        <f>SUM([1]Vol01_01!M22:M22)</f>
        <v>0</v>
      </c>
      <c r="G38" s="354" t="s">
        <v>97</v>
      </c>
      <c r="H38" s="354"/>
      <c r="I38" s="354"/>
      <c r="J38" s="355"/>
      <c r="K38" s="356">
        <f>SUM([1]Vol01_01!M37:M38)</f>
        <v>5.0347199999999885</v>
      </c>
      <c r="L38" s="354"/>
      <c r="M38" s="296"/>
    </row>
    <row r="39" spans="1:13" ht="16.8" x14ac:dyDescent="0.4">
      <c r="A39" s="334"/>
      <c r="B39" s="321" t="s">
        <v>100</v>
      </c>
      <c r="C39" s="325"/>
      <c r="D39" s="299">
        <f>SUM([1]Price01_01!M22:M22)</f>
        <v>0</v>
      </c>
      <c r="G39" s="354" t="s">
        <v>100</v>
      </c>
      <c r="H39" s="354"/>
      <c r="I39" s="354"/>
      <c r="J39" s="354"/>
      <c r="K39" s="357">
        <f>SUM([1]Price01_01!M37:M38)</f>
        <v>12.050249999999993</v>
      </c>
      <c r="L39" s="354"/>
      <c r="M39" s="296"/>
    </row>
    <row r="40" spans="1:13" ht="16.8" x14ac:dyDescent="0.4">
      <c r="A40" s="334"/>
      <c r="C40" s="325"/>
      <c r="D40" s="301">
        <f>SUM(D38:D39)</f>
        <v>0</v>
      </c>
      <c r="G40" s="355"/>
      <c r="H40" s="354"/>
      <c r="I40" s="354"/>
      <c r="J40" s="354"/>
      <c r="K40" s="358">
        <f>SUM(K38:K39)</f>
        <v>17.084969999999981</v>
      </c>
      <c r="L40" s="354"/>
      <c r="M40" s="296"/>
    </row>
    <row r="41" spans="1:13" ht="15.6" x14ac:dyDescent="0.3">
      <c r="A41" s="334"/>
      <c r="G41" s="335" t="s">
        <v>123</v>
      </c>
      <c r="L41" s="295">
        <f>+[1]Rev2001!M34-[1]RevPlan!M34</f>
        <v>31.584000000000003</v>
      </c>
      <c r="M41" s="296"/>
    </row>
    <row r="42" spans="1:13" x14ac:dyDescent="0.25">
      <c r="A42" s="334"/>
      <c r="G42" s="321" t="s">
        <v>97</v>
      </c>
      <c r="K42" s="272">
        <f>SUM([1]Vol01_01!M35:M35)</f>
        <v>16.584</v>
      </c>
      <c r="M42" s="296"/>
    </row>
    <row r="43" spans="1:13" ht="16.8" x14ac:dyDescent="0.4">
      <c r="C43" s="325"/>
      <c r="E43" s="273"/>
      <c r="G43" s="321" t="s">
        <v>100</v>
      </c>
      <c r="K43" s="299">
        <f>SUM([1]Price01_01!M35:M35)</f>
        <v>15</v>
      </c>
    </row>
    <row r="44" spans="1:13" ht="18.75" customHeight="1" x14ac:dyDescent="0.4">
      <c r="A44" s="334"/>
      <c r="B44" s="334"/>
      <c r="C44" s="325"/>
      <c r="G44" s="329"/>
      <c r="K44" s="302">
        <f>SUM(K42:K43)</f>
        <v>31.584</v>
      </c>
      <c r="M44" s="308"/>
    </row>
    <row r="45" spans="1:13" ht="18.75" customHeight="1" thickBot="1" x14ac:dyDescent="0.35">
      <c r="C45" s="325"/>
      <c r="D45" s="341" t="s">
        <v>124</v>
      </c>
      <c r="E45" s="309">
        <f>SUM(E9:E40)</f>
        <v>-0.24465900000021179</v>
      </c>
      <c r="M45" s="308"/>
    </row>
    <row r="46" spans="1:13" ht="18" customHeight="1" thickTop="1" x14ac:dyDescent="0.3">
      <c r="C46" s="325"/>
    </row>
    <row r="47" spans="1:13" ht="18" customHeight="1" x14ac:dyDescent="0.3">
      <c r="A47" s="329" t="s">
        <v>126</v>
      </c>
      <c r="B47" s="329"/>
      <c r="C47" s="325"/>
      <c r="D47" s="310">
        <f>D10+D14+D18+D22+D26+D30+D34+D38</f>
        <v>-0.24465900000005458</v>
      </c>
      <c r="E47" s="296"/>
      <c r="M47" s="296"/>
    </row>
    <row r="48" spans="1:13" ht="19.2" x14ac:dyDescent="0.6">
      <c r="A48" s="329" t="s">
        <v>128</v>
      </c>
      <c r="B48" s="329"/>
      <c r="C48" s="325"/>
      <c r="D48" s="311">
        <f>D11+D15+D19+D23+D27+D31+D35+D39</f>
        <v>0</v>
      </c>
      <c r="E48" s="312"/>
    </row>
    <row r="49" spans="1:12" ht="19.8" thickBot="1" x14ac:dyDescent="0.65">
      <c r="C49" s="325"/>
      <c r="D49" s="311">
        <f>SUM(D47:D48)</f>
        <v>-0.24465900000005458</v>
      </c>
      <c r="E49" s="313"/>
      <c r="H49" s="341" t="s">
        <v>125</v>
      </c>
      <c r="L49" s="309">
        <f>SUM(L9:L44)</f>
        <v>434.21609999999981</v>
      </c>
    </row>
    <row r="50" spans="1:12" ht="21" customHeight="1" thickTop="1" x14ac:dyDescent="0.3">
      <c r="A50" s="336"/>
      <c r="F50" s="329"/>
    </row>
    <row r="51" spans="1:12" ht="20.25" customHeight="1" x14ac:dyDescent="0.3">
      <c r="A51" s="336"/>
      <c r="H51" s="329" t="s">
        <v>127</v>
      </c>
      <c r="I51" s="329"/>
      <c r="J51" s="325"/>
      <c r="K51" s="310">
        <f>K10+K14+K22+K26+K30+K34+K38+K42+K18</f>
        <v>398.46105</v>
      </c>
    </row>
    <row r="52" spans="1:12" ht="21" customHeight="1" x14ac:dyDescent="0.6">
      <c r="A52" s="336"/>
      <c r="B52" s="344" t="s">
        <v>141</v>
      </c>
      <c r="C52" s="329"/>
      <c r="D52" s="348" t="s">
        <v>131</v>
      </c>
      <c r="E52" s="348" t="s">
        <v>143</v>
      </c>
      <c r="H52" s="329" t="s">
        <v>129</v>
      </c>
      <c r="I52" s="329"/>
      <c r="J52" s="325"/>
      <c r="K52" s="311">
        <f>K11+K15+K23+K27+K31+K35+K39+K43+K19</f>
        <v>35.755049999999969</v>
      </c>
    </row>
    <row r="53" spans="1:12" ht="18" customHeight="1" x14ac:dyDescent="0.6">
      <c r="A53" s="336"/>
      <c r="J53" s="325"/>
      <c r="K53" s="311">
        <f>SUM(K51:K52)</f>
        <v>434.21609999999998</v>
      </c>
      <c r="L53" s="314"/>
    </row>
    <row r="54" spans="1:12" ht="16.5" customHeight="1" x14ac:dyDescent="0.3">
      <c r="A54" s="336"/>
      <c r="B54" s="321" t="s">
        <v>95</v>
      </c>
      <c r="D54" s="345">
        <v>916.9</v>
      </c>
      <c r="E54" s="345">
        <v>791.5</v>
      </c>
      <c r="K54" s="296"/>
      <c r="L54" s="331"/>
    </row>
    <row r="55" spans="1:12" ht="21" customHeight="1" x14ac:dyDescent="0.3">
      <c r="A55" s="336"/>
      <c r="B55" s="321" t="s">
        <v>135</v>
      </c>
      <c r="D55" s="345">
        <v>472.1</v>
      </c>
      <c r="E55" s="345">
        <v>437.5</v>
      </c>
      <c r="G55" s="329"/>
      <c r="H55" s="342" t="s">
        <v>130</v>
      </c>
      <c r="I55" s="315"/>
      <c r="J55" s="343"/>
      <c r="K55" s="315"/>
      <c r="L55" s="316">
        <f>E45+L49</f>
        <v>433.97144099999957</v>
      </c>
    </row>
    <row r="56" spans="1:12" ht="19.5" customHeight="1" x14ac:dyDescent="0.6">
      <c r="B56" s="321" t="s">
        <v>140</v>
      </c>
      <c r="D56" s="345">
        <v>82</v>
      </c>
      <c r="E56" s="345">
        <v>65.8</v>
      </c>
      <c r="G56" s="329"/>
      <c r="H56" s="329"/>
      <c r="I56" s="311"/>
      <c r="J56" s="329"/>
      <c r="K56" s="311"/>
      <c r="L56" s="311"/>
    </row>
    <row r="57" spans="1:12" ht="20.25" customHeight="1" x14ac:dyDescent="0.6">
      <c r="B57" s="321" t="s">
        <v>132</v>
      </c>
      <c r="D57" s="345">
        <v>82.1</v>
      </c>
      <c r="E57" s="345">
        <v>82.1</v>
      </c>
      <c r="G57" s="321" t="s">
        <v>136</v>
      </c>
      <c r="H57" s="321" t="s">
        <v>149</v>
      </c>
      <c r="K57" s="311"/>
      <c r="L57" s="311"/>
    </row>
    <row r="58" spans="1:12" x14ac:dyDescent="0.25">
      <c r="B58" s="321" t="s">
        <v>133</v>
      </c>
      <c r="D58" s="345">
        <v>100</v>
      </c>
      <c r="E58" s="345">
        <v>90</v>
      </c>
      <c r="H58" s="321" t="s">
        <v>150</v>
      </c>
    </row>
    <row r="59" spans="1:12" x14ac:dyDescent="0.25">
      <c r="B59" s="321" t="s">
        <v>118</v>
      </c>
      <c r="D59" s="345">
        <v>0.1</v>
      </c>
      <c r="E59" s="345">
        <v>0.6</v>
      </c>
      <c r="H59" s="321" t="s">
        <v>151</v>
      </c>
    </row>
    <row r="60" spans="1:12" x14ac:dyDescent="0.25">
      <c r="B60" s="321" t="s">
        <v>120</v>
      </c>
      <c r="D60" s="347">
        <v>46.8</v>
      </c>
      <c r="E60" s="347">
        <v>7.5</v>
      </c>
    </row>
    <row r="61" spans="1:12" x14ac:dyDescent="0.25">
      <c r="B61" s="326" t="s">
        <v>134</v>
      </c>
      <c r="D61" s="345">
        <f>SUM(D54:D60)</f>
        <v>1699.9999999999998</v>
      </c>
      <c r="E61" s="345">
        <f>SUM(E54:E60)</f>
        <v>1474.9999999999998</v>
      </c>
      <c r="G61" s="321" t="s">
        <v>137</v>
      </c>
      <c r="H61" s="321" t="s">
        <v>152</v>
      </c>
    </row>
    <row r="62" spans="1:12" x14ac:dyDescent="0.25">
      <c r="B62" s="321" t="s">
        <v>121</v>
      </c>
      <c r="D62" s="347">
        <v>240.8</v>
      </c>
      <c r="E62" s="347">
        <v>254.9</v>
      </c>
    </row>
    <row r="63" spans="1:12" x14ac:dyDescent="0.25">
      <c r="B63" s="326" t="s">
        <v>138</v>
      </c>
      <c r="D63" s="345">
        <f>SUM(D61:D62)</f>
        <v>1940.7999999999997</v>
      </c>
      <c r="E63" s="345">
        <f>SUM(E61:E62)</f>
        <v>1729.8999999999999</v>
      </c>
      <c r="G63" s="321" t="s">
        <v>155</v>
      </c>
      <c r="H63" s="292" t="s">
        <v>156</v>
      </c>
    </row>
    <row r="64" spans="1:12" x14ac:dyDescent="0.25">
      <c r="D64" s="345"/>
      <c r="E64" s="345"/>
      <c r="G64" s="346"/>
      <c r="H64" s="351"/>
    </row>
    <row r="65" spans="2:8" x14ac:dyDescent="0.25">
      <c r="B65" s="321" t="s">
        <v>139</v>
      </c>
      <c r="D65" s="345">
        <v>5</v>
      </c>
      <c r="E65" s="345">
        <v>5</v>
      </c>
      <c r="G65" s="346"/>
      <c r="H65" s="349"/>
    </row>
    <row r="66" spans="2:8" x14ac:dyDescent="0.25">
      <c r="G66" s="346"/>
      <c r="H66" s="346"/>
    </row>
  </sheetData>
  <phoneticPr fontId="9" type="noConversion"/>
  <printOptions horizontalCentered="1" verticalCentered="1"/>
  <pageMargins left="0.65" right="0.65" top="0.25" bottom="0.55000000000000004" header="0.5" footer="0.5"/>
  <pageSetup scale="55" orientation="portrait" horizontalDpi="300" verticalDpi="300" r:id="rId1"/>
  <headerFooter alignWithMargins="0">
    <oddFooter xml:space="preserve">&amp;C&amp;"Arial,Regular"&amp;7&amp;F&amp;R&amp;"Arial,Regular"&amp;7&amp;D
&amp;T
</oddFooter>
  </headerFooter>
  <colBreaks count="1" manualBreakCount="1">
    <brk id="13" max="6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R76"/>
  <sheetViews>
    <sheetView view="pageBreakPreview" zoomScale="60" zoomScaleNormal="75" workbookViewId="0"/>
  </sheetViews>
  <sheetFormatPr defaultColWidth="8.81640625" defaultRowHeight="22.8" x14ac:dyDescent="0.4"/>
  <cols>
    <col min="1" max="1" width="45.81640625" style="54" customWidth="1"/>
    <col min="2" max="2" width="2.36328125" style="54" customWidth="1"/>
    <col min="3" max="3" width="15.36328125" style="54" customWidth="1"/>
    <col min="4" max="4" width="1.36328125" style="54" customWidth="1"/>
    <col min="5" max="5" width="15.36328125" style="54" customWidth="1"/>
    <col min="6" max="6" width="1.36328125" style="54" customWidth="1"/>
    <col min="7" max="7" width="16" style="54" customWidth="1"/>
    <col min="8" max="8" width="1.36328125" style="54" customWidth="1"/>
    <col min="9" max="16384" width="8.81640625" style="54"/>
  </cols>
  <sheetData>
    <row r="1" spans="1:8" ht="30" customHeight="1" thickBot="1" x14ac:dyDescent="0.55000000000000004">
      <c r="A1" s="101"/>
      <c r="C1" s="363" t="s">
        <v>168</v>
      </c>
      <c r="D1" s="363"/>
      <c r="E1" s="363"/>
      <c r="F1" s="363"/>
      <c r="G1" s="363"/>
      <c r="H1" s="61"/>
    </row>
    <row r="2" spans="1:8" ht="36" customHeight="1" x14ac:dyDescent="0.4">
      <c r="A2" s="85"/>
      <c r="C2" s="122" t="s">
        <v>3</v>
      </c>
      <c r="D2" s="123"/>
      <c r="E2" s="124"/>
      <c r="F2" s="123"/>
      <c r="G2" s="125"/>
      <c r="H2" s="61"/>
    </row>
    <row r="3" spans="1:8" ht="36" customHeight="1" x14ac:dyDescent="0.4">
      <c r="C3" s="126" t="s">
        <v>4</v>
      </c>
      <c r="D3" s="127"/>
      <c r="E3" s="127" t="s">
        <v>166</v>
      </c>
      <c r="F3" s="128"/>
      <c r="G3" s="129" t="s">
        <v>60</v>
      </c>
      <c r="H3" s="61"/>
    </row>
    <row r="4" spans="1:8" ht="36" customHeight="1" thickBot="1" x14ac:dyDescent="0.45">
      <c r="C4" s="130" t="s">
        <v>7</v>
      </c>
      <c r="D4" s="131"/>
      <c r="E4" s="131" t="s">
        <v>7</v>
      </c>
      <c r="F4" s="132"/>
      <c r="G4" s="133" t="s">
        <v>8</v>
      </c>
      <c r="H4" s="61"/>
    </row>
    <row r="5" spans="1:8" ht="39.9" customHeight="1" x14ac:dyDescent="0.5">
      <c r="A5" s="134" t="str">
        <f>A!A30</f>
        <v>COMMERCIAL:</v>
      </c>
      <c r="B5" s="90"/>
      <c r="C5" s="90"/>
      <c r="D5" s="90"/>
      <c r="E5" s="90"/>
      <c r="F5" s="90"/>
      <c r="G5" s="90"/>
      <c r="H5" s="59"/>
    </row>
    <row r="6" spans="1:8" ht="39.9" customHeight="1" x14ac:dyDescent="0.5">
      <c r="A6" s="134" t="str">
        <f>A!A31</f>
        <v xml:space="preserve">  NET MARGINS</v>
      </c>
      <c r="B6" s="90"/>
      <c r="C6" s="136">
        <f>A!D31</f>
        <v>28.616999999999997</v>
      </c>
      <c r="D6" s="135"/>
      <c r="E6" s="136">
        <f>A!F31</f>
        <v>28.568000000000001</v>
      </c>
      <c r="F6" s="135"/>
      <c r="G6" s="136">
        <f>A!H31</f>
        <v>28.3</v>
      </c>
      <c r="H6" s="59"/>
    </row>
    <row r="7" spans="1:8" ht="39.9" customHeight="1" x14ac:dyDescent="0.5">
      <c r="A7" s="134" t="str">
        <f>A!A32</f>
        <v xml:space="preserve">  EXPENSES</v>
      </c>
      <c r="B7" s="90"/>
      <c r="C7" s="283">
        <f>A!D32</f>
        <v>-0.2</v>
      </c>
      <c r="D7" s="284"/>
      <c r="E7" s="283">
        <f>A!F32</f>
        <v>-0.2</v>
      </c>
      <c r="F7" s="284"/>
      <c r="G7" s="283">
        <f>A!H32</f>
        <v>-0.4</v>
      </c>
      <c r="H7" s="60"/>
    </row>
    <row r="8" spans="1:8" ht="39.9" customHeight="1" x14ac:dyDescent="0.5">
      <c r="A8" s="134" t="str">
        <f>A!A33</f>
        <v xml:space="preserve">  NON-RECURRING</v>
      </c>
      <c r="B8" s="90"/>
      <c r="C8" s="285">
        <f>A!D33</f>
        <v>0</v>
      </c>
      <c r="D8" s="284"/>
      <c r="E8" s="285">
        <f>A!F33</f>
        <v>0</v>
      </c>
      <c r="F8" s="284"/>
      <c r="G8" s="285">
        <f>A!H33</f>
        <v>0</v>
      </c>
    </row>
    <row r="9" spans="1:8" ht="39.9" customHeight="1" x14ac:dyDescent="0.5">
      <c r="A9" s="134" t="str">
        <f>A!A34</f>
        <v xml:space="preserve">    TOTAL COMMERCIAL</v>
      </c>
      <c r="B9" s="90"/>
      <c r="C9" s="139">
        <f>SUM(C6:C8)</f>
        <v>28.416999999999998</v>
      </c>
      <c r="D9" s="135"/>
      <c r="E9" s="139">
        <f>SUM(E6:E8)</f>
        <v>28.368000000000002</v>
      </c>
      <c r="F9" s="135"/>
      <c r="G9" s="139">
        <f>SUM(G6:G8)</f>
        <v>27.900000000000002</v>
      </c>
    </row>
    <row r="10" spans="1:8" ht="39.9" customHeight="1" x14ac:dyDescent="0.5">
      <c r="A10" s="134" t="str">
        <f>A!A35</f>
        <v>MARKET SERVICES</v>
      </c>
      <c r="B10" s="90"/>
      <c r="C10" s="283">
        <f>A!D35</f>
        <v>-0.4</v>
      </c>
      <c r="D10" s="284"/>
      <c r="E10" s="283">
        <f>A!F35</f>
        <v>-0.4</v>
      </c>
      <c r="F10" s="284"/>
      <c r="G10" s="283">
        <f>A!H35</f>
        <v>-0.4</v>
      </c>
    </row>
    <row r="11" spans="1:8" ht="39.9" customHeight="1" x14ac:dyDescent="0.5">
      <c r="A11" s="134" t="str">
        <f>A!A36</f>
        <v>OPERATIONS</v>
      </c>
      <c r="B11" s="90"/>
      <c r="C11" s="283">
        <f>A!D36</f>
        <v>-2.2999999999999998</v>
      </c>
      <c r="D11" s="284"/>
      <c r="E11" s="283">
        <f>A!F36</f>
        <v>-2.2999999999999998</v>
      </c>
      <c r="F11" s="284"/>
      <c r="G11" s="283">
        <f>A!H36</f>
        <v>-2.5</v>
      </c>
    </row>
    <row r="12" spans="1:8" ht="39.9" customHeight="1" x14ac:dyDescent="0.5">
      <c r="A12" s="134" t="str">
        <f>A!A37</f>
        <v>FINANCE, ACCTG &amp; ADMIN.</v>
      </c>
      <c r="B12" s="90"/>
      <c r="C12" s="283">
        <f>A!D37</f>
        <v>-8.6</v>
      </c>
      <c r="D12" s="284"/>
      <c r="E12" s="283">
        <f>A!F37</f>
        <v>-8.6</v>
      </c>
      <c r="F12" s="284"/>
      <c r="G12" s="283">
        <f>A!H37</f>
        <v>-8.5</v>
      </c>
    </row>
    <row r="13" spans="1:8" ht="39.9" customHeight="1" x14ac:dyDescent="0.5">
      <c r="A13" s="134" t="str">
        <f>A!A38</f>
        <v>FAA - NON-RECURRING</v>
      </c>
      <c r="B13" s="90"/>
      <c r="C13" s="283">
        <f>A!D38</f>
        <v>0</v>
      </c>
      <c r="D13" s="284"/>
      <c r="E13" s="283">
        <f>A!F38</f>
        <v>0</v>
      </c>
      <c r="F13" s="284"/>
      <c r="G13" s="283">
        <f>A!H38</f>
        <v>0</v>
      </c>
      <c r="H13" s="61"/>
    </row>
    <row r="14" spans="1:8" ht="39.9" customHeight="1" x14ac:dyDescent="0.5">
      <c r="A14" s="134" t="str">
        <f>A!A39</f>
        <v>INFO. TECHNOLOGY</v>
      </c>
      <c r="B14" s="90"/>
      <c r="C14" s="283">
        <f>A!D39</f>
        <v>-0.8</v>
      </c>
      <c r="D14" s="284"/>
      <c r="E14" s="283">
        <f>A!F39</f>
        <v>-0.8</v>
      </c>
      <c r="F14" s="284"/>
      <c r="G14" s="283">
        <f>A!H39</f>
        <v>-0.5</v>
      </c>
      <c r="H14" s="61"/>
    </row>
    <row r="15" spans="1:8" ht="39.9" customHeight="1" x14ac:dyDescent="0.5">
      <c r="A15" s="134" t="str">
        <f>A!A40</f>
        <v>LEGAL, HR, EXEC./OTHER</v>
      </c>
      <c r="B15" s="90"/>
      <c r="C15" s="283">
        <f>A!D40</f>
        <v>-0.2</v>
      </c>
      <c r="D15" s="284"/>
      <c r="E15" s="283">
        <f>A!F40</f>
        <v>-0.2</v>
      </c>
      <c r="F15" s="284"/>
      <c r="G15" s="283">
        <f>A!H40</f>
        <v>-0.2</v>
      </c>
    </row>
    <row r="16" spans="1:8" ht="39.9" customHeight="1" x14ac:dyDescent="0.5">
      <c r="A16" s="134" t="str">
        <f>A!A41</f>
        <v>AFUDC &amp; INTEREST</v>
      </c>
      <c r="B16" s="90"/>
      <c r="C16" s="283">
        <f>A!D41</f>
        <v>-6.3</v>
      </c>
      <c r="D16" s="284"/>
      <c r="E16" s="283">
        <f>A!F41</f>
        <v>-6.3</v>
      </c>
      <c r="F16" s="284"/>
      <c r="G16" s="283">
        <f>A!H41</f>
        <v>-7</v>
      </c>
    </row>
    <row r="17" spans="1:8" ht="39.9" customHeight="1" x14ac:dyDescent="0.5">
      <c r="A17" s="134" t="str">
        <f>A!A42</f>
        <v>INCOME TAXES</v>
      </c>
      <c r="B17" s="90"/>
      <c r="C17" s="285">
        <f>A!D42</f>
        <v>-3.8</v>
      </c>
      <c r="D17" s="284"/>
      <c r="E17" s="285">
        <f>A!F42</f>
        <v>-3.8</v>
      </c>
      <c r="F17" s="284"/>
      <c r="G17" s="285">
        <f>A!H42</f>
        <v>-3.4</v>
      </c>
      <c r="H17" s="62"/>
    </row>
    <row r="18" spans="1:8" ht="39.9" customHeight="1" x14ac:dyDescent="0.5">
      <c r="A18" s="92" t="s">
        <v>38</v>
      </c>
      <c r="B18" s="90"/>
      <c r="C18" s="90"/>
      <c r="D18" s="90"/>
      <c r="E18" s="90"/>
      <c r="F18" s="90"/>
      <c r="G18" s="90"/>
      <c r="H18" s="62"/>
    </row>
    <row r="19" spans="1:8" ht="39.9" customHeight="1" thickBot="1" x14ac:dyDescent="0.65">
      <c r="A19" s="92" t="s">
        <v>39</v>
      </c>
      <c r="B19" s="90"/>
      <c r="C19" s="111">
        <f>A!D43</f>
        <v>6.0169999999999968</v>
      </c>
      <c r="D19" s="286"/>
      <c r="E19" s="111">
        <f>A!F43</f>
        <v>5.9680000000000044</v>
      </c>
      <c r="F19" s="286"/>
      <c r="G19" s="111">
        <f>A!H43</f>
        <v>5.4000000000000039</v>
      </c>
      <c r="H19" s="62"/>
    </row>
    <row r="20" spans="1:8" ht="35.1" customHeight="1" thickTop="1" x14ac:dyDescent="0.4">
      <c r="A20" s="94"/>
      <c r="B20" s="94"/>
      <c r="C20" s="94"/>
      <c r="D20" s="95"/>
      <c r="E20" s="90"/>
      <c r="F20" s="90"/>
      <c r="H20" s="62"/>
    </row>
    <row r="21" spans="1:8" ht="35.1" customHeight="1" x14ac:dyDescent="0.4">
      <c r="A21" s="94"/>
      <c r="B21" s="94"/>
      <c r="C21" s="94"/>
      <c r="D21" s="95"/>
      <c r="E21" s="90"/>
      <c r="F21" s="90"/>
      <c r="H21" s="62"/>
    </row>
    <row r="22" spans="1:8" ht="35.1" customHeight="1" thickBot="1" x14ac:dyDescent="0.65">
      <c r="A22" s="94"/>
      <c r="B22" s="94"/>
      <c r="C22" s="94"/>
      <c r="D22" s="95"/>
      <c r="E22" s="90"/>
      <c r="F22" s="90"/>
      <c r="G22" s="290" t="s">
        <v>40</v>
      </c>
      <c r="H22" s="62"/>
    </row>
    <row r="23" spans="1:8" ht="32.1" customHeight="1" thickBot="1" x14ac:dyDescent="0.65">
      <c r="A23" s="96" t="str">
        <f>A!A47</f>
        <v>VARIANCE ANALYSIS - $MM</v>
      </c>
      <c r="B23" s="97"/>
      <c r="C23" s="98"/>
      <c r="D23" s="95"/>
      <c r="E23" s="90"/>
      <c r="F23" s="90"/>
      <c r="G23" s="291" t="s">
        <v>41</v>
      </c>
      <c r="H23" s="62"/>
    </row>
    <row r="24" spans="1:8" ht="32.1" customHeight="1" x14ac:dyDescent="0.55000000000000004">
      <c r="A24" s="288"/>
      <c r="B24" s="94"/>
      <c r="C24" s="94"/>
      <c r="D24" s="95"/>
      <c r="E24" s="90"/>
      <c r="F24" s="90"/>
      <c r="G24" s="289"/>
      <c r="H24" s="62"/>
    </row>
    <row r="25" spans="1:8" ht="32.1" customHeight="1" x14ac:dyDescent="0.55000000000000004">
      <c r="A25" s="134" t="str">
        <f>A!A49</f>
        <v>Net Income  -  Rev. 4th Quarter Forecast</v>
      </c>
      <c r="B25" s="90"/>
      <c r="C25" s="90"/>
      <c r="D25" s="99"/>
      <c r="E25" s="90"/>
      <c r="F25" s="90"/>
      <c r="G25" s="140">
        <f xml:space="preserve"> A!D49</f>
        <v>5.9680000000000044</v>
      </c>
      <c r="H25" s="62"/>
    </row>
    <row r="26" spans="1:8" ht="32.1" customHeight="1" x14ac:dyDescent="0.4">
      <c r="H26" s="62"/>
    </row>
    <row r="27" spans="1:8" ht="32.1" customHeight="1" x14ac:dyDescent="0.55000000000000004">
      <c r="A27" s="135" t="str">
        <f>A!A51</f>
        <v>No Variance</v>
      </c>
      <c r="B27" s="155"/>
      <c r="C27" s="155"/>
      <c r="D27" s="156"/>
      <c r="E27" s="155"/>
      <c r="F27" s="155"/>
      <c r="G27" s="141">
        <f>A!D51</f>
        <v>0</v>
      </c>
      <c r="H27" s="62"/>
    </row>
    <row r="28" spans="1:8" ht="32.1" customHeight="1" x14ac:dyDescent="0.55000000000000004">
      <c r="A28" s="135"/>
      <c r="B28" s="155"/>
      <c r="C28" s="155"/>
      <c r="D28" s="156"/>
      <c r="E28" s="155"/>
      <c r="F28" s="155"/>
      <c r="G28" s="141"/>
      <c r="H28" s="63"/>
    </row>
    <row r="29" spans="1:8" ht="32.1" customHeight="1" x14ac:dyDescent="0.55000000000000004">
      <c r="A29" s="135"/>
      <c r="B29" s="155"/>
      <c r="C29" s="155"/>
      <c r="D29" s="156"/>
      <c r="E29" s="155"/>
      <c r="F29" s="155"/>
      <c r="G29" s="141"/>
      <c r="H29" s="58"/>
    </row>
    <row r="30" spans="1:8" ht="32.1" customHeight="1" x14ac:dyDescent="0.55000000000000004">
      <c r="B30" s="155"/>
      <c r="C30" s="155"/>
      <c r="D30" s="156"/>
      <c r="E30" s="155"/>
      <c r="F30" s="155"/>
      <c r="G30" s="141"/>
      <c r="H30" s="58"/>
    </row>
    <row r="31" spans="1:8" ht="32.1" customHeight="1" thickBot="1" x14ac:dyDescent="0.6">
      <c r="A31" s="92" t="str">
        <f>A!A56</f>
        <v>Net Inc. - Current Week</v>
      </c>
      <c r="B31" s="155"/>
      <c r="C31" s="155"/>
      <c r="D31" s="156"/>
      <c r="E31" s="155"/>
      <c r="F31" s="155"/>
      <c r="G31" s="287">
        <f>SUM(G25:G30)</f>
        <v>5.9680000000000044</v>
      </c>
      <c r="H31" s="58"/>
    </row>
    <row r="32" spans="1:8" ht="28.5" customHeight="1" thickTop="1" thickBot="1" x14ac:dyDescent="0.55000000000000004">
      <c r="A32" s="93"/>
      <c r="C32" s="105"/>
      <c r="D32" s="65"/>
      <c r="E32" s="105" t="str">
        <f>C1</f>
        <v>NOVEMBER</v>
      </c>
      <c r="F32" s="105"/>
      <c r="G32" s="65"/>
    </row>
    <row r="33" spans="1:18" ht="48" customHeight="1" x14ac:dyDescent="0.5">
      <c r="A33" s="93"/>
      <c r="C33" s="122" t="s">
        <v>3</v>
      </c>
      <c r="D33" s="123"/>
      <c r="E33" s="124"/>
      <c r="F33" s="123"/>
      <c r="G33" s="125"/>
      <c r="H33" s="59"/>
    </row>
    <row r="34" spans="1:18" ht="48" customHeight="1" x14ac:dyDescent="0.4">
      <c r="A34" s="90"/>
      <c r="C34" s="126" t="s">
        <v>4</v>
      </c>
      <c r="D34" s="127"/>
      <c r="E34" s="127" t="str">
        <f>E3</f>
        <v>4TH QTR.</v>
      </c>
      <c r="F34" s="128"/>
      <c r="G34" s="129" t="s">
        <v>60</v>
      </c>
    </row>
    <row r="35" spans="1:18" ht="48" customHeight="1" thickBot="1" x14ac:dyDescent="0.45">
      <c r="A35" s="90"/>
      <c r="C35" s="130" t="s">
        <v>7</v>
      </c>
      <c r="D35" s="131"/>
      <c r="E35" s="131" t="str">
        <f>E4</f>
        <v>FORECAST</v>
      </c>
      <c r="F35" s="132"/>
      <c r="G35" s="133" t="s">
        <v>8</v>
      </c>
    </row>
    <row r="36" spans="1:18" ht="48" customHeight="1" x14ac:dyDescent="0.5">
      <c r="A36" s="143" t="s">
        <v>42</v>
      </c>
      <c r="B36" s="86"/>
      <c r="C36" s="103"/>
      <c r="D36" s="103"/>
      <c r="E36" s="88"/>
      <c r="F36" s="87"/>
      <c r="G36" s="104"/>
    </row>
    <row r="37" spans="1:18" ht="48" customHeight="1" x14ac:dyDescent="0.55000000000000004">
      <c r="A37" s="134" t="s">
        <v>43</v>
      </c>
      <c r="B37" s="86"/>
      <c r="C37" s="145">
        <f>A!D10</f>
        <v>611.5</v>
      </c>
      <c r="D37" s="145"/>
      <c r="E37" s="145">
        <f>A!F10</f>
        <v>495</v>
      </c>
      <c r="F37" s="145"/>
      <c r="G37" s="145">
        <f>A!H10</f>
        <v>652</v>
      </c>
    </row>
    <row r="38" spans="1:18" ht="48" customHeight="1" x14ac:dyDescent="0.55000000000000004">
      <c r="A38" s="134" t="s">
        <v>44</v>
      </c>
      <c r="B38" s="86"/>
      <c r="C38" s="145">
        <f>A!D11</f>
        <v>678.3</v>
      </c>
      <c r="D38" s="145"/>
      <c r="E38" s="145">
        <f>A!F11</f>
        <v>707.4</v>
      </c>
      <c r="F38" s="145"/>
      <c r="G38" s="145">
        <f>A!H11</f>
        <v>765.6</v>
      </c>
    </row>
    <row r="39" spans="1:18" ht="48" customHeight="1" x14ac:dyDescent="0.55000000000000004">
      <c r="A39" s="134" t="s">
        <v>45</v>
      </c>
      <c r="B39" s="86"/>
      <c r="C39" s="146">
        <f>A!D12</f>
        <v>10.199999999999999</v>
      </c>
      <c r="D39" s="145"/>
      <c r="E39" s="146">
        <f>A!F12</f>
        <v>7.6</v>
      </c>
      <c r="F39" s="145"/>
      <c r="G39" s="146">
        <f>A!H12</f>
        <v>15.6</v>
      </c>
    </row>
    <row r="40" spans="1:18" ht="48" customHeight="1" x14ac:dyDescent="0.55000000000000004">
      <c r="A40" s="134" t="s">
        <v>46</v>
      </c>
      <c r="B40" s="86"/>
      <c r="C40" s="159">
        <f>SUM(C37:C39)</f>
        <v>1300</v>
      </c>
      <c r="D40" s="159"/>
      <c r="E40" s="159">
        <f>SUM(E37:E39)</f>
        <v>1210</v>
      </c>
      <c r="F40" s="159"/>
      <c r="G40" s="159">
        <f>SUM(G37:G39)</f>
        <v>1433.1999999999998</v>
      </c>
    </row>
    <row r="41" spans="1:18" ht="48" customHeight="1" x14ac:dyDescent="0.55000000000000004">
      <c r="A41" s="134" t="s">
        <v>57</v>
      </c>
      <c r="B41" s="86"/>
      <c r="C41" s="146">
        <f>A!D14</f>
        <v>245.9</v>
      </c>
      <c r="D41" s="145"/>
      <c r="E41" s="146">
        <f>A!F14</f>
        <v>274.7</v>
      </c>
      <c r="F41" s="145"/>
      <c r="G41" s="146">
        <f>A!H14</f>
        <v>172.90199999999999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</row>
    <row r="42" spans="1:18" ht="48" customHeight="1" thickBot="1" x14ac:dyDescent="0.6">
      <c r="A42" s="134" t="s">
        <v>47</v>
      </c>
      <c r="B42" s="86"/>
      <c r="C42" s="161">
        <f>C40+C41</f>
        <v>1545.9</v>
      </c>
      <c r="D42" s="145"/>
      <c r="E42" s="161">
        <f>E40+E41</f>
        <v>1484.7</v>
      </c>
      <c r="F42" s="148"/>
      <c r="G42" s="161">
        <f>G40+G41</f>
        <v>1606.1019999999999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</row>
    <row r="43" spans="1:18" ht="48" customHeight="1" thickTop="1" x14ac:dyDescent="0.55000000000000004">
      <c r="A43" s="134"/>
      <c r="B43" s="86"/>
      <c r="C43" s="159"/>
      <c r="D43" s="159"/>
      <c r="E43" s="159"/>
      <c r="F43" s="159"/>
      <c r="G43" s="159"/>
    </row>
    <row r="44" spans="1:18" ht="48" customHeight="1" x14ac:dyDescent="0.55000000000000004">
      <c r="A44" s="144" t="s">
        <v>48</v>
      </c>
      <c r="B44" s="86"/>
      <c r="C44" s="149">
        <f>C40/1462</f>
        <v>0.8891928864569083</v>
      </c>
      <c r="D44" s="145"/>
      <c r="E44" s="149">
        <f>E40/1462</f>
        <v>0.82763337893296851</v>
      </c>
      <c r="F44" s="145"/>
      <c r="G44" s="149">
        <f>G40/1462</f>
        <v>0.98030095759233915</v>
      </c>
    </row>
    <row r="45" spans="1:18" ht="25.5" customHeight="1" x14ac:dyDescent="0.4">
      <c r="A45" s="90"/>
      <c r="B45" s="86"/>
      <c r="C45" s="90"/>
      <c r="D45" s="90"/>
      <c r="E45" s="90"/>
      <c r="F45" s="90"/>
      <c r="G45" s="90"/>
    </row>
    <row r="46" spans="1:18" ht="25.5" customHeight="1" x14ac:dyDescent="0.4">
      <c r="A46" s="90"/>
      <c r="B46" s="86"/>
      <c r="C46" s="90"/>
      <c r="D46" s="90"/>
      <c r="E46" s="90"/>
      <c r="F46" s="90"/>
      <c r="G46" s="90"/>
    </row>
    <row r="47" spans="1:18" ht="36.75" customHeight="1" x14ac:dyDescent="0.4">
      <c r="A47" s="90"/>
      <c r="B47" s="86"/>
      <c r="C47" s="90"/>
      <c r="D47" s="90"/>
      <c r="E47" s="90"/>
      <c r="F47" s="90"/>
      <c r="G47" s="90"/>
    </row>
    <row r="48" spans="1:18" ht="23.25" customHeight="1" x14ac:dyDescent="0.4">
      <c r="A48" s="90"/>
      <c r="B48" s="86"/>
      <c r="C48" s="90"/>
      <c r="D48" s="90"/>
      <c r="E48" s="90"/>
      <c r="F48" s="90"/>
      <c r="G48" s="90"/>
    </row>
    <row r="49" spans="1:7" ht="19.95" customHeight="1" x14ac:dyDescent="0.4">
      <c r="A49" s="90"/>
      <c r="B49" s="86"/>
      <c r="C49" s="86"/>
      <c r="D49" s="86"/>
      <c r="E49" s="86"/>
      <c r="F49" s="86"/>
      <c r="G49" s="86"/>
    </row>
    <row r="50" spans="1:7" x14ac:dyDescent="0.4">
      <c r="A50" s="90"/>
    </row>
    <row r="51" spans="1:7" x14ac:dyDescent="0.4">
      <c r="A51" s="90"/>
    </row>
    <row r="52" spans="1:7" x14ac:dyDescent="0.4">
      <c r="A52" s="90"/>
    </row>
    <row r="53" spans="1:7" x14ac:dyDescent="0.4">
      <c r="A53" s="90"/>
    </row>
    <row r="54" spans="1:7" x14ac:dyDescent="0.4">
      <c r="A54" s="90"/>
    </row>
    <row r="55" spans="1:7" x14ac:dyDescent="0.4">
      <c r="A55" s="90"/>
    </row>
    <row r="56" spans="1:7" x14ac:dyDescent="0.4">
      <c r="A56" s="90"/>
    </row>
    <row r="57" spans="1:7" x14ac:dyDescent="0.4">
      <c r="A57" s="90"/>
    </row>
    <row r="58" spans="1:7" x14ac:dyDescent="0.4">
      <c r="A58" s="90"/>
    </row>
    <row r="59" spans="1:7" x14ac:dyDescent="0.4">
      <c r="A59" s="90"/>
    </row>
    <row r="60" spans="1:7" x14ac:dyDescent="0.4">
      <c r="A60" s="90"/>
    </row>
    <row r="61" spans="1:7" x14ac:dyDescent="0.4">
      <c r="A61" s="90"/>
    </row>
    <row r="62" spans="1:7" x14ac:dyDescent="0.4">
      <c r="A62" s="90"/>
    </row>
    <row r="63" spans="1:7" x14ac:dyDescent="0.4">
      <c r="A63" s="90"/>
    </row>
    <row r="64" spans="1:7" x14ac:dyDescent="0.4">
      <c r="A64" s="90"/>
    </row>
    <row r="65" spans="1:1" x14ac:dyDescent="0.4">
      <c r="A65" s="90"/>
    </row>
    <row r="66" spans="1:1" x14ac:dyDescent="0.4">
      <c r="A66" s="90"/>
    </row>
    <row r="67" spans="1:1" x14ac:dyDescent="0.4">
      <c r="A67" s="90"/>
    </row>
    <row r="68" spans="1:1" x14ac:dyDescent="0.4">
      <c r="A68" s="90"/>
    </row>
    <row r="69" spans="1:1" x14ac:dyDescent="0.4">
      <c r="A69" s="90"/>
    </row>
    <row r="70" spans="1:1" x14ac:dyDescent="0.4">
      <c r="A70" s="90"/>
    </row>
    <row r="71" spans="1:1" x14ac:dyDescent="0.4">
      <c r="A71" s="90"/>
    </row>
    <row r="72" spans="1:1" x14ac:dyDescent="0.4">
      <c r="A72" s="90"/>
    </row>
    <row r="73" spans="1:1" x14ac:dyDescent="0.4">
      <c r="A73" s="90"/>
    </row>
    <row r="74" spans="1:1" x14ac:dyDescent="0.4">
      <c r="A74" s="90"/>
    </row>
    <row r="75" spans="1:1" x14ac:dyDescent="0.4">
      <c r="A75" s="90"/>
    </row>
    <row r="76" spans="1:1" x14ac:dyDescent="0.4">
      <c r="A76" s="90"/>
    </row>
  </sheetData>
  <mergeCells count="1">
    <mergeCell ref="C1:G1"/>
  </mergeCells>
  <phoneticPr fontId="12" type="noConversion"/>
  <printOptions horizontalCentered="1"/>
  <pageMargins left="0" right="0" top="0.75" bottom="0.15" header="0" footer="0"/>
  <pageSetup scale="87" orientation="portrait" horizontalDpi="300" verticalDpi="300" r:id="rId1"/>
  <headerFooter alignWithMargins="0"/>
  <rowBreaks count="2" manualBreakCount="2">
    <brk id="19" max="6" man="1"/>
    <brk id="31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D34"/>
  <sheetViews>
    <sheetView zoomScale="75" workbookViewId="0"/>
  </sheetViews>
  <sheetFormatPr defaultColWidth="8.81640625" defaultRowHeight="22.8" x14ac:dyDescent="0.4"/>
  <cols>
    <col min="1" max="1" width="37.6328125" style="55" customWidth="1"/>
    <col min="2" max="2" width="0.90625" style="55" customWidth="1"/>
    <col min="3" max="3" width="14.1796875" style="55" customWidth="1"/>
    <col min="4" max="4" width="0.90625" style="55" customWidth="1"/>
    <col min="5" max="5" width="14.1796875" style="55" customWidth="1"/>
    <col min="6" max="6" width="1" style="55" customWidth="1"/>
    <col min="7" max="7" width="15.36328125" style="55" customWidth="1"/>
    <col min="8" max="8" width="1.36328125" style="55" customWidth="1"/>
    <col min="9" max="16384" width="8.81640625" style="55"/>
  </cols>
  <sheetData>
    <row r="1" spans="1:8" ht="40.5" customHeight="1" thickBot="1" x14ac:dyDescent="0.55000000000000004">
      <c r="A1" s="89"/>
      <c r="B1" s="54"/>
      <c r="C1" s="65"/>
      <c r="D1" s="65"/>
      <c r="E1" s="102" t="s">
        <v>65</v>
      </c>
      <c r="F1" s="65"/>
      <c r="G1" s="65"/>
      <c r="H1" s="56"/>
    </row>
    <row r="2" spans="1:8" ht="35.25" customHeight="1" x14ac:dyDescent="0.4">
      <c r="A2" s="57"/>
      <c r="B2" s="54"/>
      <c r="C2" s="122" t="s">
        <v>3</v>
      </c>
      <c r="D2" s="123"/>
      <c r="E2" s="124"/>
      <c r="F2" s="123"/>
      <c r="G2" s="125"/>
      <c r="H2" s="56"/>
    </row>
    <row r="3" spans="1:8" ht="35.25" customHeight="1" x14ac:dyDescent="0.4">
      <c r="C3" s="126" t="s">
        <v>49</v>
      </c>
      <c r="D3" s="127"/>
      <c r="E3" s="127" t="s">
        <v>5</v>
      </c>
      <c r="F3" s="128"/>
      <c r="G3" s="129" t="s">
        <v>60</v>
      </c>
      <c r="H3" s="56"/>
    </row>
    <row r="4" spans="1:8" ht="35.25" customHeight="1" thickBot="1" x14ac:dyDescent="0.45">
      <c r="C4" s="130" t="s">
        <v>9</v>
      </c>
      <c r="D4" s="131"/>
      <c r="E4" s="131" t="s">
        <v>7</v>
      </c>
      <c r="F4" s="132"/>
      <c r="G4" s="133" t="s">
        <v>8</v>
      </c>
      <c r="H4" s="56"/>
    </row>
    <row r="5" spans="1:8" ht="45" customHeight="1" x14ac:dyDescent="0.5">
      <c r="A5" s="150" t="s">
        <v>50</v>
      </c>
      <c r="B5" s="106"/>
      <c r="C5" s="106"/>
      <c r="D5" s="106"/>
      <c r="E5" s="107"/>
      <c r="F5" s="106"/>
      <c r="G5" s="106"/>
      <c r="H5" s="82"/>
    </row>
    <row r="6" spans="1:8" ht="51.9" customHeight="1" x14ac:dyDescent="0.5">
      <c r="A6" s="150" t="s">
        <v>35</v>
      </c>
      <c r="B6" s="106"/>
      <c r="C6" s="152">
        <f>A!J31+A!J32</f>
        <v>303.18700000000001</v>
      </c>
      <c r="D6" s="151"/>
      <c r="E6" s="152">
        <f>A!L31+A!L32</f>
        <v>303.125</v>
      </c>
      <c r="F6" s="151"/>
      <c r="G6" s="152">
        <f>A!N31+A!N32</f>
        <v>289.95300000000003</v>
      </c>
      <c r="H6" s="82"/>
    </row>
    <row r="7" spans="1:8" ht="51.9" customHeight="1" x14ac:dyDescent="0.5">
      <c r="A7" s="150" t="s">
        <v>51</v>
      </c>
      <c r="B7" s="106"/>
      <c r="C7" s="137">
        <f>A!J33</f>
        <v>4.7</v>
      </c>
      <c r="D7" s="135"/>
      <c r="E7" s="137">
        <f>A!L33</f>
        <v>4.7</v>
      </c>
      <c r="F7" s="135"/>
      <c r="G7" s="137">
        <f>A!N33</f>
        <v>0</v>
      </c>
      <c r="H7" s="83"/>
    </row>
    <row r="8" spans="1:8" ht="51.9" customHeight="1" x14ac:dyDescent="0.5">
      <c r="A8" s="150" t="s">
        <v>52</v>
      </c>
      <c r="B8" s="106"/>
      <c r="C8" s="138">
        <f>A!J34</f>
        <v>307.887</v>
      </c>
      <c r="D8" s="135"/>
      <c r="E8" s="138">
        <f>A!L34</f>
        <v>307.82499999999999</v>
      </c>
      <c r="F8" s="135"/>
      <c r="G8" s="138">
        <f>A!N34</f>
        <v>289.95300000000003</v>
      </c>
      <c r="H8" s="80"/>
    </row>
    <row r="9" spans="1:8" ht="51.9" customHeight="1" x14ac:dyDescent="0.5">
      <c r="A9" s="151" t="s">
        <v>53</v>
      </c>
      <c r="B9" s="106"/>
      <c r="C9" s="139">
        <f>SUM(C6:C8)</f>
        <v>615.774</v>
      </c>
      <c r="D9" s="135"/>
      <c r="E9" s="139">
        <f>SUM(E6:E8)</f>
        <v>615.65</v>
      </c>
      <c r="F9" s="135"/>
      <c r="G9" s="139">
        <f>SUM(G6:G8)</f>
        <v>579.90600000000006</v>
      </c>
      <c r="H9" s="80"/>
    </row>
    <row r="10" spans="1:8" ht="51.9" customHeight="1" x14ac:dyDescent="0.5">
      <c r="A10" s="151" t="s">
        <v>58</v>
      </c>
      <c r="B10" s="106"/>
      <c r="C10" s="137">
        <f>A!J37</f>
        <v>-75.899999999999991</v>
      </c>
      <c r="D10" s="135"/>
      <c r="E10" s="137">
        <f>A!L37</f>
        <v>-75.900000000000006</v>
      </c>
      <c r="F10" s="135"/>
      <c r="G10" s="137">
        <f>A!N37</f>
        <v>-92.3</v>
      </c>
      <c r="H10" s="80"/>
    </row>
    <row r="11" spans="1:8" ht="51.9" customHeight="1" x14ac:dyDescent="0.5">
      <c r="A11" s="150" t="s">
        <v>36</v>
      </c>
      <c r="B11" s="106"/>
      <c r="C11" s="137">
        <f>A!J38</f>
        <v>0.8</v>
      </c>
      <c r="D11" s="135"/>
      <c r="E11" s="137">
        <f>A!L38</f>
        <v>0.8</v>
      </c>
      <c r="F11" s="135"/>
      <c r="G11" s="137">
        <f>A!N38</f>
        <v>0</v>
      </c>
      <c r="H11" s="80"/>
    </row>
    <row r="12" spans="1:8" ht="51.9" customHeight="1" x14ac:dyDescent="0.5">
      <c r="A12" s="150" t="s">
        <v>37</v>
      </c>
      <c r="B12" s="106"/>
      <c r="C12" s="153">
        <f>A!J40</f>
        <v>-2.2999999999999998</v>
      </c>
      <c r="D12" s="151"/>
      <c r="E12" s="153">
        <f>A!L40</f>
        <v>-2.2999999999999994</v>
      </c>
      <c r="F12" s="151"/>
      <c r="G12" s="153">
        <f>A!N40</f>
        <v>-2.4</v>
      </c>
      <c r="H12" s="84"/>
    </row>
    <row r="13" spans="1:8" ht="51.9" customHeight="1" x14ac:dyDescent="0.5">
      <c r="A13" s="150" t="s">
        <v>21</v>
      </c>
      <c r="B13" s="106"/>
      <c r="C13" s="154">
        <f>A!J42</f>
        <v>-49.6</v>
      </c>
      <c r="D13" s="151"/>
      <c r="E13" s="154">
        <f>A!L42</f>
        <v>-49.5</v>
      </c>
      <c r="F13" s="151"/>
      <c r="G13" s="154">
        <f>A!N42</f>
        <v>-35</v>
      </c>
      <c r="H13" s="84"/>
    </row>
    <row r="14" spans="1:8" ht="45" customHeight="1" x14ac:dyDescent="0.5">
      <c r="A14" s="150" t="s">
        <v>38</v>
      </c>
      <c r="B14" s="107"/>
      <c r="C14" s="107"/>
      <c r="D14" s="107"/>
      <c r="E14" s="107"/>
      <c r="F14" s="107"/>
      <c r="G14" s="107"/>
      <c r="H14" s="81"/>
    </row>
    <row r="15" spans="1:8" ht="33" customHeight="1" thickBot="1" x14ac:dyDescent="0.6">
      <c r="A15" s="150" t="s">
        <v>39</v>
      </c>
      <c r="B15" s="106"/>
      <c r="C15" s="142">
        <f>A!J43</f>
        <v>79.087000000000018</v>
      </c>
      <c r="D15" s="145"/>
      <c r="E15" s="142">
        <f>A!L43</f>
        <v>79.124999999999972</v>
      </c>
      <c r="F15" s="145"/>
      <c r="G15" s="142">
        <f>A!N43</f>
        <v>55.153000000000006</v>
      </c>
      <c r="H15" s="80"/>
    </row>
    <row r="16" spans="1:8" ht="45.75" customHeight="1" thickTop="1" thickBot="1" x14ac:dyDescent="0.55000000000000004">
      <c r="A16" s="64"/>
      <c r="C16" s="65"/>
      <c r="D16" s="65"/>
      <c r="E16" s="105" t="str">
        <f>E1</f>
        <v>DECEMBER Y-T-D</v>
      </c>
      <c r="F16" s="65"/>
      <c r="G16" s="65"/>
      <c r="H16" s="58"/>
    </row>
    <row r="17" spans="1:30" ht="35.25" customHeight="1" x14ac:dyDescent="0.4">
      <c r="A17" s="64"/>
      <c r="C17" s="66" t="s">
        <v>3</v>
      </c>
      <c r="D17" s="67"/>
      <c r="E17" s="68"/>
      <c r="F17" s="67"/>
      <c r="G17" s="69"/>
      <c r="H17" s="58"/>
    </row>
    <row r="18" spans="1:30" ht="35.25" customHeight="1" x14ac:dyDescent="0.4">
      <c r="C18" s="70" t="s">
        <v>49</v>
      </c>
      <c r="D18" s="49"/>
      <c r="E18" s="49" t="s">
        <v>5</v>
      </c>
      <c r="F18" s="71"/>
      <c r="G18" s="72" t="s">
        <v>60</v>
      </c>
      <c r="H18" s="58"/>
    </row>
    <row r="19" spans="1:30" ht="35.25" customHeight="1" thickBot="1" x14ac:dyDescent="0.45">
      <c r="B19" s="54"/>
      <c r="C19" s="73" t="s">
        <v>9</v>
      </c>
      <c r="D19" s="74"/>
      <c r="E19" s="74" t="s">
        <v>7</v>
      </c>
      <c r="F19" s="75"/>
      <c r="G19" s="76" t="s">
        <v>8</v>
      </c>
    </row>
    <row r="20" spans="1:30" ht="51" customHeight="1" x14ac:dyDescent="0.5">
      <c r="A20" s="143" t="s">
        <v>42</v>
      </c>
      <c r="B20" s="90"/>
      <c r="C20" s="108"/>
      <c r="D20" s="108"/>
      <c r="E20" s="109"/>
      <c r="F20" s="100"/>
      <c r="G20" s="110"/>
      <c r="H20" s="59"/>
    </row>
    <row r="21" spans="1:30" ht="51" customHeight="1" x14ac:dyDescent="0.55000000000000004">
      <c r="A21" s="134" t="s">
        <v>43</v>
      </c>
      <c r="B21" s="90"/>
      <c r="C21" s="145">
        <f>A!J10</f>
        <v>687.43636363636369</v>
      </c>
      <c r="D21" s="145"/>
      <c r="E21" s="145">
        <f>A!L10</f>
        <v>681.44545454545448</v>
      </c>
      <c r="F21" s="145"/>
      <c r="G21" s="145">
        <f>A!N10</f>
        <v>783.72727272727275</v>
      </c>
    </row>
    <row r="22" spans="1:30" ht="51" customHeight="1" x14ac:dyDescent="0.55000000000000004">
      <c r="A22" s="134" t="s">
        <v>44</v>
      </c>
      <c r="B22" s="90"/>
      <c r="C22" s="145">
        <f>A!J11</f>
        <v>629.38181818181818</v>
      </c>
      <c r="D22" s="145"/>
      <c r="E22" s="145">
        <f>A!L11</f>
        <v>629.96363636363628</v>
      </c>
      <c r="F22" s="145"/>
      <c r="G22" s="145">
        <f>A!N11</f>
        <v>693.54545454545462</v>
      </c>
    </row>
    <row r="23" spans="1:30" ht="51" customHeight="1" x14ac:dyDescent="0.55000000000000004">
      <c r="A23" s="134" t="s">
        <v>45</v>
      </c>
      <c r="B23" s="90"/>
      <c r="C23" s="146">
        <f>A!J12</f>
        <v>28.772727272727266</v>
      </c>
      <c r="D23" s="145"/>
      <c r="E23" s="146">
        <f>A!L12</f>
        <v>23.454545454545453</v>
      </c>
      <c r="F23" s="145"/>
      <c r="G23" s="146">
        <f>A!N12</f>
        <v>25.381818181818179</v>
      </c>
    </row>
    <row r="24" spans="1:30" ht="51" customHeight="1" x14ac:dyDescent="0.55000000000000004">
      <c r="A24" s="134" t="s">
        <v>46</v>
      </c>
      <c r="B24" s="90"/>
      <c r="C24" s="146">
        <f>SUM(C21:C23)</f>
        <v>1345.5909090909092</v>
      </c>
      <c r="D24" s="145"/>
      <c r="E24" s="146">
        <f>SUM(E21:E23)</f>
        <v>1334.8636363636363</v>
      </c>
      <c r="F24" s="145"/>
      <c r="G24" s="146">
        <f>SUM(G21:G23)</f>
        <v>1502.6545454545458</v>
      </c>
    </row>
    <row r="25" spans="1:30" ht="51" customHeight="1" x14ac:dyDescent="0.5">
      <c r="A25" s="134" t="s">
        <v>57</v>
      </c>
      <c r="C25" s="164">
        <f>A!J14</f>
        <v>241.23636363636362</v>
      </c>
      <c r="E25" s="164">
        <f>A!L14</f>
        <v>242.27272727272722</v>
      </c>
      <c r="G25" s="164">
        <f>A!N14</f>
        <v>172.90199999999999</v>
      </c>
    </row>
    <row r="26" spans="1:30" ht="51" customHeight="1" thickBot="1" x14ac:dyDescent="0.6">
      <c r="A26" s="134" t="s">
        <v>47</v>
      </c>
      <c r="B26" s="90"/>
      <c r="C26" s="147">
        <f>C25+C24</f>
        <v>1586.8272727272729</v>
      </c>
      <c r="D26" s="145"/>
      <c r="E26" s="147">
        <f>E25+E24</f>
        <v>1577.1363636363635</v>
      </c>
      <c r="F26" s="145"/>
      <c r="G26" s="147">
        <f>G25+G24</f>
        <v>1675.5565454545458</v>
      </c>
    </row>
    <row r="27" spans="1:30" ht="51" customHeight="1" thickTop="1" x14ac:dyDescent="0.55000000000000004">
      <c r="A27" s="134"/>
      <c r="B27" s="90"/>
      <c r="C27" s="159"/>
      <c r="D27" s="145"/>
      <c r="E27" s="159"/>
      <c r="F27" s="145"/>
      <c r="G27" s="159"/>
    </row>
    <row r="28" spans="1:30" ht="51" customHeight="1" x14ac:dyDescent="0.55000000000000004">
      <c r="A28" s="162"/>
      <c r="B28" s="94"/>
      <c r="C28" s="159"/>
      <c r="D28" s="159"/>
      <c r="E28" s="159"/>
      <c r="F28" s="159"/>
      <c r="G28" s="159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</row>
    <row r="29" spans="1:30" ht="54" customHeight="1" x14ac:dyDescent="0.55000000000000004">
      <c r="A29" s="144" t="s">
        <v>48</v>
      </c>
      <c r="B29" s="90"/>
      <c r="C29" s="149">
        <f>C24/1462</f>
        <v>0.92037681880363154</v>
      </c>
      <c r="D29" s="145"/>
      <c r="E29" s="149">
        <f>E24/1462</f>
        <v>0.91303942295734353</v>
      </c>
      <c r="F29" s="145"/>
      <c r="G29" s="149">
        <f>G24/1462</f>
        <v>1.0278074866310163</v>
      </c>
      <c r="H29" s="54"/>
      <c r="I29" s="54"/>
    </row>
    <row r="30" spans="1:30" ht="25.5" customHeight="1" x14ac:dyDescent="0.4">
      <c r="A30" s="90"/>
      <c r="B30" s="90"/>
      <c r="C30" s="90"/>
      <c r="D30" s="90"/>
      <c r="E30" s="90"/>
      <c r="F30" s="90"/>
      <c r="G30" s="90"/>
      <c r="H30" s="54"/>
      <c r="I30" s="54"/>
    </row>
    <row r="31" spans="1:30" ht="25.5" customHeight="1" x14ac:dyDescent="0.4">
      <c r="A31" s="91"/>
      <c r="B31" s="91"/>
      <c r="C31" s="91"/>
      <c r="D31" s="91"/>
      <c r="E31" s="91"/>
      <c r="F31" s="91"/>
      <c r="G31" s="91"/>
    </row>
    <row r="32" spans="1:30" ht="36.75" customHeight="1" x14ac:dyDescent="0.4"/>
    <row r="33" ht="23.25" customHeight="1" x14ac:dyDescent="0.4"/>
    <row r="34" ht="19.95" customHeight="1" x14ac:dyDescent="0.4"/>
  </sheetData>
  <phoneticPr fontId="12" type="noConversion"/>
  <printOptions horizontalCentered="1"/>
  <pageMargins left="0" right="0" top="0.3" bottom="0.15" header="0" footer="0"/>
  <pageSetup orientation="portrait" horizontalDpi="300" verticalDpi="300" r:id="rId1"/>
  <headerFooter alignWithMargins="0"/>
  <rowBreaks count="1" manualBreakCount="1">
    <brk id="15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</vt:lpstr>
      <vt:lpstr>November</vt:lpstr>
      <vt:lpstr>September</vt:lpstr>
      <vt:lpstr>SummMonth</vt:lpstr>
      <vt:lpstr>SummYTD</vt:lpstr>
      <vt:lpstr>A!Print_Area</vt:lpstr>
      <vt:lpstr>November!Print_Area</vt:lpstr>
      <vt:lpstr>September!Print_Area</vt:lpstr>
      <vt:lpstr>SummMonth!Print_Area</vt:lpstr>
      <vt:lpstr>SummYTD!Print_Area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Palma, Larry L</dc:creator>
  <cp:lastModifiedBy>Havlíček Jan</cp:lastModifiedBy>
  <cp:lastPrinted>2001-11-19T22:24:55Z</cp:lastPrinted>
  <dcterms:created xsi:type="dcterms:W3CDTF">1998-02-20T18:43:42Z</dcterms:created>
  <dcterms:modified xsi:type="dcterms:W3CDTF">2023-09-10T12:04:08Z</dcterms:modified>
</cp:coreProperties>
</file>