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852" yWindow="-12" windowWidth="4968" windowHeight="7956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PLR SUM" sheetId="6" r:id="rId6"/>
    <sheet name="SPEC SUM" sheetId="7" state="hidden" r:id="rId7"/>
    <sheet name="PLR DETAILS" sheetId="8" r:id="rId8"/>
    <sheet name="SPEC DETAILS" sheetId="9" state="hidden" r:id="rId9"/>
    <sheet name="SPEC REPORT" sheetId="10" r:id="rId10"/>
    <sheet name="SPEC REPORT DETAILS" sheetId="11" r:id="rId11"/>
    <sheet name="5-DAY" sheetId="12" state="hidden" r:id="rId12"/>
    <sheet name="VAR" sheetId="13" state="hidden" r:id="rId13"/>
    <sheet name="OPEN SPEC" sheetId="14" state="hidden" r:id="rId14"/>
    <sheet name="Gap Risk" sheetId="15" state="hidden" r:id="rId15"/>
    <sheet name="BASIS" sheetId="16" state="hidden" r:id="rId16"/>
  </sheets>
  <externalReferences>
    <externalReference r:id="rId17"/>
    <externalReference r:id="rId18"/>
  </externalReferences>
  <definedNames>
    <definedName name="Aeco_nonS">Dth_Day!$A$28</definedName>
    <definedName name="Aeco_S">Dth_Day!$A$16</definedName>
    <definedName name="Days">'Gap Risk'!#REF!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4">'Dth Prompt'!$A:$B</definedName>
    <definedName name="_xlnm.Print_Titles" localSheetId="3">Dth_Day!$A:$B</definedName>
    <definedName name="_xlnm.Print_Titles" localSheetId="7">'PLR DETAILS'!$A:$B,'PLR DETAILS'!$1:$4</definedName>
    <definedName name="_xlnm.Print_Titles" localSheetId="5">'PLR SUM'!$A:$B</definedName>
    <definedName name="_xlnm.Print_Titles" localSheetId="8">'SPEC DETAILS'!$A:$B</definedName>
    <definedName name="_xlnm.Print_Titles" localSheetId="10">'SPEC REPORT DETAILS'!$A:$C</definedName>
    <definedName name="_xlnm.Print_Titles" localSheetId="6">'SPEC SUM'!$A:$B</definedName>
    <definedName name="Rockies_nonS">Dth_Day!$A$30</definedName>
    <definedName name="Rockies_S">Dth_Day!$A$18</definedName>
    <definedName name="Sumas_nonS">Dth_Day!$A$29</definedName>
    <definedName name="Sumas_S">Dth_Day!$A$17</definedName>
    <definedName name="Zero">Dth_Day!$A$43</definedName>
  </definedNames>
  <calcPr calcId="0" fullCalcOnLoad="1" calcOnSave="0"/>
  <pivotCaches>
    <pivotCache cacheId="0" r:id="rId19"/>
    <pivotCache cacheId="1" r:id="rId20"/>
  </pivotCaches>
</workbook>
</file>

<file path=xl/calcChain.xml><?xml version="1.0" encoding="utf-8"?>
<calcChain xmlns="http://schemas.openxmlformats.org/spreadsheetml/2006/main">
  <c r="C1" i="12" l="1"/>
  <c r="C2" i="12"/>
  <c r="F2" i="12"/>
  <c r="C79" i="12"/>
  <c r="E104" i="12"/>
  <c r="E106" i="12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H25" i="5"/>
  <c r="I25" i="5"/>
  <c r="J25" i="5"/>
  <c r="L25" i="5"/>
  <c r="M25" i="5"/>
  <c r="N25" i="5"/>
  <c r="P25" i="5"/>
  <c r="Q25" i="5"/>
  <c r="R25" i="5"/>
  <c r="C26" i="5"/>
  <c r="D26" i="5"/>
  <c r="E26" i="5"/>
  <c r="H26" i="5"/>
  <c r="I26" i="5"/>
  <c r="J26" i="5"/>
  <c r="L26" i="5"/>
  <c r="M26" i="5"/>
  <c r="N26" i="5"/>
  <c r="P26" i="5"/>
  <c r="Q26" i="5"/>
  <c r="R26" i="5"/>
  <c r="C27" i="5"/>
  <c r="D27" i="5"/>
  <c r="E27" i="5"/>
  <c r="H27" i="5"/>
  <c r="I27" i="5"/>
  <c r="J27" i="5"/>
  <c r="L27" i="5"/>
  <c r="M27" i="5"/>
  <c r="N27" i="5"/>
  <c r="P27" i="5"/>
  <c r="Q27" i="5"/>
  <c r="R27" i="5"/>
  <c r="J29" i="5"/>
  <c r="J30" i="5"/>
  <c r="N30" i="5"/>
  <c r="R30" i="5"/>
  <c r="J32" i="5"/>
  <c r="N32" i="5"/>
  <c r="R32" i="5"/>
  <c r="H35" i="5"/>
  <c r="I35" i="5"/>
  <c r="J35" i="5"/>
  <c r="L35" i="5"/>
  <c r="M35" i="5"/>
  <c r="N35" i="5"/>
  <c r="P35" i="5"/>
  <c r="Q35" i="5"/>
  <c r="R35" i="5"/>
  <c r="H36" i="5"/>
  <c r="I36" i="5"/>
  <c r="J36" i="5"/>
  <c r="L36" i="5"/>
  <c r="M36" i="5"/>
  <c r="N36" i="5"/>
  <c r="P36" i="5"/>
  <c r="Q36" i="5"/>
  <c r="R36" i="5"/>
  <c r="H37" i="5"/>
  <c r="I37" i="5"/>
  <c r="J37" i="5"/>
  <c r="L37" i="5"/>
  <c r="M37" i="5"/>
  <c r="N37" i="5"/>
  <c r="P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2" i="4"/>
  <c r="C23" i="4"/>
  <c r="G23" i="4"/>
  <c r="H23" i="4"/>
  <c r="I23" i="4"/>
  <c r="J23" i="4"/>
  <c r="K23" i="4"/>
  <c r="L23" i="4"/>
  <c r="M23" i="4"/>
  <c r="C29" i="4"/>
  <c r="D29" i="4"/>
  <c r="E29" i="4"/>
  <c r="F29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B7" i="15"/>
  <c r="C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B8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B16" i="15"/>
  <c r="C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B17" i="15"/>
  <c r="B24" i="15"/>
  <c r="B25" i="15"/>
  <c r="B26" i="15"/>
  <c r="B29" i="1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C112" i="8"/>
  <c r="D112" i="8"/>
  <c r="E112" i="8"/>
  <c r="F112" i="8"/>
  <c r="C114" i="8"/>
  <c r="D114" i="8"/>
  <c r="E114" i="8"/>
  <c r="F114" i="8"/>
  <c r="C119" i="8"/>
  <c r="D119" i="8"/>
  <c r="E119" i="8"/>
  <c r="F119" i="8"/>
  <c r="C120" i="8"/>
  <c r="D120" i="8"/>
  <c r="E120" i="8"/>
  <c r="F120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1" i="6"/>
  <c r="D11" i="6"/>
  <c r="E11" i="6"/>
  <c r="F11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1" i="6"/>
  <c r="D21" i="6"/>
  <c r="E21" i="6"/>
  <c r="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5" i="6"/>
  <c r="A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N87" i="3"/>
  <c r="N88" i="3"/>
  <c r="N89" i="3"/>
  <c r="N90" i="3"/>
  <c r="N91" i="3"/>
  <c r="A3" i="10"/>
  <c r="D7" i="10"/>
  <c r="D8" i="10"/>
  <c r="I8" i="10"/>
  <c r="K8" i="10"/>
  <c r="C9" i="10"/>
  <c r="I9" i="10"/>
  <c r="K9" i="10"/>
  <c r="I10" i="10"/>
  <c r="K10" i="10"/>
  <c r="D11" i="10"/>
  <c r="I11" i="10"/>
  <c r="K11" i="10"/>
  <c r="D12" i="10"/>
  <c r="I12" i="10"/>
  <c r="K12" i="10"/>
  <c r="D17" i="10"/>
  <c r="I17" i="10"/>
  <c r="J17" i="10"/>
  <c r="K17" i="10"/>
  <c r="L17" i="10"/>
  <c r="N17" i="10"/>
  <c r="C22" i="10"/>
  <c r="C23" i="10"/>
  <c r="C24" i="10"/>
  <c r="C25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O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O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A3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H10" i="11"/>
  <c r="AH11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H22" i="11"/>
  <c r="AH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H34" i="11"/>
  <c r="AH35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H46" i="11"/>
  <c r="AH47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<sst xmlns="http://schemas.openxmlformats.org/spreadsheetml/2006/main" count="1443" uniqueCount="216">
  <si>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</si>
  <si>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</si>
  <si>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</si>
  <si>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</si>
  <si>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</si>
  <si>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</si>
  <si>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</si>
  <si>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</si>
  <si>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</si>
  <si>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</si>
  <si>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</si>
  <si>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</si>
  <si>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</si>
  <si>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</si>
  <si>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</si>
  <si>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</si>
  <si>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</si>
  <si>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</si>
  <si>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</si>
  <si>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</si>
  <si>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</si>
  <si>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</si>
  <si>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</si>
  <si>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</si>
  <si>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</si>
  <si>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</si>
  <si>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</si>
  <si>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</si>
  <si>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</si>
  <si>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</si>
  <si>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</si>
  <si>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</si>
  <si>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</si>
  <si>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</si>
  <si>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</si>
  <si>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</si>
  <si>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</si>
  <si>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</si>
  <si>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</si>
  <si>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</si>
  <si>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</si>
  <si>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</si>
  <si>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</si>
  <si>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</si>
  <si>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</si>
  <si>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</si>
  <si>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</si>
  <si>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</si>
  <si>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</si>
  <si>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</si>
  <si>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</si>
  <si>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</si>
  <si>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</si>
  <si>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</si>
  <si>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</si>
  <si>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</si>
  <si>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</si>
  <si>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</si>
  <si>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</si>
  <si>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</si>
  <si>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</si>
  <si>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</si>
  <si>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</si>
  <si>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</si>
  <si>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</si>
  <si>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</si>
  <si>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</si>
  <si>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</si>
  <si>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</si>
  <si>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</si>
  <si>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</si>
  <si>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</si>
  <si>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</si>
  <si>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</si>
  <si>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</si>
  <si>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</si>
  <si>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</si>
  <si>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</si>
  <si>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</si>
  <si>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</si>
  <si>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</si>
  <si>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</si>
  <si>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</si>
  <si>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</si>
  <si>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</si>
  <si>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</si>
  <si>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</si>
  <si>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</si>
  <si>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</si>
  <si>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</si>
  <si>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</si>
  <si>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</si>
  <si>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</si>
  <si>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</si>
  <si>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</si>
  <si>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</si>
  <si>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</si>
  <si>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</si>
  <si>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</si>
  <si>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</si>
  <si>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</si>
  <si>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</si>
  <si>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</si>
  <si>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</si>
  <si>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</si>
  <si>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</si>
  <si>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</si>
  <si>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</si>
  <si>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</si>
  <si>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</si>
  <si>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</si>
  <si>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</si>
  <si>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</si>
  <si>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</si>
  <si>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</si>
  <si>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</si>
  <si>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</si>
  <si>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</si>
  <si>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</si>
  <si>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</si>
  <si>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</si>
  <si>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</si>
  <si>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</si>
  <si>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</si>
  <si>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</si>
  <si>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</si>
  <si>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</si>
  <si>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</si>
  <si>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</si>
  <si>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</si>
  <si>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</si>
  <si>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</si>
  <si>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</si>
  <si>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</si>
  <si>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</si>
  <si>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</si>
  <si>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</si>
  <si>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</si>
  <si>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</si>
  <si>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</si>
  <si>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</si>
  <si>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</si>
  <si>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</si>
  <si>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</si>
  <si>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As of November 20, 2001</t>
  </si>
  <si>
    <t>Speculative vs Hedge Books</t>
  </si>
  <si>
    <t>Valuation Date:  11/20/2001</t>
  </si>
  <si>
    <t>As of:                11/20/2001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</si>
  <si>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</si>
  <si>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</si>
  <si>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</si>
  <si>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</si>
  <si>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</si>
  <si>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</si>
  <si>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</si>
  <si>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</si>
  <si>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</si>
  <si>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</si>
  <si>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</si>
  <si>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</si>
  <si>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</si>
  <si>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</si>
  <si>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</si>
  <si>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</si>
  <si>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</si>
  <si>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</si>
  <si>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</si>
  <si>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</si>
  <si>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</si>
  <si>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</si>
  <si>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</si>
  <si>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</si>
  <si>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</si>
  <si>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</si>
  <si>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</si>
  <si>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</si>
  <si>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</si>
  <si>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TERM - Fuel PLR Book Details</t>
  </si>
  <si>
    <t>Prior Date:          11/19/2001</t>
  </si>
  <si>
    <t>As of:                  11/20/2001</t>
  </si>
  <si>
    <t>Dth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</si>
  <si>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</si>
  <si>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</si>
  <si>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</si>
  <si>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</si>
  <si>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</si>
  <si>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</si>
  <si>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</si>
  <si>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</si>
  <si>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</si>
  <si>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</si>
  <si>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Total MTM</t>
  </si>
  <si>
    <t>TERM - Fuel SPEC Book Details</t>
  </si>
  <si>
    <t>TERM - Fuel SPEC Book Summary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</si>
  <si>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</si>
  <si>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</si>
  <si>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</si>
  <si>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</si>
  <si>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</si>
  <si>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</si>
  <si>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</si>
  <si>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</si>
  <si>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TERM - Fuel PLR Book Summary</t>
  </si>
  <si>
    <t>L</t>
  </si>
  <si>
    <t>S</t>
  </si>
  <si>
    <t>BASISSWAP</t>
  </si>
  <si>
    <t>Owen</t>
  </si>
  <si>
    <t>Entergy-Koch Trading, LP</t>
  </si>
  <si>
    <t>MMBTU</t>
  </si>
  <si>
    <t>USD</t>
  </si>
  <si>
    <t>Morgan Stanley Capital Group, Inc</t>
  </si>
  <si>
    <t>Yildirok</t>
  </si>
  <si>
    <t>Sempra Energy Trading Corp.</t>
  </si>
  <si>
    <t>Utilicorp United Inc.</t>
  </si>
  <si>
    <t>FFSWAP</t>
  </si>
  <si>
    <t>Duke Energy Trading and Marketing,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</si>
</sst>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6" formatCode="&quot;$&quot;#,##0"/>
    <numFmt numFmtId="175" formatCode="mmmm\ d\,\ yyyy"/>
    <numFmt numFmtId="177" formatCode="#,##0.000"/>
    <numFmt numFmtId="183" formatCode="0.000"/>
  </numFmts>
  <fonts count="40" x14ac:knownFonts="1"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22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3" fontId="37" fillId="0" borderId="0" xfId="0" applyNumberFormat="1" applyFont="1" applyAlignment="1">
      <alignment horizontal="right"/>
    </xf>
    <xf numFmtId="0" fontId="0" fillId="0" borderId="2" xfId="0" applyBorder="1"/>
    <xf numFmtId="14" fontId="0" fillId="0" borderId="3" xfId="0" applyNumberFormat="1" applyBorder="1"/>
    <xf numFmtId="14" fontId="0" fillId="0" borderId="2" xfId="0" applyNumberFormat="1" applyBorder="1"/>
    <xf numFmtId="0" fontId="0" fillId="0" borderId="4" xfId="0" applyNumberFormat="1" applyBorder="1"/>
    <xf numFmtId="42" fontId="18" fillId="0" borderId="0" xfId="0" applyNumberFormat="1" applyFont="1" applyBorder="1"/>
    <xf numFmtId="9" fontId="35" fillId="0" borderId="0" xfId="0" applyNumberFormat="1" applyFont="1" applyAlignment="1">
      <alignment horizontal="left"/>
    </xf>
    <xf numFmtId="9" fontId="24" fillId="0" borderId="0" xfId="0" applyNumberFormat="1" applyFont="1" applyAlignment="1">
      <alignment horizontal="left"/>
    </xf>
    <xf numFmtId="3" fontId="15" fillId="0" borderId="5" xfId="0" applyNumberFormat="1" applyFont="1" applyBorder="1"/>
    <xf numFmtId="3" fontId="16" fillId="0" borderId="0" xfId="0" applyNumberFormat="1" applyFont="1" applyAlignment="1">
      <alignment horizontal="right"/>
    </xf>
    <xf numFmtId="3" fontId="36" fillId="0" borderId="0" xfId="0" applyNumberFormat="1" applyFont="1"/>
    <xf numFmtId="3" fontId="37" fillId="0" borderId="0" xfId="0" applyNumberFormat="1" applyFont="1"/>
    <xf numFmtId="3" fontId="36" fillId="2" borderId="1" xfId="0" applyNumberFormat="1" applyFont="1" applyFill="1" applyBorder="1"/>
    <xf numFmtId="3" fontId="38" fillId="0" borderId="0" xfId="0" applyNumberFormat="1" applyFont="1" applyAlignment="1">
      <alignment horizontal="right"/>
    </xf>
    <xf numFmtId="3" fontId="39" fillId="0" borderId="0" xfId="0" applyNumberFormat="1" applyFont="1"/>
    <xf numFmtId="3" fontId="36" fillId="2" borderId="6" xfId="0" applyNumberFormat="1" applyFont="1" applyFill="1" applyBorder="1"/>
    <xf numFmtId="3" fontId="36" fillId="2" borderId="7" xfId="0" applyNumberFormat="1" applyFont="1" applyFill="1" applyBorder="1"/>
    <xf numFmtId="3" fontId="36" fillId="2" borderId="8" xfId="0" applyNumberFormat="1" applyFont="1" applyFill="1" applyBorder="1"/>
    <xf numFmtId="42" fontId="6" fillId="3" borderId="9" xfId="0" applyNumberFormat="1" applyFont="1" applyFill="1" applyBorder="1"/>
    <xf numFmtId="0" fontId="5" fillId="0" borderId="9" xfId="0" applyFont="1" applyBorder="1"/>
    <xf numFmtId="9" fontId="24" fillId="0" borderId="0" xfId="0" applyNumberFormat="1" applyFont="1" applyAlignment="1">
      <alignment horizontal="right"/>
    </xf>
    <xf numFmtId="3" fontId="15" fillId="2" borderId="8" xfId="0" applyNumberFormat="1" applyFont="1" applyFill="1" applyBorder="1"/>
    <xf numFmtId="0" fontId="6" fillId="0" borderId="0" xfId="0" applyFont="1" applyFill="1"/>
    <xf numFmtId="3" fontId="24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33" fillId="2" borderId="1" xfId="0" applyNumberFormat="1" applyFont="1" applyFill="1" applyBorder="1" applyAlignment="1" applyProtection="1">
      <alignment horizontal="left" vertical="top"/>
      <protection locked="0"/>
    </xf>
    <xf numFmtId="3" fontId="34" fillId="0" borderId="0" xfId="0" applyNumberFormat="1" applyFont="1" applyAlignment="1" applyProtection="1">
      <alignment horizontal="right" vertical="top"/>
      <protection locked="0"/>
    </xf>
    <xf numFmtId="3" fontId="34" fillId="0" borderId="0" xfId="0" applyNumberFormat="1" applyFont="1" applyAlignment="1" applyProtection="1">
      <alignment horizontal="right" vertical="top" wrapText="1"/>
      <protection locked="0"/>
    </xf>
    <xf numFmtId="3" fontId="35" fillId="0" borderId="0" xfId="0" applyNumberFormat="1" applyFont="1"/>
    <xf numFmtId="3" fontId="33" fillId="2" borderId="6" xfId="0" applyNumberFormat="1" applyFont="1" applyFill="1" applyBorder="1"/>
    <xf numFmtId="3" fontId="33" fillId="2" borderId="7" xfId="0" applyNumberFormat="1" applyFont="1" applyFill="1" applyBorder="1"/>
    <xf numFmtId="3" fontId="33" fillId="2" borderId="1" xfId="0" applyNumberFormat="1" applyFont="1" applyFill="1" applyBorder="1" applyAlignment="1">
      <alignment horizontal="left"/>
    </xf>
    <xf numFmtId="37" fontId="15" fillId="0" borderId="0" xfId="0" applyNumberFormat="1" applyFont="1"/>
    <xf numFmtId="37" fontId="16" fillId="0" borderId="0" xfId="0" applyNumberFormat="1" applyFont="1"/>
    <xf numFmtId="37" fontId="15" fillId="2" borderId="6" xfId="0" applyNumberFormat="1" applyFont="1" applyFill="1" applyBorder="1"/>
    <xf numFmtId="183" fontId="18" fillId="0" borderId="0" xfId="0" applyNumberFormat="1" applyFont="1"/>
    <xf numFmtId="37" fontId="17" fillId="0" borderId="2" xfId="0" applyNumberFormat="1" applyFont="1" applyBorder="1"/>
    <xf numFmtId="3" fontId="12" fillId="4" borderId="10" xfId="0" applyNumberFormat="1" applyFont="1" applyFill="1" applyBorder="1"/>
    <xf numFmtId="3" fontId="27" fillId="0" borderId="0" xfId="0" applyNumberFormat="1" applyFont="1"/>
    <xf numFmtId="3" fontId="5" fillId="0" borderId="0" xfId="0" applyNumberFormat="1" applyFont="1" applyAlignment="1">
      <alignment horizontal="right"/>
    </xf>
    <xf numFmtId="3" fontId="27" fillId="2" borderId="6" xfId="0" applyNumberFormat="1" applyFont="1" applyFill="1" applyBorder="1"/>
    <xf numFmtId="3" fontId="27" fillId="2" borderId="7" xfId="0" applyNumberFormat="1" applyFont="1" applyFill="1" applyBorder="1"/>
    <xf numFmtId="3" fontId="5" fillId="0" borderId="0" xfId="0" applyNumberFormat="1" applyFont="1" applyAlignment="1">
      <alignment horizontal="left"/>
    </xf>
    <xf numFmtId="3" fontId="29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left"/>
    </xf>
    <xf numFmtId="0" fontId="22" fillId="0" borderId="0" xfId="0" applyFont="1" applyAlignment="1" applyProtection="1">
      <alignment vertical="top" wrapText="1"/>
      <protection locked="0"/>
    </xf>
    <xf numFmtId="0" fontId="15" fillId="2" borderId="1" xfId="0" applyFont="1" applyFill="1" applyBorder="1" applyAlignment="1" applyProtection="1">
      <alignment horizontal="center" vertical="top"/>
      <protection locked="0"/>
    </xf>
    <xf numFmtId="0" fontId="15" fillId="0" borderId="1" xfId="0" applyFont="1" applyBorder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right" vertical="top"/>
      <protection locked="0"/>
    </xf>
    <xf numFmtId="0" fontId="8" fillId="0" borderId="0" xfId="0" applyFont="1" applyFill="1" applyBorder="1" applyAlignment="1">
      <alignment horizontal="center"/>
    </xf>
    <xf numFmtId="0" fontId="12" fillId="0" borderId="0" xfId="0" applyFont="1" applyBorder="1"/>
    <xf numFmtId="0" fontId="0" fillId="0" borderId="0" xfId="0" applyAlignment="1">
      <alignment horizontal="center"/>
    </xf>
    <xf numFmtId="37" fontId="17" fillId="0" borderId="0" xfId="0" applyNumberFormat="1" applyFont="1"/>
    <xf numFmtId="37" fontId="0" fillId="0" borderId="0" xfId="0" applyNumberFormat="1" applyFont="1"/>
    <xf numFmtId="37" fontId="15" fillId="0" borderId="5" xfId="0" applyNumberFormat="1" applyFont="1" applyBorder="1"/>
    <xf numFmtId="37" fontId="15" fillId="2" borderId="7" xfId="0" applyNumberFormat="1" applyFont="1" applyFill="1" applyBorder="1"/>
    <xf numFmtId="37" fontId="15" fillId="2" borderId="8" xfId="0" applyNumberFormat="1" applyFont="1" applyFill="1" applyBorder="1"/>
    <xf numFmtId="3" fontId="27" fillId="2" borderId="1" xfId="0" applyNumberFormat="1" applyFont="1" applyFill="1" applyBorder="1" applyAlignment="1">
      <alignment horizontal="left"/>
    </xf>
    <xf numFmtId="3" fontId="28" fillId="0" borderId="0" xfId="0" applyNumberFormat="1" applyFont="1"/>
    <xf numFmtId="42" fontId="10" fillId="0" borderId="0" xfId="0" applyNumberFormat="1" applyFont="1" applyFill="1"/>
    <xf numFmtId="0" fontId="24" fillId="0" borderId="0" xfId="0" applyFont="1" applyFill="1"/>
    <xf numFmtId="42" fontId="9" fillId="3" borderId="11" xfId="0" applyNumberFormat="1" applyFont="1" applyFill="1" applyBorder="1"/>
    <xf numFmtId="42" fontId="9" fillId="0" borderId="0" xfId="0" applyNumberFormat="1" applyFont="1" applyFill="1" applyBorder="1"/>
    <xf numFmtId="17" fontId="11" fillId="0" borderId="0" xfId="0" applyNumberFormat="1" applyFont="1" applyFill="1" applyBorder="1"/>
    <xf numFmtId="17" fontId="11" fillId="0" borderId="0" xfId="0" applyNumberFormat="1" applyFont="1" applyFill="1" applyBorder="1" applyAlignment="1">
      <alignment horizontal="right"/>
    </xf>
    <xf numFmtId="0" fontId="5" fillId="0" borderId="0" xfId="0" applyFont="1" applyBorder="1"/>
    <xf numFmtId="17" fontId="11" fillId="0" borderId="0" xfId="0" applyNumberFormat="1" applyFont="1" applyAlignment="1">
      <alignment horizontal="right"/>
    </xf>
    <xf numFmtId="41" fontId="10" fillId="0" borderId="0" xfId="0" applyNumberFormat="1" applyFont="1" applyFill="1" applyBorder="1"/>
    <xf numFmtId="0" fontId="9" fillId="3" borderId="11" xfId="0" applyFont="1" applyFill="1" applyBorder="1"/>
    <xf numFmtId="41" fontId="9" fillId="3" borderId="11" xfId="0" applyNumberFormat="1" applyFont="1" applyFill="1" applyBorder="1"/>
    <xf numFmtId="41" fontId="9" fillId="0" borderId="0" xfId="0" applyNumberFormat="1" applyFont="1" applyFill="1" applyBorder="1"/>
    <xf numFmtId="42" fontId="10" fillId="0" borderId="0" xfId="0" applyNumberFormat="1" applyFont="1"/>
    <xf numFmtId="42" fontId="10" fillId="0" borderId="0" xfId="0" applyNumberFormat="1" applyFont="1" applyFill="1" applyBorder="1"/>
    <xf numFmtId="42" fontId="10" fillId="0" borderId="0" xfId="0" applyNumberFormat="1" applyFont="1" applyBorder="1"/>
    <xf numFmtId="42" fontId="5" fillId="0" borderId="0" xfId="0" applyNumberFormat="1" applyFont="1" applyFill="1" applyBorder="1"/>
    <xf numFmtId="41" fontId="5" fillId="0" borderId="0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17" fontId="11" fillId="0" borderId="0" xfId="0" applyNumberFormat="1" applyFont="1"/>
    <xf numFmtId="0" fontId="9" fillId="0" borderId="0" xfId="0" applyFont="1" applyFill="1" applyBorder="1"/>
    <xf numFmtId="41" fontId="10" fillId="0" borderId="0" xfId="0" applyNumberFormat="1" applyFont="1"/>
    <xf numFmtId="0" fontId="4" fillId="0" borderId="0" xfId="0" applyFont="1"/>
    <xf numFmtId="0" fontId="5" fillId="0" borderId="0" xfId="0" applyFont="1"/>
    <xf numFmtId="42" fontId="5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42" fontId="5" fillId="0" borderId="0" xfId="0" applyNumberFormat="1" applyFont="1" applyBorder="1"/>
    <xf numFmtId="0" fontId="6" fillId="3" borderId="11" xfId="0" applyFont="1" applyFill="1" applyBorder="1"/>
    <xf numFmtId="0" fontId="5" fillId="3" borderId="11" xfId="0" applyFont="1" applyFill="1" applyBorder="1"/>
    <xf numFmtId="42" fontId="6" fillId="3" borderId="11" xfId="0" applyNumberFormat="1" applyFont="1" applyFill="1" applyBorder="1"/>
    <xf numFmtId="42" fontId="6" fillId="0" borderId="0" xfId="0" applyNumberFormat="1" applyFont="1" applyFill="1" applyBorder="1"/>
    <xf numFmtId="0" fontId="7" fillId="0" borderId="0" xfId="0" applyFont="1"/>
    <xf numFmtId="17" fontId="7" fillId="0" borderId="0" xfId="0" applyNumberFormat="1" applyFont="1"/>
    <xf numFmtId="17" fontId="7" fillId="0" borderId="0" xfId="0" applyNumberFormat="1" applyFont="1" applyAlignment="1">
      <alignment horizontal="right"/>
    </xf>
    <xf numFmtId="41" fontId="5" fillId="0" borderId="0" xfId="0" applyNumberFormat="1" applyFont="1"/>
    <xf numFmtId="0" fontId="6" fillId="0" borderId="0" xfId="0" applyFont="1"/>
    <xf numFmtId="17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41" fontId="6" fillId="3" borderId="11" xfId="0" applyNumberFormat="1" applyFont="1" applyFill="1" applyBorder="1"/>
    <xf numFmtId="41" fontId="6" fillId="0" borderId="0" xfId="0" applyNumberFormat="1" applyFont="1" applyFill="1" applyBorder="1"/>
    <xf numFmtId="0" fontId="8" fillId="0" borderId="0" xfId="0" applyFont="1"/>
    <xf numFmtId="42" fontId="6" fillId="3" borderId="12" xfId="0" applyNumberFormat="1" applyFont="1" applyFill="1" applyBorder="1"/>
    <xf numFmtId="42" fontId="5" fillId="0" borderId="11" xfId="0" applyNumberFormat="1" applyFont="1" applyBorder="1"/>
    <xf numFmtId="0" fontId="12" fillId="0" borderId="0" xfId="0" applyFont="1"/>
    <xf numFmtId="14" fontId="0" fillId="0" borderId="0" xfId="0" applyNumberFormat="1"/>
    <xf numFmtId="166" fontId="0" fillId="0" borderId="0" xfId="0" applyNumberFormat="1"/>
    <xf numFmtId="166" fontId="12" fillId="0" borderId="10" xfId="0" applyNumberFormat="1" applyFont="1" applyBorder="1"/>
    <xf numFmtId="0" fontId="6" fillId="5" borderId="11" xfId="0" applyFont="1" applyFill="1" applyBorder="1"/>
    <xf numFmtId="0" fontId="5" fillId="5" borderId="11" xfId="0" applyFont="1" applyFill="1" applyBorder="1"/>
    <xf numFmtId="42" fontId="6" fillId="5" borderId="11" xfId="0" applyNumberFormat="1" applyFont="1" applyFill="1" applyBorder="1"/>
    <xf numFmtId="0" fontId="6" fillId="0" borderId="0" xfId="0" applyFont="1" applyFill="1" applyBorder="1"/>
    <xf numFmtId="41" fontId="5" fillId="0" borderId="11" xfId="0" applyNumberFormat="1" applyFont="1" applyFill="1" applyBorder="1"/>
    <xf numFmtId="41" fontId="5" fillId="0" borderId="0" xfId="0" applyNumberFormat="1" applyFont="1" applyFill="1" applyBorder="1"/>
    <xf numFmtId="0" fontId="9" fillId="5" borderId="10" xfId="0" applyFont="1" applyFill="1" applyBorder="1"/>
    <xf numFmtId="0" fontId="13" fillId="0" borderId="0" xfId="0" applyFont="1" applyAlignment="1" applyProtection="1">
      <alignment horizontal="left" vertical="top"/>
      <protection locked="0"/>
    </xf>
    <xf numFmtId="0" fontId="14" fillId="0" borderId="0" xfId="0" applyFont="1" applyAlignment="1" applyProtection="1">
      <alignment horizontal="left" vertical="top"/>
      <protection locked="0"/>
    </xf>
    <xf numFmtId="7" fontId="10" fillId="0" borderId="0" xfId="0" applyNumberFormat="1" applyFont="1"/>
    <xf numFmtId="42" fontId="5" fillId="0" borderId="9" xfId="0" applyNumberFormat="1" applyFont="1" applyBorder="1"/>
    <xf numFmtId="0" fontId="8" fillId="0" borderId="0" xfId="0" applyFont="1" applyAlignment="1">
      <alignment horizontal="center"/>
    </xf>
    <xf numFmtId="42" fontId="6" fillId="0" borderId="11" xfId="0" applyNumberFormat="1" applyFont="1" applyBorder="1"/>
    <xf numFmtId="42" fontId="6" fillId="5" borderId="13" xfId="0" applyNumberFormat="1" applyFont="1" applyFill="1" applyBorder="1"/>
    <xf numFmtId="42" fontId="5" fillId="5" borderId="0" xfId="0" applyNumberFormat="1" applyFont="1" applyFill="1"/>
    <xf numFmtId="41" fontId="5" fillId="5" borderId="0" xfId="0" applyNumberFormat="1" applyFont="1" applyFill="1"/>
    <xf numFmtId="3" fontId="5" fillId="0" borderId="0" xfId="0" applyNumberFormat="1" applyFont="1"/>
    <xf numFmtId="17" fontId="0" fillId="0" borderId="0" xfId="0" applyNumberFormat="1"/>
    <xf numFmtId="41" fontId="0" fillId="0" borderId="0" xfId="0" applyNumberFormat="1"/>
    <xf numFmtId="37" fontId="5" fillId="0" borderId="0" xfId="0" applyNumberFormat="1" applyFont="1"/>
    <xf numFmtId="0" fontId="18" fillId="0" borderId="0" xfId="0" applyFont="1"/>
    <xf numFmtId="14" fontId="18" fillId="0" borderId="0" xfId="0" applyNumberFormat="1" applyFont="1"/>
    <xf numFmtId="41" fontId="12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5" fillId="0" borderId="0" xfId="0" applyNumberFormat="1" applyFont="1"/>
    <xf numFmtId="42" fontId="6" fillId="4" borderId="14" xfId="0" applyNumberFormat="1" applyFont="1" applyFill="1" applyBorder="1"/>
    <xf numFmtId="42" fontId="6" fillId="6" borderId="14" xfId="0" applyNumberFormat="1" applyFont="1" applyFill="1" applyBorder="1"/>
    <xf numFmtId="42" fontId="6" fillId="6" borderId="10" xfId="0" applyNumberFormat="1" applyFont="1" applyFill="1" applyBorder="1"/>
    <xf numFmtId="17" fontId="21" fillId="0" borderId="0" xfId="0" applyNumberFormat="1" applyFont="1"/>
    <xf numFmtId="0" fontId="16" fillId="0" borderId="0" xfId="0" applyFont="1" applyAlignment="1" applyProtection="1">
      <alignment horizontal="left" vertical="top"/>
      <protection locked="0"/>
    </xf>
    <xf numFmtId="0" fontId="17" fillId="0" borderId="0" xfId="0" applyFont="1" applyAlignment="1" applyProtection="1">
      <alignment horizontal="left" vertical="top"/>
      <protection locked="0"/>
    </xf>
    <xf numFmtId="3" fontId="17" fillId="0" borderId="0" xfId="0" applyNumberFormat="1" applyFont="1" applyAlignment="1" applyProtection="1">
      <alignment horizontal="right" vertical="top"/>
      <protection locked="0"/>
    </xf>
    <xf numFmtId="3" fontId="17" fillId="0" borderId="2" xfId="0" applyNumberFormat="1" applyFont="1" applyBorder="1" applyAlignment="1" applyProtection="1">
      <alignment horizontal="right" vertical="top"/>
      <protection locked="0"/>
    </xf>
    <xf numFmtId="164" fontId="17" fillId="0" borderId="0" xfId="0" applyNumberFormat="1" applyFont="1" applyAlignment="1" applyProtection="1">
      <alignment horizontal="right" vertical="top"/>
      <protection locked="0"/>
    </xf>
    <xf numFmtId="164" fontId="17" fillId="0" borderId="2" xfId="0" applyNumberFormat="1" applyFont="1" applyBorder="1" applyAlignment="1" applyProtection="1">
      <alignment horizontal="right" vertical="top"/>
      <protection locked="0"/>
    </xf>
    <xf numFmtId="0" fontId="15" fillId="2" borderId="6" xfId="0" applyFont="1" applyFill="1" applyBorder="1" applyAlignment="1" applyProtection="1">
      <alignment horizontal="left" vertical="top"/>
      <protection locked="0"/>
    </xf>
    <xf numFmtId="0" fontId="15" fillId="2" borderId="7" xfId="0" applyFont="1" applyFill="1" applyBorder="1" applyAlignment="1" applyProtection="1">
      <alignment horizontal="left" vertical="top"/>
      <protection locked="0"/>
    </xf>
    <xf numFmtId="3" fontId="15" fillId="2" borderId="7" xfId="0" applyNumberFormat="1" applyFont="1" applyFill="1" applyBorder="1" applyAlignment="1" applyProtection="1">
      <alignment horizontal="right" vertical="top"/>
      <protection locked="0"/>
    </xf>
    <xf numFmtId="3" fontId="15" fillId="2" borderId="8" xfId="0" applyNumberFormat="1" applyFont="1" applyFill="1" applyBorder="1" applyAlignment="1" applyProtection="1">
      <alignment horizontal="right" vertical="top"/>
      <protection locked="0"/>
    </xf>
    <xf numFmtId="0" fontId="0" fillId="0" borderId="15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NumberFormat="1" applyBorder="1"/>
    <xf numFmtId="0" fontId="0" fillId="0" borderId="15" xfId="0" applyNumberFormat="1" applyBorder="1"/>
    <xf numFmtId="1" fontId="12" fillId="0" borderId="0" xfId="0" applyNumberFormat="1" applyFont="1"/>
    <xf numFmtId="3" fontId="24" fillId="0" borderId="0" xfId="0" applyNumberFormat="1" applyFont="1"/>
    <xf numFmtId="175" fontId="12" fillId="0" borderId="0" xfId="0" applyNumberFormat="1" applyFont="1" applyFill="1"/>
    <xf numFmtId="0" fontId="24" fillId="0" borderId="0" xfId="0" applyFont="1"/>
    <xf numFmtId="0" fontId="24" fillId="0" borderId="0" xfId="0" applyFont="1" applyBorder="1"/>
    <xf numFmtId="0" fontId="24" fillId="0" borderId="20" xfId="0" applyFont="1" applyBorder="1"/>
    <xf numFmtId="1" fontId="24" fillId="0" borderId="0" xfId="0" applyNumberFormat="1" applyFont="1"/>
    <xf numFmtId="1" fontId="24" fillId="4" borderId="0" xfId="0" applyNumberFormat="1" applyFont="1" applyFill="1"/>
    <xf numFmtId="3" fontId="24" fillId="4" borderId="0" xfId="0" applyNumberFormat="1" applyFont="1" applyFill="1"/>
    <xf numFmtId="0" fontId="24" fillId="4" borderId="0" xfId="0" applyFont="1" applyFill="1"/>
    <xf numFmtId="3" fontId="17" fillId="0" borderId="0" xfId="0" applyNumberFormat="1" applyFont="1" applyFill="1" applyAlignment="1" applyProtection="1">
      <alignment horizontal="right" vertical="top"/>
      <protection locked="0"/>
    </xf>
    <xf numFmtId="17" fontId="18" fillId="0" borderId="0" xfId="0" applyNumberFormat="1" applyFont="1"/>
    <xf numFmtId="0" fontId="18" fillId="0" borderId="0" xfId="0" applyFont="1" applyBorder="1"/>
    <xf numFmtId="14" fontId="18" fillId="0" borderId="0" xfId="0" applyNumberFormat="1" applyFont="1" applyBorder="1"/>
    <xf numFmtId="14" fontId="0" fillId="0" borderId="21" xfId="0" applyNumberFormat="1" applyBorder="1"/>
    <xf numFmtId="38" fontId="0" fillId="0" borderId="21" xfId="0" applyNumberFormat="1" applyBorder="1"/>
    <xf numFmtId="0" fontId="0" fillId="0" borderId="21" xfId="0" applyBorder="1"/>
    <xf numFmtId="17" fontId="0" fillId="0" borderId="0" xfId="0" applyNumberFormat="1" applyAlignment="1">
      <alignment horizontal="right"/>
    </xf>
    <xf numFmtId="1" fontId="24" fillId="0" borderId="22" xfId="0" applyNumberFormat="1" applyFont="1" applyBorder="1"/>
    <xf numFmtId="3" fontId="24" fillId="0" borderId="9" xfId="0" applyNumberFormat="1" applyFont="1" applyBorder="1"/>
    <xf numFmtId="0" fontId="25" fillId="0" borderId="0" xfId="0" applyFont="1"/>
    <xf numFmtId="42" fontId="5" fillId="0" borderId="0" xfId="0" applyNumberFormat="1" applyFont="1" applyFill="1"/>
    <xf numFmtId="3" fontId="24" fillId="0" borderId="0" xfId="0" applyNumberFormat="1" applyFont="1" applyFill="1"/>
    <xf numFmtId="3" fontId="27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right"/>
    </xf>
    <xf numFmtId="3" fontId="5" fillId="4" borderId="0" xfId="0" applyNumberFormat="1" applyFont="1" applyFill="1" applyAlignment="1">
      <alignment horizontal="right"/>
    </xf>
    <xf numFmtId="177" fontId="5" fillId="4" borderId="0" xfId="0" applyNumberFormat="1" applyFont="1" applyFill="1" applyAlignment="1">
      <alignment horizontal="right"/>
    </xf>
    <xf numFmtId="177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17" fontId="31" fillId="0" borderId="0" xfId="0" applyNumberFormat="1" applyFont="1"/>
    <xf numFmtId="0" fontId="32" fillId="7" borderId="0" xfId="0" applyFont="1" applyFill="1"/>
    <xf numFmtId="0" fontId="18" fillId="7" borderId="0" xfId="0" applyFont="1" applyFill="1"/>
    <xf numFmtId="37" fontId="16" fillId="0" borderId="0" xfId="0" applyNumberFormat="1" applyFont="1" applyAlignment="1">
      <alignment horizontal="right"/>
    </xf>
    <xf numFmtId="1" fontId="24" fillId="0" borderId="9" xfId="0" applyNumberFormat="1" applyFont="1" applyBorder="1"/>
    <xf numFmtId="3" fontId="24" fillId="0" borderId="9" xfId="0" applyNumberFormat="1" applyFont="1" applyFill="1" applyBorder="1"/>
    <xf numFmtId="3" fontId="6" fillId="0" borderId="0" xfId="0" applyNumberFormat="1" applyFont="1" applyAlignment="1">
      <alignment horizontal="right"/>
    </xf>
    <xf numFmtId="1" fontId="24" fillId="0" borderId="23" xfId="0" applyNumberFormat="1" applyFont="1" applyBorder="1"/>
    <xf numFmtId="1" fontId="24" fillId="0" borderId="0" xfId="0" applyNumberFormat="1" applyFont="1" applyBorder="1"/>
    <xf numFmtId="3" fontId="24" fillId="0" borderId="0" xfId="0" applyNumberFormat="1" applyFont="1" applyBorder="1"/>
    <xf numFmtId="41" fontId="6" fillId="0" borderId="0" xfId="0" applyNumberFormat="1" applyFont="1"/>
    <xf numFmtId="37" fontId="17" fillId="0" borderId="0" xfId="0" applyNumberFormat="1" applyFont="1" applyFill="1"/>
    <xf numFmtId="3" fontId="35" fillId="0" borderId="0" xfId="0" applyNumberFormat="1" applyFont="1" applyAlignment="1" applyProtection="1">
      <alignment horizontal="right" vertical="top"/>
      <protection locked="0"/>
    </xf>
    <xf numFmtId="3" fontId="15" fillId="0" borderId="0" xfId="0" applyNumberFormat="1" applyFont="1"/>
    <xf numFmtId="3" fontId="0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3" fontId="15" fillId="2" borderId="6" xfId="0" applyNumberFormat="1" applyFont="1" applyFill="1" applyBorder="1"/>
    <xf numFmtId="3" fontId="15" fillId="2" borderId="7" xfId="0" applyNumberFormat="1" applyFont="1" applyFill="1" applyBorder="1"/>
    <xf numFmtId="3" fontId="17" fillId="0" borderId="2" xfId="0" applyNumberFormat="1" applyFont="1" applyBorder="1"/>
    <xf numFmtId="3" fontId="22" fillId="0" borderId="0" xfId="0" applyNumberFormat="1" applyFont="1" applyAlignment="1" applyProtection="1">
      <alignment horizontal="left" vertical="top"/>
      <protection locked="0"/>
    </xf>
    <xf numFmtId="13" fontId="5" fillId="0" borderId="0" xfId="0" applyNumberFormat="1" applyFont="1"/>
    <xf numFmtId="3" fontId="24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3" fontId="5" fillId="0" borderId="0" xfId="0" applyNumberFormat="1" applyFont="1" applyAlignment="1">
      <alignment horizontal="center"/>
    </xf>
    <xf numFmtId="0" fontId="0" fillId="0" borderId="3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REG!$N$8:$N$85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REG!$O$8:$O$85</c:f>
              <c:numCache>
                <c:formatCode>#,##0</c:formatCode>
                <c:ptCount val="78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1-4C93-BE58-04919AF48E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396552"/>
        <c:axId val="1"/>
      </c:barChart>
      <c:catAx>
        <c:axId val="18139655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396552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REG!$N$8:$N$85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REG!$P$8:$P$85</c:f>
              <c:numCache>
                <c:formatCode>#,##0</c:formatCode>
                <c:ptCount val="78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4-4A28-AAC0-EF6DE657D8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496384"/>
        <c:axId val="1"/>
      </c:barChart>
      <c:catAx>
        <c:axId val="18149638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496384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904983348297804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REG!$N$9:$N$85</c:f>
              <c:numCache>
                <c:formatCode>0</c:formatCode>
                <c:ptCount val="77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</c:numCache>
            </c:numRef>
          </c:cat>
          <c:val>
            <c:numRef>
              <c:f>REG!$Q$9:$Q$85</c:f>
              <c:numCache>
                <c:formatCode>#,##0</c:formatCode>
                <c:ptCount val="77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4-430F-85F1-9C0C7020ED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539392"/>
        <c:axId val="1"/>
      </c:barChart>
      <c:catAx>
        <c:axId val="18153939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539392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SPEC!$N$8:$N$85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SPEC!$O$8:$O$85</c:f>
              <c:numCache>
                <c:formatCode>#,##0</c:formatCode>
                <c:ptCount val="78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4-4408-AF9B-9B498B0AAC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536440"/>
        <c:axId val="1"/>
      </c:barChart>
      <c:catAx>
        <c:axId val="18153644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53644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SPEC!$N$8:$N$85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SPEC!$P$8:$P$85</c:f>
              <c:numCache>
                <c:formatCode>#,##0</c:formatCode>
                <c:ptCount val="78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0-4CE1-A0DC-4F1CEF655D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539064"/>
        <c:axId val="1"/>
      </c:barChart>
      <c:catAx>
        <c:axId val="18153906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53906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847829346975063E-2"/>
          <c:y val="0.22307817990260609"/>
          <c:w val="0.89900843944107856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  <c:pt idx="9">
                  <c:v>-120.21006000000008</c:v>
                </c:pt>
                <c:pt idx="10">
                  <c:v>61.757939999999905</c:v>
                </c:pt>
                <c:pt idx="11">
                  <c:v>17.059939999999905</c:v>
                </c:pt>
                <c:pt idx="12">
                  <c:v>26.880939999999903</c:v>
                </c:pt>
                <c:pt idx="13">
                  <c:v>-32.307060000000099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B-4726-A71D-D59738DFEAB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535456"/>
        <c:axId val="1"/>
      </c:barChart>
      <c:catAx>
        <c:axId val="18153545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535456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SPEC!$N$49:$N$85</c:f>
              <c:numCache>
                <c:formatCode>0</c:formatCode>
                <c:ptCount val="37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</c:numCache>
            </c:numRef>
          </c:cat>
          <c:val>
            <c:numRef>
              <c:f>SPEC!$R$49:$R$85</c:f>
              <c:numCache>
                <c:formatCode>#,##0</c:formatCode>
                <c:ptCount val="37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2-462A-9979-B9D72E120E0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739528"/>
        <c:axId val="1"/>
      </c:barChart>
      <c:catAx>
        <c:axId val="18173952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739528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SPEC!$N$8:$N$85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SPEC!$S$8:$S$85</c:f>
              <c:numCache>
                <c:formatCode>#,##0</c:formatCode>
                <c:ptCount val="78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1-452D-88CA-D540EBB280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736248"/>
        <c:axId val="1"/>
      </c:barChart>
      <c:catAx>
        <c:axId val="18173624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736248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0210642006415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SPEC!$N$9:$N$85</c:f>
              <c:numCache>
                <c:formatCode>0</c:formatCode>
                <c:ptCount val="77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</c:numCache>
            </c:numRef>
          </c:cat>
          <c:val>
            <c:numRef>
              <c:f>SPEC!$T$9:$T$85</c:f>
              <c:numCache>
                <c:formatCode>#,##0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E-41CB-BE98-9940F5B6FE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1737888"/>
        <c:axId val="1"/>
      </c:barChart>
      <c:catAx>
        <c:axId val="18173788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1737888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144780</xdr:colOff>
          <xdr:row>32</xdr:row>
          <xdr:rowOff>7620</xdr:rowOff>
        </xdr:from>
        <xdr:to>
          <xdr:col>0</xdr:col>
          <xdr:colOff>1043940</xdr:colOff>
          <xdr:row>35</xdr:row>
          <xdr:rowOff>7620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E59">
            <v>0.88091212096946936</v>
          </cell>
          <cell r="F59">
            <v>0.69233545271645458</v>
          </cell>
          <cell r="G59">
            <v>0.70848076293934448</v>
          </cell>
          <cell r="H59">
            <v>0.27582720992509691</v>
          </cell>
          <cell r="I59">
            <v>0.20914207537357787</v>
          </cell>
          <cell r="J59">
            <v>0.4610269794068691</v>
          </cell>
          <cell r="K59">
            <v>0.59877365032756491</v>
          </cell>
          <cell r="L59">
            <v>0.92138706274883897</v>
          </cell>
          <cell r="M59">
            <v>0.96751100962762648</v>
          </cell>
          <cell r="N59">
            <v>0.87103613270239444</v>
          </cell>
          <cell r="O59">
            <v>0.7357114139035551</v>
          </cell>
          <cell r="P59">
            <v>0.64665222961273094</v>
          </cell>
          <cell r="Q59">
            <v>0.66232770059683843</v>
          </cell>
          <cell r="R59">
            <v>0.67827367931071414</v>
          </cell>
          <cell r="S59">
            <v>0.62156183792813779</v>
          </cell>
          <cell r="T59">
            <v>0.5343782959799811</v>
          </cell>
          <cell r="U59">
            <v>0.58352327809127302</v>
          </cell>
          <cell r="V59">
            <v>0.49511227456333018</v>
          </cell>
          <cell r="W59">
            <v>0.54643149191854268</v>
          </cell>
          <cell r="X59">
            <v>0.82483712152030575</v>
          </cell>
          <cell r="Y59">
            <v>0.87069495957880627</v>
          </cell>
          <cell r="Z59">
            <v>0.80640836307949804</v>
          </cell>
          <cell r="AA59">
            <v>0.67645314925310618</v>
          </cell>
          <cell r="AB59">
            <v>0.62554428216504243</v>
          </cell>
        </row>
        <row r="60">
          <cell r="E60">
            <v>4.1694200096589307E-2</v>
          </cell>
          <cell r="F60">
            <v>0.16266956736832838</v>
          </cell>
          <cell r="G60">
            <v>0.27294574807117089</v>
          </cell>
          <cell r="H60">
            <v>4.5492820584045128E-2</v>
          </cell>
          <cell r="I60">
            <v>2.499654932385531E-2</v>
          </cell>
          <cell r="J60">
            <v>0.13999748290922698</v>
          </cell>
          <cell r="K60">
            <v>0.25579893822767663</v>
          </cell>
          <cell r="L60">
            <v>0.4057283947284207</v>
          </cell>
          <cell r="M60">
            <v>0.54974576733345193</v>
          </cell>
          <cell r="N60">
            <v>0.43522272233016479</v>
          </cell>
          <cell r="O60">
            <v>0.27910826297534747</v>
          </cell>
          <cell r="P60">
            <v>0.15798359754352284</v>
          </cell>
          <cell r="Q60">
            <v>0.48928139211050781</v>
          </cell>
          <cell r="R60">
            <v>0.23644402975724824</v>
          </cell>
          <cell r="S60">
            <v>0.1611875093201135</v>
          </cell>
          <cell r="T60">
            <v>0.40878599436916879</v>
          </cell>
          <cell r="U60">
            <v>0.29617804217516241</v>
          </cell>
          <cell r="V60">
            <v>0.28159992993065835</v>
          </cell>
          <cell r="W60">
            <v>0.18955412829230045</v>
          </cell>
          <cell r="X60">
            <v>0.50572029424766829</v>
          </cell>
          <cell r="Y60">
            <v>0.53829625224053645</v>
          </cell>
          <cell r="Z60">
            <v>0.51323474984594197</v>
          </cell>
          <cell r="AA60">
            <v>0.40187692058794605</v>
          </cell>
          <cell r="AB60">
            <v>0.21953870441076781</v>
          </cell>
        </row>
        <row r="62">
          <cell r="E62">
            <v>0.99820821744665378</v>
          </cell>
          <cell r="F62">
            <v>0.97876358146434961</v>
          </cell>
          <cell r="G62">
            <v>0.92813732256005799</v>
          </cell>
          <cell r="H62">
            <v>0.91219597108405093</v>
          </cell>
          <cell r="I62">
            <v>0.78015724268019426</v>
          </cell>
          <cell r="J62">
            <v>0.77407184001717588</v>
          </cell>
          <cell r="K62">
            <v>0.74364592529490459</v>
          </cell>
          <cell r="L62">
            <v>0.97956286203002507</v>
          </cell>
          <cell r="M62">
            <v>0.99279595678838051</v>
          </cell>
          <cell r="N62">
            <v>0.95242604381015317</v>
          </cell>
          <cell r="O62">
            <v>0.86473334997457341</v>
          </cell>
          <cell r="P62">
            <v>0.87390077148152601</v>
          </cell>
          <cell r="Q62">
            <v>0.88499797269456659</v>
          </cell>
          <cell r="R62">
            <v>0.90677825805631729</v>
          </cell>
          <cell r="S62">
            <v>0.87179121775124924</v>
          </cell>
          <cell r="T62">
            <v>0.81376698016563509</v>
          </cell>
          <cell r="U62">
            <v>0.78071318481828789</v>
          </cell>
          <cell r="V62">
            <v>0.69784016157977791</v>
          </cell>
          <cell r="W62">
            <v>0.73997537280140069</v>
          </cell>
          <cell r="X62">
            <v>0.90695334202599176</v>
          </cell>
          <cell r="Y62">
            <v>0.94533342211318738</v>
          </cell>
          <cell r="Z62">
            <v>0.90497486865644972</v>
          </cell>
          <cell r="AA62">
            <v>0.83537832528272071</v>
          </cell>
          <cell r="AB62">
            <v>0.85250442842830554</v>
          </cell>
        </row>
        <row r="63">
          <cell r="E63">
            <v>0.60211265763068</v>
          </cell>
          <cell r="F63">
            <v>0.70291603401890068</v>
          </cell>
          <cell r="G63">
            <v>0.62977202947150956</v>
          </cell>
          <cell r="H63">
            <v>0.51939340939867051</v>
          </cell>
          <cell r="I63">
            <v>0.31930532897483049</v>
          </cell>
          <cell r="J63">
            <v>0.31034072675983004</v>
          </cell>
          <cell r="K63">
            <v>0.39777026060463266</v>
          </cell>
          <cell r="L63">
            <v>0.65813772181057084</v>
          </cell>
          <cell r="M63">
            <v>0.77466886214487729</v>
          </cell>
          <cell r="N63">
            <v>0.6432197049836027</v>
          </cell>
          <cell r="O63">
            <v>0.49330766822739752</v>
          </cell>
          <cell r="P63">
            <v>0.48910655468890168</v>
          </cell>
          <cell r="Q63">
            <v>0.64752703891040042</v>
          </cell>
          <cell r="R63">
            <v>0.54230605940774779</v>
          </cell>
          <cell r="S63">
            <v>0.45107931024260028</v>
          </cell>
          <cell r="T63">
            <v>0.57442459260683298</v>
          </cell>
          <cell r="U63">
            <v>0.46409340038306351</v>
          </cell>
          <cell r="V63">
            <v>0.43751908588648847</v>
          </cell>
          <cell r="W63">
            <v>0.34234294301469004</v>
          </cell>
          <cell r="X63">
            <v>0.70334438793255227</v>
          </cell>
          <cell r="Y63">
            <v>0.77193267318751635</v>
          </cell>
          <cell r="Z63">
            <v>0.71709759205366252</v>
          </cell>
          <cell r="AA63">
            <v>0.56879313285559197</v>
          </cell>
          <cell r="AB63">
            <v>0.52937314687964809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REPORT DETAILS"/>
      <sheetName val="PLR OPTION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H29">
            <v>401.69592716207802</v>
          </cell>
          <cell r="I29">
            <v>456</v>
          </cell>
          <cell r="L29">
            <v>315.70496643870331</v>
          </cell>
          <cell r="M29">
            <v>446</v>
          </cell>
          <cell r="P29">
            <v>290.47711280513124</v>
          </cell>
          <cell r="Q29">
            <v>410</v>
          </cell>
        </row>
        <row r="30">
          <cell r="H30">
            <v>19.012555244044723</v>
          </cell>
          <cell r="I30">
            <v>456</v>
          </cell>
          <cell r="L30">
            <v>72.550627046274457</v>
          </cell>
          <cell r="M30">
            <v>446</v>
          </cell>
          <cell r="P30">
            <v>111.90775670918006</v>
          </cell>
          <cell r="Q30">
            <v>410</v>
          </cell>
        </row>
        <row r="33">
          <cell r="H33">
            <v>230.58609823017702</v>
          </cell>
          <cell r="I33">
            <v>231</v>
          </cell>
          <cell r="L33">
            <v>228.05191448119345</v>
          </cell>
          <cell r="M33">
            <v>233</v>
          </cell>
          <cell r="P33">
            <v>211.61530954369323</v>
          </cell>
          <cell r="Q33">
            <v>228</v>
          </cell>
        </row>
        <row r="34">
          <cell r="H34">
            <v>139.08802391268708</v>
          </cell>
          <cell r="I34">
            <v>231</v>
          </cell>
          <cell r="L34">
            <v>163.77943592640386</v>
          </cell>
          <cell r="M34">
            <v>233</v>
          </cell>
          <cell r="P34">
            <v>143.58802271950418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15.669421064813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6509999999999998" maxValue="3.4750000000000001" count="24">
        <n v="2.69"/>
        <n v="2.81"/>
        <n v="2.85"/>
        <n v="2.88"/>
        <n v="2.84"/>
        <n v="2.77"/>
        <n v="2.73"/>
        <n v="3.2450000000000001"/>
        <n v="3.4350000000000001"/>
        <n v="3.4750000000000001"/>
        <n v="2.6949999999999998"/>
        <n v="2.8279999999999998"/>
        <n v="2.9849999999999999"/>
        <n v="2.6509999999999998"/>
        <n v="2.6930000000000001"/>
        <n v="2.7330000000000001"/>
        <n v="2.7709999999999999"/>
        <n v="2.8069999999999999"/>
        <n v="2.819"/>
        <n v="2.8460000000000001"/>
        <n v="3.13"/>
        <n v="3.17"/>
        <n v="2.94"/>
        <m/>
      </sharedItems>
    </cacheField>
    <cacheField name="CP PAYS" numFmtId="0">
      <sharedItems containsString="0" containsBlank="1" containsNumber="1" minValue="2.6509999999999998" maxValue="3.52" count="23">
        <n v="2.6509999999999998"/>
        <n v="2.7709999999999999"/>
        <n v="2.819"/>
        <n v="2.8460000000000001"/>
        <n v="2.8069999999999999"/>
        <n v="2.7330000000000001"/>
        <n v="2.6930000000000001"/>
        <n v="2.6949999999999998"/>
        <n v="2.77"/>
        <n v="2.8279999999999998"/>
        <n v="2.9849999999999999"/>
        <n v="2.7949999999999999"/>
        <n v="3.0249999999999999"/>
        <n v="2.7549999999999999"/>
        <n v="2.835"/>
        <n v="2.875"/>
        <n v="2.9049999999999998"/>
        <n v="2.915"/>
        <n v="2.9449999999999998"/>
        <n v="3.29"/>
        <n v="3.48"/>
        <n v="3.52"/>
        <m/>
      </sharedItems>
    </cacheField>
    <cacheField name="NET" numFmtId="0">
      <sharedItems containsString="0" containsBlank="1" containsNumber="1" containsInteger="1" minValue="-103075" maxValue="110050"/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15.670592129631" createdVersion="1" recordCount="65528">
  <cacheSource type="worksheet">
    <worksheetSource ref="A8:U65536" sheet="OPEN SPEC"/>
  </cacheSource>
  <cacheFields count="21">
    <cacheField name="TRANSNO" numFmtId="0">
      <sharedItems containsString="0" containsBlank="1" containsNumber="1" containsInteger="1" minValue="7544" maxValue="7544" count="2">
        <n v="7544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2"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11-20T00:00:00" maxDate="2001-11-21T00:00:00" count="2">
        <d v="2001-11-20T00:00:00"/>
        <m/>
      </sharedItems>
    </cacheField>
    <cacheField name="TRANS TYPE" numFmtId="0">
      <sharedItems containsBlank="1" count="2">
        <s v="FFSWAP"/>
        <m/>
      </sharedItems>
    </cacheField>
    <cacheField name="TRADER" numFmtId="0">
      <sharedItems containsBlank="1" count="2">
        <s v="Yildirok"/>
        <m/>
      </sharedItems>
    </cacheField>
    <cacheField name="COUNTERPARTY" numFmtId="0">
      <sharedItems containsBlank="1" count="2">
        <s v="Duke Energy Trading and Marketing, LLC"/>
        <m/>
      </sharedItems>
    </cacheField>
    <cacheField name="MONTH" numFmtId="0">
      <sharedItems containsDate="1" containsString="0" containsBlank="1" minDate="2001-12-01T00:00:00" maxDate="2002-10-02T00:00:00" count="12">
        <d v="2002-04-01T00:00:00"/>
        <d v="2002-10-01T00:00:00"/>
        <d v="2002-09-01T00:00:00"/>
        <d v="2002-08-01T00:00:00"/>
        <d v="2002-05-01T00:00:00"/>
        <d v="2002-07-01T00:00:00"/>
        <d v="2002-06-01T00:00:00"/>
        <m/>
        <d v="2001-12-01T00:00:00" u="1"/>
        <d v="2002-01-01T00:00:00" u="1"/>
        <d v="2002-02-01T00:00:00" u="1"/>
        <d v="2002-03-01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50000" maxValue="155000" count="3">
        <n v="150000"/>
        <n v="155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containsInteger="1" minValue="0" maxValue="0" count="2">
        <n v="0"/>
        <m/>
      </sharedItems>
    </cacheField>
    <cacheField name="PGE_PAYS" numFmtId="0">
      <sharedItems containsBlank="1" count="2">
        <s v="ROCKIES"/>
        <m/>
      </sharedItems>
    </cacheField>
    <cacheField name="PGE_REC" numFmtId="0">
      <sharedItems containsString="0" containsBlank="1" containsNumber="1" minValue="2.5" maxValue="2.5" count="2">
        <n v="2.5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42" maxValue="2.62" count="8">
        <n v="2.42"/>
        <n v="2.62"/>
        <n v="2.59"/>
        <n v="2.58"/>
        <n v="2.46"/>
        <n v="2.54"/>
        <n v="2.5"/>
        <m/>
      </sharedItems>
    </cacheField>
    <cacheField name="CP PAYS" numFmtId="0">
      <sharedItems containsString="0" containsBlank="1" containsNumber="1" minValue="2.5" maxValue="2.5" count="2">
        <n v="2.5"/>
        <m/>
      </sharedItems>
    </cacheField>
    <cacheField name="NET" numFmtId="0">
      <sharedItems containsString="0" containsBlank="1" containsNumber="1" containsInteger="1" minValue="-18600" maxValue="12000" count="8">
        <n v="12000"/>
        <n v="-18600"/>
        <n v="-13500"/>
        <n v="-12400"/>
        <n v="6200"/>
        <n v="-6200"/>
        <n v="0"/>
        <m/>
      </sharedItems>
    </cacheField>
    <cacheField name="SETTLE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5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n v="-6045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n v="-4650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n v="-5270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4"/>
    <n v="-5115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5"/>
    <n v="-5550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6"/>
    <n v="-5735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7"/>
    <x v="7"/>
    <n v="-85250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8"/>
    <x v="8"/>
    <n v="-103075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9"/>
    <x v="9"/>
    <n v="-90580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8"/>
    <x v="10"/>
    <n v="-69750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0"/>
    <x v="11"/>
    <n v="15500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1"/>
    <x v="12"/>
    <n v="27580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5"/>
    <x v="10"/>
    <n v="33325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2"/>
    <x v="10"/>
    <n v="0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3"/>
    <x v="13"/>
    <n v="15600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4"/>
    <x v="11"/>
    <n v="15810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5"/>
    <x v="14"/>
    <n v="15300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16"/>
    <x v="15"/>
    <n v="16120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7"/>
    <x v="16"/>
    <n v="15190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18"/>
    <x v="17"/>
    <n v="14400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19"/>
    <x v="18"/>
    <n v="15345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0"/>
    <x v="19"/>
    <n v="92225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2"/>
    <x v="20"/>
    <n v="76725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1"/>
    <x v="21"/>
    <n v="96880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5"/>
    <x v="20"/>
    <n v="110050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0"/>
    <x v="8"/>
    <n v="-55800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1"/>
    <x v="9"/>
    <n v="-47880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0"/>
    <x v="10"/>
    <n v="-22475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22"/>
    <x v="7"/>
    <n v="-37975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0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0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0"/>
    <x v="4"/>
    <x v="0"/>
  </r>
  <r>
    <x v="0"/>
    <x v="0"/>
    <x v="0"/>
    <x v="0"/>
    <x v="0"/>
    <x v="0"/>
    <x v="0"/>
    <x v="0"/>
    <x v="0"/>
    <x v="5"/>
    <x v="0"/>
    <x v="1"/>
    <x v="0"/>
    <x v="0"/>
    <x v="0"/>
    <x v="0"/>
    <x v="0"/>
    <x v="5"/>
    <x v="0"/>
    <x v="5"/>
    <x v="0"/>
  </r>
  <r>
    <x v="0"/>
    <x v="0"/>
    <x v="0"/>
    <x v="0"/>
    <x v="0"/>
    <x v="0"/>
    <x v="0"/>
    <x v="0"/>
    <x v="0"/>
    <x v="6"/>
    <x v="0"/>
    <x v="0"/>
    <x v="0"/>
    <x v="0"/>
    <x v="0"/>
    <x v="0"/>
    <x v="0"/>
    <x v="6"/>
    <x v="0"/>
    <x v="6"/>
    <x v="0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J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x="0"/>
        <item x="4"/>
        <item x="6"/>
        <item x="5"/>
        <item x="3"/>
        <item x="2"/>
        <item x="1"/>
        <item x="7"/>
        <item m="1" x="8"/>
        <item m="1" x="9"/>
        <item m="1" x="10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>
      <selection activeCell="A6" sqref="A6"/>
    </sheetView>
  </sheetViews>
  <sheetFormatPr defaultRowHeight="10.199999999999999" x14ac:dyDescent="0.2"/>
  <cols>
    <col min="1" max="1" width="47.1640625" style="87" customWidth="1"/>
    <col min="2" max="2" width="9.33203125" style="87"/>
    <col min="3" max="3" width="15.1640625" style="87" customWidth="1"/>
    <col min="4" max="4" width="15.5" style="87" customWidth="1"/>
    <col min="5" max="5" width="16.33203125" style="87" customWidth="1"/>
    <col min="6" max="16384" width="9.33203125" style="87"/>
  </cols>
  <sheetData>
    <row r="1" spans="1:5" ht="12.6" x14ac:dyDescent="0.25">
      <c r="A1" s="86" t="s">
        <v>10</v>
      </c>
    </row>
    <row r="2" spans="1:5" ht="12.6" x14ac:dyDescent="0.25">
      <c r="A2" s="86" t="s">
        <v>56</v>
      </c>
    </row>
    <row r="3" spans="1:5" ht="12.6" x14ac:dyDescent="0.25">
      <c r="A3" s="86" t="s">
        <v>144</v>
      </c>
    </row>
    <row r="4" spans="1:5" ht="12.6" x14ac:dyDescent="0.25">
      <c r="A4" s="86" t="s">
        <v>12</v>
      </c>
    </row>
    <row r="7" spans="1:5" x14ac:dyDescent="0.2">
      <c r="A7" s="96"/>
      <c r="C7" s="123" t="s">
        <v>42</v>
      </c>
      <c r="D7" s="52"/>
      <c r="E7" s="52"/>
    </row>
    <row r="8" spans="1:5" x14ac:dyDescent="0.2">
      <c r="A8" s="87" t="s">
        <v>41</v>
      </c>
      <c r="C8" s="140">
        <v>648405</v>
      </c>
      <c r="D8" s="115"/>
      <c r="E8" s="115"/>
    </row>
    <row r="9" spans="1:5" x14ac:dyDescent="0.2">
      <c r="A9" s="87" t="s">
        <v>15</v>
      </c>
      <c r="C9" s="88">
        <f>C16+C26</f>
        <v>-21701</v>
      </c>
      <c r="D9" s="102"/>
      <c r="E9" s="102"/>
    </row>
    <row r="10" spans="1:5" x14ac:dyDescent="0.2">
      <c r="A10" s="87" t="s">
        <v>17</v>
      </c>
      <c r="C10" s="88">
        <f>C17+C27</f>
        <v>-34569</v>
      </c>
      <c r="D10" s="102"/>
      <c r="E10" s="102"/>
    </row>
    <row r="14" spans="1:5" x14ac:dyDescent="0.2">
      <c r="A14" s="96" t="s">
        <v>55</v>
      </c>
      <c r="C14" s="123" t="s">
        <v>42</v>
      </c>
      <c r="D14" s="123" t="s">
        <v>45</v>
      </c>
      <c r="E14" s="123" t="s">
        <v>46</v>
      </c>
    </row>
    <row r="15" spans="1:5" x14ac:dyDescent="0.2">
      <c r="A15" s="87" t="s">
        <v>41</v>
      </c>
      <c r="B15" s="102"/>
      <c r="C15" s="139">
        <v>516967</v>
      </c>
      <c r="D15" s="124">
        <v>2500000</v>
      </c>
      <c r="E15" s="125">
        <f>IF(ABS(C15)&gt;D15,ABS(C15)-D15,0)</f>
        <v>0</v>
      </c>
    </row>
    <row r="16" spans="1:5" x14ac:dyDescent="0.2">
      <c r="A16" s="87" t="s">
        <v>88</v>
      </c>
      <c r="C16" s="88">
        <f>'PLR SUM'!AA29</f>
        <v>37487</v>
      </c>
      <c r="D16" s="88">
        <v>-2500000</v>
      </c>
      <c r="E16" s="126">
        <f>IF(C16&lt;D16,ABS(C16)-D16,0)</f>
        <v>0</v>
      </c>
    </row>
    <row r="17" spans="1:5" x14ac:dyDescent="0.2">
      <c r="A17" s="87" t="s">
        <v>89</v>
      </c>
      <c r="C17" s="88">
        <f>'5-DAY'!C1</f>
        <v>-243620</v>
      </c>
      <c r="D17" s="88">
        <v>-5625000</v>
      </c>
      <c r="E17" s="126">
        <f>IF(C17&lt;D17,C17-D17,0)</f>
        <v>0</v>
      </c>
    </row>
    <row r="18" spans="1:5" x14ac:dyDescent="0.2">
      <c r="A18" s="87" t="s">
        <v>47</v>
      </c>
      <c r="C18" s="99">
        <f>'Gap Risk'!B26</f>
        <v>-4589363.6840000004</v>
      </c>
      <c r="D18" s="128">
        <v>17000000</v>
      </c>
      <c r="E18" s="127">
        <f>IF(ABS(C18)&gt;D18,ABS(C18)-D18,0)</f>
        <v>0</v>
      </c>
    </row>
    <row r="19" spans="1:5" x14ac:dyDescent="0.2">
      <c r="A19" s="87" t="s">
        <v>117</v>
      </c>
      <c r="C19" s="99">
        <f>'Gap Risk'!B17</f>
        <v>-8293957.5296</v>
      </c>
      <c r="D19" s="128">
        <v>17000000</v>
      </c>
      <c r="E19" s="127">
        <f>IF(ABS(C19)&gt;D19,ABS(C19)-D19,0)</f>
        <v>0</v>
      </c>
    </row>
    <row r="22" spans="1:5" x14ac:dyDescent="0.2">
      <c r="A22" s="96" t="s">
        <v>13</v>
      </c>
      <c r="C22" s="123" t="s">
        <v>42</v>
      </c>
      <c r="D22" s="123" t="s">
        <v>45</v>
      </c>
      <c r="E22" s="123" t="s">
        <v>46</v>
      </c>
    </row>
    <row r="23" spans="1:5" x14ac:dyDescent="0.2">
      <c r="A23" s="87" t="s">
        <v>41</v>
      </c>
      <c r="B23" s="102"/>
      <c r="C23" s="139">
        <v>207174</v>
      </c>
      <c r="D23" s="124">
        <v>1000000</v>
      </c>
      <c r="E23" s="125">
        <f>'SPEC REPORT'!K8</f>
        <v>0</v>
      </c>
    </row>
    <row r="24" spans="1:5" x14ac:dyDescent="0.2">
      <c r="A24" s="87" t="s">
        <v>47</v>
      </c>
      <c r="C24" s="99">
        <f>'SPEC REPORT'!I11</f>
        <v>-1469999.9997999999</v>
      </c>
      <c r="D24" s="128">
        <v>5000000</v>
      </c>
      <c r="E24" s="127">
        <f>'SPEC REPORT'!K11</f>
        <v>0</v>
      </c>
    </row>
    <row r="25" spans="1:5" x14ac:dyDescent="0.2">
      <c r="A25" s="87" t="s">
        <v>117</v>
      </c>
      <c r="C25" s="99">
        <f>'SPEC REPORT'!I12</f>
        <v>-1469999.9997999999</v>
      </c>
      <c r="D25" s="128">
        <v>5000000</v>
      </c>
      <c r="E25" s="127"/>
    </row>
    <row r="26" spans="1:5" x14ac:dyDescent="0.2">
      <c r="A26" s="87" t="s">
        <v>88</v>
      </c>
      <c r="C26" s="88">
        <f>'SPEC REPORT'!I9</f>
        <v>-59188</v>
      </c>
      <c r="D26" s="88">
        <v>-1000000</v>
      </c>
      <c r="E26" s="126">
        <f>IF(C26&lt;D26,ABS(C26)-D26,0)</f>
        <v>0</v>
      </c>
    </row>
    <row r="27" spans="1:5" x14ac:dyDescent="0.2">
      <c r="A27" s="87" t="s">
        <v>89</v>
      </c>
      <c r="C27" s="88">
        <f>'SPEC REPORT'!I10</f>
        <v>209051</v>
      </c>
      <c r="D27" s="88">
        <v>-2250000</v>
      </c>
      <c r="E27" s="126">
        <f>IF(C27&lt;D27,C27-D27,0)</f>
        <v>0</v>
      </c>
    </row>
    <row r="28" spans="1:5" x14ac:dyDescent="0.2">
      <c r="A28" s="87" t="s">
        <v>86</v>
      </c>
      <c r="C28" s="180">
        <f>'5-DAY'!F2</f>
        <v>-32307.060000000056</v>
      </c>
    </row>
    <row r="29" spans="1:5" x14ac:dyDescent="0.2">
      <c r="A29" s="87" t="s">
        <v>87</v>
      </c>
      <c r="C29" s="180">
        <f>SUM('5-DAY'!C80:C217)</f>
        <v>-764973.06</v>
      </c>
    </row>
    <row r="30" spans="1:5" x14ac:dyDescent="0.2">
      <c r="A30" s="87" t="s">
        <v>18</v>
      </c>
      <c r="C30" s="88">
        <f>'SPEC REPORT'!D12</f>
        <v>4157052.5432664901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144780</xdr:colOff>
                    <xdr:row>32</xdr:row>
                    <xdr:rowOff>7620</xdr:rowOff>
                  </from>
                  <to>
                    <xdr:col>0</xdr:col>
                    <xdr:colOff>1043940</xdr:colOff>
                    <xdr:row>35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/>
  </sheetViews>
  <sheetFormatPr defaultColWidth="10.6640625" defaultRowHeight="9.6" x14ac:dyDescent="0.2"/>
  <cols>
    <col min="1" max="1" width="17.83203125" style="165" customWidth="1"/>
    <col min="2" max="2" width="17.83203125" style="160" customWidth="1"/>
    <col min="3" max="10" width="17.83203125" style="162" customWidth="1"/>
    <col min="11" max="12" width="17.83203125" style="163" customWidth="1"/>
    <col min="13" max="13" width="10.6640625" style="164" customWidth="1"/>
    <col min="14" max="16" width="10.6640625" style="162" customWidth="1"/>
    <col min="17" max="17" width="8" style="162" customWidth="1"/>
    <col min="18" max="18" width="9" style="162" customWidth="1"/>
    <col min="19" max="19" width="8.1640625" style="162" customWidth="1"/>
    <col min="20" max="16384" width="10.6640625" style="162"/>
  </cols>
  <sheetData>
    <row r="1" spans="1:19" ht="10.199999999999999" x14ac:dyDescent="0.2">
      <c r="A1" s="159" t="s">
        <v>96</v>
      </c>
      <c r="C1" s="161"/>
    </row>
    <row r="2" spans="1:19" ht="10.199999999999999" x14ac:dyDescent="0.2">
      <c r="A2" s="159" t="str">
        <f>'GAS SUM'!A3</f>
        <v>As of November 20, 2001</v>
      </c>
      <c r="C2" s="161"/>
    </row>
    <row r="4" spans="1:19" x14ac:dyDescent="0.2">
      <c r="N4" s="165"/>
      <c r="O4" s="160"/>
    </row>
    <row r="5" spans="1:19" x14ac:dyDescent="0.2">
      <c r="N5" s="165"/>
      <c r="O5" s="160"/>
    </row>
    <row r="6" spans="1:19" x14ac:dyDescent="0.2">
      <c r="N6" s="162" t="s">
        <v>135</v>
      </c>
      <c r="O6" s="160"/>
    </row>
    <row r="7" spans="1:19" x14ac:dyDescent="0.2">
      <c r="N7" s="166" t="s">
        <v>90</v>
      </c>
      <c r="O7" s="167" t="s">
        <v>91</v>
      </c>
      <c r="P7" s="168" t="s">
        <v>92</v>
      </c>
      <c r="Q7" s="168" t="s">
        <v>99</v>
      </c>
      <c r="R7" s="63"/>
      <c r="S7" s="63"/>
    </row>
    <row r="8" spans="1:19" x14ac:dyDescent="0.2">
      <c r="N8" s="165">
        <f>'5-DAY'!A39</f>
        <v>37104</v>
      </c>
      <c r="O8" s="160">
        <f>'5-DAY'!B39/1000</f>
        <v>3258.4079999999999</v>
      </c>
      <c r="P8" s="160">
        <v>3894</v>
      </c>
      <c r="Q8" s="160"/>
      <c r="R8" s="160"/>
      <c r="S8" s="160"/>
    </row>
    <row r="9" spans="1:19" x14ac:dyDescent="0.2">
      <c r="N9" s="165">
        <f>'5-DAY'!A40</f>
        <v>37105</v>
      </c>
      <c r="O9" s="160">
        <f>'5-DAY'!B40/1000</f>
        <v>-1196.0889999999999</v>
      </c>
      <c r="P9" s="160">
        <v>1865</v>
      </c>
      <c r="Q9" s="160">
        <f>VAR!B4/1000</f>
        <v>2346.3690000000001</v>
      </c>
      <c r="R9" s="160"/>
      <c r="S9" s="160"/>
    </row>
    <row r="10" spans="1:19" x14ac:dyDescent="0.2">
      <c r="N10" s="165">
        <f>'5-DAY'!A41</f>
        <v>37106</v>
      </c>
      <c r="O10" s="160">
        <f>'5-DAY'!B41/1000</f>
        <v>1275.855</v>
      </c>
      <c r="P10" s="160">
        <v>2117</v>
      </c>
      <c r="Q10" s="160">
        <f>VAR!B5/1000</f>
        <v>2188.87</v>
      </c>
      <c r="R10" s="160"/>
      <c r="S10" s="160"/>
    </row>
    <row r="11" spans="1:19" x14ac:dyDescent="0.2">
      <c r="N11" s="165">
        <f>'5-DAY'!A42</f>
        <v>37109</v>
      </c>
      <c r="O11" s="160">
        <f>'5-DAY'!B42/1000</f>
        <v>-2323.857</v>
      </c>
      <c r="P11" s="160">
        <v>922</v>
      </c>
      <c r="Q11" s="160">
        <f>VAR!B6/1000</f>
        <v>2225.3249999999998</v>
      </c>
      <c r="R11" s="160"/>
      <c r="S11" s="160"/>
    </row>
    <row r="12" spans="1:19" x14ac:dyDescent="0.2">
      <c r="N12" s="165">
        <f>'5-DAY'!A43</f>
        <v>37110</v>
      </c>
      <c r="O12" s="160">
        <f>'5-DAY'!B43/1000</f>
        <v>308.44799999999998</v>
      </c>
      <c r="P12" s="160">
        <f t="shared" ref="P12:P21" si="0">SUM(O8:O12)</f>
        <v>1322.7649999999999</v>
      </c>
      <c r="Q12" s="160">
        <f>VAR!B7/1000</f>
        <v>2124.9850000000001</v>
      </c>
      <c r="R12" s="160"/>
      <c r="S12" s="160"/>
    </row>
    <row r="13" spans="1:19" x14ac:dyDescent="0.2">
      <c r="N13" s="165">
        <f>'5-DAY'!A44</f>
        <v>37111</v>
      </c>
      <c r="O13" s="160">
        <f>'5-DAY'!B44/1000</f>
        <v>1183.4349999999999</v>
      </c>
      <c r="P13" s="160">
        <f t="shared" si="0"/>
        <v>-752.20800000000008</v>
      </c>
      <c r="Q13" s="160">
        <f>VAR!B8/1000</f>
        <v>2145.674</v>
      </c>
      <c r="R13" s="160"/>
      <c r="S13" s="160"/>
    </row>
    <row r="14" spans="1:19" x14ac:dyDescent="0.2">
      <c r="N14" s="165">
        <f>'5-DAY'!A45</f>
        <v>37112</v>
      </c>
      <c r="O14" s="160">
        <f>'5-DAY'!B45/1000</f>
        <v>1159.5350000000001</v>
      </c>
      <c r="P14" s="160">
        <f t="shared" si="0"/>
        <v>1603.4160000000002</v>
      </c>
      <c r="Q14" s="160">
        <f>VAR!B9/1000</f>
        <v>2094.9850000000001</v>
      </c>
      <c r="R14" s="160"/>
      <c r="S14" s="160"/>
    </row>
    <row r="15" spans="1:19" x14ac:dyDescent="0.2">
      <c r="N15" s="165">
        <f>'5-DAY'!A46</f>
        <v>37113</v>
      </c>
      <c r="O15" s="160">
        <f>'5-DAY'!B46/1000</f>
        <v>-595.70600000000002</v>
      </c>
      <c r="P15" s="160">
        <f t="shared" si="0"/>
        <v>-268.1450000000001</v>
      </c>
      <c r="Q15" s="160">
        <f>VAR!B10/1000</f>
        <v>2079.2869999999998</v>
      </c>
      <c r="R15" s="160"/>
      <c r="S15" s="160"/>
    </row>
    <row r="16" spans="1:19" x14ac:dyDescent="0.2">
      <c r="N16" s="165">
        <f>'5-DAY'!A47</f>
        <v>37116</v>
      </c>
      <c r="O16" s="160">
        <f>'5-DAY'!B47/1000</f>
        <v>-6281.8689999999997</v>
      </c>
      <c r="P16" s="160">
        <f t="shared" si="0"/>
        <v>-4226.1570000000002</v>
      </c>
      <c r="Q16" s="160">
        <f>VAR!B11/1000</f>
        <v>1611.819</v>
      </c>
      <c r="R16" s="160"/>
      <c r="S16" s="160"/>
    </row>
    <row r="17" spans="14:17" x14ac:dyDescent="0.2">
      <c r="N17" s="165">
        <f>'5-DAY'!A48</f>
        <v>37117</v>
      </c>
      <c r="O17" s="160">
        <f>'5-DAY'!B48/1000</f>
        <v>-44.610999999999997</v>
      </c>
      <c r="P17" s="160">
        <f t="shared" si="0"/>
        <v>-4579.2159999999994</v>
      </c>
      <c r="Q17" s="160">
        <f>VAR!B12/1000</f>
        <v>1644.596</v>
      </c>
    </row>
    <row r="18" spans="14:17" x14ac:dyDescent="0.2">
      <c r="N18" s="165">
        <f>'5-DAY'!A49</f>
        <v>37118</v>
      </c>
      <c r="O18" s="160">
        <f>'5-DAY'!B49/1000</f>
        <v>-1707.2070000000001</v>
      </c>
      <c r="P18" s="160">
        <f t="shared" si="0"/>
        <v>-7469.8580000000002</v>
      </c>
      <c r="Q18" s="160">
        <f>VAR!B13/1000</f>
        <v>1777.097</v>
      </c>
    </row>
    <row r="19" spans="14:17" x14ac:dyDescent="0.2">
      <c r="N19" s="165">
        <f>'5-DAY'!A50</f>
        <v>37119</v>
      </c>
      <c r="O19" s="160">
        <f>'5-DAY'!B50/1000</f>
        <v>27.548999999999999</v>
      </c>
      <c r="P19" s="160">
        <f t="shared" si="0"/>
        <v>-8601.8439999999991</v>
      </c>
      <c r="Q19" s="160">
        <f>VAR!B14/1000</f>
        <v>1743.7950000000001</v>
      </c>
    </row>
    <row r="20" spans="14:17" x14ac:dyDescent="0.2">
      <c r="N20" s="165">
        <f>'5-DAY'!A51</f>
        <v>37120</v>
      </c>
      <c r="O20" s="160">
        <f>'5-DAY'!B51/1000</f>
        <v>634.74599999999998</v>
      </c>
      <c r="P20" s="160">
        <f t="shared" si="0"/>
        <v>-7371.3919999999998</v>
      </c>
      <c r="Q20" s="160">
        <f>VAR!B15/1000</f>
        <v>1716.027</v>
      </c>
    </row>
    <row r="21" spans="14:17" x14ac:dyDescent="0.2">
      <c r="N21" s="165">
        <f>'5-DAY'!A52</f>
        <v>37123</v>
      </c>
      <c r="O21" s="160">
        <f>'5-DAY'!B52/1000</f>
        <v>1044.671</v>
      </c>
      <c r="P21" s="160">
        <f t="shared" si="0"/>
        <v>-44.852000000000089</v>
      </c>
      <c r="Q21" s="160">
        <f>VAR!B16/1000</f>
        <v>1664.3050000000001</v>
      </c>
    </row>
    <row r="22" spans="14:17" x14ac:dyDescent="0.2">
      <c r="N22" s="165">
        <f>'5-DAY'!A53</f>
        <v>37124</v>
      </c>
      <c r="O22" s="160">
        <f>'5-DAY'!B53/1000</f>
        <v>-546.79200000000003</v>
      </c>
      <c r="P22" s="160">
        <f t="shared" ref="P22:P27" si="1">SUM(O18:O22)</f>
        <v>-547.03300000000024</v>
      </c>
      <c r="Q22" s="160">
        <f>VAR!B17/1000</f>
        <v>1874.5219999999999</v>
      </c>
    </row>
    <row r="23" spans="14:17" x14ac:dyDescent="0.2">
      <c r="N23" s="165">
        <f>'5-DAY'!A54</f>
        <v>37125</v>
      </c>
      <c r="O23" s="160">
        <f>'5-DAY'!B54/1000</f>
        <v>1777.8440000000001</v>
      </c>
      <c r="P23" s="160">
        <f t="shared" si="1"/>
        <v>2938.018</v>
      </c>
      <c r="Q23" s="160">
        <f>VAR!B18/1000</f>
        <v>1748.8009999999999</v>
      </c>
    </row>
    <row r="24" spans="14:17" x14ac:dyDescent="0.2">
      <c r="N24" s="165">
        <f>'5-DAY'!A55</f>
        <v>37126</v>
      </c>
      <c r="O24" s="160">
        <f>'5-DAY'!B55/1000</f>
        <v>-343.24099999999999</v>
      </c>
      <c r="P24" s="160">
        <f t="shared" si="1"/>
        <v>2567.2280000000001</v>
      </c>
      <c r="Q24" s="160">
        <f>VAR!B19/1000</f>
        <v>1821.6110000000001</v>
      </c>
    </row>
    <row r="25" spans="14:17" x14ac:dyDescent="0.2">
      <c r="N25" s="165">
        <f>'5-DAY'!A56</f>
        <v>37127</v>
      </c>
      <c r="O25" s="160">
        <f>'5-DAY'!B56/1000</f>
        <v>918.19200000000001</v>
      </c>
      <c r="P25" s="160">
        <f t="shared" si="1"/>
        <v>2850.674</v>
      </c>
      <c r="Q25" s="160">
        <f>VAR!B20/1000</f>
        <v>1776.2909999999999</v>
      </c>
    </row>
    <row r="26" spans="14:17" x14ac:dyDescent="0.2">
      <c r="N26" s="165">
        <f>'5-DAY'!A57</f>
        <v>37130</v>
      </c>
      <c r="O26" s="160">
        <f>'5-DAY'!B57/1000</f>
        <v>1529.049</v>
      </c>
      <c r="P26" s="160">
        <f t="shared" si="1"/>
        <v>3335.0520000000001</v>
      </c>
      <c r="Q26" s="160">
        <f>VAR!B21/1000</f>
        <v>1688.4110000000001</v>
      </c>
    </row>
    <row r="27" spans="14:17" x14ac:dyDescent="0.2">
      <c r="N27" s="165">
        <f>'5-DAY'!A58</f>
        <v>37131</v>
      </c>
      <c r="O27" s="160">
        <f>'5-DAY'!B58/1000</f>
        <v>198.209</v>
      </c>
      <c r="P27" s="160">
        <f t="shared" si="1"/>
        <v>4080.0529999999999</v>
      </c>
      <c r="Q27" s="160">
        <f>VAR!B22/1000</f>
        <v>1648.123</v>
      </c>
    </row>
    <row r="28" spans="14:17" x14ac:dyDescent="0.2">
      <c r="N28" s="165">
        <f>'5-DAY'!A59</f>
        <v>37132</v>
      </c>
      <c r="O28" s="160">
        <f>'5-DAY'!B59/1000</f>
        <v>1578.88</v>
      </c>
      <c r="P28" s="160">
        <f t="shared" ref="P28:P33" si="2">SUM(O24:O28)</f>
        <v>3881.0889999999999</v>
      </c>
      <c r="Q28" s="160">
        <f>VAR!B23/1000</f>
        <v>1788.4880000000001</v>
      </c>
    </row>
    <row r="29" spans="14:17" x14ac:dyDescent="0.2">
      <c r="N29" s="165">
        <f>'5-DAY'!A60</f>
        <v>37133</v>
      </c>
      <c r="O29" s="160">
        <f>'5-DAY'!B60/1000</f>
        <v>-262.39999999999998</v>
      </c>
      <c r="P29" s="160">
        <f t="shared" si="2"/>
        <v>3961.93</v>
      </c>
      <c r="Q29" s="160">
        <f>VAR!B24/1000</f>
        <v>1894.682</v>
      </c>
    </row>
    <row r="30" spans="14:17" x14ac:dyDescent="0.2">
      <c r="N30" s="192">
        <f>'5-DAY'!A61</f>
        <v>37134</v>
      </c>
      <c r="O30" s="178">
        <f>'5-DAY'!B61/1000</f>
        <v>404.65300000000002</v>
      </c>
      <c r="P30" s="178">
        <f t="shared" si="2"/>
        <v>3448.3909999999996</v>
      </c>
      <c r="Q30" s="178">
        <f>VAR!B25/1000</f>
        <v>1955.0889999999999</v>
      </c>
    </row>
    <row r="31" spans="14:17" x14ac:dyDescent="0.2">
      <c r="N31" s="165">
        <f>'5-DAY'!A62</f>
        <v>37138</v>
      </c>
      <c r="O31" s="160">
        <f>'5-DAY'!B62/1000</f>
        <v>2030.4010000000001</v>
      </c>
      <c r="P31" s="160">
        <f t="shared" si="2"/>
        <v>3949.7430000000004</v>
      </c>
      <c r="Q31" s="160">
        <f>VAR!B26/1000</f>
        <v>1973.9179999999999</v>
      </c>
    </row>
    <row r="32" spans="14:17" x14ac:dyDescent="0.2">
      <c r="N32" s="165">
        <f>'5-DAY'!A63</f>
        <v>37139</v>
      </c>
      <c r="O32" s="160">
        <f>'5-DAY'!B63/1000</f>
        <v>-267.93200000000002</v>
      </c>
      <c r="P32" s="160">
        <f t="shared" si="2"/>
        <v>3483.6019999999999</v>
      </c>
      <c r="Q32" s="160">
        <f>VAR!B27/1000</f>
        <v>1973.9179999999999</v>
      </c>
    </row>
    <row r="33" spans="14:17" x14ac:dyDescent="0.2">
      <c r="N33" s="165">
        <f>'5-DAY'!A64</f>
        <v>37140</v>
      </c>
      <c r="O33" s="160">
        <f>'5-DAY'!B64/1000</f>
        <v>-174.27199999999999</v>
      </c>
      <c r="P33" s="160">
        <f t="shared" si="2"/>
        <v>1730.45</v>
      </c>
      <c r="Q33" s="160">
        <f>VAR!B28/1000</f>
        <v>850.29899999999998</v>
      </c>
    </row>
    <row r="34" spans="14:17" x14ac:dyDescent="0.2">
      <c r="N34" s="165">
        <f>'5-DAY'!A65</f>
        <v>37141</v>
      </c>
      <c r="O34" s="160">
        <f>'5-DAY'!B65/1000</f>
        <v>-259.29000000000002</v>
      </c>
      <c r="P34" s="160">
        <f t="shared" ref="P34:P39" si="3">SUM(O30:O34)</f>
        <v>1733.5600000000004</v>
      </c>
      <c r="Q34" s="160">
        <f>VAR!B29/1000</f>
        <v>995.49099999999999</v>
      </c>
    </row>
    <row r="35" spans="14:17" x14ac:dyDescent="0.2">
      <c r="N35" s="165">
        <f>'5-DAY'!A66</f>
        <v>37144</v>
      </c>
      <c r="O35" s="160">
        <f>'5-DAY'!B66/1000</f>
        <v>155.904</v>
      </c>
      <c r="P35" s="160">
        <f t="shared" si="3"/>
        <v>1484.8110000000001</v>
      </c>
      <c r="Q35" s="160">
        <f>VAR!B30/1000</f>
        <v>1216.3050000000001</v>
      </c>
    </row>
    <row r="36" spans="14:17" x14ac:dyDescent="0.2">
      <c r="N36" s="165">
        <f>'5-DAY'!A67</f>
        <v>37146</v>
      </c>
      <c r="O36" s="160">
        <f>'5-DAY'!B67/1000</f>
        <v>10.329000000000001</v>
      </c>
      <c r="P36" s="160">
        <f t="shared" si="3"/>
        <v>-535.26100000000008</v>
      </c>
      <c r="Q36" s="160">
        <f>VAR!B31/1000</f>
        <v>1255.9259999999999</v>
      </c>
    </row>
    <row r="37" spans="14:17" x14ac:dyDescent="0.2">
      <c r="N37" s="165">
        <f>'5-DAY'!A68</f>
        <v>37147</v>
      </c>
      <c r="O37" s="160">
        <f>'5-DAY'!B68/1000</f>
        <v>-1035.1510000000001</v>
      </c>
      <c r="P37" s="160">
        <f t="shared" si="3"/>
        <v>-1302.48</v>
      </c>
      <c r="Q37" s="160">
        <f>VAR!B32/1000</f>
        <v>1323.7750000000001</v>
      </c>
    </row>
    <row r="38" spans="14:17" x14ac:dyDescent="0.2">
      <c r="N38" s="165">
        <f>'5-DAY'!A69</f>
        <v>37148</v>
      </c>
      <c r="O38" s="160">
        <f>'5-DAY'!B69/1000</f>
        <v>131.95500000000001</v>
      </c>
      <c r="P38" s="160">
        <f t="shared" si="3"/>
        <v>-996.25300000000004</v>
      </c>
      <c r="Q38" s="160">
        <f>VAR!B33/1000</f>
        <v>1378.4469999999999</v>
      </c>
    </row>
    <row r="39" spans="14:17" x14ac:dyDescent="0.2">
      <c r="N39" s="165">
        <f>'5-DAY'!A70</f>
        <v>37151</v>
      </c>
      <c r="O39" s="160">
        <f>'5-DAY'!B70/1000</f>
        <v>-519.45500000000004</v>
      </c>
      <c r="P39" s="160">
        <f t="shared" si="3"/>
        <v>-1256.4180000000001</v>
      </c>
      <c r="Q39" s="160">
        <f>VAR!B34/1000</f>
        <v>1308.2909999999999</v>
      </c>
    </row>
    <row r="40" spans="14:17" x14ac:dyDescent="0.2">
      <c r="N40" s="165">
        <f>'5-DAY'!A71</f>
        <v>37152</v>
      </c>
      <c r="O40" s="160">
        <f>'5-DAY'!B71/1000</f>
        <v>927.49300000000005</v>
      </c>
      <c r="P40" s="160">
        <f t="shared" ref="P40:P45" si="4">SUM(O36:O40)</f>
        <v>-484.82900000000006</v>
      </c>
      <c r="Q40" s="160">
        <f>VAR!B35/1000</f>
        <v>1524.0840000000001</v>
      </c>
    </row>
    <row r="41" spans="14:17" x14ac:dyDescent="0.2">
      <c r="N41" s="165">
        <f>'5-DAY'!A72</f>
        <v>37153</v>
      </c>
      <c r="O41" s="160">
        <f>'5-DAY'!B72/1000</f>
        <v>278.89699999999999</v>
      </c>
      <c r="P41" s="160">
        <f t="shared" si="4"/>
        <v>-216.26100000000002</v>
      </c>
      <c r="Q41" s="160">
        <f>VAR!B36/1000</f>
        <v>1336.3489999999999</v>
      </c>
    </row>
    <row r="42" spans="14:17" x14ac:dyDescent="0.2">
      <c r="N42" s="165">
        <f>'5-DAY'!A73</f>
        <v>37154</v>
      </c>
      <c r="O42" s="160">
        <f>'5-DAY'!B73/1000</f>
        <v>-324.24900000000002</v>
      </c>
      <c r="P42" s="160">
        <f t="shared" si="4"/>
        <v>494.64100000000008</v>
      </c>
      <c r="Q42" s="160">
        <f>VAR!B37/1000</f>
        <v>1268.3630000000001</v>
      </c>
    </row>
    <row r="43" spans="14:17" x14ac:dyDescent="0.2">
      <c r="N43" s="165">
        <f>'5-DAY'!A74</f>
        <v>37155</v>
      </c>
      <c r="O43" s="160">
        <f>'5-DAY'!B74/1000</f>
        <v>131.14699999999999</v>
      </c>
      <c r="P43" s="160">
        <f t="shared" si="4"/>
        <v>493.83299999999991</v>
      </c>
      <c r="Q43" s="160">
        <f>VAR!B38/1000</f>
        <v>1211.328</v>
      </c>
    </row>
    <row r="44" spans="14:17" x14ac:dyDescent="0.2">
      <c r="N44" s="165">
        <f>'5-DAY'!A75</f>
        <v>37158</v>
      </c>
      <c r="O44" s="160">
        <f>'5-DAY'!B75/1000</f>
        <v>649.428</v>
      </c>
      <c r="P44" s="160">
        <f t="shared" si="4"/>
        <v>1662.7159999999999</v>
      </c>
      <c r="Q44" s="160">
        <f>VAR!B39/1000</f>
        <v>1507.0550000000001</v>
      </c>
    </row>
    <row r="45" spans="14:17" x14ac:dyDescent="0.2">
      <c r="N45" s="165">
        <f>'5-DAY'!A76</f>
        <v>37159</v>
      </c>
      <c r="O45" s="160">
        <f>'5-DAY'!B76/1000</f>
        <v>-1177.383</v>
      </c>
      <c r="P45" s="160">
        <f t="shared" si="4"/>
        <v>-442.16000000000008</v>
      </c>
      <c r="Q45" s="160">
        <f>VAR!B40/1000</f>
        <v>1350.778</v>
      </c>
    </row>
    <row r="46" spans="14:17" x14ac:dyDescent="0.2">
      <c r="N46" s="165">
        <f>'5-DAY'!A77</f>
        <v>37160</v>
      </c>
      <c r="O46" s="160">
        <f>'5-DAY'!B77/1000</f>
        <v>330.49900000000002</v>
      </c>
      <c r="P46" s="160">
        <f t="shared" ref="P46:P51" si="5">SUM(O42:O46)</f>
        <v>-390.55799999999999</v>
      </c>
      <c r="Q46" s="160">
        <f>VAR!B41/1000</f>
        <v>1365.5650000000001</v>
      </c>
    </row>
    <row r="47" spans="14:17" x14ac:dyDescent="0.2">
      <c r="N47" s="165">
        <f>'5-DAY'!A78</f>
        <v>37161</v>
      </c>
      <c r="O47" s="160">
        <f>'5-DAY'!B78/1000</f>
        <v>237.21600000000001</v>
      </c>
      <c r="P47" s="160">
        <f t="shared" si="5"/>
        <v>170.90700000000004</v>
      </c>
      <c r="Q47" s="160">
        <f>VAR!B42/1000</f>
        <v>1406.354</v>
      </c>
    </row>
    <row r="48" spans="14:17" x14ac:dyDescent="0.2">
      <c r="N48" s="177">
        <f>'5-DAY'!A79</f>
        <v>37162</v>
      </c>
      <c r="O48" s="178">
        <f>'5-DAY'!B79/1000</f>
        <v>-413.71300000000002</v>
      </c>
      <c r="P48" s="178">
        <f t="shared" si="5"/>
        <v>-373.95300000000003</v>
      </c>
      <c r="Q48" s="178">
        <f>VAR!B43/1000</f>
        <v>1483.992</v>
      </c>
    </row>
    <row r="49" spans="13:17" x14ac:dyDescent="0.2">
      <c r="M49" s="163"/>
      <c r="N49" s="195">
        <f>'5-DAY'!A80</f>
        <v>37165</v>
      </c>
      <c r="O49" s="197">
        <f>'5-DAY'!B80/1000</f>
        <v>-398.024</v>
      </c>
      <c r="P49" s="197">
        <f t="shared" si="5"/>
        <v>-1421.4050000000002</v>
      </c>
      <c r="Q49" s="197">
        <f>VAR!B44/1000</f>
        <v>1438.6379999999999</v>
      </c>
    </row>
    <row r="50" spans="13:17" x14ac:dyDescent="0.2">
      <c r="N50" s="195">
        <f>'5-DAY'!A81</f>
        <v>37166</v>
      </c>
      <c r="O50" s="197">
        <f>'5-DAY'!B81/1000</f>
        <v>-39.332999999999998</v>
      </c>
      <c r="P50" s="197">
        <f t="shared" si="5"/>
        <v>-283.35500000000002</v>
      </c>
      <c r="Q50" s="197">
        <f>VAR!B45/1000</f>
        <v>1284.451</v>
      </c>
    </row>
    <row r="51" spans="13:17" x14ac:dyDescent="0.2">
      <c r="N51" s="195">
        <f>'5-DAY'!A82</f>
        <v>37167</v>
      </c>
      <c r="O51" s="197">
        <f>'5-DAY'!B82/1000</f>
        <v>312.67899999999997</v>
      </c>
      <c r="P51" s="197">
        <f t="shared" si="5"/>
        <v>-301.17499999999995</v>
      </c>
      <c r="Q51" s="197">
        <f>VAR!B46/1000</f>
        <v>554.98400000000004</v>
      </c>
    </row>
    <row r="52" spans="13:17" x14ac:dyDescent="0.2">
      <c r="N52" s="195">
        <f>'5-DAY'!A83</f>
        <v>37168</v>
      </c>
      <c r="O52" s="197">
        <f>'5-DAY'!B83/1000</f>
        <v>209.43600000000001</v>
      </c>
      <c r="P52" s="197">
        <f t="shared" ref="P52:P57" si="6">SUM(O48:O52)</f>
        <v>-328.95500000000004</v>
      </c>
      <c r="Q52" s="197">
        <f>VAR!B47/1000</f>
        <v>632.76400000000001</v>
      </c>
    </row>
    <row r="53" spans="13:17" x14ac:dyDescent="0.2">
      <c r="N53" s="195">
        <f>'5-DAY'!A84</f>
        <v>37169</v>
      </c>
      <c r="O53" s="197">
        <f>'5-DAY'!B84/1000</f>
        <v>-301.61700000000002</v>
      </c>
      <c r="P53" s="197">
        <f t="shared" si="6"/>
        <v>-216.85900000000001</v>
      </c>
      <c r="Q53" s="197">
        <f>VAR!B48/1000</f>
        <v>490.476</v>
      </c>
    </row>
    <row r="54" spans="13:17" x14ac:dyDescent="0.2">
      <c r="N54" s="195">
        <f>'5-DAY'!A85</f>
        <v>37172</v>
      </c>
      <c r="O54" s="197">
        <f>'5-DAY'!B85/1000</f>
        <v>111.378</v>
      </c>
      <c r="P54" s="197">
        <f t="shared" si="6"/>
        <v>292.54300000000001</v>
      </c>
      <c r="Q54" s="197">
        <f>VAR!B49/1000</f>
        <v>559.63</v>
      </c>
    </row>
    <row r="55" spans="13:17" x14ac:dyDescent="0.2">
      <c r="N55" s="195">
        <f>'5-DAY'!A86</f>
        <v>37173</v>
      </c>
      <c r="O55" s="197">
        <f>'5-DAY'!B86/1000</f>
        <v>349.38499999999999</v>
      </c>
      <c r="P55" s="197">
        <f t="shared" si="6"/>
        <v>681.26099999999997</v>
      </c>
      <c r="Q55" s="197">
        <f>VAR!B50/1000</f>
        <v>515.33900000000006</v>
      </c>
    </row>
    <row r="56" spans="13:17" x14ac:dyDescent="0.2">
      <c r="N56" s="195">
        <f>'5-DAY'!A87</f>
        <v>37174</v>
      </c>
      <c r="O56" s="197">
        <f>'5-DAY'!B87/1000</f>
        <v>51.353999999999999</v>
      </c>
      <c r="P56" s="197">
        <f t="shared" si="6"/>
        <v>419.93599999999998</v>
      </c>
      <c r="Q56" s="197">
        <f>VAR!B51/1000</f>
        <v>495.30200000000002</v>
      </c>
    </row>
    <row r="57" spans="13:17" x14ac:dyDescent="0.2">
      <c r="N57" s="195">
        <f>'5-DAY'!A88</f>
        <v>37175</v>
      </c>
      <c r="O57" s="197">
        <f>'5-DAY'!B88/1000</f>
        <v>32.034999999999997</v>
      </c>
      <c r="P57" s="197">
        <f t="shared" si="6"/>
        <v>242.53499999999994</v>
      </c>
      <c r="Q57" s="197">
        <f>VAR!B52/1000</f>
        <v>538.06100000000004</v>
      </c>
    </row>
    <row r="58" spans="13:17" x14ac:dyDescent="0.2">
      <c r="N58" s="195">
        <f>'5-DAY'!A89</f>
        <v>37176</v>
      </c>
      <c r="O58" s="197">
        <f>'5-DAY'!B89/1000</f>
        <v>-49.484999999999999</v>
      </c>
      <c r="P58" s="197">
        <f t="shared" ref="P58:P63" si="7">SUM(O54:O58)</f>
        <v>494.66699999999992</v>
      </c>
      <c r="Q58" s="197">
        <f>VAR!B53/1000</f>
        <v>602.75099999999998</v>
      </c>
    </row>
    <row r="59" spans="13:17" x14ac:dyDescent="0.2">
      <c r="N59" s="195">
        <f>'5-DAY'!A90</f>
        <v>37179</v>
      </c>
      <c r="O59" s="197">
        <f>'5-DAY'!B90/1000</f>
        <v>34.54</v>
      </c>
      <c r="P59" s="197">
        <f t="shared" si="7"/>
        <v>417.82900000000001</v>
      </c>
      <c r="Q59" s="197">
        <f>VAR!B54/1000</f>
        <v>580.12800000000004</v>
      </c>
    </row>
    <row r="60" spans="13:17" x14ac:dyDescent="0.2">
      <c r="N60" s="195">
        <f>'5-DAY'!A91</f>
        <v>37180</v>
      </c>
      <c r="O60" s="197">
        <f>'5-DAY'!B91/1000</f>
        <v>-444.58600000000001</v>
      </c>
      <c r="P60" s="197">
        <f t="shared" si="7"/>
        <v>-376.14200000000005</v>
      </c>
      <c r="Q60" s="197">
        <f>VAR!B55/1000</f>
        <v>513.09299999999996</v>
      </c>
    </row>
    <row r="61" spans="13:17" x14ac:dyDescent="0.2">
      <c r="N61" s="195">
        <f>'5-DAY'!A92</f>
        <v>37181</v>
      </c>
      <c r="O61" s="197">
        <f>'5-DAY'!B92/1000</f>
        <v>-269.70400000000001</v>
      </c>
      <c r="P61" s="197">
        <f t="shared" si="7"/>
        <v>-697.2</v>
      </c>
      <c r="Q61" s="197">
        <f>VAR!B56/1000</f>
        <v>580.58399999999995</v>
      </c>
    </row>
    <row r="62" spans="13:17" x14ac:dyDescent="0.2">
      <c r="N62" s="195">
        <f>'5-DAY'!A93</f>
        <v>37182</v>
      </c>
      <c r="O62" s="197">
        <f>'5-DAY'!B93/1000</f>
        <v>-416.87099999999998</v>
      </c>
      <c r="P62" s="197">
        <f t="shared" si="7"/>
        <v>-1146.106</v>
      </c>
      <c r="Q62" s="197">
        <f>VAR!B57/1000</f>
        <v>548.55799999999999</v>
      </c>
    </row>
    <row r="63" spans="13:17" x14ac:dyDescent="0.2">
      <c r="N63" s="195">
        <f>'5-DAY'!A94</f>
        <v>37183</v>
      </c>
      <c r="O63" s="197">
        <f>'5-DAY'!B94/1000</f>
        <v>-1174.327</v>
      </c>
      <c r="P63" s="197">
        <f t="shared" si="7"/>
        <v>-2270.9480000000003</v>
      </c>
      <c r="Q63" s="197">
        <f>VAR!B58/1000</f>
        <v>534.12</v>
      </c>
    </row>
    <row r="64" spans="13:17" x14ac:dyDescent="0.2">
      <c r="N64" s="195">
        <f>'5-DAY'!A95</f>
        <v>37186</v>
      </c>
      <c r="O64" s="197">
        <f>'5-DAY'!B95/1000</f>
        <v>393.68700000000001</v>
      </c>
      <c r="P64" s="197">
        <f t="shared" ref="P64:P69" si="8">SUM(O60:O64)</f>
        <v>-1911.8010000000004</v>
      </c>
      <c r="Q64" s="197">
        <f>VAR!B59/1000</f>
        <v>596.22500000000002</v>
      </c>
    </row>
    <row r="65" spans="14:17" x14ac:dyDescent="0.2">
      <c r="N65" s="195">
        <f>'5-DAY'!A96</f>
        <v>37187</v>
      </c>
      <c r="O65" s="197">
        <f>'5-DAY'!B96/1000</f>
        <v>-166.29900000000001</v>
      </c>
      <c r="P65" s="197">
        <f t="shared" si="8"/>
        <v>-1633.5140000000001</v>
      </c>
      <c r="Q65" s="197">
        <f>VAR!B60/1000</f>
        <v>555.53</v>
      </c>
    </row>
    <row r="66" spans="14:17" x14ac:dyDescent="0.2">
      <c r="N66" s="195">
        <f>'5-DAY'!A97</f>
        <v>37188</v>
      </c>
      <c r="O66" s="197">
        <f>'5-DAY'!B97/1000</f>
        <v>181.65100000000001</v>
      </c>
      <c r="P66" s="197">
        <f t="shared" si="8"/>
        <v>-1182.1589999999999</v>
      </c>
      <c r="Q66" s="197">
        <f>VAR!B61/1000</f>
        <v>578.45299999999997</v>
      </c>
    </row>
    <row r="67" spans="14:17" x14ac:dyDescent="0.2">
      <c r="N67" s="195">
        <f>'5-DAY'!A98</f>
        <v>37189</v>
      </c>
      <c r="O67" s="197">
        <f>'5-DAY'!B98/1000</f>
        <v>-140.01900000000001</v>
      </c>
      <c r="P67" s="197">
        <f t="shared" si="8"/>
        <v>-905.30700000000002</v>
      </c>
      <c r="Q67" s="197">
        <f>VAR!B62/1000</f>
        <v>566.70299999999997</v>
      </c>
    </row>
    <row r="68" spans="14:17" x14ac:dyDescent="0.2">
      <c r="N68" s="195">
        <f>'5-DAY'!A99</f>
        <v>37190</v>
      </c>
      <c r="O68" s="197">
        <f>'5-DAY'!B99/1000</f>
        <v>277.88299999999998</v>
      </c>
      <c r="P68" s="197">
        <f t="shared" si="8"/>
        <v>546.90300000000002</v>
      </c>
      <c r="Q68" s="197">
        <f>VAR!B63/1000</f>
        <v>580.91700000000003</v>
      </c>
    </row>
    <row r="69" spans="14:17" x14ac:dyDescent="0.2">
      <c r="N69" s="195">
        <f>'5-DAY'!A100</f>
        <v>37193</v>
      </c>
      <c r="O69" s="197">
        <f>'5-DAY'!B100/1000</f>
        <v>-313.99900000000002</v>
      </c>
      <c r="P69" s="197">
        <f t="shared" si="8"/>
        <v>-160.78300000000004</v>
      </c>
      <c r="Q69" s="197">
        <f>VAR!B64/1000</f>
        <v>595.70899999999995</v>
      </c>
    </row>
    <row r="70" spans="14:17" x14ac:dyDescent="0.2">
      <c r="N70" s="195">
        <f>'5-DAY'!A101</f>
        <v>37194</v>
      </c>
      <c r="O70" s="197">
        <f>'5-DAY'!B101/1000</f>
        <v>-276.74299999999999</v>
      </c>
      <c r="P70" s="197">
        <f>SUM(O66:O70)</f>
        <v>-271.22700000000003</v>
      </c>
      <c r="Q70" s="197">
        <f>VAR!B65/1000</f>
        <v>625.08399999999995</v>
      </c>
    </row>
    <row r="71" spans="14:17" x14ac:dyDescent="0.2">
      <c r="N71" s="177">
        <f>'5-DAY'!A102</f>
        <v>37195</v>
      </c>
      <c r="O71" s="178">
        <f>'5-DAY'!B102/1000</f>
        <v>-419.46100000000001</v>
      </c>
      <c r="P71" s="178">
        <f>SUM(O67:O71)</f>
        <v>-872.33900000000006</v>
      </c>
      <c r="Q71" s="178">
        <f>VAR!B66/1000</f>
        <v>625.36400000000003</v>
      </c>
    </row>
    <row r="72" spans="14:17" x14ac:dyDescent="0.2">
      <c r="N72" s="195">
        <f>'5-DAY'!A103</f>
        <v>37196</v>
      </c>
      <c r="O72" s="197">
        <f>'5-DAY'!B103/1000</f>
        <v>245.38800000000001</v>
      </c>
      <c r="P72" s="197">
        <f>SUM(O68:O72)</f>
        <v>-486.93200000000002</v>
      </c>
      <c r="Q72" s="197">
        <f>VAR!B67/1000</f>
        <v>407.82100000000003</v>
      </c>
    </row>
    <row r="73" spans="14:17" x14ac:dyDescent="0.2">
      <c r="N73" s="195">
        <f>'5-DAY'!A104</f>
        <v>37197</v>
      </c>
      <c r="O73" s="197">
        <f>'5-DAY'!B104/1000</f>
        <v>-152.12</v>
      </c>
      <c r="P73" s="197">
        <f>SUM(O69:O73)</f>
        <v>-916.93499999999995</v>
      </c>
      <c r="Q73" s="197">
        <f>VAR!B68/1000</f>
        <v>409.05399999999997</v>
      </c>
    </row>
    <row r="74" spans="14:17" x14ac:dyDescent="0.2">
      <c r="N74" s="195">
        <f>'5-DAY'!A105</f>
        <v>37200</v>
      </c>
      <c r="O74" s="197">
        <f>'5-DAY'!B105/1000</f>
        <v>-265.52699999999999</v>
      </c>
      <c r="P74" s="197">
        <f t="shared" ref="P74:P91" si="9">SUM(O70:O74)</f>
        <v>-868.46299999999997</v>
      </c>
      <c r="Q74" s="197">
        <f>VAR!B69/1000</f>
        <v>546.87</v>
      </c>
    </row>
    <row r="75" spans="14:17" x14ac:dyDescent="0.2">
      <c r="N75" s="195">
        <f>'5-DAY'!A106</f>
        <v>37201</v>
      </c>
      <c r="O75" s="197">
        <f>'5-DAY'!B106/1000</f>
        <v>-492.58600000000001</v>
      </c>
      <c r="P75" s="197">
        <f t="shared" si="9"/>
        <v>-1084.306</v>
      </c>
      <c r="Q75" s="197">
        <f>VAR!B70/1000</f>
        <v>618.4</v>
      </c>
    </row>
    <row r="76" spans="14:17" x14ac:dyDescent="0.2">
      <c r="N76" s="195">
        <f>'5-DAY'!A107</f>
        <v>37202</v>
      </c>
      <c r="O76" s="197">
        <f>'5-DAY'!B107/1000</f>
        <v>19.552</v>
      </c>
      <c r="P76" s="197">
        <f t="shared" si="9"/>
        <v>-645.29300000000001</v>
      </c>
      <c r="Q76" s="197">
        <f>VAR!B71/1000</f>
        <v>559.29300000000001</v>
      </c>
    </row>
    <row r="77" spans="14:17" x14ac:dyDescent="0.2">
      <c r="N77" s="195">
        <f>'5-DAY'!A108</f>
        <v>37203</v>
      </c>
      <c r="O77" s="197">
        <f>'5-DAY'!B108/1000</f>
        <v>-402.57100000000003</v>
      </c>
      <c r="P77" s="197">
        <f t="shared" si="9"/>
        <v>-1293.252</v>
      </c>
      <c r="Q77" s="197">
        <f>VAR!B72/1000</f>
        <v>566.61400000000003</v>
      </c>
    </row>
    <row r="78" spans="14:17" x14ac:dyDescent="0.2">
      <c r="N78" s="195">
        <f>'5-DAY'!A109</f>
        <v>37204</v>
      </c>
      <c r="O78" s="197">
        <f>'5-DAY'!B109/1000</f>
        <v>-217.34299999999999</v>
      </c>
      <c r="P78" s="197">
        <f t="shared" si="9"/>
        <v>-1358.4750000000001</v>
      </c>
      <c r="Q78" s="197">
        <f>VAR!B73/1000</f>
        <v>582.274</v>
      </c>
    </row>
    <row r="79" spans="14:17" x14ac:dyDescent="0.2">
      <c r="N79" s="195">
        <f>'5-DAY'!A110</f>
        <v>37207</v>
      </c>
      <c r="O79" s="197">
        <f>'5-DAY'!B110/1000</f>
        <v>151.613</v>
      </c>
      <c r="P79" s="197">
        <f t="shared" si="9"/>
        <v>-941.33500000000004</v>
      </c>
      <c r="Q79" s="197">
        <f>VAR!B74/1000</f>
        <v>728.02200000000005</v>
      </c>
    </row>
    <row r="80" spans="14:17" x14ac:dyDescent="0.2">
      <c r="N80" s="195">
        <f>'5-DAY'!A111</f>
        <v>37208</v>
      </c>
      <c r="O80" s="197">
        <f>'5-DAY'!B111/1000</f>
        <v>170.042</v>
      </c>
      <c r="P80" s="197">
        <f t="shared" si="9"/>
        <v>-278.70699999999999</v>
      </c>
      <c r="Q80" s="197">
        <f>VAR!B75/1000</f>
        <v>618.94000000000005</v>
      </c>
    </row>
    <row r="81" spans="14:17" x14ac:dyDescent="0.2">
      <c r="N81" s="195">
        <f>'5-DAY'!A112</f>
        <v>37209</v>
      </c>
      <c r="O81" s="197">
        <f>'5-DAY'!B112/1000</f>
        <v>176.655</v>
      </c>
      <c r="P81" s="197">
        <f t="shared" si="9"/>
        <v>-121.60400000000001</v>
      </c>
      <c r="Q81" s="197">
        <f>VAR!B76/1000</f>
        <v>690.96699999999998</v>
      </c>
    </row>
    <row r="82" spans="14:17" x14ac:dyDescent="0.2">
      <c r="N82" s="195">
        <f>'5-DAY'!A113</f>
        <v>37210</v>
      </c>
      <c r="O82" s="197">
        <f>'5-DAY'!B113/1000</f>
        <v>450.64499999999998</v>
      </c>
      <c r="P82" s="197">
        <f t="shared" si="9"/>
        <v>731.61199999999997</v>
      </c>
      <c r="Q82" s="197">
        <f>VAR!B77/1000</f>
        <v>728.21699999999998</v>
      </c>
    </row>
    <row r="83" spans="14:17" x14ac:dyDescent="0.2">
      <c r="N83" s="195">
        <f>'5-DAY'!A114</f>
        <v>37211</v>
      </c>
      <c r="O83" s="197">
        <f>'5-DAY'!B114/1000</f>
        <v>-414.70699999999999</v>
      </c>
      <c r="P83" s="197">
        <f t="shared" si="9"/>
        <v>534.24799999999993</v>
      </c>
      <c r="Q83" s="197">
        <f>VAR!B78/1000</f>
        <v>629.77700000000004</v>
      </c>
    </row>
    <row r="84" spans="14:17" x14ac:dyDescent="0.2">
      <c r="N84" s="195">
        <f>'5-DAY'!A115</f>
        <v>37214</v>
      </c>
      <c r="O84" s="197">
        <f>'5-DAY'!B115/1000</f>
        <v>-493.7</v>
      </c>
      <c r="P84" s="197">
        <f t="shared" si="9"/>
        <v>-111.065</v>
      </c>
      <c r="Q84" s="197">
        <f>VAR!B79/1000</f>
        <v>450.43200000000002</v>
      </c>
    </row>
    <row r="85" spans="14:17" x14ac:dyDescent="0.2">
      <c r="N85" s="195">
        <f>'5-DAY'!A116</f>
        <v>37215</v>
      </c>
      <c r="O85" s="197">
        <f>'5-DAY'!B116/1000</f>
        <v>37.487000000000002</v>
      </c>
      <c r="P85" s="197">
        <f t="shared" si="9"/>
        <v>-243.62000000000003</v>
      </c>
      <c r="Q85" s="197">
        <f>VAR!B80/1000</f>
        <v>516.96699999999998</v>
      </c>
    </row>
    <row r="86" spans="14:17" x14ac:dyDescent="0.2">
      <c r="N86" s="195">
        <f>'5-DAY'!A117</f>
        <v>37216</v>
      </c>
      <c r="O86" s="197">
        <f>'5-DAY'!B117/1000</f>
        <v>0</v>
      </c>
      <c r="P86" s="197">
        <f t="shared" si="9"/>
        <v>-420.27499999999998</v>
      </c>
      <c r="Q86" s="197">
        <f>VAR!B81/1000</f>
        <v>0</v>
      </c>
    </row>
    <row r="87" spans="14:17" x14ac:dyDescent="0.2">
      <c r="N87" s="195">
        <f>'5-DAY'!A118</f>
        <v>37221</v>
      </c>
      <c r="O87" s="197">
        <f>'5-DAY'!B118/1000</f>
        <v>0</v>
      </c>
      <c r="P87" s="197">
        <f t="shared" si="9"/>
        <v>-870.92</v>
      </c>
      <c r="Q87" s="197">
        <f>VAR!B82/1000</f>
        <v>0</v>
      </c>
    </row>
    <row r="88" spans="14:17" x14ac:dyDescent="0.2">
      <c r="N88" s="195">
        <f>'5-DAY'!A119</f>
        <v>37222</v>
      </c>
      <c r="O88" s="197">
        <f>'5-DAY'!B119/1000</f>
        <v>0</v>
      </c>
      <c r="P88" s="197">
        <f t="shared" si="9"/>
        <v>-456.21299999999997</v>
      </c>
      <c r="Q88" s="197">
        <f>VAR!B83/1000</f>
        <v>0</v>
      </c>
    </row>
    <row r="89" spans="14:17" x14ac:dyDescent="0.2">
      <c r="N89" s="195">
        <f>'5-DAY'!A120</f>
        <v>37223</v>
      </c>
      <c r="O89" s="197">
        <f>'5-DAY'!B120/1000</f>
        <v>0</v>
      </c>
      <c r="P89" s="197">
        <f t="shared" si="9"/>
        <v>37.487000000000002</v>
      </c>
      <c r="Q89" s="197">
        <f>VAR!B84/1000</f>
        <v>0</v>
      </c>
    </row>
    <row r="90" spans="14:17" x14ac:dyDescent="0.2">
      <c r="N90" s="195">
        <f>'5-DAY'!A121</f>
        <v>37224</v>
      </c>
      <c r="O90" s="197">
        <f>'5-DAY'!B121/1000</f>
        <v>0</v>
      </c>
      <c r="P90" s="197">
        <f t="shared" si="9"/>
        <v>0</v>
      </c>
      <c r="Q90" s="197">
        <f>VAR!B85/1000</f>
        <v>0</v>
      </c>
    </row>
    <row r="91" spans="14:17" x14ac:dyDescent="0.2">
      <c r="N91" s="177">
        <f>'5-DAY'!A122</f>
        <v>37225</v>
      </c>
      <c r="O91" s="178">
        <f>'5-DAY'!B122/1000</f>
        <v>0</v>
      </c>
      <c r="P91" s="178">
        <f t="shared" si="9"/>
        <v>0</v>
      </c>
      <c r="Q91" s="178">
        <f>VAR!B86/1000</f>
        <v>0</v>
      </c>
    </row>
    <row r="92" spans="14:17" x14ac:dyDescent="0.2">
      <c r="N92" s="195"/>
    </row>
    <row r="93" spans="14:17" x14ac:dyDescent="0.2">
      <c r="N93" s="195"/>
    </row>
    <row r="94" spans="14:17" x14ac:dyDescent="0.2">
      <c r="N94" s="195"/>
    </row>
    <row r="95" spans="14:17" x14ac:dyDescent="0.2">
      <c r="N95" s="195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/>
  </sheetViews>
  <sheetFormatPr defaultColWidth="10.6640625" defaultRowHeight="9.6" x14ac:dyDescent="0.2"/>
  <cols>
    <col min="1" max="1" width="17.83203125" style="165" customWidth="1"/>
    <col min="2" max="2" width="17.83203125" style="160" customWidth="1"/>
    <col min="3" max="10" width="17.83203125" style="162" customWidth="1"/>
    <col min="11" max="12" width="17.83203125" style="163" customWidth="1"/>
    <col min="13" max="13" width="10.6640625" style="164" customWidth="1"/>
    <col min="14" max="16" width="10.6640625" style="162" customWidth="1"/>
    <col min="17" max="17" width="8" style="162" customWidth="1"/>
    <col min="18" max="18" width="9" style="162" customWidth="1"/>
    <col min="19" max="19" width="8.1640625" style="162" customWidth="1"/>
    <col min="20" max="16384" width="10.6640625" style="162"/>
  </cols>
  <sheetData>
    <row r="1" spans="1:20" ht="10.199999999999999" x14ac:dyDescent="0.2">
      <c r="A1" s="159" t="s">
        <v>98</v>
      </c>
      <c r="C1" s="161"/>
    </row>
    <row r="2" spans="1:20" ht="10.199999999999999" x14ac:dyDescent="0.2">
      <c r="A2" s="159" t="str">
        <f>'GAS SUM'!A3</f>
        <v>As of November 20, 2001</v>
      </c>
      <c r="C2" s="161"/>
    </row>
    <row r="4" spans="1:20" x14ac:dyDescent="0.2">
      <c r="N4" s="165"/>
      <c r="O4" s="160"/>
    </row>
    <row r="5" spans="1:20" x14ac:dyDescent="0.2">
      <c r="N5" s="165"/>
      <c r="O5" s="160"/>
    </row>
    <row r="6" spans="1:20" x14ac:dyDescent="0.2">
      <c r="N6" s="165" t="s">
        <v>136</v>
      </c>
      <c r="O6" s="160"/>
    </row>
    <row r="7" spans="1:20" x14ac:dyDescent="0.2">
      <c r="N7" s="166" t="s">
        <v>90</v>
      </c>
      <c r="O7" s="167" t="s">
        <v>91</v>
      </c>
      <c r="P7" s="168" t="s">
        <v>92</v>
      </c>
      <c r="Q7" s="168" t="s">
        <v>93</v>
      </c>
      <c r="R7" s="168" t="s">
        <v>94</v>
      </c>
      <c r="S7" s="168" t="s">
        <v>95</v>
      </c>
      <c r="T7" s="168" t="s">
        <v>97</v>
      </c>
    </row>
    <row r="8" spans="1:20" x14ac:dyDescent="0.2">
      <c r="N8" s="165">
        <f>'5-DAY'!A39</f>
        <v>37104</v>
      </c>
      <c r="O8" s="160">
        <f>'5-DAY'!C39/1000</f>
        <v>238.29499999999999</v>
      </c>
      <c r="P8" s="160">
        <v>58</v>
      </c>
      <c r="Q8" s="160">
        <f>O8</f>
        <v>238.29499999999999</v>
      </c>
      <c r="R8" s="160">
        <f>566+O8</f>
        <v>804.29499999999996</v>
      </c>
      <c r="S8" s="160">
        <f>3365+566+O8</f>
        <v>4169.2950000000001</v>
      </c>
    </row>
    <row r="9" spans="1:20" x14ac:dyDescent="0.2">
      <c r="N9" s="165">
        <f>'5-DAY'!A40</f>
        <v>37105</v>
      </c>
      <c r="O9" s="160">
        <f>'5-DAY'!C40/1000</f>
        <v>-6.03</v>
      </c>
      <c r="P9" s="160">
        <v>66</v>
      </c>
      <c r="Q9" s="160">
        <f t="shared" ref="Q9:Q20" si="0">Q8+O9</f>
        <v>232.26499999999999</v>
      </c>
      <c r="R9" s="160">
        <f t="shared" ref="R9:R20" si="1">R8+O9</f>
        <v>798.26499999999999</v>
      </c>
      <c r="S9" s="160">
        <f t="shared" ref="S9:S20" si="2">S8+O9</f>
        <v>4163.2650000000003</v>
      </c>
      <c r="T9" s="160">
        <f>VAR!C4/1000</f>
        <v>0</v>
      </c>
    </row>
    <row r="10" spans="1:20" x14ac:dyDescent="0.2">
      <c r="N10" s="165">
        <f>'5-DAY'!A41</f>
        <v>37106</v>
      </c>
      <c r="O10" s="160">
        <f>'5-DAY'!C41/1000</f>
        <v>-13.673</v>
      </c>
      <c r="P10" s="160">
        <v>100</v>
      </c>
      <c r="Q10" s="160">
        <f t="shared" si="0"/>
        <v>218.59199999999998</v>
      </c>
      <c r="R10" s="160">
        <f t="shared" si="1"/>
        <v>784.59199999999998</v>
      </c>
      <c r="S10" s="160">
        <f t="shared" si="2"/>
        <v>4149.5920000000006</v>
      </c>
      <c r="T10" s="160">
        <f>VAR!C5/1000</f>
        <v>0</v>
      </c>
    </row>
    <row r="11" spans="1:20" x14ac:dyDescent="0.2">
      <c r="N11" s="165">
        <f>'5-DAY'!A42</f>
        <v>37109</v>
      </c>
      <c r="O11" s="160">
        <f>'5-DAY'!C42/1000</f>
        <v>-15.105</v>
      </c>
      <c r="P11" s="160">
        <v>260</v>
      </c>
      <c r="Q11" s="160">
        <f t="shared" si="0"/>
        <v>203.48699999999999</v>
      </c>
      <c r="R11" s="160">
        <f t="shared" si="1"/>
        <v>769.48699999999997</v>
      </c>
      <c r="S11" s="160">
        <f t="shared" si="2"/>
        <v>4134.487000000001</v>
      </c>
      <c r="T11" s="160">
        <f>VAR!C6/1000</f>
        <v>0</v>
      </c>
    </row>
    <row r="12" spans="1:20" x14ac:dyDescent="0.2">
      <c r="N12" s="165">
        <f>'5-DAY'!A43</f>
        <v>37110</v>
      </c>
      <c r="O12" s="160">
        <f>'5-DAY'!C43/1000</f>
        <v>2.1000000000000001E-2</v>
      </c>
      <c r="P12" s="160">
        <f t="shared" ref="P12:P20" si="3">SUM(O8:O12)</f>
        <v>203.50799999999998</v>
      </c>
      <c r="Q12" s="160">
        <f t="shared" si="0"/>
        <v>203.50799999999998</v>
      </c>
      <c r="R12" s="160">
        <f t="shared" si="1"/>
        <v>769.50799999999992</v>
      </c>
      <c r="S12" s="160">
        <f t="shared" si="2"/>
        <v>4134.5080000000007</v>
      </c>
      <c r="T12" s="160">
        <f>VAR!C7/1000</f>
        <v>0</v>
      </c>
    </row>
    <row r="13" spans="1:20" x14ac:dyDescent="0.2">
      <c r="N13" s="165">
        <f>'5-DAY'!A44</f>
        <v>37111</v>
      </c>
      <c r="O13" s="160">
        <f>'5-DAY'!C44/1000</f>
        <v>-3.0369999999999999</v>
      </c>
      <c r="P13" s="160">
        <f t="shared" si="3"/>
        <v>-37.823999999999998</v>
      </c>
      <c r="Q13" s="160">
        <f t="shared" si="0"/>
        <v>200.47099999999998</v>
      </c>
      <c r="R13" s="160">
        <f t="shared" si="1"/>
        <v>766.47099999999989</v>
      </c>
      <c r="S13" s="160">
        <f t="shared" si="2"/>
        <v>4131.4710000000005</v>
      </c>
      <c r="T13" s="160">
        <f>VAR!C8/1000</f>
        <v>0</v>
      </c>
    </row>
    <row r="14" spans="1:20" x14ac:dyDescent="0.2">
      <c r="N14" s="165">
        <f>'5-DAY'!A45</f>
        <v>37112</v>
      </c>
      <c r="O14" s="160">
        <f>'5-DAY'!C45/1000</f>
        <v>36.280999999999999</v>
      </c>
      <c r="P14" s="160">
        <f t="shared" si="3"/>
        <v>4.4870000000000019</v>
      </c>
      <c r="Q14" s="160">
        <f t="shared" si="0"/>
        <v>236.75199999999998</v>
      </c>
      <c r="R14" s="160">
        <f t="shared" si="1"/>
        <v>802.75199999999984</v>
      </c>
      <c r="S14" s="160">
        <f t="shared" si="2"/>
        <v>4167.7520000000004</v>
      </c>
      <c r="T14" s="160">
        <f>VAR!C9/1000</f>
        <v>89.125</v>
      </c>
    </row>
    <row r="15" spans="1:20" x14ac:dyDescent="0.2">
      <c r="N15" s="165">
        <f>'5-DAY'!A46</f>
        <v>37113</v>
      </c>
      <c r="O15" s="160">
        <f>'5-DAY'!C46/1000</f>
        <v>-67.795000000000002</v>
      </c>
      <c r="P15" s="160">
        <f t="shared" si="3"/>
        <v>-49.635000000000005</v>
      </c>
      <c r="Q15" s="160">
        <f t="shared" si="0"/>
        <v>168.95699999999999</v>
      </c>
      <c r="R15" s="160">
        <f t="shared" si="1"/>
        <v>734.95699999999988</v>
      </c>
      <c r="S15" s="160">
        <f t="shared" si="2"/>
        <v>4099.9570000000003</v>
      </c>
      <c r="T15" s="160">
        <f>VAR!C10/1000</f>
        <v>93.406000000000006</v>
      </c>
    </row>
    <row r="16" spans="1:20" x14ac:dyDescent="0.2">
      <c r="N16" s="165">
        <f>'5-DAY'!A47</f>
        <v>37116</v>
      </c>
      <c r="O16" s="160">
        <f>'5-DAY'!C47/1000</f>
        <v>-31.454000000000001</v>
      </c>
      <c r="P16" s="160">
        <f t="shared" si="3"/>
        <v>-65.984000000000009</v>
      </c>
      <c r="Q16" s="160">
        <f t="shared" si="0"/>
        <v>137.50299999999999</v>
      </c>
      <c r="R16" s="160">
        <f t="shared" si="1"/>
        <v>703.50299999999993</v>
      </c>
      <c r="S16" s="160">
        <f t="shared" si="2"/>
        <v>4068.5030000000002</v>
      </c>
      <c r="T16" s="160">
        <f>VAR!C11/1000</f>
        <v>91.114000000000004</v>
      </c>
    </row>
    <row r="17" spans="14:20" x14ac:dyDescent="0.2">
      <c r="N17" s="165">
        <f>'5-DAY'!A48</f>
        <v>37117</v>
      </c>
      <c r="O17" s="160">
        <f>'5-DAY'!C48/1000</f>
        <v>-141.92599999999999</v>
      </c>
      <c r="P17" s="160">
        <f t="shared" si="3"/>
        <v>-207.93099999999998</v>
      </c>
      <c r="Q17" s="160">
        <f t="shared" si="0"/>
        <v>-4.4230000000000018</v>
      </c>
      <c r="R17" s="160">
        <f t="shared" si="1"/>
        <v>561.577</v>
      </c>
      <c r="S17" s="160">
        <f t="shared" si="2"/>
        <v>3926.5770000000002</v>
      </c>
      <c r="T17" s="160">
        <f>VAR!C12/1000</f>
        <v>199.85599999999999</v>
      </c>
    </row>
    <row r="18" spans="14:20" x14ac:dyDescent="0.2">
      <c r="N18" s="165">
        <f>'5-DAY'!A49</f>
        <v>37118</v>
      </c>
      <c r="O18" s="160">
        <f>'5-DAY'!C49/1000</f>
        <v>-581.87400000000002</v>
      </c>
      <c r="P18" s="160">
        <f t="shared" si="3"/>
        <v>-786.76800000000003</v>
      </c>
      <c r="Q18" s="160">
        <f t="shared" si="0"/>
        <v>-586.29700000000003</v>
      </c>
      <c r="R18" s="160">
        <f t="shared" si="1"/>
        <v>-20.297000000000025</v>
      </c>
      <c r="S18" s="160">
        <f t="shared" si="2"/>
        <v>3344.7030000000004</v>
      </c>
      <c r="T18" s="160">
        <f>VAR!C13/1000</f>
        <v>235.75200000000001</v>
      </c>
    </row>
    <row r="19" spans="14:20" x14ac:dyDescent="0.2">
      <c r="N19" s="165">
        <f>'5-DAY'!A50</f>
        <v>37119</v>
      </c>
      <c r="O19" s="160">
        <f>'5-DAY'!C50/1000</f>
        <v>180.452</v>
      </c>
      <c r="P19" s="160">
        <f t="shared" si="3"/>
        <v>-642.59699999999998</v>
      </c>
      <c r="Q19" s="160">
        <f t="shared" si="0"/>
        <v>-405.84500000000003</v>
      </c>
      <c r="R19" s="160">
        <f t="shared" si="1"/>
        <v>160.15499999999997</v>
      </c>
      <c r="S19" s="160">
        <f t="shared" si="2"/>
        <v>3525.1550000000007</v>
      </c>
      <c r="T19" s="160">
        <f>VAR!C14/1000</f>
        <v>230.38</v>
      </c>
    </row>
    <row r="20" spans="14:20" x14ac:dyDescent="0.2">
      <c r="N20" s="165">
        <f>'5-DAY'!A51</f>
        <v>37120</v>
      </c>
      <c r="O20" s="160">
        <f>'5-DAY'!C51/1000</f>
        <v>61.750999999999998</v>
      </c>
      <c r="P20" s="160">
        <f t="shared" si="3"/>
        <v>-513.05100000000004</v>
      </c>
      <c r="Q20" s="160">
        <f t="shared" si="0"/>
        <v>-344.09400000000005</v>
      </c>
      <c r="R20" s="160">
        <f t="shared" si="1"/>
        <v>221.90599999999998</v>
      </c>
      <c r="S20" s="160">
        <f t="shared" si="2"/>
        <v>3586.9060000000009</v>
      </c>
      <c r="T20" s="160">
        <f>VAR!C15/1000</f>
        <v>227.2</v>
      </c>
    </row>
    <row r="21" spans="14:20" x14ac:dyDescent="0.2">
      <c r="N21" s="165">
        <f>'5-DAY'!A52</f>
        <v>37123</v>
      </c>
      <c r="O21" s="160">
        <f>'5-DAY'!C52/1000</f>
        <v>195.339</v>
      </c>
      <c r="P21" s="160">
        <f t="shared" ref="P21:P26" si="4">SUM(O17:O21)</f>
        <v>-286.25799999999998</v>
      </c>
      <c r="Q21" s="160">
        <f t="shared" ref="Q21:Q26" si="5">Q20+O21</f>
        <v>-148.75500000000005</v>
      </c>
      <c r="R21" s="160">
        <f t="shared" ref="R21:R26" si="6">R20+O21</f>
        <v>417.245</v>
      </c>
      <c r="S21" s="160">
        <f t="shared" ref="S21:S26" si="7">S20+O21</f>
        <v>3782.2450000000008</v>
      </c>
      <c r="T21" s="160">
        <f>VAR!C16/1000</f>
        <v>218.625</v>
      </c>
    </row>
    <row r="22" spans="14:20" x14ac:dyDescent="0.2">
      <c r="N22" s="165">
        <f>'5-DAY'!A53</f>
        <v>37124</v>
      </c>
      <c r="O22" s="160">
        <f>'5-DAY'!C53/1000</f>
        <v>131.99199999999999</v>
      </c>
      <c r="P22" s="160">
        <f t="shared" si="4"/>
        <v>-12.34000000000006</v>
      </c>
      <c r="Q22" s="160">
        <f t="shared" si="5"/>
        <v>-16.763000000000062</v>
      </c>
      <c r="R22" s="160">
        <f t="shared" si="6"/>
        <v>549.23699999999997</v>
      </c>
      <c r="S22" s="160">
        <f t="shared" si="7"/>
        <v>3914.237000000001</v>
      </c>
      <c r="T22" s="160">
        <f>VAR!C17/1000</f>
        <v>217.56200000000001</v>
      </c>
    </row>
    <row r="23" spans="14:20" x14ac:dyDescent="0.2">
      <c r="N23" s="165">
        <f>'5-DAY'!A54</f>
        <v>37125</v>
      </c>
      <c r="O23" s="160">
        <f>'5-DAY'!C54/1000</f>
        <v>325.935</v>
      </c>
      <c r="P23" s="160">
        <f t="shared" si="4"/>
        <v>895.46900000000005</v>
      </c>
      <c r="Q23" s="160">
        <f t="shared" si="5"/>
        <v>309.17199999999991</v>
      </c>
      <c r="R23" s="160">
        <f t="shared" si="6"/>
        <v>875.17200000000003</v>
      </c>
      <c r="S23" s="160">
        <f t="shared" si="7"/>
        <v>4240.1720000000014</v>
      </c>
      <c r="T23" s="160">
        <f>VAR!C18/1000</f>
        <v>15.436</v>
      </c>
    </row>
    <row r="24" spans="14:20" x14ac:dyDescent="0.2">
      <c r="N24" s="165">
        <f>'5-DAY'!A55</f>
        <v>37126</v>
      </c>
      <c r="O24" s="160">
        <f>'5-DAY'!C55/1000</f>
        <v>-55.436</v>
      </c>
      <c r="P24" s="160">
        <f t="shared" si="4"/>
        <v>659.58100000000002</v>
      </c>
      <c r="Q24" s="160">
        <f t="shared" si="5"/>
        <v>253.7359999999999</v>
      </c>
      <c r="R24" s="160">
        <f t="shared" si="6"/>
        <v>819.73599999999999</v>
      </c>
      <c r="S24" s="160">
        <f t="shared" si="7"/>
        <v>4184.7360000000017</v>
      </c>
      <c r="T24" s="160">
        <f>VAR!C19/1000</f>
        <v>181.11600000000001</v>
      </c>
    </row>
    <row r="25" spans="14:20" x14ac:dyDescent="0.2">
      <c r="N25" s="165">
        <f>'5-DAY'!A56</f>
        <v>37127</v>
      </c>
      <c r="O25" s="160">
        <f>'5-DAY'!C56/1000</f>
        <v>106.78100000000001</v>
      </c>
      <c r="P25" s="160">
        <f t="shared" si="4"/>
        <v>704.6110000000001</v>
      </c>
      <c r="Q25" s="160">
        <f t="shared" si="5"/>
        <v>360.51699999999994</v>
      </c>
      <c r="R25" s="160">
        <f t="shared" si="6"/>
        <v>926.51700000000005</v>
      </c>
      <c r="S25" s="160">
        <f t="shared" si="7"/>
        <v>4291.5170000000016</v>
      </c>
      <c r="T25" s="160">
        <f>VAR!C20/1000</f>
        <v>175.05600000000001</v>
      </c>
    </row>
    <row r="26" spans="14:20" x14ac:dyDescent="0.2">
      <c r="N26" s="165">
        <f>'5-DAY'!A57</f>
        <v>37130</v>
      </c>
      <c r="O26" s="160">
        <f>'5-DAY'!C57/1000</f>
        <v>118.184</v>
      </c>
      <c r="P26" s="160">
        <f t="shared" si="4"/>
        <v>627.45600000000002</v>
      </c>
      <c r="Q26" s="160">
        <f t="shared" si="5"/>
        <v>478.70099999999991</v>
      </c>
      <c r="R26" s="160">
        <f t="shared" si="6"/>
        <v>1044.701</v>
      </c>
      <c r="S26" s="160">
        <f t="shared" si="7"/>
        <v>4409.7010000000018</v>
      </c>
      <c r="T26" s="160">
        <f>VAR!C21/1000</f>
        <v>18.47</v>
      </c>
    </row>
    <row r="27" spans="14:20" x14ac:dyDescent="0.2">
      <c r="N27" s="165">
        <f>'5-DAY'!A58</f>
        <v>37131</v>
      </c>
      <c r="O27" s="160">
        <f>'5-DAY'!C58/1000</f>
        <v>-38.814999999999998</v>
      </c>
      <c r="P27" s="160">
        <f t="shared" ref="P27:P33" si="8">SUM(O23:O27)</f>
        <v>456.64900000000006</v>
      </c>
      <c r="Q27" s="160">
        <f>Q26+O27</f>
        <v>439.88599999999991</v>
      </c>
      <c r="R27" s="160">
        <f t="shared" ref="R27:R32" si="9">R26+O27</f>
        <v>1005.886</v>
      </c>
      <c r="S27" s="160">
        <f t="shared" ref="S27:S32" si="10">S26+O27</f>
        <v>4370.8860000000022</v>
      </c>
      <c r="T27" s="160">
        <f>VAR!C22/1000</f>
        <v>0</v>
      </c>
    </row>
    <row r="28" spans="14:20" x14ac:dyDescent="0.2">
      <c r="N28" s="165">
        <f>'5-DAY'!A59</f>
        <v>37132</v>
      </c>
      <c r="O28" s="160">
        <f>'5-DAY'!C59/1000</f>
        <v>-15.565</v>
      </c>
      <c r="P28" s="160">
        <f t="shared" si="8"/>
        <v>115.149</v>
      </c>
      <c r="Q28" s="160">
        <f>Q27+O28</f>
        <v>424.32099999999991</v>
      </c>
      <c r="R28" s="160">
        <f t="shared" si="9"/>
        <v>990.32099999999991</v>
      </c>
      <c r="S28" s="160">
        <f t="shared" si="10"/>
        <v>4355.3210000000026</v>
      </c>
      <c r="T28" s="160">
        <f>VAR!C23/1000</f>
        <v>11.500999999999999</v>
      </c>
    </row>
    <row r="29" spans="14:20" x14ac:dyDescent="0.2">
      <c r="N29" s="165">
        <f>'5-DAY'!A60</f>
        <v>37133</v>
      </c>
      <c r="O29" s="160">
        <f>'5-DAY'!C60/1000</f>
        <v>79.444000000000003</v>
      </c>
      <c r="P29" s="160">
        <f t="shared" si="8"/>
        <v>250.029</v>
      </c>
      <c r="Q29" s="160">
        <f>Q28+O29</f>
        <v>503.76499999999993</v>
      </c>
      <c r="R29" s="160">
        <f t="shared" si="9"/>
        <v>1069.7649999999999</v>
      </c>
      <c r="S29" s="160">
        <f t="shared" si="10"/>
        <v>4434.7650000000031</v>
      </c>
      <c r="T29" s="160">
        <f>VAR!C24/1000</f>
        <v>208.792</v>
      </c>
    </row>
    <row r="30" spans="14:20" x14ac:dyDescent="0.2">
      <c r="N30" s="177">
        <f>'5-DAY'!A61</f>
        <v>37134</v>
      </c>
      <c r="O30" s="178">
        <f>'5-DAY'!C61/1000</f>
        <v>46.715000000000003</v>
      </c>
      <c r="P30" s="178">
        <f t="shared" si="8"/>
        <v>189.96299999999999</v>
      </c>
      <c r="Q30" s="178">
        <f>Q29+O30</f>
        <v>550.4799999999999</v>
      </c>
      <c r="R30" s="178">
        <f t="shared" si="9"/>
        <v>1116.4799999999998</v>
      </c>
      <c r="S30" s="178">
        <f t="shared" si="10"/>
        <v>4481.4800000000032</v>
      </c>
      <c r="T30" s="178">
        <f>VAR!C25/1000</f>
        <v>11.215</v>
      </c>
    </row>
    <row r="31" spans="14:20" x14ac:dyDescent="0.2">
      <c r="N31" s="165">
        <f>'5-DAY'!A62</f>
        <v>37138</v>
      </c>
      <c r="O31" s="160">
        <f>'5-DAY'!C62/1000</f>
        <v>112.705</v>
      </c>
      <c r="P31" s="160">
        <f t="shared" si="8"/>
        <v>184.48400000000001</v>
      </c>
      <c r="Q31" s="160">
        <f>O31</f>
        <v>112.705</v>
      </c>
      <c r="R31" s="160">
        <f t="shared" si="9"/>
        <v>1229.1849999999997</v>
      </c>
      <c r="S31" s="160">
        <f t="shared" si="10"/>
        <v>4594.1850000000031</v>
      </c>
      <c r="T31" s="160">
        <f>VAR!C26/1000</f>
        <v>87.817999999999998</v>
      </c>
    </row>
    <row r="32" spans="14:20" x14ac:dyDescent="0.2">
      <c r="N32" s="165">
        <f>'5-DAY'!A63</f>
        <v>37139</v>
      </c>
      <c r="O32" s="160">
        <f>'5-DAY'!C63/1000</f>
        <v>-34.426000000000002</v>
      </c>
      <c r="P32" s="160">
        <f t="shared" si="8"/>
        <v>188.87299999999999</v>
      </c>
      <c r="Q32" s="181">
        <f t="shared" ref="Q32:Q37" si="11">Q31+O32</f>
        <v>78.278999999999996</v>
      </c>
      <c r="R32" s="160">
        <f t="shared" si="9"/>
        <v>1194.7589999999998</v>
      </c>
      <c r="S32" s="160">
        <f t="shared" si="10"/>
        <v>4559.7590000000027</v>
      </c>
      <c r="T32" s="160">
        <f>VAR!C27/1000</f>
        <v>175.76599999999999</v>
      </c>
    </row>
    <row r="33" spans="14:20" x14ac:dyDescent="0.2">
      <c r="N33" s="165">
        <f>'5-DAY'!A64</f>
        <v>37140</v>
      </c>
      <c r="O33" s="160">
        <f>'5-DAY'!C64/1000</f>
        <v>-52.637</v>
      </c>
      <c r="P33" s="160">
        <f t="shared" si="8"/>
        <v>151.80099999999999</v>
      </c>
      <c r="Q33" s="181">
        <f t="shared" si="11"/>
        <v>25.641999999999996</v>
      </c>
      <c r="R33" s="160">
        <f t="shared" ref="R33:R38" si="12">R32+O33</f>
        <v>1142.1219999999998</v>
      </c>
      <c r="S33" s="160">
        <f t="shared" ref="S33:S38" si="13">S32+O33</f>
        <v>4507.122000000003</v>
      </c>
      <c r="T33" s="160">
        <f>VAR!C28/1000</f>
        <v>178.33199999999999</v>
      </c>
    </row>
    <row r="34" spans="14:20" x14ac:dyDescent="0.2">
      <c r="N34" s="165">
        <f>'5-DAY'!A65</f>
        <v>37141</v>
      </c>
      <c r="O34" s="160">
        <f>'5-DAY'!C65/1000</f>
        <v>-24.8</v>
      </c>
      <c r="P34" s="160">
        <f t="shared" ref="P34:P39" si="14">SUM(O30:O34)</f>
        <v>47.557000000000016</v>
      </c>
      <c r="Q34" s="181">
        <f t="shared" si="11"/>
        <v>0.8419999999999952</v>
      </c>
      <c r="R34" s="160">
        <f t="shared" si="12"/>
        <v>1117.3219999999999</v>
      </c>
      <c r="S34" s="160">
        <f t="shared" si="13"/>
        <v>4482.3220000000028</v>
      </c>
      <c r="T34" s="160">
        <f>VAR!C29/1000</f>
        <v>184.33500000000001</v>
      </c>
    </row>
    <row r="35" spans="14:20" x14ac:dyDescent="0.2">
      <c r="N35" s="165">
        <f>'5-DAY'!A66</f>
        <v>37144</v>
      </c>
      <c r="O35" s="160">
        <f>'5-DAY'!C66/1000</f>
        <v>130.65799999999999</v>
      </c>
      <c r="P35" s="160">
        <f t="shared" si="14"/>
        <v>131.49999999999997</v>
      </c>
      <c r="Q35" s="181">
        <f t="shared" si="11"/>
        <v>131.49999999999997</v>
      </c>
      <c r="R35" s="160">
        <f t="shared" si="12"/>
        <v>1247.9799999999998</v>
      </c>
      <c r="S35" s="160">
        <f t="shared" si="13"/>
        <v>4612.9800000000032</v>
      </c>
      <c r="T35" s="160">
        <f>VAR!C30/1000</f>
        <v>178.63499999999999</v>
      </c>
    </row>
    <row r="36" spans="14:20" x14ac:dyDescent="0.2">
      <c r="N36" s="165">
        <f>'5-DAY'!A67</f>
        <v>37146</v>
      </c>
      <c r="O36" s="160">
        <f>'5-DAY'!C67/1000</f>
        <v>0.184</v>
      </c>
      <c r="P36" s="160">
        <f t="shared" si="14"/>
        <v>18.978999999999989</v>
      </c>
      <c r="Q36" s="181">
        <f t="shared" si="11"/>
        <v>131.68399999999997</v>
      </c>
      <c r="R36" s="160">
        <f t="shared" si="12"/>
        <v>1248.1639999999998</v>
      </c>
      <c r="S36" s="160">
        <f t="shared" si="13"/>
        <v>4613.1640000000034</v>
      </c>
      <c r="T36" s="160">
        <f>VAR!C31/1000</f>
        <v>178.63499999999999</v>
      </c>
    </row>
    <row r="37" spans="14:20" x14ac:dyDescent="0.2">
      <c r="N37" s="165">
        <f>'5-DAY'!A68</f>
        <v>37147</v>
      </c>
      <c r="O37" s="160">
        <f>'5-DAY'!C68/1000</f>
        <v>-237.553</v>
      </c>
      <c r="P37" s="160">
        <f t="shared" si="14"/>
        <v>-184.14800000000002</v>
      </c>
      <c r="Q37" s="181">
        <f t="shared" si="11"/>
        <v>-105.86900000000003</v>
      </c>
      <c r="R37" s="160">
        <f t="shared" si="12"/>
        <v>1010.6109999999998</v>
      </c>
      <c r="S37" s="160">
        <f t="shared" si="13"/>
        <v>4375.6110000000035</v>
      </c>
      <c r="T37" s="160">
        <f>VAR!C32/1000</f>
        <v>188.977</v>
      </c>
    </row>
    <row r="38" spans="14:20" x14ac:dyDescent="0.2">
      <c r="N38" s="165">
        <f>'5-DAY'!A69</f>
        <v>37148</v>
      </c>
      <c r="O38" s="160">
        <f>'5-DAY'!C69/1000</f>
        <v>-83.968000000000004</v>
      </c>
      <c r="P38" s="160">
        <f t="shared" si="14"/>
        <v>-215.47900000000004</v>
      </c>
      <c r="Q38" s="181">
        <f t="shared" ref="Q38:Q43" si="15">Q37+O38</f>
        <v>-189.83700000000005</v>
      </c>
      <c r="R38" s="160">
        <f t="shared" si="12"/>
        <v>926.6429999999998</v>
      </c>
      <c r="S38" s="160">
        <f t="shared" si="13"/>
        <v>4291.6430000000037</v>
      </c>
      <c r="T38" s="160">
        <f>VAR!C33/1000</f>
        <v>195.22800000000001</v>
      </c>
    </row>
    <row r="39" spans="14:20" x14ac:dyDescent="0.2">
      <c r="N39" s="165">
        <f>'5-DAY'!A70</f>
        <v>37151</v>
      </c>
      <c r="O39" s="160">
        <f>'5-DAY'!C70/1000</f>
        <v>208.46199999999999</v>
      </c>
      <c r="P39" s="160">
        <f t="shared" si="14"/>
        <v>17.782999999999959</v>
      </c>
      <c r="Q39" s="181">
        <f t="shared" si="15"/>
        <v>18.624999999999943</v>
      </c>
      <c r="R39" s="160">
        <f t="shared" ref="R39:R44" si="16">R38+O39</f>
        <v>1135.1049999999998</v>
      </c>
      <c r="S39" s="160">
        <f t="shared" ref="S39:S44" si="17">S38+O39</f>
        <v>4500.1050000000032</v>
      </c>
      <c r="T39" s="160">
        <f>VAR!C34/1000</f>
        <v>162.12299999999999</v>
      </c>
    </row>
    <row r="40" spans="14:20" x14ac:dyDescent="0.2">
      <c r="N40" s="165">
        <f>'5-DAY'!A71</f>
        <v>37152</v>
      </c>
      <c r="O40" s="160">
        <f>'5-DAY'!C71/1000</f>
        <v>186.96199999999999</v>
      </c>
      <c r="P40" s="160">
        <f t="shared" ref="P40:P45" si="18">SUM(O36:O40)</f>
        <v>74.086999999999989</v>
      </c>
      <c r="Q40" s="181">
        <f t="shared" si="15"/>
        <v>205.58699999999993</v>
      </c>
      <c r="R40" s="160">
        <f t="shared" si="16"/>
        <v>1322.0669999999998</v>
      </c>
      <c r="S40" s="160">
        <f t="shared" si="17"/>
        <v>4687.0670000000027</v>
      </c>
      <c r="T40" s="160">
        <f>VAR!C35/1000</f>
        <v>76.34</v>
      </c>
    </row>
    <row r="41" spans="14:20" x14ac:dyDescent="0.2">
      <c r="N41" s="165">
        <f>'5-DAY'!A72</f>
        <v>37153</v>
      </c>
      <c r="O41" s="160">
        <f>'5-DAY'!C72/1000</f>
        <v>24.355</v>
      </c>
      <c r="P41" s="160">
        <f t="shared" si="18"/>
        <v>98.257999999999967</v>
      </c>
      <c r="Q41" s="181">
        <f t="shared" si="15"/>
        <v>229.94199999999992</v>
      </c>
      <c r="R41" s="160">
        <f t="shared" si="16"/>
        <v>1346.4219999999998</v>
      </c>
      <c r="S41" s="160">
        <f t="shared" si="17"/>
        <v>4711.4220000000023</v>
      </c>
      <c r="T41" s="160">
        <f>VAR!C36/1000</f>
        <v>177.12700000000001</v>
      </c>
    </row>
    <row r="42" spans="14:20" x14ac:dyDescent="0.2">
      <c r="N42" s="165">
        <f>'5-DAY'!A73</f>
        <v>37154</v>
      </c>
      <c r="O42" s="160">
        <f>'5-DAY'!C73/1000</f>
        <v>-41.375999999999998</v>
      </c>
      <c r="P42" s="160">
        <f t="shared" si="18"/>
        <v>294.435</v>
      </c>
      <c r="Q42" s="181">
        <f t="shared" si="15"/>
        <v>188.56599999999992</v>
      </c>
      <c r="R42" s="160">
        <f t="shared" si="16"/>
        <v>1305.0459999999998</v>
      </c>
      <c r="S42" s="160">
        <f t="shared" si="17"/>
        <v>4670.0460000000021</v>
      </c>
      <c r="T42" s="160">
        <f>VAR!C37/1000</f>
        <v>171.18100000000001</v>
      </c>
    </row>
    <row r="43" spans="14:20" x14ac:dyDescent="0.2">
      <c r="N43" s="165">
        <f>'5-DAY'!A74</f>
        <v>37155</v>
      </c>
      <c r="O43" s="160">
        <f>'5-DAY'!C74/1000</f>
        <v>23.228999999999999</v>
      </c>
      <c r="P43" s="160">
        <f t="shared" si="18"/>
        <v>401.63200000000001</v>
      </c>
      <c r="Q43" s="181">
        <f t="shared" si="15"/>
        <v>211.7949999999999</v>
      </c>
      <c r="R43" s="160">
        <f t="shared" si="16"/>
        <v>1328.2749999999999</v>
      </c>
      <c r="S43" s="160">
        <f t="shared" si="17"/>
        <v>4693.2750000000024</v>
      </c>
      <c r="T43" s="160">
        <f>VAR!C38/1000</f>
        <v>171.048</v>
      </c>
    </row>
    <row r="44" spans="14:20" x14ac:dyDescent="0.2">
      <c r="N44" s="165">
        <f>'5-DAY'!A75</f>
        <v>37158</v>
      </c>
      <c r="O44" s="160">
        <f>'5-DAY'!C75/1000</f>
        <v>432.38799999999998</v>
      </c>
      <c r="P44" s="160">
        <f t="shared" si="18"/>
        <v>625.55799999999999</v>
      </c>
      <c r="Q44" s="181">
        <f>Q43+O44</f>
        <v>644.18299999999988</v>
      </c>
      <c r="R44" s="160">
        <f t="shared" si="16"/>
        <v>1760.6629999999998</v>
      </c>
      <c r="S44" s="160">
        <f t="shared" si="17"/>
        <v>5125.6630000000023</v>
      </c>
      <c r="T44" s="160">
        <f>VAR!C39/1000</f>
        <v>292.91699999999997</v>
      </c>
    </row>
    <row r="45" spans="14:20" x14ac:dyDescent="0.2">
      <c r="N45" s="165">
        <f>'5-DAY'!A76</f>
        <v>37159</v>
      </c>
      <c r="O45" s="160">
        <f>'5-DAY'!C76/1000</f>
        <v>-320.38499999999999</v>
      </c>
      <c r="P45" s="160">
        <f t="shared" si="18"/>
        <v>118.21100000000001</v>
      </c>
      <c r="Q45" s="181">
        <f>Q44+O45</f>
        <v>323.79799999999989</v>
      </c>
      <c r="R45" s="160">
        <f>R44+O45</f>
        <v>1440.2779999999998</v>
      </c>
      <c r="S45" s="160">
        <f t="shared" ref="S45:S50" si="19">S44+O45</f>
        <v>4805.2780000000021</v>
      </c>
      <c r="T45" s="160">
        <f>VAR!C40/1000</f>
        <v>66.536000000000001</v>
      </c>
    </row>
    <row r="46" spans="14:20" x14ac:dyDescent="0.2">
      <c r="N46" s="165">
        <f>'5-DAY'!A77</f>
        <v>37160</v>
      </c>
      <c r="O46" s="160">
        <f>'5-DAY'!C77/1000</f>
        <v>1.0029999999999999</v>
      </c>
      <c r="P46" s="160">
        <f t="shared" ref="P46:P51" si="20">SUM(O42:O46)</f>
        <v>94.858999999999995</v>
      </c>
      <c r="Q46" s="181">
        <f>Q45+O46</f>
        <v>324.80099999999987</v>
      </c>
      <c r="R46" s="160">
        <f>R45+O46</f>
        <v>1441.2809999999997</v>
      </c>
      <c r="S46" s="160">
        <f t="shared" si="19"/>
        <v>4806.2810000000018</v>
      </c>
      <c r="T46" s="160">
        <f>VAR!C41/1000</f>
        <v>249.44499999999999</v>
      </c>
    </row>
    <row r="47" spans="14:20" x14ac:dyDescent="0.2">
      <c r="N47" s="165">
        <f>'5-DAY'!A78</f>
        <v>37161</v>
      </c>
      <c r="O47" s="160">
        <f>'5-DAY'!C78/1000</f>
        <v>65.471999999999994</v>
      </c>
      <c r="P47" s="160">
        <f t="shared" si="20"/>
        <v>201.70699999999994</v>
      </c>
      <c r="Q47" s="181">
        <f>Q46+O47</f>
        <v>390.27299999999985</v>
      </c>
      <c r="R47" s="160">
        <f>R46+O47</f>
        <v>1506.7529999999997</v>
      </c>
      <c r="S47" s="160">
        <f t="shared" si="19"/>
        <v>4871.7530000000015</v>
      </c>
      <c r="T47" s="160">
        <f>VAR!C42/1000</f>
        <v>256.233</v>
      </c>
    </row>
    <row r="48" spans="14:20" x14ac:dyDescent="0.2">
      <c r="N48" s="177">
        <f>'5-DAY'!A79</f>
        <v>37162</v>
      </c>
      <c r="O48" s="178">
        <f>'5-DAY'!C79/1000</f>
        <v>49.795999999999999</v>
      </c>
      <c r="P48" s="178">
        <f t="shared" si="20"/>
        <v>228.27399999999997</v>
      </c>
      <c r="Q48" s="193">
        <f>Q47+O48</f>
        <v>440.06899999999985</v>
      </c>
      <c r="R48" s="178">
        <f>R47+O48</f>
        <v>1556.5489999999998</v>
      </c>
      <c r="S48" s="178">
        <f t="shared" si="19"/>
        <v>4921.5490000000018</v>
      </c>
      <c r="T48" s="178">
        <f>VAR!C43/1000</f>
        <v>256.02800000000002</v>
      </c>
    </row>
    <row r="49" spans="14:20" x14ac:dyDescent="0.2">
      <c r="N49" s="196">
        <f>'5-DAY'!A80</f>
        <v>37165</v>
      </c>
      <c r="O49" s="197">
        <f>'5-DAY'!C80/1000</f>
        <v>126.107</v>
      </c>
      <c r="P49" s="197">
        <f t="shared" si="20"/>
        <v>-78.007000000000033</v>
      </c>
      <c r="Q49" s="197">
        <f>O49</f>
        <v>126.107</v>
      </c>
      <c r="R49" s="197">
        <f>O49</f>
        <v>126.107</v>
      </c>
      <c r="S49" s="197">
        <f t="shared" si="19"/>
        <v>5047.6560000000018</v>
      </c>
      <c r="T49" s="197">
        <f>VAR!C44/1000</f>
        <v>13.047000000000001</v>
      </c>
    </row>
    <row r="50" spans="14:20" x14ac:dyDescent="0.2">
      <c r="N50" s="196">
        <f>'5-DAY'!A81</f>
        <v>37166</v>
      </c>
      <c r="O50" s="197">
        <f>'5-DAY'!C81/1000</f>
        <v>-11.016999999999999</v>
      </c>
      <c r="P50" s="197">
        <f t="shared" si="20"/>
        <v>231.36099999999999</v>
      </c>
      <c r="Q50" s="160">
        <f t="shared" ref="Q50:Q55" si="21">Q49+O50</f>
        <v>115.09</v>
      </c>
      <c r="R50" s="160">
        <f t="shared" ref="R50:R55" si="22">R49+O50</f>
        <v>115.09</v>
      </c>
      <c r="S50" s="197">
        <f t="shared" si="19"/>
        <v>5036.6390000000019</v>
      </c>
      <c r="T50" s="197">
        <f>VAR!C45/1000</f>
        <v>168.29400000000001</v>
      </c>
    </row>
    <row r="51" spans="14:20" x14ac:dyDescent="0.2">
      <c r="N51" s="196">
        <f>'5-DAY'!A82</f>
        <v>37167</v>
      </c>
      <c r="O51" s="197">
        <f>'5-DAY'!C82/1000</f>
        <v>11.605</v>
      </c>
      <c r="P51" s="197">
        <f t="shared" si="20"/>
        <v>241.96299999999999</v>
      </c>
      <c r="Q51" s="160">
        <f t="shared" si="21"/>
        <v>126.69500000000001</v>
      </c>
      <c r="R51" s="160">
        <f t="shared" si="22"/>
        <v>126.69500000000001</v>
      </c>
      <c r="S51" s="197">
        <f t="shared" ref="S51:S56" si="23">S50+O51</f>
        <v>5048.2440000000015</v>
      </c>
      <c r="T51" s="197">
        <f>VAR!C46/1000</f>
        <v>200.018</v>
      </c>
    </row>
    <row r="52" spans="14:20" x14ac:dyDescent="0.2">
      <c r="N52" s="196">
        <f>'5-DAY'!A83</f>
        <v>37168</v>
      </c>
      <c r="O52" s="197">
        <f>'5-DAY'!C83/1000</f>
        <v>-150.90600000000001</v>
      </c>
      <c r="P52" s="197">
        <f t="shared" ref="P52:P57" si="24">SUM(O48:O52)</f>
        <v>25.58499999999998</v>
      </c>
      <c r="Q52" s="160">
        <f t="shared" si="21"/>
        <v>-24.210999999999999</v>
      </c>
      <c r="R52" s="160">
        <f t="shared" si="22"/>
        <v>-24.210999999999999</v>
      </c>
      <c r="S52" s="197">
        <f t="shared" si="23"/>
        <v>4897.3380000000016</v>
      </c>
      <c r="T52" s="197">
        <f>VAR!C47/1000</f>
        <v>207.06399999999999</v>
      </c>
    </row>
    <row r="53" spans="14:20" x14ac:dyDescent="0.2">
      <c r="N53" s="196">
        <f>'5-DAY'!A84</f>
        <v>37169</v>
      </c>
      <c r="O53" s="197">
        <f>'5-DAY'!C84/1000</f>
        <v>192.637</v>
      </c>
      <c r="P53" s="197">
        <f t="shared" si="24"/>
        <v>168.42599999999999</v>
      </c>
      <c r="Q53" s="160">
        <f t="shared" si="21"/>
        <v>168.42599999999999</v>
      </c>
      <c r="R53" s="160">
        <f t="shared" si="22"/>
        <v>168.42599999999999</v>
      </c>
      <c r="S53" s="197">
        <f t="shared" si="23"/>
        <v>5089.9750000000013</v>
      </c>
      <c r="T53" s="197">
        <f>VAR!C48/1000</f>
        <v>26.643999999999998</v>
      </c>
    </row>
    <row r="54" spans="14:20" x14ac:dyDescent="0.2">
      <c r="N54" s="196">
        <f>'5-DAY'!A85</f>
        <v>37172</v>
      </c>
      <c r="O54" s="197">
        <f>'5-DAY'!C85/1000</f>
        <v>88.301000000000002</v>
      </c>
      <c r="P54" s="197">
        <f t="shared" si="24"/>
        <v>130.62</v>
      </c>
      <c r="Q54" s="160">
        <f t="shared" si="21"/>
        <v>256.72699999999998</v>
      </c>
      <c r="R54" s="160">
        <f t="shared" si="22"/>
        <v>256.72699999999998</v>
      </c>
      <c r="S54" s="197">
        <f t="shared" si="23"/>
        <v>5178.2760000000017</v>
      </c>
      <c r="T54" s="197">
        <f>VAR!C49/1000</f>
        <v>84.474999999999994</v>
      </c>
    </row>
    <row r="55" spans="14:20" x14ac:dyDescent="0.2">
      <c r="N55" s="196">
        <f>'5-DAY'!A86</f>
        <v>37173</v>
      </c>
      <c r="O55" s="197">
        <f>'5-DAY'!C86/1000</f>
        <v>-65.302999999999997</v>
      </c>
      <c r="P55" s="197">
        <f t="shared" si="24"/>
        <v>76.334000000000003</v>
      </c>
      <c r="Q55" s="160">
        <f t="shared" si="21"/>
        <v>191.42399999999998</v>
      </c>
      <c r="R55" s="160">
        <f t="shared" si="22"/>
        <v>191.42399999999998</v>
      </c>
      <c r="S55" s="197">
        <f t="shared" si="23"/>
        <v>5112.9730000000018</v>
      </c>
      <c r="T55" s="197">
        <f>VAR!C50/1000</f>
        <v>66.89</v>
      </c>
    </row>
    <row r="56" spans="14:20" x14ac:dyDescent="0.2">
      <c r="N56" s="196">
        <f>'5-DAY'!A87</f>
        <v>37174</v>
      </c>
      <c r="O56" s="197">
        <f>'5-DAY'!C87/1000</f>
        <v>-242.29900000000001</v>
      </c>
      <c r="P56" s="197">
        <f t="shared" si="24"/>
        <v>-177.57000000000002</v>
      </c>
      <c r="Q56" s="160">
        <f t="shared" ref="Q56:Q61" si="25">Q55+O56</f>
        <v>-50.875000000000028</v>
      </c>
      <c r="R56" s="160">
        <f t="shared" ref="R56:R61" si="26">R55+O56</f>
        <v>-50.875000000000028</v>
      </c>
      <c r="S56" s="197">
        <f t="shared" si="23"/>
        <v>4870.6740000000018</v>
      </c>
      <c r="T56" s="197">
        <f>VAR!C51/1000</f>
        <v>206.73599999999999</v>
      </c>
    </row>
    <row r="57" spans="14:20" x14ac:dyDescent="0.2">
      <c r="N57" s="196">
        <f>'5-DAY'!A88</f>
        <v>37175</v>
      </c>
      <c r="O57" s="197">
        <f>'5-DAY'!C88/1000</f>
        <v>-43.186999999999998</v>
      </c>
      <c r="P57" s="197">
        <f t="shared" si="24"/>
        <v>-69.851000000000013</v>
      </c>
      <c r="Q57" s="160">
        <f t="shared" si="25"/>
        <v>-94.062000000000026</v>
      </c>
      <c r="R57" s="160">
        <f t="shared" si="26"/>
        <v>-94.062000000000026</v>
      </c>
      <c r="S57" s="197">
        <f t="shared" ref="S57:S62" si="27">S56+O57</f>
        <v>4827.4870000000019</v>
      </c>
      <c r="T57" s="197">
        <f>VAR!C52/1000</f>
        <v>184.786</v>
      </c>
    </row>
    <row r="58" spans="14:20" x14ac:dyDescent="0.2">
      <c r="N58" s="196">
        <f>'5-DAY'!A89</f>
        <v>37176</v>
      </c>
      <c r="O58" s="197">
        <f>'5-DAY'!C89/1000</f>
        <v>136.89099999999999</v>
      </c>
      <c r="P58" s="197">
        <f t="shared" ref="P58:P63" si="28">SUM(O54:O58)</f>
        <v>-125.59700000000001</v>
      </c>
      <c r="Q58" s="160">
        <f t="shared" si="25"/>
        <v>42.828999999999965</v>
      </c>
      <c r="R58" s="160">
        <f t="shared" si="26"/>
        <v>42.828999999999965</v>
      </c>
      <c r="S58" s="197">
        <f t="shared" si="27"/>
        <v>4964.3780000000015</v>
      </c>
      <c r="T58" s="197">
        <f>VAR!C53/1000</f>
        <v>169.21600000000001</v>
      </c>
    </row>
    <row r="59" spans="14:20" x14ac:dyDescent="0.2">
      <c r="N59" s="196">
        <f>'5-DAY'!A90</f>
        <v>37179</v>
      </c>
      <c r="O59" s="197">
        <f>'5-DAY'!C90/1000</f>
        <v>36.037999999999997</v>
      </c>
      <c r="P59" s="197">
        <f t="shared" si="28"/>
        <v>-177.86</v>
      </c>
      <c r="Q59" s="160">
        <f t="shared" si="25"/>
        <v>78.866999999999962</v>
      </c>
      <c r="R59" s="160">
        <f t="shared" si="26"/>
        <v>78.866999999999962</v>
      </c>
      <c r="S59" s="197">
        <f t="shared" si="27"/>
        <v>5000.4160000000011</v>
      </c>
      <c r="T59" s="197">
        <f>VAR!C54/1000</f>
        <v>89.177999999999997</v>
      </c>
    </row>
    <row r="60" spans="14:20" x14ac:dyDescent="0.2">
      <c r="N60" s="196">
        <f>'5-DAY'!A91</f>
        <v>37180</v>
      </c>
      <c r="O60" s="197">
        <f>'5-DAY'!C91/1000</f>
        <v>-141.05099999999999</v>
      </c>
      <c r="P60" s="197">
        <f t="shared" si="28"/>
        <v>-253.608</v>
      </c>
      <c r="Q60" s="160">
        <f t="shared" si="25"/>
        <v>-62.184000000000026</v>
      </c>
      <c r="R60" s="160">
        <f t="shared" si="26"/>
        <v>-62.184000000000026</v>
      </c>
      <c r="S60" s="197">
        <f t="shared" si="27"/>
        <v>4859.3650000000007</v>
      </c>
      <c r="T60" s="197">
        <f>VAR!C55/1000</f>
        <v>118.142</v>
      </c>
    </row>
    <row r="61" spans="14:20" x14ac:dyDescent="0.2">
      <c r="N61" s="196">
        <f>'5-DAY'!A92</f>
        <v>37181</v>
      </c>
      <c r="O61" s="197">
        <f>'5-DAY'!C92/1000</f>
        <v>110.306</v>
      </c>
      <c r="P61" s="197">
        <f t="shared" si="28"/>
        <v>98.997</v>
      </c>
      <c r="Q61" s="160">
        <f t="shared" si="25"/>
        <v>48.121999999999971</v>
      </c>
      <c r="R61" s="160">
        <f t="shared" si="26"/>
        <v>48.121999999999971</v>
      </c>
      <c r="S61" s="197">
        <f t="shared" si="27"/>
        <v>4969.6710000000003</v>
      </c>
      <c r="T61" s="197">
        <f>VAR!C56/1000</f>
        <v>116.71899999999999</v>
      </c>
    </row>
    <row r="62" spans="14:20" x14ac:dyDescent="0.2">
      <c r="N62" s="196">
        <f>'5-DAY'!A93</f>
        <v>37182</v>
      </c>
      <c r="O62" s="197">
        <f>'5-DAY'!C93/1000</f>
        <v>-179.35499999999999</v>
      </c>
      <c r="P62" s="197">
        <f t="shared" si="28"/>
        <v>-37.171000000000021</v>
      </c>
      <c r="Q62" s="160">
        <f t="shared" ref="Q62:Q67" si="29">Q61+O62</f>
        <v>-131.233</v>
      </c>
      <c r="R62" s="160">
        <f t="shared" ref="R62:R67" si="30">R61+O62</f>
        <v>-131.233</v>
      </c>
      <c r="S62" s="197">
        <f t="shared" si="27"/>
        <v>4790.3160000000007</v>
      </c>
      <c r="T62" s="197">
        <f>VAR!C57/1000</f>
        <v>193.70599999999999</v>
      </c>
    </row>
    <row r="63" spans="14:20" x14ac:dyDescent="0.2">
      <c r="N63" s="196">
        <f>'5-DAY'!A94</f>
        <v>37183</v>
      </c>
      <c r="O63" s="197">
        <f>'5-DAY'!C94/1000</f>
        <v>-283.03300000000002</v>
      </c>
      <c r="P63" s="197">
        <f t="shared" si="28"/>
        <v>-457.09500000000003</v>
      </c>
      <c r="Q63" s="160">
        <f t="shared" si="29"/>
        <v>-414.26600000000002</v>
      </c>
      <c r="R63" s="160">
        <f t="shared" si="30"/>
        <v>-414.26600000000002</v>
      </c>
      <c r="S63" s="197">
        <f t="shared" ref="S63:S68" si="31">S62+O63</f>
        <v>4507.2830000000004</v>
      </c>
      <c r="T63" s="197">
        <f>VAR!C58/1000</f>
        <v>229.09399999999999</v>
      </c>
    </row>
    <row r="64" spans="14:20" x14ac:dyDescent="0.2">
      <c r="N64" s="196">
        <f>'5-DAY'!A95</f>
        <v>37186</v>
      </c>
      <c r="O64" s="197">
        <f>'5-DAY'!C95/1000</f>
        <v>-217.38399999999999</v>
      </c>
      <c r="P64" s="197">
        <f t="shared" ref="P64:P69" si="32">SUM(O60:O64)</f>
        <v>-710.51699999999994</v>
      </c>
      <c r="Q64" s="160">
        <f t="shared" si="29"/>
        <v>-631.65</v>
      </c>
      <c r="R64" s="160">
        <f t="shared" si="30"/>
        <v>-631.65</v>
      </c>
      <c r="S64" s="197">
        <f t="shared" si="31"/>
        <v>4289.8990000000003</v>
      </c>
      <c r="T64" s="197">
        <f>VAR!C59/1000</f>
        <v>250.26599999999999</v>
      </c>
    </row>
    <row r="65" spans="14:20" x14ac:dyDescent="0.2">
      <c r="N65" s="196">
        <f>'5-DAY'!A96</f>
        <v>37187</v>
      </c>
      <c r="O65" s="197">
        <f>'5-DAY'!C96/1000</f>
        <v>202.661</v>
      </c>
      <c r="P65" s="197">
        <f t="shared" si="32"/>
        <v>-366.80500000000001</v>
      </c>
      <c r="Q65" s="160">
        <f t="shared" si="29"/>
        <v>-428.98899999999998</v>
      </c>
      <c r="R65" s="160">
        <f t="shared" si="30"/>
        <v>-428.98899999999998</v>
      </c>
      <c r="S65" s="197">
        <f t="shared" si="31"/>
        <v>4492.5600000000004</v>
      </c>
      <c r="T65" s="197">
        <f>VAR!C60/1000</f>
        <v>167.13</v>
      </c>
    </row>
    <row r="66" spans="14:20" x14ac:dyDescent="0.2">
      <c r="N66" s="196">
        <f>'5-DAY'!A97</f>
        <v>37188</v>
      </c>
      <c r="O66" s="197">
        <f>'5-DAY'!C97/1000</f>
        <v>-256.952</v>
      </c>
      <c r="P66" s="197">
        <f t="shared" si="32"/>
        <v>-734.0630000000001</v>
      </c>
      <c r="Q66" s="160">
        <f t="shared" si="29"/>
        <v>-685.94100000000003</v>
      </c>
      <c r="R66" s="160">
        <f t="shared" si="30"/>
        <v>-685.94100000000003</v>
      </c>
      <c r="S66" s="197">
        <f t="shared" si="31"/>
        <v>4235.6080000000002</v>
      </c>
      <c r="T66" s="197">
        <f>VAR!C61/1000</f>
        <v>109.855</v>
      </c>
    </row>
    <row r="67" spans="14:20" x14ac:dyDescent="0.2">
      <c r="N67" s="196">
        <f>'5-DAY'!A98</f>
        <v>37189</v>
      </c>
      <c r="O67" s="197">
        <f>'5-DAY'!C98/1000</f>
        <v>-42.207999999999998</v>
      </c>
      <c r="P67" s="197">
        <f t="shared" si="32"/>
        <v>-596.91600000000005</v>
      </c>
      <c r="Q67" s="160">
        <f t="shared" si="29"/>
        <v>-728.149</v>
      </c>
      <c r="R67" s="160">
        <f t="shared" si="30"/>
        <v>-728.149</v>
      </c>
      <c r="S67" s="197">
        <f t="shared" si="31"/>
        <v>4193.4000000000005</v>
      </c>
      <c r="T67" s="197">
        <f>VAR!C62/1000</f>
        <v>105.129</v>
      </c>
    </row>
    <row r="68" spans="14:20" x14ac:dyDescent="0.2">
      <c r="N68" s="196">
        <f>'5-DAY'!A99</f>
        <v>37190</v>
      </c>
      <c r="O68" s="197">
        <f>'5-DAY'!C99/1000</f>
        <v>-30.893000000000001</v>
      </c>
      <c r="P68" s="197">
        <f t="shared" si="32"/>
        <v>-344.77599999999995</v>
      </c>
      <c r="Q68" s="160">
        <f>Q67+O68</f>
        <v>-759.04200000000003</v>
      </c>
      <c r="R68" s="160">
        <f t="shared" ref="R68:R73" si="33">R67+O68</f>
        <v>-759.04200000000003</v>
      </c>
      <c r="S68" s="197">
        <f t="shared" si="31"/>
        <v>4162.5070000000005</v>
      </c>
      <c r="T68" s="197">
        <f>VAR!C63/1000</f>
        <v>0</v>
      </c>
    </row>
    <row r="69" spans="14:20" x14ac:dyDescent="0.2">
      <c r="N69" s="196">
        <f>'5-DAY'!A100</f>
        <v>37193</v>
      </c>
      <c r="O69" s="197">
        <f>'5-DAY'!C100/1000</f>
        <v>37.549999999999997</v>
      </c>
      <c r="P69" s="197">
        <f t="shared" si="32"/>
        <v>-89.841999999999999</v>
      </c>
      <c r="Q69" s="160">
        <f>Q68+O69</f>
        <v>-721.49200000000008</v>
      </c>
      <c r="R69" s="160">
        <f t="shared" si="33"/>
        <v>-721.49200000000008</v>
      </c>
      <c r="S69" s="197">
        <f t="shared" ref="S69:S74" si="34">S68+O69</f>
        <v>4200.0570000000007</v>
      </c>
      <c r="T69" s="197">
        <f>VAR!C64/1000</f>
        <v>161.85499999999999</v>
      </c>
    </row>
    <row r="70" spans="14:20" x14ac:dyDescent="0.2">
      <c r="N70" s="196">
        <f>'5-DAY'!A101</f>
        <v>37194</v>
      </c>
      <c r="O70" s="197">
        <f>'5-DAY'!C101/1000</f>
        <v>-105.916</v>
      </c>
      <c r="P70" s="197">
        <f t="shared" ref="P70:P75" si="35">SUM(O66:O70)</f>
        <v>-398.41899999999998</v>
      </c>
      <c r="Q70" s="160">
        <f>Q69+O70</f>
        <v>-827.40800000000013</v>
      </c>
      <c r="R70" s="160">
        <f t="shared" si="33"/>
        <v>-827.40800000000013</v>
      </c>
      <c r="S70" s="197">
        <f t="shared" si="34"/>
        <v>4094.1410000000005</v>
      </c>
      <c r="T70" s="197">
        <f>VAR!C65/1000</f>
        <v>160.9</v>
      </c>
    </row>
    <row r="71" spans="14:20" x14ac:dyDescent="0.2">
      <c r="N71" s="177">
        <f>'5-DAY'!A102</f>
        <v>37195</v>
      </c>
      <c r="O71" s="178">
        <f>'5-DAY'!C102/1000</f>
        <v>94.742000000000004</v>
      </c>
      <c r="P71" s="178">
        <f t="shared" si="35"/>
        <v>-46.72499999999998</v>
      </c>
      <c r="Q71" s="178">
        <f>Q70+O71</f>
        <v>-732.66600000000017</v>
      </c>
      <c r="R71" s="178">
        <f t="shared" si="33"/>
        <v>-732.66600000000017</v>
      </c>
      <c r="S71" s="178">
        <f t="shared" si="34"/>
        <v>4188.8830000000007</v>
      </c>
      <c r="T71" s="178">
        <f>VAR!C66/1000</f>
        <v>21.529</v>
      </c>
    </row>
    <row r="72" spans="14:20" x14ac:dyDescent="0.2">
      <c r="N72" s="196">
        <f>'5-DAY'!A103</f>
        <v>37196</v>
      </c>
      <c r="O72" s="197">
        <f>'5-DAY'!C103/1000</f>
        <v>0.26700000000000002</v>
      </c>
      <c r="P72" s="197">
        <f t="shared" si="35"/>
        <v>-4.2499999999999956</v>
      </c>
      <c r="Q72" s="160">
        <f>O72</f>
        <v>0.26700000000000002</v>
      </c>
      <c r="R72" s="197">
        <f t="shared" si="33"/>
        <v>-732.39900000000011</v>
      </c>
      <c r="S72" s="197">
        <f t="shared" si="34"/>
        <v>4189.1500000000005</v>
      </c>
      <c r="T72" s="197">
        <f>VAR!C67/1000</f>
        <v>105.873</v>
      </c>
    </row>
    <row r="73" spans="14:20" x14ac:dyDescent="0.2">
      <c r="N73" s="196">
        <f>'5-DAY'!A104</f>
        <v>37197</v>
      </c>
      <c r="O73" s="197">
        <f>'5-DAY'!C104/1000</f>
        <v>12.235939999999944</v>
      </c>
      <c r="P73" s="197">
        <f t="shared" si="35"/>
        <v>38.87893999999995</v>
      </c>
      <c r="Q73" s="181">
        <f t="shared" ref="Q73:Q78" si="36">Q72+O73</f>
        <v>12.502939999999944</v>
      </c>
      <c r="R73" s="197">
        <f t="shared" si="33"/>
        <v>-720.1630600000002</v>
      </c>
      <c r="S73" s="197">
        <f t="shared" si="34"/>
        <v>4201.3859400000001</v>
      </c>
      <c r="T73" s="197">
        <f>VAR!C68/1000</f>
        <v>49.988999999999997</v>
      </c>
    </row>
    <row r="74" spans="14:20" x14ac:dyDescent="0.2">
      <c r="N74" s="196">
        <f>'5-DAY'!A105</f>
        <v>37200</v>
      </c>
      <c r="O74" s="197">
        <f>'5-DAY'!C105/1000</f>
        <v>-110.696</v>
      </c>
      <c r="P74" s="197">
        <f t="shared" si="35"/>
        <v>-109.36706000000005</v>
      </c>
      <c r="Q74" s="181">
        <f t="shared" si="36"/>
        <v>-98.19306000000006</v>
      </c>
      <c r="R74" s="197">
        <f t="shared" ref="R74:R79" si="37">R73+O74</f>
        <v>-830.85906000000023</v>
      </c>
      <c r="S74" s="197">
        <f t="shared" si="34"/>
        <v>4090.6899400000002</v>
      </c>
      <c r="T74" s="197">
        <f>VAR!C69/1000</f>
        <v>261.30500000000001</v>
      </c>
    </row>
    <row r="75" spans="14:20" x14ac:dyDescent="0.2">
      <c r="N75" s="196">
        <f>'5-DAY'!A106</f>
        <v>37201</v>
      </c>
      <c r="O75" s="197">
        <f>'5-DAY'!C106/1000</f>
        <v>9.4109999999999996</v>
      </c>
      <c r="P75" s="197">
        <f t="shared" si="35"/>
        <v>5.9599399999999445</v>
      </c>
      <c r="Q75" s="181">
        <f t="shared" si="36"/>
        <v>-88.782060000000058</v>
      </c>
      <c r="R75" s="197">
        <f t="shared" si="37"/>
        <v>-821.44806000000028</v>
      </c>
      <c r="S75" s="197">
        <f t="shared" ref="S75:S80" si="38">S74+O75</f>
        <v>4100.1009400000003</v>
      </c>
      <c r="T75" s="197">
        <f>VAR!C70/1000</f>
        <v>283.40899999999999</v>
      </c>
    </row>
    <row r="76" spans="14:20" x14ac:dyDescent="0.2">
      <c r="N76" s="196">
        <f>'5-DAY'!A107</f>
        <v>37202</v>
      </c>
      <c r="O76" s="197">
        <f>'5-DAY'!C107/1000</f>
        <v>-10.531000000000001</v>
      </c>
      <c r="P76" s="197">
        <f t="shared" ref="P76:P81" si="39">SUM(O72:O76)</f>
        <v>-99.313060000000064</v>
      </c>
      <c r="Q76" s="181">
        <f t="shared" si="36"/>
        <v>-99.313060000000064</v>
      </c>
      <c r="R76" s="197">
        <f t="shared" si="37"/>
        <v>-831.97906000000023</v>
      </c>
      <c r="S76" s="197">
        <f t="shared" si="38"/>
        <v>4089.5699400000003</v>
      </c>
      <c r="T76" s="197">
        <f>VAR!C71/1000</f>
        <v>241.14099999999999</v>
      </c>
    </row>
    <row r="77" spans="14:20" x14ac:dyDescent="0.2">
      <c r="N77" s="196">
        <f>'5-DAY'!A108</f>
        <v>37203</v>
      </c>
      <c r="O77" s="197">
        <f>'5-DAY'!C108/1000</f>
        <v>-185.05500000000001</v>
      </c>
      <c r="P77" s="197">
        <f t="shared" si="39"/>
        <v>-284.63506000000007</v>
      </c>
      <c r="Q77" s="181">
        <f t="shared" si="36"/>
        <v>-284.36806000000007</v>
      </c>
      <c r="R77" s="197">
        <f t="shared" si="37"/>
        <v>-1017.0340600000002</v>
      </c>
      <c r="S77" s="197">
        <f t="shared" si="38"/>
        <v>3904.5149400000005</v>
      </c>
      <c r="T77" s="197">
        <f>VAR!C72/1000</f>
        <v>248.95099999999999</v>
      </c>
    </row>
    <row r="78" spans="14:20" x14ac:dyDescent="0.2">
      <c r="N78" s="196">
        <f>'5-DAY'!A109</f>
        <v>37204</v>
      </c>
      <c r="O78" s="197">
        <f>'5-DAY'!C109/1000</f>
        <v>48.972000000000001</v>
      </c>
      <c r="P78" s="197">
        <f t="shared" si="39"/>
        <v>-247.89899999999997</v>
      </c>
      <c r="Q78" s="181">
        <f t="shared" si="36"/>
        <v>-235.39606000000006</v>
      </c>
      <c r="R78" s="197">
        <f t="shared" si="37"/>
        <v>-968.0620600000002</v>
      </c>
      <c r="S78" s="197">
        <f t="shared" si="38"/>
        <v>3953.4869400000007</v>
      </c>
      <c r="T78" s="197">
        <f>VAR!C73/1000</f>
        <v>112.54300000000001</v>
      </c>
    </row>
    <row r="79" spans="14:20" x14ac:dyDescent="0.2">
      <c r="N79" s="196">
        <f>'5-DAY'!A110</f>
        <v>37207</v>
      </c>
      <c r="O79" s="197">
        <f>'5-DAY'!C110/1000</f>
        <v>93.606999999999999</v>
      </c>
      <c r="P79" s="197">
        <f t="shared" si="39"/>
        <v>-43.596000000000004</v>
      </c>
      <c r="Q79" s="181">
        <f t="shared" ref="Q79:Q84" si="40">Q78+O79</f>
        <v>-141.78906000000006</v>
      </c>
      <c r="R79" s="197">
        <f t="shared" si="37"/>
        <v>-874.45506000000023</v>
      </c>
      <c r="S79" s="197">
        <f t="shared" si="38"/>
        <v>4047.0939400000007</v>
      </c>
      <c r="T79" s="197">
        <f>VAR!C74/1000</f>
        <v>238.102</v>
      </c>
    </row>
    <row r="80" spans="14:20" x14ac:dyDescent="0.2">
      <c r="N80" s="196">
        <f>'5-DAY'!A111</f>
        <v>37208</v>
      </c>
      <c r="O80" s="197">
        <f>'5-DAY'!C111/1000</f>
        <v>-99.569000000000003</v>
      </c>
      <c r="P80" s="197">
        <f t="shared" si="39"/>
        <v>-152.57600000000002</v>
      </c>
      <c r="Q80" s="181">
        <f t="shared" si="40"/>
        <v>-241.35806000000008</v>
      </c>
      <c r="R80" s="197">
        <f t="shared" ref="R80:R85" si="41">R79+O80</f>
        <v>-974.02406000000019</v>
      </c>
      <c r="S80" s="197">
        <f t="shared" si="38"/>
        <v>3947.5249400000007</v>
      </c>
      <c r="T80" s="197">
        <f>VAR!C75/1000</f>
        <v>242.38300000000001</v>
      </c>
    </row>
    <row r="81" spans="14:20" x14ac:dyDescent="0.2">
      <c r="N81" s="196">
        <f>'5-DAY'!A112</f>
        <v>37209</v>
      </c>
      <c r="O81" s="197">
        <f>'5-DAY'!C112/1000</f>
        <v>121.148</v>
      </c>
      <c r="P81" s="197">
        <f t="shared" si="39"/>
        <v>-20.89700000000002</v>
      </c>
      <c r="Q81" s="181">
        <f t="shared" si="40"/>
        <v>-120.21006000000008</v>
      </c>
      <c r="R81" s="197">
        <f t="shared" si="41"/>
        <v>-852.87606000000017</v>
      </c>
      <c r="S81" s="197">
        <f>S80+O81</f>
        <v>4068.6729400000008</v>
      </c>
      <c r="T81" s="197">
        <f>VAR!C76/1000</f>
        <v>371.495</v>
      </c>
    </row>
    <row r="82" spans="14:20" x14ac:dyDescent="0.2">
      <c r="N82" s="196">
        <f>'5-DAY'!A113</f>
        <v>37210</v>
      </c>
      <c r="O82" s="197">
        <f>'5-DAY'!C113/1000</f>
        <v>181.96799999999999</v>
      </c>
      <c r="P82" s="197">
        <f>SUM(O78:O82)</f>
        <v>346.12599999999998</v>
      </c>
      <c r="Q82" s="181">
        <f t="shared" si="40"/>
        <v>61.757939999999905</v>
      </c>
      <c r="R82" s="197">
        <f t="shared" si="41"/>
        <v>-670.90806000000021</v>
      </c>
      <c r="S82" s="197">
        <f>S81+O82</f>
        <v>4250.6409400000011</v>
      </c>
      <c r="T82" s="197">
        <f>VAR!C77/1000</f>
        <v>89.16</v>
      </c>
    </row>
    <row r="83" spans="14:20" x14ac:dyDescent="0.2">
      <c r="N83" s="196">
        <f>'5-DAY'!A114</f>
        <v>37211</v>
      </c>
      <c r="O83" s="197">
        <f>'5-DAY'!C114/1000</f>
        <v>-44.698</v>
      </c>
      <c r="P83" s="197">
        <f>SUM(O79:O83)</f>
        <v>252.45599999999999</v>
      </c>
      <c r="Q83" s="181">
        <f t="shared" si="40"/>
        <v>17.059939999999905</v>
      </c>
      <c r="R83" s="197">
        <f t="shared" si="41"/>
        <v>-715.60606000000018</v>
      </c>
      <c r="S83" s="197">
        <f>S82+O83</f>
        <v>4205.9429400000008</v>
      </c>
      <c r="T83" s="197">
        <f>VAR!C78/1000</f>
        <v>91.760999999999996</v>
      </c>
    </row>
    <row r="84" spans="14:20" x14ac:dyDescent="0.2">
      <c r="N84" s="196">
        <f>'5-DAY'!A115</f>
        <v>37214</v>
      </c>
      <c r="O84" s="197">
        <f>'5-DAY'!C115/1000</f>
        <v>9.8209999999999997</v>
      </c>
      <c r="P84" s="197">
        <f>SUM(O80:O84)</f>
        <v>168.66999999999996</v>
      </c>
      <c r="Q84" s="181">
        <f t="shared" si="40"/>
        <v>26.880939999999903</v>
      </c>
      <c r="R84" s="197">
        <f t="shared" si="41"/>
        <v>-705.78506000000016</v>
      </c>
      <c r="S84" s="197">
        <f>S83+O84</f>
        <v>4215.7639400000007</v>
      </c>
      <c r="T84" s="197">
        <f>VAR!C79/1000</f>
        <v>73.632999999999996</v>
      </c>
    </row>
    <row r="85" spans="14:20" x14ac:dyDescent="0.2">
      <c r="N85" s="196">
        <f>'5-DAY'!A116</f>
        <v>37215</v>
      </c>
      <c r="O85" s="197">
        <f>'5-DAY'!C116/1000</f>
        <v>-59.188000000000002</v>
      </c>
      <c r="P85" s="197">
        <f>SUM(O81:O85)</f>
        <v>209.05100000000004</v>
      </c>
      <c r="Q85" s="181">
        <f>Q84+O85</f>
        <v>-32.307060000000099</v>
      </c>
      <c r="R85" s="197">
        <f t="shared" si="41"/>
        <v>-764.97306000000015</v>
      </c>
      <c r="S85" s="197">
        <f>S84+O85</f>
        <v>4156.5759400000006</v>
      </c>
      <c r="T85" s="197">
        <f>VAR!C80/1000</f>
        <v>207.17400000000001</v>
      </c>
    </row>
    <row r="86" spans="14:20" x14ac:dyDescent="0.2">
      <c r="N86" s="196">
        <f>'5-DAY'!A117</f>
        <v>37216</v>
      </c>
      <c r="O86" s="197"/>
      <c r="P86" s="197"/>
      <c r="Q86" s="181"/>
      <c r="R86" s="197"/>
      <c r="S86" s="197"/>
      <c r="T86" s="197"/>
    </row>
    <row r="87" spans="14:20" x14ac:dyDescent="0.2">
      <c r="N87" s="196">
        <f>'5-DAY'!A118</f>
        <v>37221</v>
      </c>
      <c r="O87" s="197"/>
      <c r="P87" s="197"/>
      <c r="Q87" s="181"/>
      <c r="R87" s="197"/>
      <c r="S87" s="197"/>
      <c r="T87" s="197"/>
    </row>
    <row r="88" spans="14:20" x14ac:dyDescent="0.2">
      <c r="N88" s="196">
        <f>'5-DAY'!A119</f>
        <v>37222</v>
      </c>
      <c r="O88" s="197"/>
      <c r="P88" s="197"/>
      <c r="Q88" s="181"/>
      <c r="R88" s="197"/>
      <c r="S88" s="197"/>
      <c r="T88" s="197"/>
    </row>
    <row r="89" spans="14:20" x14ac:dyDescent="0.2">
      <c r="N89" s="196">
        <f>'5-DAY'!A120</f>
        <v>37223</v>
      </c>
      <c r="O89" s="197"/>
      <c r="P89" s="197"/>
      <c r="Q89" s="181"/>
      <c r="R89" s="197"/>
      <c r="S89" s="197"/>
      <c r="T89" s="197"/>
    </row>
    <row r="90" spans="14:20" x14ac:dyDescent="0.2">
      <c r="N90" s="196">
        <f>'5-DAY'!A121</f>
        <v>37224</v>
      </c>
      <c r="O90" s="197"/>
      <c r="P90" s="197"/>
      <c r="Q90" s="210"/>
      <c r="R90" s="197"/>
      <c r="S90" s="197"/>
      <c r="T90" s="197"/>
    </row>
    <row r="91" spans="14:20" x14ac:dyDescent="0.2">
      <c r="N91" s="177">
        <f>'5-DAY'!A122</f>
        <v>37225</v>
      </c>
      <c r="O91" s="178"/>
      <c r="P91" s="178"/>
      <c r="Q91" s="193"/>
      <c r="R91" s="178"/>
      <c r="S91" s="178"/>
      <c r="T91" s="178"/>
    </row>
    <row r="92" spans="14:20" x14ac:dyDescent="0.2">
      <c r="N92" s="196"/>
    </row>
    <row r="93" spans="14:20" x14ac:dyDescent="0.2">
      <c r="N93" s="196"/>
    </row>
    <row r="94" spans="14:20" x14ac:dyDescent="0.2">
      <c r="N94" s="196"/>
    </row>
    <row r="95" spans="14:20" x14ac:dyDescent="0.2">
      <c r="N95" s="196"/>
    </row>
    <row r="96" spans="14:20" x14ac:dyDescent="0.2">
      <c r="N96" s="196"/>
    </row>
    <row r="97" spans="14:14" x14ac:dyDescent="0.2">
      <c r="N97" s="196"/>
    </row>
    <row r="98" spans="14:14" x14ac:dyDescent="0.2">
      <c r="N98" s="196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 activeCell="A7" sqref="A7"/>
    </sheetView>
  </sheetViews>
  <sheetFormatPr defaultColWidth="12" defaultRowHeight="13.5" customHeight="1" x14ac:dyDescent="0.2"/>
  <cols>
    <col min="1" max="1" width="36.6640625" style="26" customWidth="1"/>
    <col min="2" max="2" width="4" style="27" customWidth="1"/>
    <col min="3" max="26" width="13.33203125" style="27" customWidth="1"/>
    <col min="27" max="27" width="16" style="27" hidden="1" customWidth="1"/>
    <col min="28" max="16384" width="12" style="27"/>
  </cols>
  <sheetData>
    <row r="1" spans="1:27" customFormat="1" ht="12" customHeight="1" x14ac:dyDescent="0.2">
      <c r="A1" s="13" t="s">
        <v>119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customFormat="1" ht="12" customHeight="1" x14ac:dyDescent="0.2">
      <c r="A2" s="13" t="s">
        <v>145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customFormat="1" ht="12" customHeight="1" x14ac:dyDescent="0.2">
      <c r="A3" s="13" t="s">
        <v>146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customFormat="1" ht="12" customHeight="1" x14ac:dyDescent="0.2">
      <c r="A4" s="13" t="s">
        <v>147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customFormat="1" ht="13.5" customHeight="1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customFormat="1" ht="12" customHeight="1" thickBot="1" x14ac:dyDescent="0.25">
      <c r="A6" s="15" t="s">
        <v>40</v>
      </c>
      <c r="B6" s="3"/>
      <c r="C6" s="16" t="s">
        <v>148</v>
      </c>
      <c r="D6" s="16" t="s">
        <v>149</v>
      </c>
      <c r="E6" s="16" t="s">
        <v>150</v>
      </c>
      <c r="F6" s="16" t="s">
        <v>151</v>
      </c>
      <c r="G6" s="16" t="s">
        <v>152</v>
      </c>
      <c r="H6" s="16" t="s">
        <v>153</v>
      </c>
      <c r="I6" s="16" t="s">
        <v>154</v>
      </c>
      <c r="J6" s="16" t="s">
        <v>155</v>
      </c>
      <c r="K6" s="16" t="s">
        <v>156</v>
      </c>
      <c r="L6" s="16" t="s">
        <v>157</v>
      </c>
      <c r="M6" s="16" t="s">
        <v>158</v>
      </c>
      <c r="N6" s="16" t="s">
        <v>159</v>
      </c>
      <c r="O6" s="16" t="s">
        <v>160</v>
      </c>
      <c r="P6" s="16" t="s">
        <v>161</v>
      </c>
      <c r="Q6" s="16" t="s">
        <v>162</v>
      </c>
      <c r="R6" s="16" t="s">
        <v>163</v>
      </c>
      <c r="S6" s="16" t="s">
        <v>164</v>
      </c>
      <c r="T6" s="16" t="s">
        <v>165</v>
      </c>
      <c r="U6" s="16" t="s">
        <v>166</v>
      </c>
      <c r="V6" s="16" t="s">
        <v>167</v>
      </c>
      <c r="W6" s="16" t="s">
        <v>168</v>
      </c>
      <c r="X6" s="16" t="s">
        <v>169</v>
      </c>
      <c r="Y6" s="16" t="s">
        <v>170</v>
      </c>
      <c r="Z6" s="16" t="s">
        <v>171</v>
      </c>
      <c r="AA6" s="16" t="s">
        <v>40</v>
      </c>
    </row>
    <row r="7" spans="1:27" customFormat="1" ht="11.25" customHeight="1" x14ac:dyDescent="0.2">
      <c r="A7" s="17" t="s">
        <v>110</v>
      </c>
      <c r="B7" s="14"/>
      <c r="C7" s="17">
        <f>SUM(($C$16+$C$28))</f>
        <v>141.3365</v>
      </c>
      <c r="D7" s="17">
        <f>SUM(($D$16+$D$28))</f>
        <v>-6307.4258</v>
      </c>
      <c r="E7" s="17">
        <f>SUM(($E$16+$E$28))</f>
        <v>-1815.4546</v>
      </c>
      <c r="F7" s="17">
        <f>SUM(($F$16+$F$28))</f>
        <v>1208.7354</v>
      </c>
      <c r="G7" s="17">
        <f>SUM(($G$16+$G$28))</f>
        <v>-9888.4968000000008</v>
      </c>
      <c r="H7" s="17">
        <f>SUM(($H$16+$H$28))</f>
        <v>7478.1698999999999</v>
      </c>
      <c r="I7" s="17">
        <f>SUM(($I$16+$I$28))</f>
        <v>-1149.4118000000001</v>
      </c>
      <c r="J7" s="17">
        <f>SUM(($J$16+$J$28))</f>
        <v>-15008.519399999999</v>
      </c>
      <c r="K7" s="17">
        <f>SUM(($K$16+$K$28))</f>
        <v>-17589.164499999999</v>
      </c>
      <c r="L7" s="17">
        <f>SUM(($L$16+$L$28))</f>
        <v>-12882.745199999999</v>
      </c>
      <c r="M7" s="17">
        <f>SUM(($M$16+$M$28))</f>
        <v>-9073.0678000000007</v>
      </c>
      <c r="N7" s="17">
        <f>SUM(($N$16+$N$28))</f>
        <v>-5076.9602000000004</v>
      </c>
      <c r="O7" s="17">
        <f>SUM(($O$16+$O$28))</f>
        <v>-5269.4666999999999</v>
      </c>
      <c r="P7" s="17">
        <f>SUM(($P$16+$P$28))</f>
        <v>-7463.0473000000002</v>
      </c>
      <c r="Q7" s="17">
        <f>SUM(($Q$16+$Q$28))</f>
        <v>-4507.9459999999999</v>
      </c>
      <c r="R7" s="17">
        <f>SUM(($R$16+$R$28))</f>
        <v>-1463.0151000000001</v>
      </c>
      <c r="S7" s="17">
        <f>SUM(($S$16+$S$28))</f>
        <v>-3421.8301000000001</v>
      </c>
      <c r="T7" s="17">
        <f>SUM(($T$16+$T$28))</f>
        <v>-5360.5397999999996</v>
      </c>
      <c r="U7" s="17">
        <f>SUM(($U$16+$U$28))</f>
        <v>-5521.7968000000001</v>
      </c>
      <c r="V7" s="17">
        <f>SUM(($V$16+$V$28))</f>
        <v>-15005.765600000001</v>
      </c>
      <c r="W7" s="17">
        <f>SUM(($W$16+$W$28))</f>
        <v>-18844.442999999999</v>
      </c>
      <c r="X7" s="17">
        <f>SUM(($X$16+$X$28))</f>
        <v>-16521.830099999999</v>
      </c>
      <c r="Y7" s="17">
        <f>SUM(($Y$16+$Y$28))</f>
        <v>-12199.2817</v>
      </c>
      <c r="Z7" s="17">
        <f>SUM(($Z$16+$Z$28))</f>
        <v>-22733.333299999998</v>
      </c>
      <c r="AA7" s="14"/>
    </row>
    <row r="8" spans="1:27" customFormat="1" ht="11.25" customHeight="1" x14ac:dyDescent="0.2">
      <c r="A8" s="17" t="s">
        <v>111</v>
      </c>
      <c r="B8" s="14"/>
      <c r="C8" s="17">
        <f>SUM(($C$17+$C$29))</f>
        <v>-8516.1290000000008</v>
      </c>
      <c r="D8" s="17">
        <f>SUM(($D$17+$D$29))</f>
        <v>-96.741900000000896</v>
      </c>
      <c r="E8" s="17">
        <f>SUM(($E$17+$E$29))</f>
        <v>-1357.1428999999989</v>
      </c>
      <c r="F8" s="17">
        <f>SUM(($F$17+$F$29))</f>
        <v>-9903.2258000000002</v>
      </c>
      <c r="G8" s="17">
        <f>SUM(($G$17+$G$29))</f>
        <v>-12300</v>
      </c>
      <c r="H8" s="17">
        <f>SUM(($H$17+$H$29))</f>
        <v>-25870.967700000001</v>
      </c>
      <c r="I8" s="17">
        <f>SUM(($I$17+$I$29))</f>
        <v>-10799.966700000001</v>
      </c>
      <c r="J8" s="17">
        <f>SUM(($J$17+$J$29))</f>
        <v>-39096.7742</v>
      </c>
      <c r="K8" s="17">
        <f>SUM(($K$17+$K$29))</f>
        <v>-39967.741900000001</v>
      </c>
      <c r="L8" s="17">
        <f>SUM(($L$17+$L$29))</f>
        <v>-26766.666700000002</v>
      </c>
      <c r="M8" s="17">
        <f>SUM(($M$17+$M$29))</f>
        <v>-16612.903200000001</v>
      </c>
      <c r="N8" s="17">
        <f>SUM(($N$17+$N$29))</f>
        <v>-6499.9666999999999</v>
      </c>
      <c r="O8" s="17">
        <f>SUM(($O$17+$O$29))</f>
        <v>-12193.516100000001</v>
      </c>
      <c r="P8" s="17">
        <f>SUM(($P$17+$P$29))</f>
        <v>-10838.709699999999</v>
      </c>
      <c r="Q8" s="17">
        <f>SUM(($Q$17+$Q$29))</f>
        <v>-10678.5357</v>
      </c>
      <c r="R8" s="17">
        <f>SUM(($R$17+$R$29))</f>
        <v>-1419.3870999999999</v>
      </c>
      <c r="S8" s="17">
        <f>SUM(($S$17+$S$29))</f>
        <v>-23966.666700000002</v>
      </c>
      <c r="T8" s="17">
        <f>SUM(($T$17+$T$29))</f>
        <v>-14548.354799999999</v>
      </c>
      <c r="U8" s="17">
        <f>SUM(($U$17+$U$29))</f>
        <v>-15533.3333</v>
      </c>
      <c r="V8" s="17">
        <f>SUM(($V$17+$V$29))</f>
        <v>-42709.709699999999</v>
      </c>
      <c r="W8" s="17">
        <f>SUM(($W$17+$W$29))</f>
        <v>-50645.1613</v>
      </c>
      <c r="X8" s="17">
        <f>SUM(($X$17+$X$29))</f>
        <v>-43333.333299999998</v>
      </c>
      <c r="Y8" s="17">
        <f>SUM(($Y$17+$Y$29))</f>
        <v>-31064.516100000001</v>
      </c>
      <c r="Z8" s="17">
        <f>SUM(($Z$17+$Z$29))</f>
        <v>-31100</v>
      </c>
      <c r="AA8" s="14"/>
    </row>
    <row r="9" spans="1:27" customFormat="1" ht="11.25" customHeight="1" x14ac:dyDescent="0.2">
      <c r="A9" s="17" t="s">
        <v>112</v>
      </c>
      <c r="B9" s="14"/>
      <c r="C9" s="17">
        <f>SUM(($C$18+$C$30))</f>
        <v>30000</v>
      </c>
      <c r="D9" s="17">
        <f>SUM(($D$18+$D$30))</f>
        <v>30000</v>
      </c>
      <c r="E9" s="17">
        <f>SUM(($E$18+$E$30))</f>
        <v>20000</v>
      </c>
      <c r="F9" s="17">
        <f>SUM(($F$18+$F$30))</f>
        <v>10000</v>
      </c>
      <c r="G9" s="17">
        <f>SUM(($G$18+$G$30))</f>
        <v>10000</v>
      </c>
      <c r="H9" s="17">
        <f>SUM(($H$18+$H$30))</f>
        <v>25000</v>
      </c>
      <c r="I9" s="17">
        <f>SUM(($I$18+$I$30))</f>
        <v>25000</v>
      </c>
      <c r="J9" s="17">
        <f>SUM(($J$18+$J$30))</f>
        <v>45000</v>
      </c>
      <c r="K9" s="17">
        <f>SUM(($K$18+$K$30))</f>
        <v>45000</v>
      </c>
      <c r="L9" s="17">
        <f>SUM(($L$18+$L$30))</f>
        <v>45000</v>
      </c>
      <c r="M9" s="17">
        <f>SUM(($M$18+$M$30))</f>
        <v>45000</v>
      </c>
      <c r="N9" s="17">
        <f>SUM(($N$18+$N$30))</f>
        <v>25000</v>
      </c>
      <c r="O9" s="17">
        <f>SUM(($O$18+$O$30))</f>
        <v>25000</v>
      </c>
      <c r="P9" s="17">
        <f>SUM(($P$18+$P$30))</f>
        <v>25000</v>
      </c>
      <c r="Q9" s="17">
        <f>SUM(($Q$18+$Q$30))</f>
        <v>25000</v>
      </c>
      <c r="R9" s="17">
        <f>SUM(($R$18+$R$30))</f>
        <v>25000</v>
      </c>
      <c r="S9" s="17">
        <f>SUM(($S$18+$S$30))</f>
        <v>5000</v>
      </c>
      <c r="T9" s="17">
        <f>SUM(($T$18+$T$30))</f>
        <v>5000</v>
      </c>
      <c r="U9" s="17">
        <f>SUM(($U$18+$U$30))</f>
        <v>5000</v>
      </c>
      <c r="V9" s="17">
        <f>SUM(($V$18+$V$30))</f>
        <v>5000</v>
      </c>
      <c r="W9" s="17">
        <f>SUM(($W$18+$W$30))</f>
        <v>5000</v>
      </c>
      <c r="X9" s="17">
        <f>SUM(($X$18+$X$30))</f>
        <v>5000</v>
      </c>
      <c r="Y9" s="17">
        <f>SUM(($Y$18+$Y$30))</f>
        <v>5000</v>
      </c>
      <c r="Z9" s="17">
        <f>SUM(($Z$18+$Z$30))</f>
        <v>0</v>
      </c>
      <c r="AA9" s="14"/>
    </row>
    <row r="10" spans="1:27" customFormat="1" ht="11.25" customHeight="1" thickBot="1" x14ac:dyDescent="0.25">
      <c r="A10" s="17" t="s">
        <v>113</v>
      </c>
      <c r="B10" s="14"/>
      <c r="C10" s="17">
        <f>SUM(($C$19+$C$31))</f>
        <v>-6451.6129000000001</v>
      </c>
      <c r="D10" s="17">
        <f>SUM(($D$19+$D$31))</f>
        <v>-6451.6129000000001</v>
      </c>
      <c r="E10" s="17">
        <f>SUM(($E$19+$E$31))</f>
        <v>0</v>
      </c>
      <c r="F10" s="17">
        <f>SUM(($F$19+$F$31))</f>
        <v>0</v>
      </c>
      <c r="G10" s="17">
        <f>SUM(($G$19+$G$31))</f>
        <v>0</v>
      </c>
      <c r="H10" s="17">
        <f>SUM(($H$19+$H$31))</f>
        <v>0</v>
      </c>
      <c r="I10" s="17">
        <f>SUM(($I$19+$I$31))</f>
        <v>0</v>
      </c>
      <c r="J10" s="17">
        <f>SUM(($J$19+$J$31))</f>
        <v>0</v>
      </c>
      <c r="K10" s="17">
        <f>SUM(($K$19+$K$31))</f>
        <v>0</v>
      </c>
      <c r="L10" s="17">
        <f>SUM(($L$19+$L$31))</f>
        <v>0</v>
      </c>
      <c r="M10" s="17">
        <f>SUM(($M$19+$M$31))</f>
        <v>0</v>
      </c>
      <c r="N10" s="17">
        <f>SUM(($N$19+$N$31))</f>
        <v>0</v>
      </c>
      <c r="O10" s="17">
        <f>SUM(($O$19+$O$31))</f>
        <v>0</v>
      </c>
      <c r="P10" s="17">
        <f>SUM(($P$19+$P$31))</f>
        <v>0</v>
      </c>
      <c r="Q10" s="17">
        <f>SUM(($Q$19+$Q$31))</f>
        <v>0</v>
      </c>
      <c r="R10" s="17">
        <f>SUM(($R$19+$R$31))</f>
        <v>0</v>
      </c>
      <c r="S10" s="17">
        <f>SUM(($S$19+$S$31))</f>
        <v>0</v>
      </c>
      <c r="T10" s="17">
        <f>SUM(($T$19+$T$31))</f>
        <v>0</v>
      </c>
      <c r="U10" s="17">
        <f>SUM(($U$19+$U$31))</f>
        <v>0</v>
      </c>
      <c r="V10" s="17">
        <f>SUM(($V$19+$V$31))</f>
        <v>0</v>
      </c>
      <c r="W10" s="17">
        <f>SUM(($W$19+$W$31))</f>
        <v>0</v>
      </c>
      <c r="X10" s="17">
        <f>SUM(($X$19+$X$31))</f>
        <v>0</v>
      </c>
      <c r="Y10" s="17">
        <f>SUM(($Y$19+$Y$31))</f>
        <v>0</v>
      </c>
      <c r="Z10" s="17">
        <f>SUM(($Z$19+$Z$31))</f>
        <v>0</v>
      </c>
      <c r="AA10" s="14"/>
    </row>
    <row r="11" spans="1:27" customFormat="1" ht="11.25" customHeight="1" thickBot="1" x14ac:dyDescent="0.25">
      <c r="A11" s="18" t="s">
        <v>114</v>
      </c>
      <c r="B11" s="19"/>
      <c r="C11" s="19">
        <f>SUM($C$7:$C$10)</f>
        <v>15173.594599999997</v>
      </c>
      <c r="D11" s="19">
        <f>SUM($D$7:$D$10)</f>
        <v>17144.219399999998</v>
      </c>
      <c r="E11" s="19">
        <f>SUM($E$7:$E$10)</f>
        <v>16827.4025</v>
      </c>
      <c r="F11" s="19">
        <f>SUM($F$7:$F$10)</f>
        <v>1305.5095999999994</v>
      </c>
      <c r="G11" s="19">
        <f>SUM($G$7:$G$10)</f>
        <v>-12188.496800000001</v>
      </c>
      <c r="H11" s="19">
        <f>SUM($H$7:$H$10)</f>
        <v>6607.2021999999997</v>
      </c>
      <c r="I11" s="19">
        <f>SUM($I$7:$I$10)</f>
        <v>13050.621499999999</v>
      </c>
      <c r="J11" s="19">
        <f>SUM($J$7:$J$10)</f>
        <v>-9105.2935999999972</v>
      </c>
      <c r="K11" s="19">
        <f>SUM($K$7:$K$10)</f>
        <v>-12556.9064</v>
      </c>
      <c r="L11" s="19">
        <f>SUM($L$7:$L$10)</f>
        <v>5350.5881000000008</v>
      </c>
      <c r="M11" s="19">
        <f>SUM($M$7:$M$10)</f>
        <v>19314.028999999999</v>
      </c>
      <c r="N11" s="19">
        <f>SUM($N$7:$N$10)</f>
        <v>13423.0731</v>
      </c>
      <c r="O11" s="19">
        <f>SUM($O$7:$O$10)</f>
        <v>7537.0171999999984</v>
      </c>
      <c r="P11" s="19">
        <f>SUM($P$7:$P$10)</f>
        <v>6698.2430000000022</v>
      </c>
      <c r="Q11" s="19">
        <f>SUM($Q$7:$Q$10)</f>
        <v>9813.5182999999997</v>
      </c>
      <c r="R11" s="19">
        <f>SUM($R$7:$R$10)</f>
        <v>22117.5978</v>
      </c>
      <c r="S11" s="19">
        <f>SUM($S$7:$S$10)</f>
        <v>-22388.496800000001</v>
      </c>
      <c r="T11" s="19">
        <f>SUM($T$7:$T$10)</f>
        <v>-14908.8946</v>
      </c>
      <c r="U11" s="19">
        <f>SUM($U$7:$U$10)</f>
        <v>-16055.130100000002</v>
      </c>
      <c r="V11" s="19">
        <f>SUM($V$7:$V$10)</f>
        <v>-52715.475299999998</v>
      </c>
      <c r="W11" s="19">
        <f>SUM($W$7:$W$10)</f>
        <v>-64489.604300000006</v>
      </c>
      <c r="X11" s="19">
        <f>SUM($X$7:$X$10)</f>
        <v>-54855.163399999998</v>
      </c>
      <c r="Y11" s="19">
        <f>SUM($Y$7:$Y$10)</f>
        <v>-38263.7978</v>
      </c>
      <c r="Z11" s="20">
        <f>SUM($Z$7:$Z$10)</f>
        <v>-53833.333299999998</v>
      </c>
      <c r="AA11" s="14"/>
    </row>
    <row r="12" spans="1:27" customFormat="1" ht="13.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customFormat="1" ht="13.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customFormat="1" ht="13.5" customHeight="1" thickBo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customFormat="1" ht="12" customHeight="1" thickBot="1" x14ac:dyDescent="0.25">
      <c r="A15" s="15" t="s">
        <v>172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customFormat="1" ht="11.25" customHeight="1" x14ac:dyDescent="0.2">
      <c r="A16" s="17" t="s">
        <v>110</v>
      </c>
      <c r="B16" s="14"/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4"/>
    </row>
    <row r="17" spans="1:27" customFormat="1" ht="11.25" customHeight="1" x14ac:dyDescent="0.2">
      <c r="A17" s="17" t="s">
        <v>111</v>
      </c>
      <c r="B17" s="14"/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4"/>
    </row>
    <row r="18" spans="1:27" customFormat="1" ht="11.25" customHeight="1" x14ac:dyDescent="0.2">
      <c r="A18" s="17" t="s">
        <v>112</v>
      </c>
      <c r="B18" s="14"/>
      <c r="C18" s="17">
        <v>0</v>
      </c>
      <c r="D18" s="17">
        <v>0</v>
      </c>
      <c r="E18" s="17">
        <v>0</v>
      </c>
      <c r="F18" s="17">
        <v>0</v>
      </c>
      <c r="G18" s="17">
        <v>-5000</v>
      </c>
      <c r="H18" s="17">
        <v>-5000</v>
      </c>
      <c r="I18" s="17">
        <v>-5000</v>
      </c>
      <c r="J18" s="17">
        <v>-5000</v>
      </c>
      <c r="K18" s="17">
        <v>-5000</v>
      </c>
      <c r="L18" s="17">
        <v>-5000</v>
      </c>
      <c r="M18" s="17">
        <v>-5000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4"/>
    </row>
    <row r="19" spans="1:27" customFormat="1" ht="11.25" customHeight="1" thickBot="1" x14ac:dyDescent="0.25">
      <c r="A19" s="17" t="s">
        <v>113</v>
      </c>
      <c r="B19" s="14"/>
      <c r="C19" s="17">
        <v>-6451.6129000000001</v>
      </c>
      <c r="D19" s="17">
        <v>-6451.6129000000001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4"/>
    </row>
    <row r="20" spans="1:27" customFormat="1" ht="11.25" customHeight="1" thickBot="1" x14ac:dyDescent="0.25">
      <c r="A20" s="18" t="s">
        <v>114</v>
      </c>
      <c r="B20" s="19"/>
      <c r="C20" s="19">
        <f>SUM($C$16:$C$19)</f>
        <v>-6451.6129000000001</v>
      </c>
      <c r="D20" s="19">
        <f>SUM($D$16:$D$19)</f>
        <v>-6451.6129000000001</v>
      </c>
      <c r="E20" s="19">
        <f>SUM($E$16:$E$19)</f>
        <v>0</v>
      </c>
      <c r="F20" s="19">
        <f>SUM($F$16:$F$19)</f>
        <v>0</v>
      </c>
      <c r="G20" s="19">
        <f>SUM($G$16:$G$19)</f>
        <v>-5000</v>
      </c>
      <c r="H20" s="19">
        <f>SUM($H$16:$H$19)</f>
        <v>-5000</v>
      </c>
      <c r="I20" s="19">
        <f>SUM($I$16:$I$19)</f>
        <v>-5000</v>
      </c>
      <c r="J20" s="19">
        <f>SUM($J$16:$J$19)</f>
        <v>-5000</v>
      </c>
      <c r="K20" s="19">
        <f>SUM($K$16:$K$19)</f>
        <v>-5000</v>
      </c>
      <c r="L20" s="19">
        <f>SUM($L$16:$L$19)</f>
        <v>-5000</v>
      </c>
      <c r="M20" s="19">
        <f>SUM($M$16:$M$19)</f>
        <v>-5000</v>
      </c>
      <c r="N20" s="19">
        <f>SUM($N$16:$N$19)</f>
        <v>0</v>
      </c>
      <c r="O20" s="19">
        <f>SUM($O$16:$O$19)</f>
        <v>0</v>
      </c>
      <c r="P20" s="19">
        <f>SUM($P$16:$P$19)</f>
        <v>0</v>
      </c>
      <c r="Q20" s="19">
        <f>SUM($Q$16:$Q$19)</f>
        <v>0</v>
      </c>
      <c r="R20" s="19">
        <f>SUM($R$16:$R$19)</f>
        <v>0</v>
      </c>
      <c r="S20" s="19">
        <f>SUM($S$16:$S$19)</f>
        <v>0</v>
      </c>
      <c r="T20" s="19">
        <f>SUM($T$16:$T$19)</f>
        <v>0</v>
      </c>
      <c r="U20" s="19">
        <f>SUM($U$16:$U$19)</f>
        <v>0</v>
      </c>
      <c r="V20" s="19">
        <f>SUM($V$16:$V$19)</f>
        <v>0</v>
      </c>
      <c r="W20" s="19">
        <f>SUM($W$16:$W$19)</f>
        <v>0</v>
      </c>
      <c r="X20" s="19">
        <f>SUM($X$16:$X$19)</f>
        <v>0</v>
      </c>
      <c r="Y20" s="19">
        <f>SUM($Y$16:$Y$19)</f>
        <v>0</v>
      </c>
      <c r="Z20" s="20">
        <f>SUM($Z$16:$Z$19)</f>
        <v>0</v>
      </c>
      <c r="AA20" s="14"/>
    </row>
    <row r="21" spans="1:27" customFormat="1" ht="13.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customFormat="1" ht="11.25" customHeight="1" thickBot="1" x14ac:dyDescent="0.25">
      <c r="A22" s="17" t="s">
        <v>173</v>
      </c>
      <c r="B22" s="14"/>
      <c r="C22" s="17">
        <v>25000</v>
      </c>
      <c r="D22" s="17">
        <v>25000</v>
      </c>
      <c r="E22" s="17">
        <v>25000</v>
      </c>
      <c r="F22" s="17">
        <v>25000</v>
      </c>
      <c r="G22" s="17">
        <v>25000</v>
      </c>
      <c r="H22" s="17">
        <v>25000</v>
      </c>
      <c r="I22" s="17">
        <v>25000</v>
      </c>
      <c r="J22" s="17">
        <v>25000</v>
      </c>
      <c r="K22" s="17">
        <v>25000</v>
      </c>
      <c r="L22" s="17">
        <v>25000</v>
      </c>
      <c r="M22" s="17">
        <v>25000</v>
      </c>
      <c r="N22" s="17">
        <v>25000</v>
      </c>
      <c r="O22" s="17">
        <v>25000</v>
      </c>
      <c r="P22" s="17">
        <v>25000</v>
      </c>
      <c r="Q22" s="17">
        <v>25000</v>
      </c>
      <c r="R22" s="17">
        <v>25000</v>
      </c>
      <c r="S22" s="17">
        <v>25000</v>
      </c>
      <c r="T22" s="17">
        <v>25000</v>
      </c>
      <c r="U22" s="17">
        <v>25000</v>
      </c>
      <c r="V22" s="17">
        <v>25000</v>
      </c>
      <c r="W22" s="17">
        <v>25000</v>
      </c>
      <c r="X22" s="17">
        <v>25000</v>
      </c>
      <c r="Y22" s="17">
        <v>25000</v>
      </c>
      <c r="Z22" s="17">
        <v>25000</v>
      </c>
      <c r="AA22" s="17">
        <f>SUM($C$22:$Z$22)</f>
        <v>600000</v>
      </c>
    </row>
    <row r="23" spans="1:27" customFormat="1" ht="11.25" customHeight="1" thickBot="1" x14ac:dyDescent="0.25">
      <c r="A23" s="18" t="s">
        <v>174</v>
      </c>
      <c r="B23" s="19"/>
      <c r="C23" s="19">
        <f>#N/A</f>
        <v>0</v>
      </c>
      <c r="D23" s="19">
        <v>0</v>
      </c>
      <c r="E23" s="19">
        <v>0</v>
      </c>
      <c r="F23" s="19">
        <v>0</v>
      </c>
      <c r="G23" s="19">
        <f>#N/A</f>
        <v>0</v>
      </c>
      <c r="H23" s="19">
        <f>#N/A</f>
        <v>0</v>
      </c>
      <c r="I23" s="19">
        <f>#N/A</f>
        <v>0</v>
      </c>
      <c r="J23" s="19">
        <f>#N/A</f>
        <v>0</v>
      </c>
      <c r="K23" s="19">
        <f>#N/A</f>
        <v>0</v>
      </c>
      <c r="L23" s="19">
        <f>#N/A</f>
        <v>0</v>
      </c>
      <c r="M23" s="19">
        <f>#N/A</f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4"/>
    </row>
    <row r="24" spans="1:27" customFormat="1" ht="13.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customFormat="1" ht="13.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customFormat="1" ht="13.5" customHeight="1" thickBo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customFormat="1" ht="12" customHeight="1" thickBot="1" x14ac:dyDescent="0.25">
      <c r="A27" s="15" t="s">
        <v>175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customFormat="1" ht="11.25" customHeight="1" x14ac:dyDescent="0.2">
      <c r="A28" s="17" t="s">
        <v>110</v>
      </c>
      <c r="B28" s="14"/>
      <c r="C28" s="17">
        <v>141.3365</v>
      </c>
      <c r="D28" s="17">
        <v>-6307.4258</v>
      </c>
      <c r="E28" s="17">
        <v>-1815.4546</v>
      </c>
      <c r="F28" s="17">
        <v>1208.7354</v>
      </c>
      <c r="G28" s="17">
        <v>-9888.4968000000008</v>
      </c>
      <c r="H28" s="17">
        <v>7478.1698999999999</v>
      </c>
      <c r="I28" s="17">
        <v>-1149.4118000000001</v>
      </c>
      <c r="J28" s="17">
        <v>-15008.519399999999</v>
      </c>
      <c r="K28" s="17">
        <v>-17589.164499999999</v>
      </c>
      <c r="L28" s="17">
        <v>-12882.745199999999</v>
      </c>
      <c r="M28" s="17">
        <v>-9073.0678000000007</v>
      </c>
      <c r="N28" s="17">
        <v>-5076.9602000000004</v>
      </c>
      <c r="O28" s="17">
        <v>-5269.4666999999999</v>
      </c>
      <c r="P28" s="17">
        <v>-7463.0473000000002</v>
      </c>
      <c r="Q28" s="17">
        <v>-4507.9459999999999</v>
      </c>
      <c r="R28" s="17">
        <v>-1463.0151000000001</v>
      </c>
      <c r="S28" s="17">
        <v>-3421.8301000000001</v>
      </c>
      <c r="T28" s="17">
        <v>-5360.5397999999996</v>
      </c>
      <c r="U28" s="17">
        <v>-5521.7968000000001</v>
      </c>
      <c r="V28" s="17">
        <v>-15005.765600000001</v>
      </c>
      <c r="W28" s="17">
        <v>-18844.442999999999</v>
      </c>
      <c r="X28" s="17">
        <v>-16521.830099999999</v>
      </c>
      <c r="Y28" s="17">
        <v>-12199.2817</v>
      </c>
      <c r="Z28" s="17">
        <v>-22733.333299999998</v>
      </c>
      <c r="AA28" s="14"/>
    </row>
    <row r="29" spans="1:27" customFormat="1" ht="11.25" customHeight="1" x14ac:dyDescent="0.2">
      <c r="A29" s="17" t="s">
        <v>111</v>
      </c>
      <c r="B29" s="14"/>
      <c r="C29" s="17">
        <f>16483.871-25000</f>
        <v>-8516.1290000000008</v>
      </c>
      <c r="D29" s="17">
        <f>24903.2581-25000</f>
        <v>-96.741900000000896</v>
      </c>
      <c r="E29" s="17">
        <f>23642.8571-25000</f>
        <v>-1357.1428999999989</v>
      </c>
      <c r="F29" s="17">
        <f>15096.7742-25000</f>
        <v>-9903.2258000000002</v>
      </c>
      <c r="G29" s="17">
        <v>-12300</v>
      </c>
      <c r="H29" s="17">
        <v>-25870.967700000001</v>
      </c>
      <c r="I29" s="17">
        <v>-10799.966700000001</v>
      </c>
      <c r="J29" s="17">
        <v>-39096.7742</v>
      </c>
      <c r="K29" s="17">
        <v>-39967.741900000001</v>
      </c>
      <c r="L29" s="17">
        <v>-26766.666700000002</v>
      </c>
      <c r="M29" s="17">
        <v>-16612.903200000001</v>
      </c>
      <c r="N29" s="17">
        <v>-6499.9666999999999</v>
      </c>
      <c r="O29" s="17">
        <v>-12193.516100000001</v>
      </c>
      <c r="P29" s="17">
        <v>-10838.709699999999</v>
      </c>
      <c r="Q29" s="17">
        <v>-10678.5357</v>
      </c>
      <c r="R29" s="17">
        <v>-1419.3870999999999</v>
      </c>
      <c r="S29" s="17">
        <v>-23966.666700000002</v>
      </c>
      <c r="T29" s="17">
        <v>-14548.354799999999</v>
      </c>
      <c r="U29" s="17">
        <v>-15533.3333</v>
      </c>
      <c r="V29" s="17">
        <v>-42709.709699999999</v>
      </c>
      <c r="W29" s="17">
        <v>-50645.1613</v>
      </c>
      <c r="X29" s="17">
        <v>-43333.333299999998</v>
      </c>
      <c r="Y29" s="17">
        <v>-31064.516100000001</v>
      </c>
      <c r="Z29" s="17">
        <v>-31100</v>
      </c>
      <c r="AA29" s="14"/>
    </row>
    <row r="30" spans="1:27" customFormat="1" ht="11.25" customHeight="1" x14ac:dyDescent="0.2">
      <c r="A30" s="17" t="s">
        <v>112</v>
      </c>
      <c r="B30" s="14"/>
      <c r="C30" s="17">
        <v>30000</v>
      </c>
      <c r="D30" s="17">
        <v>30000</v>
      </c>
      <c r="E30" s="17">
        <v>20000</v>
      </c>
      <c r="F30" s="17">
        <v>10000</v>
      </c>
      <c r="G30" s="17">
        <v>15000</v>
      </c>
      <c r="H30" s="17">
        <v>30000</v>
      </c>
      <c r="I30" s="17">
        <v>30000</v>
      </c>
      <c r="J30" s="17">
        <v>50000</v>
      </c>
      <c r="K30" s="17">
        <v>50000</v>
      </c>
      <c r="L30" s="17">
        <v>50000</v>
      </c>
      <c r="M30" s="17">
        <v>50000</v>
      </c>
      <c r="N30" s="17">
        <v>25000</v>
      </c>
      <c r="O30" s="17">
        <v>25000</v>
      </c>
      <c r="P30" s="17">
        <v>25000</v>
      </c>
      <c r="Q30" s="17">
        <v>25000</v>
      </c>
      <c r="R30" s="17">
        <v>25000</v>
      </c>
      <c r="S30" s="17">
        <v>5000</v>
      </c>
      <c r="T30" s="17">
        <v>5000</v>
      </c>
      <c r="U30" s="17">
        <v>5000</v>
      </c>
      <c r="V30" s="17">
        <v>5000</v>
      </c>
      <c r="W30" s="17">
        <v>5000</v>
      </c>
      <c r="X30" s="17">
        <v>5000</v>
      </c>
      <c r="Y30" s="17">
        <v>5000</v>
      </c>
      <c r="Z30" s="17">
        <v>0</v>
      </c>
      <c r="AA30" s="14"/>
    </row>
    <row r="31" spans="1:27" customFormat="1" ht="11.25" customHeight="1" thickBot="1" x14ac:dyDescent="0.25">
      <c r="A31" s="17" t="s">
        <v>113</v>
      </c>
      <c r="B31" s="14"/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4"/>
    </row>
    <row r="32" spans="1:27" customFormat="1" ht="11.25" customHeight="1" thickBot="1" x14ac:dyDescent="0.25">
      <c r="A32" s="18" t="s">
        <v>114</v>
      </c>
      <c r="B32" s="19"/>
      <c r="C32" s="19">
        <f>SUM($C$28:$C$31)</f>
        <v>21625.207499999997</v>
      </c>
      <c r="D32" s="19">
        <f>SUM($D$28:$D$31)</f>
        <v>23595.832299999998</v>
      </c>
      <c r="E32" s="19">
        <f>SUM($E$28:$E$31)</f>
        <v>16827.4025</v>
      </c>
      <c r="F32" s="19">
        <f>SUM($F$28:$F$31)</f>
        <v>1305.5095999999994</v>
      </c>
      <c r="G32" s="19">
        <f>SUM($G$28:$G$31)</f>
        <v>-7188.4968000000008</v>
      </c>
      <c r="H32" s="19">
        <f>SUM($H$28:$H$31)</f>
        <v>11607.2022</v>
      </c>
      <c r="I32" s="19">
        <f>SUM($I$28:$I$31)</f>
        <v>18050.621500000001</v>
      </c>
      <c r="J32" s="19">
        <f>SUM($J$28:$J$31)</f>
        <v>-4105.2935999999972</v>
      </c>
      <c r="K32" s="19">
        <f>SUM($K$28:$K$31)</f>
        <v>-7556.9063999999998</v>
      </c>
      <c r="L32" s="19">
        <f>SUM($L$28:$L$31)</f>
        <v>10350.588100000001</v>
      </c>
      <c r="M32" s="19">
        <f>SUM($M$28:$M$31)</f>
        <v>24314.028999999999</v>
      </c>
      <c r="N32" s="19">
        <f>SUM($N$28:$N$31)</f>
        <v>13423.0731</v>
      </c>
      <c r="O32" s="19">
        <f>SUM($O$28:$O$31)</f>
        <v>7537.0171999999984</v>
      </c>
      <c r="P32" s="19">
        <f>SUM($P$28:$P$31)</f>
        <v>6698.2430000000022</v>
      </c>
      <c r="Q32" s="19">
        <f>SUM($Q$28:$Q$31)</f>
        <v>9813.5182999999997</v>
      </c>
      <c r="R32" s="19">
        <f>SUM($R$28:$R$31)</f>
        <v>22117.5978</v>
      </c>
      <c r="S32" s="19">
        <f>SUM($S$28:$S$31)</f>
        <v>-22388.496800000001</v>
      </c>
      <c r="T32" s="19">
        <f>SUM($T$28:$T$31)</f>
        <v>-14908.8946</v>
      </c>
      <c r="U32" s="19">
        <f>SUM($U$28:$U$31)</f>
        <v>-16055.130100000002</v>
      </c>
      <c r="V32" s="19">
        <f>SUM($V$28:$V$31)</f>
        <v>-52715.475299999998</v>
      </c>
      <c r="W32" s="19">
        <f>SUM($W$28:$W$31)</f>
        <v>-64489.604300000006</v>
      </c>
      <c r="X32" s="19">
        <f>SUM($X$28:$X$31)</f>
        <v>-54855.163399999998</v>
      </c>
      <c r="Y32" s="19">
        <f>SUM($Y$28:$Y$31)</f>
        <v>-38263.7978</v>
      </c>
      <c r="Z32" s="20">
        <f>SUM($Z$28:$Z$31)</f>
        <v>-53833.333299999998</v>
      </c>
      <c r="AA32" s="14"/>
    </row>
    <row r="33" spans="1:27" customFormat="1" ht="13.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customFormat="1" ht="11.25" customHeight="1" thickBot="1" x14ac:dyDescent="0.25">
      <c r="A34" s="17" t="s">
        <v>176</v>
      </c>
      <c r="B34" s="14"/>
      <c r="C34" s="17">
        <v>20000</v>
      </c>
      <c r="D34" s="17">
        <v>20000</v>
      </c>
      <c r="E34" s="17">
        <v>20000</v>
      </c>
      <c r="F34" s="17">
        <v>20000</v>
      </c>
      <c r="G34" s="17">
        <v>20000</v>
      </c>
      <c r="H34" s="17">
        <v>20000</v>
      </c>
      <c r="I34" s="17">
        <v>20000</v>
      </c>
      <c r="J34" s="17">
        <v>20000</v>
      </c>
      <c r="K34" s="17">
        <v>20000</v>
      </c>
      <c r="L34" s="17">
        <v>20000</v>
      </c>
      <c r="M34" s="17">
        <v>20000</v>
      </c>
      <c r="N34" s="17">
        <v>20000</v>
      </c>
      <c r="O34" s="17">
        <v>40000</v>
      </c>
      <c r="P34" s="17">
        <v>40000</v>
      </c>
      <c r="Q34" s="17">
        <v>40000</v>
      </c>
      <c r="R34" s="17">
        <v>40000</v>
      </c>
      <c r="S34" s="17">
        <v>40000</v>
      </c>
      <c r="T34" s="17">
        <v>40000</v>
      </c>
      <c r="U34" s="17">
        <v>40000</v>
      </c>
      <c r="V34" s="17">
        <v>40000</v>
      </c>
      <c r="W34" s="17">
        <v>40000</v>
      </c>
      <c r="X34" s="17">
        <v>40000</v>
      </c>
      <c r="Y34" s="17">
        <v>40000</v>
      </c>
      <c r="Z34" s="17">
        <v>40000</v>
      </c>
      <c r="AA34" s="17">
        <f>SUM($C$34:$Z$34)</f>
        <v>720000</v>
      </c>
    </row>
    <row r="35" spans="1:27" customFormat="1" ht="11.25" customHeight="1" thickBot="1" x14ac:dyDescent="0.25">
      <c r="A35" s="18" t="s">
        <v>174</v>
      </c>
      <c r="B35" s="19"/>
      <c r="C35" s="19">
        <f>IF((ABS($C$32)&gt;$C$34),((ABS($C$32)-$C$34)*(ABS($C$32)/$C$32)),0)</f>
        <v>1625.2074999999968</v>
      </c>
      <c r="D35" s="19">
        <f>IF((ABS($D$32)&gt;$D$34),((ABS($D$32)-$D$34)*(ABS($D$32)/$D$32)),0)</f>
        <v>3595.8322999999982</v>
      </c>
      <c r="E35" s="19">
        <f>#N/A</f>
        <v>0</v>
      </c>
      <c r="F35" s="19">
        <f>#N/A</f>
        <v>0</v>
      </c>
      <c r="G35" s="19">
        <f>#N/A</f>
        <v>0</v>
      </c>
      <c r="H35" s="19">
        <f>#N/A</f>
        <v>0</v>
      </c>
      <c r="I35" s="19">
        <f>#N/A</f>
        <v>0</v>
      </c>
      <c r="J35" s="19">
        <f>#N/A</f>
        <v>0</v>
      </c>
      <c r="K35" s="19">
        <f>#N/A</f>
        <v>0</v>
      </c>
      <c r="L35" s="19">
        <f>#N/A</f>
        <v>0</v>
      </c>
      <c r="M35" s="19">
        <f>IF((ABS($M$32)&gt;$M$34),((ABS($M$32)-$M$34)*(ABS($M$32)/$M$32)),0)</f>
        <v>4314.0289999999986</v>
      </c>
      <c r="N35" s="19">
        <f>#N/A</f>
        <v>0</v>
      </c>
      <c r="O35" s="19">
        <f>#N/A</f>
        <v>0</v>
      </c>
      <c r="P35" s="19">
        <f>#N/A</f>
        <v>0</v>
      </c>
      <c r="Q35" s="19">
        <f>#N/A</f>
        <v>0</v>
      </c>
      <c r="R35" s="19">
        <f>#N/A</f>
        <v>0</v>
      </c>
      <c r="S35" s="19">
        <f>#N/A</f>
        <v>0</v>
      </c>
      <c r="T35" s="19">
        <f>#N/A</f>
        <v>0</v>
      </c>
      <c r="U35" s="19">
        <f>#N/A</f>
        <v>0</v>
      </c>
      <c r="V35" s="19">
        <f>IF((ABS($V$32)&gt;$V$34),((ABS($V$32)-$V$34)*(ABS($V$32)/$V$32)),0)</f>
        <v>-12715.475299999998</v>
      </c>
      <c r="W35" s="19">
        <f>IF((ABS($W$32)&gt;$W$34),((ABS($W$32)-$W$34)*(ABS($W$32)/$W$32)),0)</f>
        <v>-24489.604300000006</v>
      </c>
      <c r="X35" s="19">
        <f>IF((ABS($X$32)&gt;$X$34),((ABS($X$32)-$X$34)*(ABS($X$32)/$X$32)),0)</f>
        <v>-14855.163399999998</v>
      </c>
      <c r="Y35" s="19">
        <f>#N/A</f>
        <v>0</v>
      </c>
      <c r="Z35" s="20">
        <f>IF((ABS($Z$32)&gt;$Z$34),((ABS($Z$32)-$Z$34)*(ABS($Z$32)/$Z$32)),0)</f>
        <v>-13833.333299999998</v>
      </c>
      <c r="AA35" s="14"/>
    </row>
    <row r="36" spans="1:27" ht="13.5" customHeight="1" thickBot="1" x14ac:dyDescent="0.25">
      <c r="U36" s="27" t="s">
        <v>115</v>
      </c>
    </row>
    <row r="37" spans="1:27" ht="13.5" hidden="1" customHeight="1" x14ac:dyDescent="0.2"/>
    <row r="38" spans="1:27" ht="13.5" hidden="1" customHeight="1" thickBot="1" x14ac:dyDescent="0.25"/>
    <row r="39" spans="1:27" s="30" customFormat="1" ht="11.25" customHeight="1" thickBot="1" x14ac:dyDescent="0.25">
      <c r="A39" s="28" t="s">
        <v>116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s="30" customFormat="1" ht="11.25" customHeight="1" x14ac:dyDescent="0.2">
      <c r="A40" s="31" t="s">
        <v>110</v>
      </c>
      <c r="B40" s="29"/>
      <c r="C40" s="200">
        <v>0</v>
      </c>
      <c r="D40" s="200">
        <v>0</v>
      </c>
      <c r="E40" s="200">
        <v>0</v>
      </c>
      <c r="F40" s="200">
        <v>0</v>
      </c>
      <c r="G40" s="200">
        <v>0</v>
      </c>
      <c r="H40" s="200">
        <v>0</v>
      </c>
      <c r="I40" s="200">
        <v>0</v>
      </c>
      <c r="J40" s="200">
        <v>0</v>
      </c>
      <c r="K40" s="200">
        <v>0</v>
      </c>
      <c r="L40" s="200">
        <v>0</v>
      </c>
      <c r="M40" s="200">
        <v>0</v>
      </c>
      <c r="N40" s="200">
        <v>0</v>
      </c>
      <c r="O40" s="200">
        <v>0</v>
      </c>
      <c r="P40" s="200">
        <v>0</v>
      </c>
      <c r="Q40" s="200">
        <v>0</v>
      </c>
      <c r="R40" s="200">
        <v>0</v>
      </c>
      <c r="S40" s="200">
        <v>0</v>
      </c>
      <c r="T40" s="200">
        <v>0</v>
      </c>
      <c r="U40" s="200">
        <v>0</v>
      </c>
      <c r="V40" s="200">
        <v>0</v>
      </c>
      <c r="W40" s="200">
        <v>0</v>
      </c>
      <c r="X40" s="200">
        <v>0</v>
      </c>
      <c r="Y40" s="200">
        <v>0</v>
      </c>
      <c r="Z40" s="200">
        <v>0</v>
      </c>
      <c r="AA40" s="29"/>
    </row>
    <row r="41" spans="1:27" s="30" customFormat="1" ht="11.25" customHeight="1" x14ac:dyDescent="0.2">
      <c r="A41" s="31" t="s">
        <v>111</v>
      </c>
      <c r="B41" s="29"/>
      <c r="C41" s="200">
        <v>25000</v>
      </c>
      <c r="D41" s="200">
        <v>25000</v>
      </c>
      <c r="E41" s="200">
        <v>25000</v>
      </c>
      <c r="F41" s="200">
        <v>25000</v>
      </c>
      <c r="G41" s="200">
        <v>0</v>
      </c>
      <c r="H41" s="200">
        <v>0</v>
      </c>
      <c r="I41" s="200">
        <v>0</v>
      </c>
      <c r="J41" s="200">
        <v>0</v>
      </c>
      <c r="K41" s="200">
        <v>0</v>
      </c>
      <c r="L41" s="200">
        <v>0</v>
      </c>
      <c r="M41" s="200">
        <v>0</v>
      </c>
      <c r="N41" s="200">
        <v>0</v>
      </c>
      <c r="O41" s="200">
        <v>0</v>
      </c>
      <c r="P41" s="200">
        <v>0</v>
      </c>
      <c r="Q41" s="200">
        <v>0</v>
      </c>
      <c r="R41" s="200">
        <v>0</v>
      </c>
      <c r="S41" s="200">
        <v>0</v>
      </c>
      <c r="T41" s="200">
        <v>0</v>
      </c>
      <c r="U41" s="200">
        <v>0</v>
      </c>
      <c r="V41" s="200">
        <v>0</v>
      </c>
      <c r="W41" s="200">
        <v>0</v>
      </c>
      <c r="X41" s="200">
        <v>0</v>
      </c>
      <c r="Y41" s="200">
        <v>0</v>
      </c>
      <c r="Z41" s="200">
        <v>0</v>
      </c>
      <c r="AA41" s="29"/>
    </row>
    <row r="42" spans="1:27" s="30" customFormat="1" ht="11.25" customHeight="1" x14ac:dyDescent="0.2">
      <c r="A42" s="31" t="s">
        <v>112</v>
      </c>
      <c r="B42" s="29"/>
      <c r="C42" s="200">
        <v>0</v>
      </c>
      <c r="D42" s="200">
        <v>0</v>
      </c>
      <c r="E42" s="200">
        <v>0</v>
      </c>
      <c r="F42" s="200">
        <v>0</v>
      </c>
      <c r="G42" s="200">
        <v>0</v>
      </c>
      <c r="H42" s="200">
        <v>0</v>
      </c>
      <c r="I42" s="200">
        <v>0</v>
      </c>
      <c r="J42" s="200">
        <v>0</v>
      </c>
      <c r="K42" s="200">
        <v>0</v>
      </c>
      <c r="L42" s="200">
        <v>0</v>
      </c>
      <c r="M42" s="200">
        <v>0</v>
      </c>
      <c r="N42" s="200">
        <v>0</v>
      </c>
      <c r="O42" s="200">
        <v>0</v>
      </c>
      <c r="P42" s="200">
        <v>0</v>
      </c>
      <c r="Q42" s="200">
        <v>0</v>
      </c>
      <c r="R42" s="200">
        <v>0</v>
      </c>
      <c r="S42" s="200">
        <v>0</v>
      </c>
      <c r="T42" s="200">
        <v>0</v>
      </c>
      <c r="U42" s="200">
        <v>0</v>
      </c>
      <c r="V42" s="200">
        <v>0</v>
      </c>
      <c r="W42" s="200">
        <v>0</v>
      </c>
      <c r="X42" s="200">
        <v>0</v>
      </c>
      <c r="Y42" s="200">
        <v>0</v>
      </c>
      <c r="Z42" s="200">
        <v>0</v>
      </c>
      <c r="AA42" s="29"/>
    </row>
    <row r="43" spans="1:27" s="30" customFormat="1" ht="11.25" customHeight="1" thickBot="1" x14ac:dyDescent="0.25">
      <c r="A43" s="31" t="s">
        <v>113</v>
      </c>
      <c r="B43" s="29"/>
      <c r="C43" s="200">
        <v>0</v>
      </c>
      <c r="D43" s="200">
        <v>0</v>
      </c>
      <c r="E43" s="200">
        <v>0</v>
      </c>
      <c r="F43" s="200">
        <v>0</v>
      </c>
      <c r="G43" s="200">
        <v>0</v>
      </c>
      <c r="H43" s="200">
        <v>0</v>
      </c>
      <c r="I43" s="200">
        <v>0</v>
      </c>
      <c r="J43" s="200">
        <v>0</v>
      </c>
      <c r="K43" s="200">
        <v>0</v>
      </c>
      <c r="L43" s="200">
        <v>0</v>
      </c>
      <c r="M43" s="200">
        <v>0</v>
      </c>
      <c r="N43" s="200">
        <v>0</v>
      </c>
      <c r="O43" s="200">
        <v>0</v>
      </c>
      <c r="P43" s="200">
        <v>0</v>
      </c>
      <c r="Q43" s="200">
        <v>0</v>
      </c>
      <c r="R43" s="200">
        <v>0</v>
      </c>
      <c r="S43" s="200">
        <v>0</v>
      </c>
      <c r="T43" s="200">
        <v>0</v>
      </c>
      <c r="U43" s="200">
        <v>0</v>
      </c>
      <c r="V43" s="200">
        <v>0</v>
      </c>
      <c r="W43" s="200">
        <v>0</v>
      </c>
      <c r="X43" s="200">
        <v>0</v>
      </c>
      <c r="Y43" s="200">
        <v>0</v>
      </c>
      <c r="Z43" s="200">
        <v>0</v>
      </c>
      <c r="AA43" s="29"/>
    </row>
    <row r="44" spans="1:27" ht="11.25" customHeight="1" thickBot="1" x14ac:dyDescent="0.25">
      <c r="A44" s="32" t="s">
        <v>114</v>
      </c>
      <c r="B44" s="33"/>
      <c r="C44" s="33">
        <f>SUM(C40:C43)</f>
        <v>25000</v>
      </c>
      <c r="D44" s="33">
        <f t="shared" ref="D44:Z44" si="0">SUM(D40:D43)</f>
        <v>25000</v>
      </c>
      <c r="E44" s="33">
        <f t="shared" si="0"/>
        <v>25000</v>
      </c>
      <c r="F44" s="33">
        <f t="shared" si="0"/>
        <v>25000</v>
      </c>
      <c r="G44" s="33">
        <f t="shared" si="0"/>
        <v>0</v>
      </c>
      <c r="H44" s="33">
        <f t="shared" si="0"/>
        <v>0</v>
      </c>
      <c r="I44" s="33">
        <f t="shared" si="0"/>
        <v>0</v>
      </c>
      <c r="J44" s="33">
        <f t="shared" si="0"/>
        <v>0</v>
      </c>
      <c r="K44" s="33">
        <f t="shared" si="0"/>
        <v>0</v>
      </c>
      <c r="L44" s="33">
        <f t="shared" si="0"/>
        <v>0</v>
      </c>
      <c r="M44" s="33">
        <f t="shared" si="0"/>
        <v>0</v>
      </c>
      <c r="N44" s="33">
        <f t="shared" si="0"/>
        <v>0</v>
      </c>
      <c r="O44" s="33">
        <f t="shared" si="0"/>
        <v>0</v>
      </c>
      <c r="P44" s="33">
        <f t="shared" si="0"/>
        <v>0</v>
      </c>
      <c r="Q44" s="33">
        <f t="shared" si="0"/>
        <v>0</v>
      </c>
      <c r="R44" s="33">
        <f t="shared" si="0"/>
        <v>0</v>
      </c>
      <c r="S44" s="33">
        <f t="shared" si="0"/>
        <v>0</v>
      </c>
      <c r="T44" s="33">
        <f t="shared" si="0"/>
        <v>0</v>
      </c>
      <c r="U44" s="33">
        <f t="shared" si="0"/>
        <v>0</v>
      </c>
      <c r="V44" s="33">
        <f t="shared" si="0"/>
        <v>0</v>
      </c>
      <c r="W44" s="33">
        <f t="shared" si="0"/>
        <v>0</v>
      </c>
      <c r="X44" s="33">
        <f t="shared" si="0"/>
        <v>0</v>
      </c>
      <c r="Y44" s="33">
        <f t="shared" si="0"/>
        <v>0</v>
      </c>
      <c r="Z44" s="33">
        <f t="shared" si="0"/>
        <v>0</v>
      </c>
      <c r="AA44" s="160"/>
    </row>
    <row r="45" spans="1:27" ht="13.5" customHeight="1" thickBot="1" x14ac:dyDescent="0.25"/>
    <row r="46" spans="1:27" ht="13.5" customHeight="1" thickBot="1" x14ac:dyDescent="0.25">
      <c r="A46" s="34" t="s">
        <v>103</v>
      </c>
    </row>
    <row r="47" spans="1:27" s="23" customFormat="1" ht="13.5" customHeight="1" x14ac:dyDescent="0.2">
      <c r="A47" s="9" t="s">
        <v>104</v>
      </c>
    </row>
    <row r="48" spans="1:27" s="23" customFormat="1" ht="13.5" customHeight="1" x14ac:dyDescent="0.2">
      <c r="A48" s="9" t="s">
        <v>105</v>
      </c>
      <c r="C48" s="23">
        <f>[1]Summary!E59</f>
        <v>0.88091212096946936</v>
      </c>
      <c r="D48" s="23">
        <f>[1]Summary!F59</f>
        <v>0.69233545271645458</v>
      </c>
      <c r="E48" s="23">
        <f>[1]Summary!G59</f>
        <v>0.70848076293934448</v>
      </c>
      <c r="F48" s="23">
        <f>[1]Summary!H59</f>
        <v>0.27582720992509691</v>
      </c>
      <c r="G48" s="23">
        <f>[1]Summary!I59</f>
        <v>0.20914207537357787</v>
      </c>
      <c r="H48" s="23">
        <f>[1]Summary!J59</f>
        <v>0.4610269794068691</v>
      </c>
      <c r="I48" s="23">
        <f>[1]Summary!K59</f>
        <v>0.59877365032756491</v>
      </c>
      <c r="J48" s="23">
        <f>[1]Summary!L59</f>
        <v>0.92138706274883897</v>
      </c>
      <c r="K48" s="23">
        <f>[1]Summary!M59</f>
        <v>0.96751100962762648</v>
      </c>
      <c r="L48" s="23">
        <f>[1]Summary!N59</f>
        <v>0.87103613270239444</v>
      </c>
      <c r="M48" s="23">
        <f>[1]Summary!O59</f>
        <v>0.7357114139035551</v>
      </c>
      <c r="N48" s="23">
        <f>[1]Summary!P59</f>
        <v>0.64665222961273094</v>
      </c>
      <c r="O48" s="23">
        <f>[1]Summary!Q59</f>
        <v>0.66232770059683843</v>
      </c>
      <c r="P48" s="23">
        <f>[1]Summary!R59</f>
        <v>0.67827367931071414</v>
      </c>
      <c r="Q48" s="23">
        <f>[1]Summary!S59</f>
        <v>0.62156183792813779</v>
      </c>
      <c r="R48" s="23">
        <f>[1]Summary!T59</f>
        <v>0.5343782959799811</v>
      </c>
      <c r="S48" s="23">
        <f>[1]Summary!U59</f>
        <v>0.58352327809127302</v>
      </c>
      <c r="T48" s="23">
        <f>[1]Summary!V59</f>
        <v>0.49511227456333018</v>
      </c>
      <c r="U48" s="23">
        <f>[1]Summary!W59</f>
        <v>0.54643149191854268</v>
      </c>
      <c r="V48" s="23">
        <f>[1]Summary!X59</f>
        <v>0.82483712152030575</v>
      </c>
      <c r="W48" s="23">
        <f>[1]Summary!Y59</f>
        <v>0.87069495957880627</v>
      </c>
      <c r="X48" s="23">
        <f>[1]Summary!Z59</f>
        <v>0.80640836307949804</v>
      </c>
      <c r="Y48" s="23">
        <f>[1]Summary!AA59</f>
        <v>0.67645314925310618</v>
      </c>
      <c r="Z48" s="23">
        <f>[1]Summary!AB59</f>
        <v>0.62554428216504243</v>
      </c>
    </row>
    <row r="49" spans="1:26" s="23" customFormat="1" ht="13.5" customHeight="1" x14ac:dyDescent="0.2">
      <c r="A49" s="9" t="s">
        <v>106</v>
      </c>
      <c r="C49" s="23">
        <f>[1]Summary!E60</f>
        <v>4.1694200096589307E-2</v>
      </c>
      <c r="D49" s="23">
        <f>[1]Summary!F60</f>
        <v>0.16266956736832838</v>
      </c>
      <c r="E49" s="23">
        <f>[1]Summary!G60</f>
        <v>0.27294574807117089</v>
      </c>
      <c r="F49" s="23">
        <f>[1]Summary!H60</f>
        <v>4.5492820584045128E-2</v>
      </c>
      <c r="G49" s="23">
        <f>[1]Summary!I60</f>
        <v>2.499654932385531E-2</v>
      </c>
      <c r="H49" s="23">
        <f>[1]Summary!J60</f>
        <v>0.13999748290922698</v>
      </c>
      <c r="I49" s="23">
        <f>[1]Summary!K60</f>
        <v>0.25579893822767663</v>
      </c>
      <c r="J49" s="23">
        <f>[1]Summary!L60</f>
        <v>0.4057283947284207</v>
      </c>
      <c r="K49" s="23">
        <f>[1]Summary!M60</f>
        <v>0.54974576733345193</v>
      </c>
      <c r="L49" s="23">
        <f>[1]Summary!N60</f>
        <v>0.43522272233016479</v>
      </c>
      <c r="M49" s="23">
        <f>[1]Summary!O60</f>
        <v>0.27910826297534747</v>
      </c>
      <c r="N49" s="23">
        <f>[1]Summary!P60</f>
        <v>0.15798359754352284</v>
      </c>
      <c r="O49" s="23">
        <f>[1]Summary!Q60</f>
        <v>0.48928139211050781</v>
      </c>
      <c r="P49" s="23">
        <f>[1]Summary!R60</f>
        <v>0.23644402975724824</v>
      </c>
      <c r="Q49" s="23">
        <f>[1]Summary!S60</f>
        <v>0.1611875093201135</v>
      </c>
      <c r="R49" s="23">
        <f>[1]Summary!T60</f>
        <v>0.40878599436916879</v>
      </c>
      <c r="S49" s="23">
        <f>[1]Summary!U60</f>
        <v>0.29617804217516241</v>
      </c>
      <c r="T49" s="23">
        <f>[1]Summary!V60</f>
        <v>0.28159992993065835</v>
      </c>
      <c r="U49" s="23">
        <f>[1]Summary!W60</f>
        <v>0.18955412829230045</v>
      </c>
      <c r="V49" s="23">
        <f>[1]Summary!X60</f>
        <v>0.50572029424766829</v>
      </c>
      <c r="W49" s="23">
        <f>[1]Summary!Y60</f>
        <v>0.53829625224053645</v>
      </c>
      <c r="X49" s="23">
        <f>[1]Summary!Z60</f>
        <v>0.51323474984594197</v>
      </c>
      <c r="Y49" s="23">
        <f>[1]Summary!AA60</f>
        <v>0.40187692058794605</v>
      </c>
      <c r="Z49" s="23">
        <f>[1]Summary!AB60</f>
        <v>0.21953870441076781</v>
      </c>
    </row>
    <row r="50" spans="1:26" s="23" customFormat="1" ht="13.5" customHeight="1" x14ac:dyDescent="0.2">
      <c r="A50" s="9" t="s">
        <v>107</v>
      </c>
    </row>
    <row r="51" spans="1:26" s="23" customFormat="1" ht="13.5" customHeight="1" x14ac:dyDescent="0.2">
      <c r="A51" s="9" t="s">
        <v>105</v>
      </c>
      <c r="C51" s="23">
        <f>[1]Summary!E62</f>
        <v>0.99820821744665378</v>
      </c>
      <c r="D51" s="23">
        <f>[1]Summary!F62</f>
        <v>0.97876358146434961</v>
      </c>
      <c r="E51" s="23">
        <f>[1]Summary!G62</f>
        <v>0.92813732256005799</v>
      </c>
      <c r="F51" s="23">
        <f>[1]Summary!H62</f>
        <v>0.91219597108405093</v>
      </c>
      <c r="G51" s="23">
        <f>[1]Summary!I62</f>
        <v>0.78015724268019426</v>
      </c>
      <c r="H51" s="23">
        <f>[1]Summary!J62</f>
        <v>0.77407184001717588</v>
      </c>
      <c r="I51" s="23">
        <f>[1]Summary!K62</f>
        <v>0.74364592529490459</v>
      </c>
      <c r="J51" s="23">
        <f>[1]Summary!L62</f>
        <v>0.97956286203002507</v>
      </c>
      <c r="K51" s="23">
        <f>[1]Summary!M62</f>
        <v>0.99279595678838051</v>
      </c>
      <c r="L51" s="23">
        <f>[1]Summary!N62</f>
        <v>0.95242604381015317</v>
      </c>
      <c r="M51" s="23">
        <f>[1]Summary!O62</f>
        <v>0.86473334997457341</v>
      </c>
      <c r="N51" s="23">
        <f>[1]Summary!P62</f>
        <v>0.87390077148152601</v>
      </c>
      <c r="O51" s="23">
        <f>[1]Summary!Q62</f>
        <v>0.88499797269456659</v>
      </c>
      <c r="P51" s="23">
        <f>[1]Summary!R62</f>
        <v>0.90677825805631729</v>
      </c>
      <c r="Q51" s="23">
        <f>[1]Summary!S62</f>
        <v>0.87179121775124924</v>
      </c>
      <c r="R51" s="23">
        <f>[1]Summary!T62</f>
        <v>0.81376698016563509</v>
      </c>
      <c r="S51" s="23">
        <f>[1]Summary!U62</f>
        <v>0.78071318481828789</v>
      </c>
      <c r="T51" s="23">
        <f>[1]Summary!V62</f>
        <v>0.69784016157977791</v>
      </c>
      <c r="U51" s="23">
        <f>[1]Summary!W62</f>
        <v>0.73997537280140069</v>
      </c>
      <c r="V51" s="23">
        <f>[1]Summary!X62</f>
        <v>0.90695334202599176</v>
      </c>
      <c r="W51" s="23">
        <f>[1]Summary!Y62</f>
        <v>0.94533342211318738</v>
      </c>
      <c r="X51" s="23">
        <f>[1]Summary!Z62</f>
        <v>0.90497486865644972</v>
      </c>
      <c r="Y51" s="23">
        <f>[1]Summary!AA62</f>
        <v>0.83537832528272071</v>
      </c>
      <c r="Z51" s="23">
        <f>[1]Summary!AB62</f>
        <v>0.85250442842830554</v>
      </c>
    </row>
    <row r="52" spans="1:26" s="23" customFormat="1" ht="13.5" customHeight="1" x14ac:dyDescent="0.2">
      <c r="A52" s="9" t="s">
        <v>106</v>
      </c>
      <c r="C52" s="23">
        <f>[1]Summary!E63</f>
        <v>0.60211265763068</v>
      </c>
      <c r="D52" s="23">
        <f>[1]Summary!F63</f>
        <v>0.70291603401890068</v>
      </c>
      <c r="E52" s="23">
        <f>[1]Summary!G63</f>
        <v>0.62977202947150956</v>
      </c>
      <c r="F52" s="23">
        <f>[1]Summary!H63</f>
        <v>0.51939340939867051</v>
      </c>
      <c r="G52" s="23">
        <f>[1]Summary!I63</f>
        <v>0.31930532897483049</v>
      </c>
      <c r="H52" s="23">
        <f>[1]Summary!J63</f>
        <v>0.31034072675983004</v>
      </c>
      <c r="I52" s="23">
        <f>[1]Summary!K63</f>
        <v>0.39777026060463266</v>
      </c>
      <c r="J52" s="23">
        <f>[1]Summary!L63</f>
        <v>0.65813772181057084</v>
      </c>
      <c r="K52" s="23">
        <f>[1]Summary!M63</f>
        <v>0.77466886214487729</v>
      </c>
      <c r="L52" s="23">
        <f>[1]Summary!N63</f>
        <v>0.6432197049836027</v>
      </c>
      <c r="M52" s="23">
        <f>[1]Summary!O63</f>
        <v>0.49330766822739752</v>
      </c>
      <c r="N52" s="23">
        <f>[1]Summary!P63</f>
        <v>0.48910655468890168</v>
      </c>
      <c r="O52" s="23">
        <f>[1]Summary!Q63</f>
        <v>0.64752703891040042</v>
      </c>
      <c r="P52" s="23">
        <f>[1]Summary!R63</f>
        <v>0.54230605940774779</v>
      </c>
      <c r="Q52" s="23">
        <f>[1]Summary!S63</f>
        <v>0.45107931024260028</v>
      </c>
      <c r="R52" s="23">
        <f>[1]Summary!T63</f>
        <v>0.57442459260683298</v>
      </c>
      <c r="S52" s="23">
        <f>[1]Summary!U63</f>
        <v>0.46409340038306351</v>
      </c>
      <c r="T52" s="23">
        <f>[1]Summary!V63</f>
        <v>0.43751908588648847</v>
      </c>
      <c r="U52" s="23">
        <f>[1]Summary!W63</f>
        <v>0.34234294301469004</v>
      </c>
      <c r="V52" s="23">
        <f>[1]Summary!X63</f>
        <v>0.70334438793255227</v>
      </c>
      <c r="W52" s="23">
        <f>[1]Summary!Y63</f>
        <v>0.77193267318751635</v>
      </c>
      <c r="X52" s="23">
        <f>[1]Summary!Z63</f>
        <v>0.71709759205366252</v>
      </c>
      <c r="Y52" s="23">
        <f>[1]Summary!AA63</f>
        <v>0.56879313285559197</v>
      </c>
      <c r="Z52" s="23">
        <f>[1]Summary!AB63</f>
        <v>0.52937314687964809</v>
      </c>
    </row>
    <row r="53" spans="1:26" s="23" customFormat="1" ht="13.5" customHeight="1" x14ac:dyDescent="0.2">
      <c r="A53" s="10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/>
  </sheetViews>
  <sheetFormatPr defaultColWidth="12" defaultRowHeight="13.5" customHeight="1" x14ac:dyDescent="0.2"/>
  <cols>
    <col min="1" max="1" width="47.1640625" style="45" customWidth="1"/>
    <col min="2" max="2" width="4" style="42" customWidth="1"/>
    <col min="3" max="6" width="13.33203125" style="42" customWidth="1"/>
    <col min="7" max="7" width="13.33203125" style="42" hidden="1" customWidth="1"/>
    <col min="8" max="8" width="6" style="42" hidden="1" customWidth="1"/>
    <col min="9" max="9" width="5" style="42" hidden="1" customWidth="1"/>
    <col min="10" max="10" width="9.1640625" style="42" hidden="1" customWidth="1"/>
    <col min="11" max="11" width="2.33203125" style="42" hidden="1" customWidth="1"/>
    <col min="12" max="12" width="6" style="42" hidden="1" customWidth="1"/>
    <col min="13" max="13" width="5" style="42" hidden="1" customWidth="1"/>
    <col min="14" max="14" width="9.1640625" style="42" hidden="1" customWidth="1"/>
    <col min="15" max="15" width="1.33203125" style="42" hidden="1" customWidth="1"/>
    <col min="16" max="16" width="6" style="42" hidden="1" customWidth="1"/>
    <col min="17" max="17" width="5" style="42" hidden="1" customWidth="1"/>
    <col min="18" max="18" width="9.1640625" style="42" hidden="1" customWidth="1"/>
    <col min="19" max="26" width="13.33203125" style="42" customWidth="1"/>
    <col min="27" max="27" width="16" style="42" hidden="1" customWidth="1"/>
    <col min="28" max="16384" width="12" style="42"/>
  </cols>
  <sheetData>
    <row r="1" spans="1:27" s="87" customFormat="1" ht="12" customHeight="1" x14ac:dyDescent="0.2">
      <c r="A1" s="41" t="s">
        <v>119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s="87" customFormat="1" ht="12" customHeight="1" x14ac:dyDescent="0.2">
      <c r="A2" s="182" t="s">
        <v>132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s="87" customFormat="1" ht="12" customHeight="1" x14ac:dyDescent="0.2">
      <c r="A3" s="41" t="str">
        <f>Dth_Day!A3</f>
        <v>Valuation Date:  11/20/2001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</row>
    <row r="4" spans="1:27" s="87" customFormat="1" ht="12" customHeight="1" x14ac:dyDescent="0.2">
      <c r="A4" s="41" t="str">
        <f>Dth_Day!A4</f>
        <v>As of:                11/20/2001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</row>
    <row r="5" spans="1:27" s="87" customFormat="1" ht="13.5" customHeight="1" x14ac:dyDescent="0.2">
      <c r="A5" s="128"/>
      <c r="B5" s="128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spans="1:27" s="87" customFormat="1" ht="13.5" customHeight="1" thickBot="1" x14ac:dyDescent="0.25">
      <c r="A6" s="128"/>
      <c r="B6" s="128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1:27" ht="13.5" customHeight="1" thickBot="1" x14ac:dyDescent="0.25">
      <c r="A7" s="60" t="s">
        <v>120</v>
      </c>
      <c r="C7" s="46" t="str">
        <f>Dth_Day!C6</f>
        <v>Dec-01</v>
      </c>
      <c r="D7" s="46" t="str">
        <f>Dth_Day!D6</f>
        <v>Jan-02</v>
      </c>
      <c r="E7" s="46" t="str">
        <f>Dth_Day!E6</f>
        <v>Feb-02</v>
      </c>
    </row>
    <row r="8" spans="1:27" ht="13.5" customHeight="1" x14ac:dyDescent="0.2">
      <c r="A8" s="61" t="s">
        <v>110</v>
      </c>
      <c r="C8" s="42">
        <f>Dth_Day!C28</f>
        <v>141.3365</v>
      </c>
      <c r="D8" s="42">
        <f>Dth_Day!D28</f>
        <v>-6307.4258</v>
      </c>
      <c r="E8" s="42">
        <f>Dth_Day!E28</f>
        <v>-1815.4546</v>
      </c>
    </row>
    <row r="9" spans="1:27" ht="13.5" customHeight="1" x14ac:dyDescent="0.2">
      <c r="A9" s="61" t="s">
        <v>111</v>
      </c>
      <c r="C9" s="42">
        <f>Dth_Day!C29</f>
        <v>-8516.1290000000008</v>
      </c>
      <c r="D9" s="42">
        <f>Dth_Day!D29</f>
        <v>-96.741900000000896</v>
      </c>
      <c r="E9" s="42">
        <f>Dth_Day!E29</f>
        <v>-1357.1428999999989</v>
      </c>
    </row>
    <row r="10" spans="1:27" ht="13.5" customHeight="1" x14ac:dyDescent="0.2">
      <c r="A10" s="61" t="s">
        <v>112</v>
      </c>
      <c r="C10" s="42">
        <f>Dth_Day!C30</f>
        <v>30000</v>
      </c>
      <c r="D10" s="42">
        <f>Dth_Day!D30</f>
        <v>30000</v>
      </c>
      <c r="E10" s="42">
        <f>Dth_Day!E30</f>
        <v>20000</v>
      </c>
    </row>
    <row r="11" spans="1:27" ht="13.5" customHeight="1" thickBot="1" x14ac:dyDescent="0.25">
      <c r="A11" s="61" t="s">
        <v>113</v>
      </c>
      <c r="C11" s="42">
        <f>Dth_Day!C31</f>
        <v>0</v>
      </c>
      <c r="D11" s="42">
        <f>Dth_Day!D31</f>
        <v>0</v>
      </c>
      <c r="E11" s="42">
        <f>Dth_Day!E31</f>
        <v>0</v>
      </c>
    </row>
    <row r="12" spans="1:27" ht="13.5" customHeight="1" thickBot="1" x14ac:dyDescent="0.25">
      <c r="A12" s="43" t="s">
        <v>114</v>
      </c>
      <c r="B12" s="44"/>
      <c r="C12" s="44">
        <f>SUM(C8:C11)</f>
        <v>21625.207499999997</v>
      </c>
      <c r="D12" s="44">
        <f>SUM(D8:D11)</f>
        <v>23595.832299999998</v>
      </c>
      <c r="E12" s="44">
        <f>SUM(E8:E11)</f>
        <v>16827.4025</v>
      </c>
    </row>
    <row r="14" spans="1:27" ht="13.5" customHeight="1" x14ac:dyDescent="0.2">
      <c r="A14" s="47" t="s">
        <v>104</v>
      </c>
    </row>
    <row r="15" spans="1:27" ht="13.5" customHeight="1" x14ac:dyDescent="0.2">
      <c r="A15" s="47" t="s">
        <v>105</v>
      </c>
      <c r="C15" s="183">
        <f>Dth_Day!C48</f>
        <v>0.88091212096946936</v>
      </c>
      <c r="D15" s="183">
        <f>Dth_Day!D48</f>
        <v>0.69233545271645458</v>
      </c>
      <c r="E15" s="183">
        <f>Dth_Day!E48</f>
        <v>0.70848076293934448</v>
      </c>
    </row>
    <row r="16" spans="1:27" ht="13.5" customHeight="1" x14ac:dyDescent="0.2">
      <c r="A16" s="47" t="s">
        <v>106</v>
      </c>
      <c r="C16" s="183">
        <f>Dth_Day!C49</f>
        <v>4.1694200096589307E-2</v>
      </c>
      <c r="D16" s="183">
        <f>Dth_Day!D49</f>
        <v>0.16266956736832838</v>
      </c>
      <c r="E16" s="183">
        <f>Dth_Day!E49</f>
        <v>0.27294574807117089</v>
      </c>
    </row>
    <row r="17" spans="1:18" ht="13.5" customHeight="1" x14ac:dyDescent="0.2">
      <c r="A17" s="47" t="s">
        <v>107</v>
      </c>
      <c r="C17" s="183"/>
      <c r="D17" s="183"/>
      <c r="E17" s="183"/>
    </row>
    <row r="18" spans="1:18" ht="13.5" customHeight="1" x14ac:dyDescent="0.2">
      <c r="A18" s="47" t="s">
        <v>105</v>
      </c>
      <c r="C18" s="183">
        <f>Dth_Day!C51</f>
        <v>0.99820821744665378</v>
      </c>
      <c r="D18" s="183">
        <f>Dth_Day!D51</f>
        <v>0.97876358146434961</v>
      </c>
      <c r="E18" s="183">
        <f>Dth_Day!E51</f>
        <v>0.92813732256005799</v>
      </c>
    </row>
    <row r="19" spans="1:18" ht="13.5" customHeight="1" x14ac:dyDescent="0.2">
      <c r="A19" s="47" t="s">
        <v>106</v>
      </c>
      <c r="C19" s="183">
        <f>Dth_Day!C52</f>
        <v>0.60211265763068</v>
      </c>
      <c r="D19" s="183">
        <f>Dth_Day!D52</f>
        <v>0.70291603401890068</v>
      </c>
      <c r="E19" s="183">
        <f>Dth_Day!E52</f>
        <v>0.62977202947150956</v>
      </c>
    </row>
    <row r="21" spans="1:18" ht="13.5" customHeight="1" thickBot="1" x14ac:dyDescent="0.25">
      <c r="G21" s="194"/>
    </row>
    <row r="22" spans="1:18" ht="13.5" customHeight="1" thickBot="1" x14ac:dyDescent="0.25">
      <c r="A22" s="60" t="s">
        <v>138</v>
      </c>
      <c r="C22" s="46" t="str">
        <f>C7</f>
        <v>Dec-01</v>
      </c>
      <c r="D22" s="46" t="str">
        <f>D7</f>
        <v>Jan-02</v>
      </c>
      <c r="E22" s="46" t="str">
        <f>E7</f>
        <v>Feb-02</v>
      </c>
    </row>
    <row r="23" spans="1:18" ht="13.5" customHeight="1" x14ac:dyDescent="0.2">
      <c r="A23" s="61" t="s">
        <v>110</v>
      </c>
      <c r="C23" s="42">
        <f>C8+J42</f>
        <v>-6665.9371207231015</v>
      </c>
      <c r="D23" s="42">
        <f>D8+N42</f>
        <v>-12170.970774790832</v>
      </c>
      <c r="E23" s="42">
        <f>E8+R42</f>
        <v>-9971.9218656843732</v>
      </c>
      <c r="H23" s="213" t="s">
        <v>133</v>
      </c>
      <c r="I23" s="213"/>
      <c r="J23" s="213"/>
      <c r="L23" s="213" t="s">
        <v>137</v>
      </c>
      <c r="M23" s="213"/>
      <c r="N23" s="213"/>
      <c r="P23" s="213" t="s">
        <v>141</v>
      </c>
      <c r="Q23" s="213"/>
      <c r="R23" s="213"/>
    </row>
    <row r="24" spans="1:18" ht="13.5" customHeight="1" x14ac:dyDescent="0.2">
      <c r="A24" s="61" t="s">
        <v>111</v>
      </c>
      <c r="C24" s="42">
        <f>C9+J32</f>
        <v>-56199.38912090809</v>
      </c>
      <c r="D24" s="42">
        <f>D9+N32</f>
        <v>-52870.449326686074</v>
      </c>
      <c r="E24" s="42">
        <f>E9+R32</f>
        <v>-45390.734764785535</v>
      </c>
      <c r="G24" s="42" t="s">
        <v>104</v>
      </c>
      <c r="H24" s="42" t="s">
        <v>121</v>
      </c>
      <c r="I24" s="42" t="s">
        <v>122</v>
      </c>
      <c r="J24" s="42" t="s">
        <v>123</v>
      </c>
      <c r="L24" s="42" t="s">
        <v>121</v>
      </c>
      <c r="M24" s="42" t="s">
        <v>122</v>
      </c>
      <c r="N24" s="42" t="s">
        <v>123</v>
      </c>
      <c r="P24" s="42" t="s">
        <v>121</v>
      </c>
      <c r="Q24" s="42" t="s">
        <v>122</v>
      </c>
      <c r="R24" s="42" t="s">
        <v>123</v>
      </c>
    </row>
    <row r="25" spans="1:18" ht="13.5" customHeight="1" x14ac:dyDescent="0.2">
      <c r="A25" s="61" t="s">
        <v>112</v>
      </c>
      <c r="C25" s="42">
        <f t="shared" ref="C25:E26" si="0">C10</f>
        <v>30000</v>
      </c>
      <c r="D25" s="42">
        <f t="shared" si="0"/>
        <v>30000</v>
      </c>
      <c r="E25" s="42">
        <f t="shared" si="0"/>
        <v>20000</v>
      </c>
      <c r="G25" s="42" t="s">
        <v>124</v>
      </c>
      <c r="H25" s="184">
        <f>'[2]MWA Prompt'!H29</f>
        <v>401.69592716207802</v>
      </c>
      <c r="I25" s="184">
        <f>'[2]MWA Prompt'!I29</f>
        <v>456</v>
      </c>
      <c r="J25" s="184">
        <f>I25-H25</f>
        <v>54.304072837921979</v>
      </c>
      <c r="L25" s="184">
        <f>'[2]MWA Prompt'!L29</f>
        <v>315.70496643870331</v>
      </c>
      <c r="M25" s="184">
        <f>'[2]MWA Prompt'!M29</f>
        <v>446</v>
      </c>
      <c r="N25" s="184">
        <f>M25-L25</f>
        <v>130.29503356129669</v>
      </c>
      <c r="P25" s="184">
        <f>'[2]MWA Prompt'!$P$29</f>
        <v>290.47711280513124</v>
      </c>
      <c r="Q25" s="184">
        <f>'[2]MWA Prompt'!Q29</f>
        <v>410</v>
      </c>
      <c r="R25" s="184">
        <f>Q25-P25</f>
        <v>119.52288719486876</v>
      </c>
    </row>
    <row r="26" spans="1:18" ht="13.5" customHeight="1" thickBot="1" x14ac:dyDescent="0.25">
      <c r="A26" s="61" t="s">
        <v>113</v>
      </c>
      <c r="C26" s="42">
        <f t="shared" si="0"/>
        <v>0</v>
      </c>
      <c r="D26" s="42">
        <f t="shared" si="0"/>
        <v>0</v>
      </c>
      <c r="E26" s="42">
        <f t="shared" si="0"/>
        <v>0</v>
      </c>
      <c r="G26" s="42" t="s">
        <v>125</v>
      </c>
      <c r="H26" s="184">
        <f>'[2]MWA Prompt'!H30</f>
        <v>19.012555244044723</v>
      </c>
      <c r="I26" s="184">
        <f>'[2]MWA Prompt'!I30</f>
        <v>456</v>
      </c>
      <c r="J26" s="184">
        <f>I26-H26</f>
        <v>436.98744475595527</v>
      </c>
      <c r="L26" s="184">
        <f>'[2]MWA Prompt'!L30</f>
        <v>72.550627046274457</v>
      </c>
      <c r="M26" s="184">
        <f>'[2]MWA Prompt'!M30</f>
        <v>446</v>
      </c>
      <c r="N26" s="184">
        <f>M26-L26</f>
        <v>373.44937295372551</v>
      </c>
      <c r="P26" s="184">
        <f>'[2]MWA Prompt'!$P$30</f>
        <v>111.90775670918006</v>
      </c>
      <c r="Q26" s="184">
        <f>'[2]MWA Prompt'!Q30</f>
        <v>410</v>
      </c>
      <c r="R26" s="184">
        <f>Q26-P26</f>
        <v>298.09224329081997</v>
      </c>
    </row>
    <row r="27" spans="1:18" ht="13.5" customHeight="1" thickBot="1" x14ac:dyDescent="0.25">
      <c r="A27" s="43" t="s">
        <v>114</v>
      </c>
      <c r="B27" s="44"/>
      <c r="C27" s="44">
        <f>SUM(C23:C26)</f>
        <v>-32865.326241631192</v>
      </c>
      <c r="D27" s="44">
        <f>SUM(D23:D26)</f>
        <v>-35041.420101476906</v>
      </c>
      <c r="E27" s="44">
        <f>SUM(E23:E26)</f>
        <v>-35362.656630469908</v>
      </c>
      <c r="G27" s="42" t="s">
        <v>126</v>
      </c>
      <c r="H27" s="184">
        <f>((H25*H46)+(H26*H47))/H48</f>
        <v>240.91754406094458</v>
      </c>
      <c r="I27" s="184">
        <f>((I25*I46)+(I26*I47))/I48</f>
        <v>456</v>
      </c>
      <c r="J27" s="184">
        <f>((J25*J46)+(J26*J47))/J48</f>
        <v>215.08245593905542</v>
      </c>
      <c r="L27" s="184">
        <f>((L25*L46)+(L26*L47))/L48</f>
        <v>207.6363711531794</v>
      </c>
      <c r="M27" s="184">
        <f>((M25*M46)+(M26*M47))/M48</f>
        <v>446</v>
      </c>
      <c r="N27" s="184">
        <f>((N25*N46)+(N26*N47))/N48</f>
        <v>238.3636288468206</v>
      </c>
      <c r="P27" s="184">
        <f>((P25*P46)+(P26*P47))/P48</f>
        <v>211.11295454026404</v>
      </c>
      <c r="Q27" s="184">
        <f>((Q25*Q46)+(Q26*Q47))/Q48</f>
        <v>410</v>
      </c>
      <c r="R27" s="184">
        <f>((R25*R46)+(R26*R47))/R48</f>
        <v>198.88704545973596</v>
      </c>
    </row>
    <row r="28" spans="1:18" ht="13.5" customHeight="1" x14ac:dyDescent="0.2">
      <c r="G28" s="42" t="s">
        <v>127</v>
      </c>
      <c r="H28" s="185"/>
      <c r="I28" s="185"/>
      <c r="J28" s="185">
        <v>9.2249999999999996</v>
      </c>
      <c r="K28" s="186"/>
      <c r="L28" s="185"/>
      <c r="M28" s="185"/>
      <c r="N28" s="185">
        <v>9.2249999999999996</v>
      </c>
      <c r="P28" s="185"/>
      <c r="Q28" s="185"/>
      <c r="R28" s="185">
        <v>9.2249999999999996</v>
      </c>
    </row>
    <row r="29" spans="1:18" ht="13.5" customHeight="1" x14ac:dyDescent="0.2">
      <c r="G29" s="42" t="s">
        <v>128</v>
      </c>
      <c r="H29" s="184"/>
      <c r="I29" s="184"/>
      <c r="J29" s="184">
        <f>J48</f>
        <v>745</v>
      </c>
      <c r="L29" s="184"/>
      <c r="M29" s="184"/>
      <c r="N29" s="184">
        <v>720</v>
      </c>
      <c r="P29" s="184"/>
      <c r="Q29" s="184"/>
      <c r="R29" s="184">
        <v>720</v>
      </c>
    </row>
    <row r="30" spans="1:18" ht="13.5" customHeight="1" x14ac:dyDescent="0.2">
      <c r="G30" s="42" t="s">
        <v>129</v>
      </c>
      <c r="H30" s="184"/>
      <c r="I30" s="184"/>
      <c r="J30" s="184">
        <f>J27*J28*J29</f>
        <v>1478181.0637481508</v>
      </c>
      <c r="L30" s="184"/>
      <c r="M30" s="184"/>
      <c r="N30" s="184">
        <f>N27*N28*N29</f>
        <v>1583211.2228005822</v>
      </c>
      <c r="P30" s="184"/>
      <c r="Q30" s="184"/>
      <c r="R30" s="184">
        <f>R27*R28*R29</f>
        <v>1321007.7559435661</v>
      </c>
    </row>
    <row r="31" spans="1:18" ht="13.5" customHeight="1" x14ac:dyDescent="0.2">
      <c r="G31" s="42" t="s">
        <v>49</v>
      </c>
      <c r="H31" s="184"/>
      <c r="I31" s="184"/>
      <c r="J31" s="184">
        <v>31</v>
      </c>
      <c r="L31" s="184"/>
      <c r="M31" s="184"/>
      <c r="N31" s="184">
        <v>30</v>
      </c>
      <c r="P31" s="184"/>
      <c r="Q31" s="184"/>
      <c r="R31" s="184">
        <v>30</v>
      </c>
    </row>
    <row r="32" spans="1:18" ht="13.5" customHeight="1" x14ac:dyDescent="0.2">
      <c r="G32" s="42" t="s">
        <v>130</v>
      </c>
      <c r="H32" s="184"/>
      <c r="I32" s="184"/>
      <c r="J32" s="184">
        <f>J30/-J31</f>
        <v>-47683.260120908089</v>
      </c>
      <c r="L32" s="184"/>
      <c r="M32" s="184"/>
      <c r="N32" s="184">
        <f>N30/-N31</f>
        <v>-52773.707426686073</v>
      </c>
      <c r="P32" s="184"/>
      <c r="Q32" s="184"/>
      <c r="R32" s="184">
        <f>R30/-R31</f>
        <v>-44033.591864785536</v>
      </c>
    </row>
    <row r="34" spans="7:18" ht="13.5" customHeight="1" x14ac:dyDescent="0.2">
      <c r="G34" s="42" t="s">
        <v>107</v>
      </c>
      <c r="H34" s="42" t="s">
        <v>121</v>
      </c>
      <c r="I34" s="42" t="s">
        <v>122</v>
      </c>
      <c r="J34" s="42" t="s">
        <v>123</v>
      </c>
      <c r="L34" s="42" t="s">
        <v>121</v>
      </c>
      <c r="M34" s="42" t="s">
        <v>122</v>
      </c>
      <c r="N34" s="42" t="s">
        <v>123</v>
      </c>
      <c r="P34" s="42" t="s">
        <v>121</v>
      </c>
      <c r="Q34" s="42" t="s">
        <v>122</v>
      </c>
      <c r="R34" s="42" t="s">
        <v>123</v>
      </c>
    </row>
    <row r="35" spans="7:18" ht="13.5" customHeight="1" x14ac:dyDescent="0.2">
      <c r="G35" s="42" t="s">
        <v>124</v>
      </c>
      <c r="H35" s="184">
        <f>'[2]MWA Prompt'!H33</f>
        <v>230.58609823017702</v>
      </c>
      <c r="I35" s="184">
        <f>'[2]MWA Prompt'!I33</f>
        <v>231</v>
      </c>
      <c r="J35" s="184">
        <f>I35-H35</f>
        <v>0.41390176982298499</v>
      </c>
      <c r="L35" s="184">
        <f>'[2]MWA Prompt'!L33</f>
        <v>228.05191448119345</v>
      </c>
      <c r="M35" s="184">
        <f>'[2]MWA Prompt'!M33</f>
        <v>233</v>
      </c>
      <c r="N35" s="184">
        <f>M35-L35</f>
        <v>4.9480855188065505</v>
      </c>
      <c r="P35" s="184">
        <f>'[2]MWA Prompt'!P33</f>
        <v>211.61530954369323</v>
      </c>
      <c r="Q35" s="184">
        <f>'[2]MWA Prompt'!Q33</f>
        <v>228</v>
      </c>
      <c r="R35" s="184">
        <f>Q35-P35</f>
        <v>16.384690456306771</v>
      </c>
    </row>
    <row r="36" spans="7:18" ht="13.5" customHeight="1" x14ac:dyDescent="0.2">
      <c r="G36" s="42" t="s">
        <v>125</v>
      </c>
      <c r="H36" s="184">
        <f>'[2]MWA Prompt'!H34</f>
        <v>139.08802391268708</v>
      </c>
      <c r="I36" s="184">
        <f>'[2]MWA Prompt'!I34</f>
        <v>231</v>
      </c>
      <c r="J36" s="184">
        <f>I36-H36</f>
        <v>91.911976087312922</v>
      </c>
      <c r="L36" s="184">
        <f>'[2]MWA Prompt'!L34</f>
        <v>163.77943592640386</v>
      </c>
      <c r="M36" s="184">
        <f>'[2]MWA Prompt'!M34</f>
        <v>233</v>
      </c>
      <c r="N36" s="184">
        <f>M36-L36</f>
        <v>69.220564073596137</v>
      </c>
      <c r="P36" s="184">
        <f>'[2]MWA Prompt'!P34</f>
        <v>143.58802271950418</v>
      </c>
      <c r="Q36" s="184">
        <f>'[2]MWA Prompt'!Q34</f>
        <v>228</v>
      </c>
      <c r="R36" s="184">
        <f>Q36-P36</f>
        <v>84.411977280495819</v>
      </c>
    </row>
    <row r="37" spans="7:18" ht="13.5" customHeight="1" x14ac:dyDescent="0.2">
      <c r="G37" s="42" t="s">
        <v>126</v>
      </c>
      <c r="H37" s="184">
        <f>((H35*H46)+(H36*H47))/H48</f>
        <v>192.14462539611748</v>
      </c>
      <c r="I37" s="184">
        <f>((I35*I46)+(I36*I47))/I48</f>
        <v>231</v>
      </c>
      <c r="J37" s="184">
        <f>((J35*J46)+(J36*J47))/J48</f>
        <v>38.855374603882517</v>
      </c>
      <c r="L37" s="184">
        <f>((L35*L46)+(L36*L47))/L48</f>
        <v>199.48636845684251</v>
      </c>
      <c r="M37" s="184">
        <f>((M35*M46)+(M36*M47))/M48</f>
        <v>233</v>
      </c>
      <c r="N37" s="184">
        <f>((N35*N46)+(N36*N47))/N48</f>
        <v>33.51363154315748</v>
      </c>
      <c r="P37" s="184">
        <f>((P35*P46)+(P36*P47))/P48</f>
        <v>181.38095984405365</v>
      </c>
      <c r="Q37" s="184">
        <f>((Q35*Q46)+(Q36*Q47))/Q48</f>
        <v>228</v>
      </c>
      <c r="R37" s="184">
        <f>((R35*R46)+(R36*R47))/R48</f>
        <v>46.619040155946351</v>
      </c>
    </row>
    <row r="38" spans="7:18" ht="13.5" customHeight="1" x14ac:dyDescent="0.2">
      <c r="G38" s="42" t="s">
        <v>127</v>
      </c>
      <c r="H38" s="184"/>
      <c r="I38" s="184"/>
      <c r="J38" s="185">
        <v>7.29</v>
      </c>
      <c r="L38" s="184"/>
      <c r="M38" s="184"/>
      <c r="N38" s="185">
        <v>7.29</v>
      </c>
      <c r="P38" s="184"/>
      <c r="Q38" s="184"/>
      <c r="R38" s="185">
        <v>7.29</v>
      </c>
    </row>
    <row r="39" spans="7:18" ht="13.5" customHeight="1" x14ac:dyDescent="0.2">
      <c r="G39" s="42" t="s">
        <v>128</v>
      </c>
      <c r="H39" s="184"/>
      <c r="I39" s="184"/>
      <c r="J39" s="184">
        <f>J48</f>
        <v>745</v>
      </c>
      <c r="L39" s="184"/>
      <c r="M39" s="184"/>
      <c r="N39" s="184">
        <f>N48</f>
        <v>720</v>
      </c>
      <c r="P39" s="184"/>
      <c r="Q39" s="184"/>
      <c r="R39" s="184">
        <f>R48</f>
        <v>720</v>
      </c>
    </row>
    <row r="40" spans="7:18" ht="13.5" customHeight="1" x14ac:dyDescent="0.2">
      <c r="G40" s="42" t="s">
        <v>129</v>
      </c>
      <c r="H40" s="184"/>
      <c r="I40" s="184"/>
      <c r="J40" s="184">
        <f>J37*J38*J39</f>
        <v>211025.48224241615</v>
      </c>
      <c r="L40" s="184"/>
      <c r="M40" s="184"/>
      <c r="N40" s="184">
        <f>N37*N38*N39</f>
        <v>175906.34924372498</v>
      </c>
      <c r="P40" s="184"/>
      <c r="Q40" s="184"/>
      <c r="R40" s="184">
        <f>R37*R38*R39</f>
        <v>244694.01797053122</v>
      </c>
    </row>
    <row r="41" spans="7:18" ht="13.5" customHeight="1" x14ac:dyDescent="0.2">
      <c r="G41" s="42" t="s">
        <v>49</v>
      </c>
      <c r="H41" s="184"/>
      <c r="I41" s="184"/>
      <c r="J41" s="184">
        <v>31</v>
      </c>
      <c r="L41" s="184"/>
      <c r="M41" s="184"/>
      <c r="N41" s="184">
        <v>30</v>
      </c>
      <c r="P41" s="184"/>
      <c r="Q41" s="184"/>
      <c r="R41" s="184">
        <v>30</v>
      </c>
    </row>
    <row r="42" spans="7:18" ht="13.5" customHeight="1" x14ac:dyDescent="0.2">
      <c r="G42" s="42" t="s">
        <v>131</v>
      </c>
      <c r="H42" s="184"/>
      <c r="I42" s="184"/>
      <c r="J42" s="184">
        <f>J40/-J41</f>
        <v>-6807.2736207231019</v>
      </c>
      <c r="L42" s="184"/>
      <c r="M42" s="184"/>
      <c r="N42" s="184">
        <f>N40/-N41</f>
        <v>-5863.5449747908324</v>
      </c>
      <c r="P42" s="184"/>
      <c r="Q42" s="184"/>
      <c r="R42" s="184">
        <f>R40/-R41</f>
        <v>-8156.4672656843741</v>
      </c>
    </row>
    <row r="43" spans="7:18" ht="13.5" customHeight="1" x14ac:dyDescent="0.2">
      <c r="H43" s="187"/>
      <c r="I43" s="187"/>
      <c r="J43" s="187"/>
      <c r="K43" s="187"/>
      <c r="L43" s="187"/>
      <c r="M43" s="187"/>
      <c r="N43" s="187"/>
      <c r="P43" s="187"/>
      <c r="Q43" s="187"/>
      <c r="R43" s="187"/>
    </row>
    <row r="44" spans="7:18" ht="13.5" customHeight="1" x14ac:dyDescent="0.2">
      <c r="J44" s="42">
        <f>J32+J42</f>
        <v>-54490.533741631189</v>
      </c>
      <c r="N44" s="42">
        <f>N32+N42</f>
        <v>-58637.252401476908</v>
      </c>
      <c r="R44" s="42">
        <f>R32+R42</f>
        <v>-52190.059130469912</v>
      </c>
    </row>
    <row r="46" spans="7:18" ht="13.5" customHeight="1" x14ac:dyDescent="0.2">
      <c r="H46" s="42">
        <v>432</v>
      </c>
      <c r="I46" s="42">
        <v>432</v>
      </c>
      <c r="J46" s="42">
        <v>432</v>
      </c>
      <c r="L46" s="42">
        <v>400</v>
      </c>
      <c r="M46" s="42">
        <v>400</v>
      </c>
      <c r="N46" s="42">
        <v>400</v>
      </c>
      <c r="P46" s="42">
        <v>400</v>
      </c>
      <c r="Q46" s="42">
        <v>400</v>
      </c>
      <c r="R46" s="42">
        <v>400</v>
      </c>
    </row>
    <row r="47" spans="7:18" ht="13.5" customHeight="1" x14ac:dyDescent="0.2">
      <c r="H47" s="42">
        <v>313</v>
      </c>
      <c r="I47" s="42">
        <v>313</v>
      </c>
      <c r="J47" s="42">
        <v>313</v>
      </c>
      <c r="L47" s="42">
        <v>320</v>
      </c>
      <c r="M47" s="42">
        <v>320</v>
      </c>
      <c r="N47" s="42">
        <v>320</v>
      </c>
      <c r="P47" s="42">
        <v>320</v>
      </c>
      <c r="Q47" s="42">
        <v>320</v>
      </c>
      <c r="R47" s="42">
        <v>320</v>
      </c>
    </row>
    <row r="48" spans="7:18" ht="13.5" customHeight="1" x14ac:dyDescent="0.2">
      <c r="H48" s="42">
        <v>745</v>
      </c>
      <c r="I48" s="42">
        <v>745</v>
      </c>
      <c r="J48" s="42">
        <v>745</v>
      </c>
      <c r="L48" s="42">
        <v>720</v>
      </c>
      <c r="M48" s="42">
        <v>720</v>
      </c>
      <c r="N48" s="42">
        <v>720</v>
      </c>
      <c r="P48" s="42">
        <v>720</v>
      </c>
      <c r="Q48" s="42">
        <v>720</v>
      </c>
      <c r="R48" s="42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1.83203125" style="202" customWidth="1"/>
    <col min="2" max="2" width="4" style="202" customWidth="1"/>
    <col min="3" max="26" width="13.33203125" style="202" customWidth="1"/>
    <col min="27" max="27" width="16" style="202" customWidth="1"/>
  </cols>
  <sheetData>
    <row r="1" spans="1:27" ht="12" customHeight="1" x14ac:dyDescent="0.2">
      <c r="A1" s="201" t="s">
        <v>202</v>
      </c>
    </row>
    <row r="2" spans="1:27" ht="12" customHeight="1" x14ac:dyDescent="0.2">
      <c r="A2" s="201" t="s">
        <v>146</v>
      </c>
    </row>
    <row r="3" spans="1:27" ht="12" customHeight="1" x14ac:dyDescent="0.2">
      <c r="A3" s="201" t="s">
        <v>178</v>
      </c>
    </row>
    <row r="4" spans="1:27" ht="12" customHeight="1" x14ac:dyDescent="0.2">
      <c r="A4" s="201" t="s">
        <v>179</v>
      </c>
    </row>
    <row r="6" spans="1:27" ht="12" customHeight="1" x14ac:dyDescent="0.2">
      <c r="A6" s="203" t="s">
        <v>180</v>
      </c>
      <c r="C6" s="12" t="s">
        <v>148</v>
      </c>
      <c r="D6" s="12" t="s">
        <v>149</v>
      </c>
      <c r="E6" s="12" t="s">
        <v>150</v>
      </c>
      <c r="F6" s="12" t="s">
        <v>151</v>
      </c>
      <c r="G6" s="12" t="s">
        <v>152</v>
      </c>
      <c r="H6" s="12" t="s">
        <v>153</v>
      </c>
      <c r="I6" s="12" t="s">
        <v>154</v>
      </c>
      <c r="J6" s="12" t="s">
        <v>155</v>
      </c>
      <c r="K6" s="12" t="s">
        <v>156</v>
      </c>
      <c r="L6" s="12" t="s">
        <v>157</v>
      </c>
      <c r="M6" s="12" t="s">
        <v>158</v>
      </c>
      <c r="N6" s="12" t="s">
        <v>159</v>
      </c>
      <c r="O6" s="12" t="s">
        <v>160</v>
      </c>
      <c r="P6" s="12" t="s">
        <v>161</v>
      </c>
      <c r="Q6" s="12" t="s">
        <v>162</v>
      </c>
      <c r="R6" s="12" t="s">
        <v>163</v>
      </c>
      <c r="S6" s="12" t="s">
        <v>164</v>
      </c>
      <c r="T6" s="12" t="s">
        <v>165</v>
      </c>
      <c r="U6" s="12" t="s">
        <v>166</v>
      </c>
      <c r="V6" s="12" t="s">
        <v>167</v>
      </c>
      <c r="W6" s="12" t="s">
        <v>168</v>
      </c>
      <c r="X6" s="12" t="s">
        <v>169</v>
      </c>
      <c r="Y6" s="12" t="s">
        <v>170</v>
      </c>
      <c r="Z6" s="12" t="s">
        <v>171</v>
      </c>
      <c r="AA6" s="12" t="s">
        <v>40</v>
      </c>
    </row>
    <row r="7" spans="1:27" ht="11.25" customHeight="1" x14ac:dyDescent="0.2">
      <c r="A7" s="204" t="s">
        <v>110</v>
      </c>
      <c r="C7" s="204">
        <v>33173.594599999997</v>
      </c>
      <c r="D7" s="204">
        <v>28434.509600000001</v>
      </c>
      <c r="E7" s="204">
        <v>28434.509600000001</v>
      </c>
      <c r="F7" s="204">
        <v>28434.509600000001</v>
      </c>
      <c r="G7" s="204">
        <v>9478.1699000000008</v>
      </c>
      <c r="H7" s="204">
        <v>9478.1699000000008</v>
      </c>
      <c r="I7" s="204">
        <v>14217.254800000001</v>
      </c>
      <c r="J7" s="204">
        <v>14217.254800000001</v>
      </c>
      <c r="K7" s="204">
        <v>14217.254800000001</v>
      </c>
      <c r="L7" s="204">
        <v>14217.254800000001</v>
      </c>
      <c r="M7" s="204">
        <v>14217.254800000001</v>
      </c>
      <c r="N7" s="204">
        <v>18956.339800000002</v>
      </c>
      <c r="O7" s="204">
        <v>18956.339800000002</v>
      </c>
      <c r="P7" s="204">
        <v>18956.339800000002</v>
      </c>
      <c r="Q7" s="204">
        <v>18956.339800000002</v>
      </c>
      <c r="R7" s="204">
        <v>18956.339800000002</v>
      </c>
      <c r="S7" s="204">
        <v>9478.1699000000008</v>
      </c>
      <c r="T7" s="204">
        <v>9478.1699000000008</v>
      </c>
      <c r="U7" s="204">
        <v>9478.1699000000008</v>
      </c>
      <c r="V7" s="204">
        <v>9478.1699000000008</v>
      </c>
      <c r="W7" s="204">
        <v>9478.1699000000008</v>
      </c>
      <c r="X7" s="204">
        <v>9478.1699000000008</v>
      </c>
      <c r="Y7" s="204">
        <v>9478.1699000000008</v>
      </c>
      <c r="Z7" s="204">
        <v>0</v>
      </c>
    </row>
    <row r="8" spans="1:27" ht="11.25" customHeight="1" thickBot="1" x14ac:dyDescent="0.25">
      <c r="A8" s="204" t="s">
        <v>194</v>
      </c>
      <c r="C8" s="204">
        <v>-33032.258099999999</v>
      </c>
      <c r="D8" s="204">
        <v>-34741.9355</v>
      </c>
      <c r="E8" s="204">
        <v>-30249.9643</v>
      </c>
      <c r="F8" s="204">
        <v>-27225.7742</v>
      </c>
      <c r="G8" s="204">
        <v>-19366.666700000002</v>
      </c>
      <c r="H8" s="204">
        <v>-2000</v>
      </c>
      <c r="I8" s="204">
        <v>-15366.6667</v>
      </c>
      <c r="J8" s="204">
        <v>-29225.7742</v>
      </c>
      <c r="K8" s="204">
        <v>-31806.419399999999</v>
      </c>
      <c r="L8" s="204">
        <v>-27100</v>
      </c>
      <c r="M8" s="204">
        <v>-23290.3226</v>
      </c>
      <c r="N8" s="204">
        <v>-24033.3</v>
      </c>
      <c r="O8" s="204">
        <v>-24225.806499999999</v>
      </c>
      <c r="P8" s="204">
        <v>-26419.3871</v>
      </c>
      <c r="Q8" s="204">
        <v>-23464.2857</v>
      </c>
      <c r="R8" s="204">
        <v>-20419.354800000001</v>
      </c>
      <c r="S8" s="204">
        <v>-12900</v>
      </c>
      <c r="T8" s="204">
        <v>-14838.709699999999</v>
      </c>
      <c r="U8" s="204">
        <v>-14999.966700000001</v>
      </c>
      <c r="V8" s="204">
        <v>-24483.9355</v>
      </c>
      <c r="W8" s="204">
        <v>-28322.6129</v>
      </c>
      <c r="X8" s="204">
        <v>-26000</v>
      </c>
      <c r="Y8" s="204">
        <v>-21677.4516</v>
      </c>
      <c r="Z8" s="204">
        <v>-22733.333299999998</v>
      </c>
    </row>
    <row r="9" spans="1:27" ht="11.25" customHeight="1" x14ac:dyDescent="0.2">
      <c r="A9" s="201" t="s">
        <v>195</v>
      </c>
      <c r="C9" s="11">
        <f>SUM($C$7:$C$8)</f>
        <v>141.33649999999761</v>
      </c>
      <c r="D9" s="11">
        <f>SUM($D$7:$D$8)</f>
        <v>-6307.4258999999984</v>
      </c>
      <c r="E9" s="11">
        <f>SUM($E$7:$E$8)</f>
        <v>-1815.4546999999984</v>
      </c>
      <c r="F9" s="11">
        <f>SUM($F$7:$F$8)</f>
        <v>1208.7354000000014</v>
      </c>
      <c r="G9" s="11">
        <f>SUM($G$7:$G$8)</f>
        <v>-9888.4968000000008</v>
      </c>
      <c r="H9" s="11">
        <f>SUM($H$7:$H$8)</f>
        <v>7478.1699000000008</v>
      </c>
      <c r="I9" s="11">
        <f>SUM($I$7:$I$8)</f>
        <v>-1149.4118999999992</v>
      </c>
      <c r="J9" s="11">
        <f>SUM($J$7:$J$8)</f>
        <v>-15008.519399999999</v>
      </c>
      <c r="K9" s="11">
        <f>SUM($K$7:$K$8)</f>
        <v>-17589.164599999996</v>
      </c>
      <c r="L9" s="11">
        <f>SUM($L$7:$L$8)</f>
        <v>-12882.745199999999</v>
      </c>
      <c r="M9" s="11">
        <f>SUM($M$7:$M$8)</f>
        <v>-9073.0677999999989</v>
      </c>
      <c r="N9" s="11">
        <f>SUM($N$7:$N$8)</f>
        <v>-5076.9601999999977</v>
      </c>
      <c r="O9" s="11">
        <f>SUM($O$7:$O$8)</f>
        <v>-5269.4666999999972</v>
      </c>
      <c r="P9" s="11">
        <f>SUM($P$7:$P$8)</f>
        <v>-7463.0472999999984</v>
      </c>
      <c r="Q9" s="11">
        <f>SUM($Q$7:$Q$8)</f>
        <v>-4507.9458999999988</v>
      </c>
      <c r="R9" s="11">
        <f>SUM($R$7:$R$8)</f>
        <v>-1463.0149999999994</v>
      </c>
      <c r="S9" s="11">
        <f>SUM($S$7:$S$8)</f>
        <v>-3421.8300999999992</v>
      </c>
      <c r="T9" s="11">
        <f>SUM($T$7:$T$8)</f>
        <v>-5360.5397999999986</v>
      </c>
      <c r="U9" s="11">
        <f>SUM($U$7:$U$8)</f>
        <v>-5521.7968000000001</v>
      </c>
      <c r="V9" s="11">
        <f>SUM($V$7:$V$8)</f>
        <v>-15005.765599999999</v>
      </c>
      <c r="W9" s="11">
        <f>SUM($W$7:$W$8)</f>
        <v>-18844.442999999999</v>
      </c>
      <c r="X9" s="11">
        <f>SUM($X$7:$X$8)</f>
        <v>-16521.830099999999</v>
      </c>
      <c r="Y9" s="11">
        <f>SUM($Y$7:$Y$8)</f>
        <v>-12199.2817</v>
      </c>
      <c r="Z9" s="11">
        <f>SUM($Z$7:$Z$8)</f>
        <v>-22733.333299999998</v>
      </c>
    </row>
    <row r="11" spans="1:27" ht="11.25" customHeight="1" x14ac:dyDescent="0.2">
      <c r="A11" s="204" t="s">
        <v>111</v>
      </c>
      <c r="C11" s="204">
        <f>65000-25000</f>
        <v>40000</v>
      </c>
      <c r="D11" s="204">
        <f>65000-25000</f>
        <v>40000</v>
      </c>
      <c r="E11" s="204">
        <f>65000-25000</f>
        <v>40000</v>
      </c>
      <c r="F11" s="204">
        <f>25000-25000</f>
        <v>0</v>
      </c>
      <c r="G11" s="204">
        <v>-5000</v>
      </c>
      <c r="H11" s="204">
        <v>-5000</v>
      </c>
      <c r="I11" s="204">
        <v>15000</v>
      </c>
      <c r="J11" s="204">
        <v>20000</v>
      </c>
      <c r="K11" s="204">
        <v>25000</v>
      </c>
      <c r="L11" s="204">
        <v>25000</v>
      </c>
      <c r="M11" s="204">
        <v>25000</v>
      </c>
      <c r="N11" s="204">
        <v>25000</v>
      </c>
      <c r="O11" s="204">
        <v>25000</v>
      </c>
      <c r="P11" s="204">
        <v>25000</v>
      </c>
      <c r="Q11" s="204">
        <v>20000</v>
      </c>
      <c r="R11" s="204">
        <v>20000</v>
      </c>
      <c r="S11" s="204">
        <v>5000</v>
      </c>
      <c r="T11" s="204">
        <v>5000</v>
      </c>
      <c r="U11" s="204">
        <v>5000</v>
      </c>
      <c r="V11" s="204">
        <v>5000</v>
      </c>
      <c r="W11" s="204">
        <v>5000</v>
      </c>
      <c r="X11" s="204">
        <v>5000</v>
      </c>
      <c r="Y11" s="204">
        <v>5000</v>
      </c>
      <c r="Z11" s="204">
        <v>0</v>
      </c>
    </row>
    <row r="12" spans="1:27" ht="11.25" customHeight="1" x14ac:dyDescent="0.2">
      <c r="A12" s="204" t="s">
        <v>112</v>
      </c>
      <c r="C12" s="204">
        <v>30000</v>
      </c>
      <c r="D12" s="204">
        <v>30000</v>
      </c>
      <c r="E12" s="204">
        <v>20000</v>
      </c>
      <c r="F12" s="204">
        <v>10000</v>
      </c>
      <c r="G12" s="204">
        <v>15000</v>
      </c>
      <c r="H12" s="204">
        <v>30000</v>
      </c>
      <c r="I12" s="204">
        <v>30000</v>
      </c>
      <c r="J12" s="204">
        <v>50000</v>
      </c>
      <c r="K12" s="204">
        <v>50000</v>
      </c>
      <c r="L12" s="204">
        <v>50000</v>
      </c>
      <c r="M12" s="204">
        <v>50000</v>
      </c>
      <c r="N12" s="204">
        <v>25000</v>
      </c>
      <c r="O12" s="204">
        <v>25000</v>
      </c>
      <c r="P12" s="204">
        <v>25000</v>
      </c>
      <c r="Q12" s="204">
        <v>25000</v>
      </c>
      <c r="R12" s="204">
        <v>25000</v>
      </c>
      <c r="S12" s="204">
        <v>5000</v>
      </c>
      <c r="T12" s="204">
        <v>5000</v>
      </c>
      <c r="U12" s="204">
        <v>5000</v>
      </c>
      <c r="V12" s="204">
        <v>5000</v>
      </c>
      <c r="W12" s="204">
        <v>5000</v>
      </c>
      <c r="X12" s="204">
        <v>5000</v>
      </c>
      <c r="Y12" s="204">
        <v>5000</v>
      </c>
      <c r="Z12" s="204">
        <v>0</v>
      </c>
    </row>
    <row r="13" spans="1:27" ht="11.25" customHeight="1" x14ac:dyDescent="0.2">
      <c r="A13" s="204" t="s">
        <v>196</v>
      </c>
      <c r="C13" s="204">
        <v>-48516.129000000001</v>
      </c>
      <c r="D13" s="204">
        <v>-40096.741900000001</v>
      </c>
      <c r="E13" s="204">
        <v>-41357.142899999999</v>
      </c>
      <c r="F13" s="204">
        <v>-9903.2258000000002</v>
      </c>
      <c r="G13" s="204">
        <v>-7300</v>
      </c>
      <c r="H13" s="204">
        <v>-20870.967700000001</v>
      </c>
      <c r="I13" s="204">
        <v>-25799.966700000001</v>
      </c>
      <c r="J13" s="204">
        <v>-59096.7742</v>
      </c>
      <c r="K13" s="204">
        <v>-64967.741900000001</v>
      </c>
      <c r="L13" s="204">
        <v>-51766.666700000002</v>
      </c>
      <c r="M13" s="204">
        <v>-41612.903200000001</v>
      </c>
      <c r="N13" s="204">
        <v>-31499.966700000001</v>
      </c>
      <c r="O13" s="204">
        <v>-37193.516100000001</v>
      </c>
      <c r="P13" s="204">
        <v>-35838.709699999999</v>
      </c>
      <c r="Q13" s="204">
        <v>-30678.5357</v>
      </c>
      <c r="R13" s="204">
        <v>-21419.3871</v>
      </c>
      <c r="S13" s="204">
        <v>-28966.666700000002</v>
      </c>
      <c r="T13" s="204">
        <v>-19548.354800000001</v>
      </c>
      <c r="U13" s="204">
        <v>-20533.333299999998</v>
      </c>
      <c r="V13" s="204">
        <v>-47709.709699999999</v>
      </c>
      <c r="W13" s="204">
        <v>-55645.1613</v>
      </c>
      <c r="X13" s="204">
        <v>-48333.333299999998</v>
      </c>
      <c r="Y13" s="204">
        <v>-36064.516100000001</v>
      </c>
      <c r="Z13" s="204">
        <v>-31100</v>
      </c>
    </row>
    <row r="14" spans="1:27" ht="11.25" customHeight="1" thickBot="1" x14ac:dyDescent="0.25">
      <c r="A14" s="204" t="s">
        <v>197</v>
      </c>
      <c r="C14" s="204">
        <v>0</v>
      </c>
      <c r="D14" s="204">
        <v>0</v>
      </c>
      <c r="E14" s="204">
        <v>0</v>
      </c>
      <c r="F14" s="204">
        <v>0</v>
      </c>
      <c r="G14" s="204">
        <v>0</v>
      </c>
      <c r="H14" s="204">
        <v>0</v>
      </c>
      <c r="I14" s="204">
        <v>0</v>
      </c>
      <c r="J14" s="204">
        <v>0</v>
      </c>
      <c r="K14" s="204">
        <v>0</v>
      </c>
      <c r="L14" s="204">
        <v>0</v>
      </c>
      <c r="M14" s="204">
        <v>0</v>
      </c>
      <c r="N14" s="204">
        <v>0</v>
      </c>
      <c r="O14" s="204">
        <v>0</v>
      </c>
      <c r="P14" s="204">
        <v>0</v>
      </c>
      <c r="Q14" s="204">
        <v>0</v>
      </c>
      <c r="R14" s="204">
        <v>0</v>
      </c>
      <c r="S14" s="204">
        <v>0</v>
      </c>
      <c r="T14" s="204">
        <v>0</v>
      </c>
      <c r="U14" s="204">
        <v>0</v>
      </c>
      <c r="V14" s="204">
        <v>0</v>
      </c>
      <c r="W14" s="204">
        <v>0</v>
      </c>
      <c r="X14" s="204">
        <v>0</v>
      </c>
      <c r="Y14" s="204">
        <v>0</v>
      </c>
      <c r="Z14" s="204">
        <v>0</v>
      </c>
    </row>
    <row r="15" spans="1:27" ht="11.25" customHeight="1" x14ac:dyDescent="0.2">
      <c r="A15" s="201" t="s">
        <v>198</v>
      </c>
      <c r="C15" s="11">
        <f>SUM($C$11:$C$14)</f>
        <v>21483.870999999999</v>
      </c>
      <c r="D15" s="11">
        <f>SUM($D$11:$D$14)</f>
        <v>29903.258099999999</v>
      </c>
      <c r="E15" s="11">
        <f>SUM($E$11:$E$14)</f>
        <v>18642.857100000001</v>
      </c>
      <c r="F15" s="11">
        <f>SUM($F$11:$F$14)</f>
        <v>96.774199999999837</v>
      </c>
      <c r="G15" s="11">
        <f>SUM($G$11:$G$14)</f>
        <v>2700</v>
      </c>
      <c r="H15" s="11">
        <f>SUM($H$11:$H$14)</f>
        <v>4129.0322999999989</v>
      </c>
      <c r="I15" s="11">
        <f>SUM($I$11:$I$14)</f>
        <v>19200.033299999999</v>
      </c>
      <c r="J15" s="11">
        <f>SUM($J$11:$J$14)</f>
        <v>10903.2258</v>
      </c>
      <c r="K15" s="11">
        <f>SUM($K$11:$K$14)</f>
        <v>10032.258099999999</v>
      </c>
      <c r="L15" s="11">
        <f>SUM($L$11:$L$14)</f>
        <v>23233.333299999998</v>
      </c>
      <c r="M15" s="11">
        <f>SUM($M$11:$M$14)</f>
        <v>33387.096799999999</v>
      </c>
      <c r="N15" s="11">
        <f>SUM($N$11:$N$14)</f>
        <v>18500.033299999999</v>
      </c>
      <c r="O15" s="11">
        <f>SUM($O$11:$O$14)</f>
        <v>12806.483899999999</v>
      </c>
      <c r="P15" s="11">
        <f>SUM($P$11:$P$14)</f>
        <v>14161.290300000001</v>
      </c>
      <c r="Q15" s="11">
        <f>SUM($Q$11:$Q$14)</f>
        <v>14321.4643</v>
      </c>
      <c r="R15" s="11">
        <f>SUM($R$11:$R$14)</f>
        <v>23580.6129</v>
      </c>
      <c r="S15" s="11">
        <f>SUM($S$11:$S$14)</f>
        <v>-18966.666700000002</v>
      </c>
      <c r="T15" s="11">
        <f>SUM($T$11:$T$14)</f>
        <v>-9548.354800000001</v>
      </c>
      <c r="U15" s="11">
        <f>SUM($U$11:$U$14)</f>
        <v>-10533.333299999998</v>
      </c>
      <c r="V15" s="11">
        <f>SUM($V$11:$V$14)</f>
        <v>-37709.709699999999</v>
      </c>
      <c r="W15" s="11">
        <f>SUM($W$11:$W$14)</f>
        <v>-45645.1613</v>
      </c>
      <c r="X15" s="11">
        <f>SUM($X$11:$X$14)</f>
        <v>-38333.333299999998</v>
      </c>
      <c r="Y15" s="11">
        <f>SUM($Y$11:$Y$14)</f>
        <v>-26064.516100000001</v>
      </c>
      <c r="Z15" s="11">
        <f>SUM($Z$11:$Z$14)</f>
        <v>-31100</v>
      </c>
    </row>
    <row r="17" spans="1:27" ht="11.25" customHeight="1" x14ac:dyDescent="0.2">
      <c r="A17" s="204" t="s">
        <v>113</v>
      </c>
      <c r="C17" s="204">
        <v>0</v>
      </c>
      <c r="D17" s="204">
        <v>0</v>
      </c>
      <c r="E17" s="204">
        <v>0</v>
      </c>
      <c r="F17" s="204">
        <v>0</v>
      </c>
      <c r="G17" s="204">
        <v>0</v>
      </c>
      <c r="H17" s="204">
        <v>0</v>
      </c>
      <c r="I17" s="204">
        <v>0</v>
      </c>
      <c r="J17" s="204">
        <v>0</v>
      </c>
      <c r="K17" s="204">
        <v>0</v>
      </c>
      <c r="L17" s="204">
        <v>0</v>
      </c>
      <c r="M17" s="204">
        <v>0</v>
      </c>
      <c r="N17" s="204">
        <v>0</v>
      </c>
      <c r="O17" s="204">
        <v>0</v>
      </c>
      <c r="P17" s="204">
        <v>0</v>
      </c>
      <c r="Q17" s="204">
        <v>0</v>
      </c>
      <c r="R17" s="204">
        <v>0</v>
      </c>
      <c r="S17" s="204">
        <v>0</v>
      </c>
      <c r="T17" s="204">
        <v>0</v>
      </c>
      <c r="U17" s="204">
        <v>0</v>
      </c>
      <c r="V17" s="204">
        <v>0</v>
      </c>
      <c r="W17" s="204">
        <v>0</v>
      </c>
      <c r="X17" s="204">
        <v>0</v>
      </c>
      <c r="Y17" s="204">
        <v>0</v>
      </c>
      <c r="Z17" s="204">
        <v>0</v>
      </c>
    </row>
    <row r="18" spans="1:27" ht="13.5" customHeight="1" thickBot="1" x14ac:dyDescent="0.25"/>
    <row r="19" spans="1:27" ht="11.25" customHeight="1" thickBot="1" x14ac:dyDescent="0.25">
      <c r="A19" s="205" t="s">
        <v>114</v>
      </c>
      <c r="B19" s="206"/>
      <c r="C19" s="206">
        <f>SUM((($C$9+$C$15)+$C$17))</f>
        <v>21625.207499999997</v>
      </c>
      <c r="D19" s="206">
        <f>SUM((($D$9+$D$15)+$D$17))</f>
        <v>23595.832200000001</v>
      </c>
      <c r="E19" s="206">
        <f>SUM((($E$9+$E$15)+$E$17))</f>
        <v>16827.402400000003</v>
      </c>
      <c r="F19" s="206">
        <f>SUM((($F$9+$F$15)+$F$17))</f>
        <v>1305.5096000000012</v>
      </c>
      <c r="G19" s="206">
        <f>SUM((($G$9+$G$15)+$G$17))</f>
        <v>-7188.4968000000008</v>
      </c>
      <c r="H19" s="206">
        <f>SUM((($H$9+$H$15)+$H$17))</f>
        <v>11607.2022</v>
      </c>
      <c r="I19" s="206">
        <f>SUM((($I$9+$I$15)+$I$17))</f>
        <v>18050.6214</v>
      </c>
      <c r="J19" s="206">
        <f>SUM((($J$9+$J$15)+$J$17))</f>
        <v>-4105.2935999999991</v>
      </c>
      <c r="K19" s="206">
        <f>SUM((($K$9+$K$15)+$K$17))</f>
        <v>-7556.9064999999973</v>
      </c>
      <c r="L19" s="206">
        <f>SUM((($L$9+$L$15)+$L$17))</f>
        <v>10350.588099999999</v>
      </c>
      <c r="M19" s="206">
        <f>SUM((($M$9+$M$15)+$M$17))</f>
        <v>24314.029000000002</v>
      </c>
      <c r="N19" s="206">
        <f>SUM((($N$9+$N$15)+$N$17))</f>
        <v>13423.073100000001</v>
      </c>
      <c r="O19" s="206">
        <f>SUM((($O$9+$O$15)+$O$17))</f>
        <v>7537.017200000002</v>
      </c>
      <c r="P19" s="206">
        <f>SUM((($P$9+$P$15)+$P$17))</f>
        <v>6698.2430000000022</v>
      </c>
      <c r="Q19" s="206">
        <f>SUM((($Q$9+$Q$15)+$Q$17))</f>
        <v>9813.5184000000008</v>
      </c>
      <c r="R19" s="206">
        <f>SUM((($R$9+$R$15)+$R$17))</f>
        <v>22117.597900000001</v>
      </c>
      <c r="S19" s="206">
        <f>SUM((($S$9+$S$15)+$S$17))</f>
        <v>-22388.496800000001</v>
      </c>
      <c r="T19" s="206">
        <f>SUM((($T$9+$T$15)+$T$17))</f>
        <v>-14908.8946</v>
      </c>
      <c r="U19" s="206">
        <f>SUM((($U$9+$U$15)+$U$17))</f>
        <v>-16055.130099999998</v>
      </c>
      <c r="V19" s="206">
        <f>SUM((($V$9+$V$15)+$V$17))</f>
        <v>-52715.475299999998</v>
      </c>
      <c r="W19" s="206">
        <f>SUM((($W$9+$W$15)+$W$17))</f>
        <v>-64489.604299999999</v>
      </c>
      <c r="X19" s="206">
        <f>SUM((($X$9+$X$15)+$X$17))</f>
        <v>-54855.163399999998</v>
      </c>
      <c r="Y19" s="206">
        <f>SUM((($Y$9+$Y$15)+$Y$17))</f>
        <v>-38263.7978</v>
      </c>
      <c r="Z19" s="24">
        <f>SUM((($Z$9+$Z$15)+$Z$17))</f>
        <v>-53833.333299999998</v>
      </c>
    </row>
    <row r="21" spans="1:27" ht="11.25" customHeight="1" x14ac:dyDescent="0.2">
      <c r="A21" s="204" t="s">
        <v>199</v>
      </c>
      <c r="C21" s="204">
        <f>44431.6591-25000</f>
        <v>19431.659099999997</v>
      </c>
      <c r="D21" s="204">
        <f>47370.0258-25000</f>
        <v>22370.025800000003</v>
      </c>
      <c r="E21" s="204">
        <f>46113.1168-25000</f>
        <v>21113.116800000003</v>
      </c>
      <c r="F21" s="204">
        <f>26563.5742-25000</f>
        <v>1563.5741999999991</v>
      </c>
      <c r="G21" s="204">
        <v>-3121.8301000000001</v>
      </c>
      <c r="H21" s="204">
        <v>15800.7505</v>
      </c>
      <c r="I21" s="204">
        <v>22450.621500000001</v>
      </c>
      <c r="J21" s="204">
        <v>1217.2871</v>
      </c>
      <c r="K21" s="204">
        <v>-2040.7773999999999</v>
      </c>
      <c r="L21" s="204">
        <v>15850.5882</v>
      </c>
      <c r="M21" s="204">
        <v>29733.383900000001</v>
      </c>
      <c r="N21" s="204">
        <v>13656.4064</v>
      </c>
      <c r="O21" s="204">
        <v>8117.6623</v>
      </c>
      <c r="P21" s="204">
        <v>7569.2106999999996</v>
      </c>
      <c r="Q21" s="204">
        <v>10599.232599999999</v>
      </c>
      <c r="R21" s="204">
        <v>22956.307499999999</v>
      </c>
      <c r="S21" s="204">
        <v>-21655.163499999999</v>
      </c>
      <c r="T21" s="204">
        <v>-14844.378500000001</v>
      </c>
      <c r="U21" s="204">
        <v>-15955.1301</v>
      </c>
      <c r="V21" s="204">
        <v>-52005.797899999998</v>
      </c>
      <c r="W21" s="204">
        <v>-63586.378499999999</v>
      </c>
      <c r="X21" s="204">
        <v>-54021.830099999999</v>
      </c>
      <c r="Y21" s="204">
        <v>-37683.152699999999</v>
      </c>
      <c r="Z21" s="204">
        <v>-53533.333299999998</v>
      </c>
    </row>
    <row r="22" spans="1:27" ht="11.25" customHeight="1" x14ac:dyDescent="0.2">
      <c r="A22" s="204" t="s">
        <v>0</v>
      </c>
      <c r="C22" s="207">
        <f>SUM(($C$19-$C$21))</f>
        <v>2193.5483999999997</v>
      </c>
      <c r="D22" s="207">
        <f>SUM(($D$19-$D$21))</f>
        <v>1225.8063999999977</v>
      </c>
      <c r="E22" s="207">
        <f>SUM(($E$19-$E$21))</f>
        <v>-4285.7144000000008</v>
      </c>
      <c r="F22" s="207">
        <f>SUM(($F$19-$F$21))</f>
        <v>-258.06459999999788</v>
      </c>
      <c r="G22" s="207">
        <f>SUM(($G$19-$G$21))</f>
        <v>-4066.6667000000007</v>
      </c>
      <c r="H22" s="207">
        <f>SUM(($H$19-$H$21))</f>
        <v>-4193.5483000000004</v>
      </c>
      <c r="I22" s="207">
        <f>SUM(($I$19-$I$21))</f>
        <v>-4400.0001000000011</v>
      </c>
      <c r="J22" s="207">
        <f>SUM(($J$19-$J$21))</f>
        <v>-5322.5806999999986</v>
      </c>
      <c r="K22" s="207">
        <f>SUM(($K$19-$K$21))</f>
        <v>-5516.1290999999974</v>
      </c>
      <c r="L22" s="207">
        <f>SUM(($L$19-$L$21))</f>
        <v>-5500.0001000000011</v>
      </c>
      <c r="M22" s="207">
        <f>SUM(($M$19-$M$21))</f>
        <v>-5419.3548999999985</v>
      </c>
      <c r="N22" s="207">
        <f>SUM(($N$19-$N$21))</f>
        <v>-233.33329999999842</v>
      </c>
      <c r="O22" s="207">
        <f>SUM(($O$19-$O$21))</f>
        <v>-580.64509999999791</v>
      </c>
      <c r="P22" s="207">
        <f>SUM(($P$19-$P$21))</f>
        <v>-870.96769999999742</v>
      </c>
      <c r="Q22" s="207">
        <f>SUM(($Q$19-$Q$21))</f>
        <v>-785.71419999999853</v>
      </c>
      <c r="R22" s="207">
        <f>SUM(($R$19-$R$21))</f>
        <v>-838.70959999999832</v>
      </c>
      <c r="S22" s="207">
        <f>SUM(($S$19-$S$21))</f>
        <v>-733.33330000000205</v>
      </c>
      <c r="T22" s="207">
        <f>SUM(($T$19-$T$21))</f>
        <v>-64.516099999998914</v>
      </c>
      <c r="U22" s="207">
        <f>SUM(($U$19-$U$21))</f>
        <v>-99.999999999998181</v>
      </c>
      <c r="V22" s="207">
        <f>SUM(($V$19-$V$21))</f>
        <v>-709.67740000000049</v>
      </c>
      <c r="W22" s="207">
        <f>SUM(($W$19-$W$21))</f>
        <v>-903.22580000000016</v>
      </c>
      <c r="X22" s="207">
        <f>SUM(($X$19-$X$21))</f>
        <v>-833.33329999999842</v>
      </c>
      <c r="Y22" s="207">
        <f>SUM(($Y$19-$Y$21))</f>
        <v>-580.64510000000155</v>
      </c>
      <c r="Z22" s="207">
        <f>SUM(($Z$19-$Z$21))</f>
        <v>-300</v>
      </c>
    </row>
    <row r="24" spans="1:27" ht="12" customHeight="1" x14ac:dyDescent="0.2">
      <c r="A24" s="203" t="s">
        <v>1</v>
      </c>
    </row>
    <row r="25" spans="1:27" ht="11.25" customHeight="1" x14ac:dyDescent="0.2">
      <c r="A25" s="204" t="s">
        <v>200</v>
      </c>
      <c r="C25" s="204">
        <v>-5551492</v>
      </c>
      <c r="D25" s="204">
        <v>-4856635</v>
      </c>
      <c r="E25" s="204">
        <v>-4250114</v>
      </c>
      <c r="F25" s="204">
        <v>-4027227</v>
      </c>
      <c r="G25" s="204">
        <v>-2302694</v>
      </c>
      <c r="H25" s="204">
        <v>-2598330</v>
      </c>
      <c r="I25" s="204">
        <v>-2814702</v>
      </c>
      <c r="J25" s="204">
        <v>-3317958</v>
      </c>
      <c r="K25" s="204">
        <v>-3546001</v>
      </c>
      <c r="L25" s="204">
        <v>-3391420</v>
      </c>
      <c r="M25" s="204">
        <v>-3415969</v>
      </c>
      <c r="N25" s="204">
        <v>-4886353</v>
      </c>
      <c r="O25" s="204">
        <v>-4650446</v>
      </c>
      <c r="P25" s="204">
        <v>-4400744</v>
      </c>
      <c r="Q25" s="204">
        <v>-3951947</v>
      </c>
      <c r="R25" s="204">
        <v>-4561442</v>
      </c>
      <c r="S25" s="204">
        <v>183525</v>
      </c>
      <c r="T25" s="204">
        <v>194835</v>
      </c>
      <c r="U25" s="204">
        <v>202822</v>
      </c>
      <c r="V25" s="204">
        <v>226527</v>
      </c>
      <c r="W25" s="204">
        <v>243136</v>
      </c>
      <c r="X25" s="204">
        <v>239931</v>
      </c>
      <c r="Y25" s="204">
        <v>268778</v>
      </c>
      <c r="Z25" s="204">
        <v>0</v>
      </c>
      <c r="AA25" s="204">
        <f>SUM($C$25:$Z$25)</f>
        <v>-60963920</v>
      </c>
    </row>
    <row r="26" spans="1:27" ht="11.25" customHeight="1" thickBot="1" x14ac:dyDescent="0.25">
      <c r="A26" s="204" t="s">
        <v>201</v>
      </c>
      <c r="C26" s="204">
        <v>14572430</v>
      </c>
      <c r="D26" s="204">
        <v>14439049</v>
      </c>
      <c r="E26" s="204">
        <v>11076603</v>
      </c>
      <c r="F26" s="204">
        <v>4158128</v>
      </c>
      <c r="G26" s="204">
        <v>1602784</v>
      </c>
      <c r="H26" s="204">
        <v>2206702</v>
      </c>
      <c r="I26" s="204">
        <v>3946533</v>
      </c>
      <c r="J26" s="204">
        <v>5357340</v>
      </c>
      <c r="K26" s="204">
        <v>4863843</v>
      </c>
      <c r="L26" s="204">
        <v>5518088</v>
      </c>
      <c r="M26" s="204">
        <v>5876903</v>
      </c>
      <c r="N26" s="204">
        <v>5798571</v>
      </c>
      <c r="O26" s="204">
        <v>5813443</v>
      </c>
      <c r="P26" s="204">
        <v>1909005</v>
      </c>
      <c r="Q26" s="204">
        <v>1293932</v>
      </c>
      <c r="R26" s="204">
        <v>1555183</v>
      </c>
      <c r="S26" s="204">
        <v>-125526</v>
      </c>
      <c r="T26" s="204">
        <v>-201061</v>
      </c>
      <c r="U26" s="204">
        <v>-49590</v>
      </c>
      <c r="V26" s="204">
        <v>-212142</v>
      </c>
      <c r="W26" s="204">
        <v>-257312</v>
      </c>
      <c r="X26" s="204">
        <v>-150689</v>
      </c>
      <c r="Y26" s="204">
        <v>-39796</v>
      </c>
      <c r="Z26" s="204">
        <v>1722447</v>
      </c>
      <c r="AA26" s="204">
        <f>SUM($C$26:$Z$26)</f>
        <v>90674868</v>
      </c>
    </row>
    <row r="27" spans="1:27" ht="11.25" customHeight="1" thickBot="1" x14ac:dyDescent="0.25">
      <c r="A27" s="205" t="s">
        <v>191</v>
      </c>
      <c r="B27" s="206"/>
      <c r="C27" s="206">
        <f>SUM($C$25:$C$26)</f>
        <v>9020938</v>
      </c>
      <c r="D27" s="206">
        <f>SUM($D$25:$D$26)</f>
        <v>9582414</v>
      </c>
      <c r="E27" s="206">
        <f>SUM($E$25:$E$26)</f>
        <v>6826489</v>
      </c>
      <c r="F27" s="206">
        <f>SUM($F$25:$F$26)</f>
        <v>130901</v>
      </c>
      <c r="G27" s="206">
        <f>SUM($G$25:$G$26)</f>
        <v>-699910</v>
      </c>
      <c r="H27" s="206">
        <f>SUM($H$25:$H$26)</f>
        <v>-391628</v>
      </c>
      <c r="I27" s="206">
        <f>SUM($I$25:$I$26)</f>
        <v>1131831</v>
      </c>
      <c r="J27" s="206">
        <f>SUM($J$25:$J$26)</f>
        <v>2039382</v>
      </c>
      <c r="K27" s="206">
        <f>SUM($K$25:$K$26)</f>
        <v>1317842</v>
      </c>
      <c r="L27" s="206">
        <f>SUM($L$25:$L$26)</f>
        <v>2126668</v>
      </c>
      <c r="M27" s="206">
        <f>SUM($M$25:$M$26)</f>
        <v>2460934</v>
      </c>
      <c r="N27" s="206">
        <f>SUM($N$25:$N$26)</f>
        <v>912218</v>
      </c>
      <c r="O27" s="206">
        <f>SUM($O$25:$O$26)</f>
        <v>1162997</v>
      </c>
      <c r="P27" s="206">
        <f>SUM($P$25:$P$26)</f>
        <v>-2491739</v>
      </c>
      <c r="Q27" s="206">
        <f>SUM($Q$25:$Q$26)</f>
        <v>-2658015</v>
      </c>
      <c r="R27" s="206">
        <f>SUM($R$25:$R$26)</f>
        <v>-3006259</v>
      </c>
      <c r="S27" s="206">
        <f>SUM($S$25:$S$26)</f>
        <v>57999</v>
      </c>
      <c r="T27" s="206">
        <f>SUM($T$25:$T$26)</f>
        <v>-6226</v>
      </c>
      <c r="U27" s="206">
        <f>SUM($U$25:$U$26)</f>
        <v>153232</v>
      </c>
      <c r="V27" s="206">
        <f>SUM($V$25:$V$26)</f>
        <v>14385</v>
      </c>
      <c r="W27" s="206">
        <f>SUM($W$25:$W$26)</f>
        <v>-14176</v>
      </c>
      <c r="X27" s="206">
        <f>SUM($X$25:$X$26)</f>
        <v>89242</v>
      </c>
      <c r="Y27" s="206">
        <f>SUM($Y$25:$Y$26)</f>
        <v>228982</v>
      </c>
      <c r="Z27" s="206">
        <f>SUM($Z$25:$Z$26)</f>
        <v>1722447</v>
      </c>
      <c r="AA27" s="24">
        <f>SUM($AA$25:$AA$26)</f>
        <v>29710948</v>
      </c>
    </row>
    <row r="28" spans="1:27" ht="11.25" customHeight="1" x14ac:dyDescent="0.2">
      <c r="A28" s="204" t="s">
        <v>2</v>
      </c>
      <c r="C28" s="204">
        <v>8980224</v>
      </c>
      <c r="D28" s="204">
        <v>9541063</v>
      </c>
      <c r="E28" s="204">
        <v>6792019</v>
      </c>
      <c r="F28" s="204">
        <v>127341</v>
      </c>
      <c r="G28" s="204">
        <v>-699555</v>
      </c>
      <c r="H28" s="204">
        <v>-393884</v>
      </c>
      <c r="I28" s="204">
        <v>1130131</v>
      </c>
      <c r="J28" s="204">
        <v>2063012</v>
      </c>
      <c r="K28" s="204">
        <v>1341182</v>
      </c>
      <c r="L28" s="204">
        <v>2142320</v>
      </c>
      <c r="M28" s="204">
        <v>2481442</v>
      </c>
      <c r="N28" s="204">
        <v>912764</v>
      </c>
      <c r="O28" s="204">
        <v>1163440</v>
      </c>
      <c r="P28" s="204">
        <v>-2491162</v>
      </c>
      <c r="Q28" s="204">
        <v>-2655938</v>
      </c>
      <c r="R28" s="204">
        <v>-3005642</v>
      </c>
      <c r="S28" s="204">
        <v>55542</v>
      </c>
      <c r="T28" s="204">
        <v>-6143</v>
      </c>
      <c r="U28" s="204">
        <v>153303</v>
      </c>
      <c r="V28" s="204">
        <v>14536</v>
      </c>
      <c r="W28" s="204">
        <v>-13942</v>
      </c>
      <c r="X28" s="204">
        <v>89534</v>
      </c>
      <c r="Y28" s="204">
        <v>229221</v>
      </c>
      <c r="Z28" s="204">
        <v>1722653</v>
      </c>
      <c r="AA28" s="204">
        <v>29673461</v>
      </c>
    </row>
    <row r="29" spans="1:27" ht="11.25" customHeight="1" x14ac:dyDescent="0.2">
      <c r="A29" s="204" t="s">
        <v>0</v>
      </c>
      <c r="C29" s="207">
        <f>SUM(($C$27-$C$28))</f>
        <v>40714</v>
      </c>
      <c r="D29" s="207">
        <f>SUM(($D$27-$D$28))</f>
        <v>41351</v>
      </c>
      <c r="E29" s="207">
        <f>SUM(($E$27-$E$28))</f>
        <v>34470</v>
      </c>
      <c r="F29" s="207">
        <f>SUM(($F$27-$F$28))</f>
        <v>3560</v>
      </c>
      <c r="G29" s="207">
        <f>SUM(($G$27-$G$28))</f>
        <v>-355</v>
      </c>
      <c r="H29" s="207">
        <f>SUM(($H$27-$H$28))</f>
        <v>2256</v>
      </c>
      <c r="I29" s="207">
        <f>SUM(($I$27-$I$28))</f>
        <v>1700</v>
      </c>
      <c r="J29" s="207">
        <f>SUM(($J$27-$J$28))</f>
        <v>-23630</v>
      </c>
      <c r="K29" s="207">
        <f>SUM(($K$27-$K$28))</f>
        <v>-23340</v>
      </c>
      <c r="L29" s="207">
        <f>SUM(($L$27-$L$28))</f>
        <v>-15652</v>
      </c>
      <c r="M29" s="207">
        <f>SUM(($M$27-$M$28))</f>
        <v>-20508</v>
      </c>
      <c r="N29" s="207">
        <f>SUM(($N$27-$N$28))</f>
        <v>-546</v>
      </c>
      <c r="O29" s="207">
        <f>SUM(($O$27-$O$28))</f>
        <v>-443</v>
      </c>
      <c r="P29" s="207">
        <f>SUM(($P$27-$P$28))</f>
        <v>-577</v>
      </c>
      <c r="Q29" s="207">
        <f>SUM(($Q$27-$Q$28))</f>
        <v>-2077</v>
      </c>
      <c r="R29" s="207">
        <f>SUM(($R$27-$R$28))</f>
        <v>-617</v>
      </c>
      <c r="S29" s="207">
        <f>SUM(($S$27-$S$28))</f>
        <v>2457</v>
      </c>
      <c r="T29" s="207">
        <f>SUM(($T$27-$T$28))</f>
        <v>-83</v>
      </c>
      <c r="U29" s="207">
        <f>SUM(($U$27-$U$28))</f>
        <v>-71</v>
      </c>
      <c r="V29" s="207">
        <f>SUM(($V$27-$V$28))</f>
        <v>-151</v>
      </c>
      <c r="W29" s="207">
        <f>SUM(($W$27-$W$28))</f>
        <v>-234</v>
      </c>
      <c r="X29" s="207">
        <f>SUM(($X$27-$X$28))</f>
        <v>-292</v>
      </c>
      <c r="Y29" s="207">
        <f>SUM(($Y$27-$Y$28))</f>
        <v>-239</v>
      </c>
      <c r="Z29" s="207">
        <f>SUM(($Z$27-$Z$28))</f>
        <v>-206</v>
      </c>
      <c r="AA29" s="207">
        <f>SUM(($AA$27-$AA$28))</f>
        <v>37487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C2" sqref="C2"/>
    </sheetView>
  </sheetViews>
  <sheetFormatPr defaultColWidth="12" defaultRowHeight="13.5" customHeight="1" x14ac:dyDescent="0.2"/>
  <cols>
    <col min="1" max="1" width="33.1640625" style="56" customWidth="1"/>
    <col min="2" max="2" width="4" style="56" customWidth="1"/>
    <col min="3" max="26" width="13.33203125" style="56" customWidth="1"/>
    <col min="27" max="27" width="16" style="56" customWidth="1"/>
  </cols>
  <sheetData>
    <row r="1" spans="1:27" ht="12" customHeight="1" x14ac:dyDescent="0.2">
      <c r="A1" s="35" t="s">
        <v>193</v>
      </c>
    </row>
    <row r="2" spans="1:27" ht="12" customHeight="1" x14ac:dyDescent="0.2">
      <c r="A2" s="35" t="s">
        <v>146</v>
      </c>
    </row>
    <row r="3" spans="1:27" ht="12" customHeight="1" x14ac:dyDescent="0.2">
      <c r="A3" s="35" t="s">
        <v>178</v>
      </c>
    </row>
    <row r="4" spans="1:27" ht="12" customHeight="1" x14ac:dyDescent="0.2">
      <c r="A4" s="35" t="s">
        <v>179</v>
      </c>
    </row>
    <row r="6" spans="1:27" ht="12" customHeight="1" x14ac:dyDescent="0.2">
      <c r="A6" s="36" t="s">
        <v>180</v>
      </c>
      <c r="C6" s="191" t="s">
        <v>148</v>
      </c>
      <c r="D6" s="191" t="s">
        <v>149</v>
      </c>
      <c r="E6" s="191" t="s">
        <v>150</v>
      </c>
      <c r="F6" s="191" t="s">
        <v>151</v>
      </c>
      <c r="G6" s="191" t="s">
        <v>152</v>
      </c>
      <c r="H6" s="191" t="s">
        <v>153</v>
      </c>
      <c r="I6" s="191" t="s">
        <v>154</v>
      </c>
      <c r="J6" s="191" t="s">
        <v>155</v>
      </c>
      <c r="K6" s="191" t="s">
        <v>156</v>
      </c>
      <c r="L6" s="191" t="s">
        <v>157</v>
      </c>
      <c r="M6" s="191" t="s">
        <v>158</v>
      </c>
      <c r="N6" s="191" t="s">
        <v>159</v>
      </c>
      <c r="O6" s="191" t="s">
        <v>160</v>
      </c>
      <c r="P6" s="191" t="s">
        <v>161</v>
      </c>
      <c r="Q6" s="191" t="s">
        <v>162</v>
      </c>
      <c r="R6" s="191" t="s">
        <v>163</v>
      </c>
      <c r="S6" s="191" t="s">
        <v>164</v>
      </c>
      <c r="T6" s="191" t="s">
        <v>165</v>
      </c>
      <c r="U6" s="191" t="s">
        <v>166</v>
      </c>
      <c r="V6" s="191" t="s">
        <v>167</v>
      </c>
      <c r="W6" s="191" t="s">
        <v>168</v>
      </c>
      <c r="X6" s="191" t="s">
        <v>169</v>
      </c>
      <c r="Y6" s="191" t="s">
        <v>170</v>
      </c>
      <c r="Z6" s="191" t="s">
        <v>171</v>
      </c>
      <c r="AA6" s="191" t="s">
        <v>40</v>
      </c>
    </row>
    <row r="7" spans="1:27" ht="11.25" customHeight="1" x14ac:dyDescent="0.2">
      <c r="A7" s="55" t="s">
        <v>110</v>
      </c>
      <c r="C7" s="55">
        <v>0</v>
      </c>
      <c r="D7" s="55">
        <v>0</v>
      </c>
      <c r="E7" s="55">
        <v>0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</row>
    <row r="8" spans="1:27" ht="11.25" customHeight="1" x14ac:dyDescent="0.2">
      <c r="A8" s="55" t="s">
        <v>194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</row>
    <row r="9" spans="1:27" ht="11.25" customHeight="1" x14ac:dyDescent="0.2">
      <c r="A9" s="35" t="s">
        <v>195</v>
      </c>
      <c r="C9" s="57">
        <v>0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</row>
    <row r="11" spans="1:27" ht="11.25" customHeight="1" x14ac:dyDescent="0.2">
      <c r="A11" s="55" t="s">
        <v>111</v>
      </c>
      <c r="C11" s="55">
        <v>0</v>
      </c>
      <c r="D11" s="55">
        <v>0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</row>
    <row r="12" spans="1:27" ht="11.25" customHeight="1" x14ac:dyDescent="0.2">
      <c r="A12" s="55" t="s">
        <v>112</v>
      </c>
      <c r="C12" s="55">
        <v>0</v>
      </c>
      <c r="D12" s="55">
        <v>0</v>
      </c>
      <c r="E12" s="55">
        <v>0</v>
      </c>
      <c r="F12" s="55">
        <v>0</v>
      </c>
      <c r="G12" s="55">
        <v>-5000</v>
      </c>
      <c r="H12" s="55">
        <v>-5000</v>
      </c>
      <c r="I12" s="55">
        <v>-5000</v>
      </c>
      <c r="J12" s="55">
        <v>-5000</v>
      </c>
      <c r="K12" s="55">
        <v>-5000</v>
      </c>
      <c r="L12" s="55">
        <v>-5000</v>
      </c>
      <c r="M12" s="55">
        <v>-5000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</row>
    <row r="13" spans="1:27" ht="11.25" customHeight="1" x14ac:dyDescent="0.2">
      <c r="A13" s="55" t="s">
        <v>196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</row>
    <row r="14" spans="1:27" ht="11.25" customHeight="1" x14ac:dyDescent="0.2">
      <c r="A14" s="55" t="s">
        <v>197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</row>
    <row r="15" spans="1:27" ht="11.25" customHeight="1" x14ac:dyDescent="0.2">
      <c r="A15" s="35" t="s">
        <v>198</v>
      </c>
      <c r="C15" s="57">
        <v>0</v>
      </c>
      <c r="D15" s="57">
        <v>0</v>
      </c>
      <c r="E15" s="57">
        <v>0</v>
      </c>
      <c r="F15" s="57">
        <v>0</v>
      </c>
      <c r="G15" s="57">
        <v>-5000</v>
      </c>
      <c r="H15" s="57">
        <v>-5000</v>
      </c>
      <c r="I15" s="57">
        <v>-5000</v>
      </c>
      <c r="J15" s="57">
        <v>-5000</v>
      </c>
      <c r="K15" s="57">
        <v>-5000</v>
      </c>
      <c r="L15" s="57">
        <v>-5000</v>
      </c>
      <c r="M15" s="57">
        <v>-5000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</row>
    <row r="17" spans="1:27" ht="11.25" customHeight="1" x14ac:dyDescent="0.2">
      <c r="A17" s="55" t="s">
        <v>113</v>
      </c>
      <c r="C17" s="55">
        <v>-6451.6129000000001</v>
      </c>
      <c r="D17" s="55">
        <v>-6451.6129000000001</v>
      </c>
      <c r="E17" s="199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</row>
    <row r="19" spans="1:27" ht="11.25" customHeight="1" x14ac:dyDescent="0.2">
      <c r="A19" s="37" t="s">
        <v>114</v>
      </c>
      <c r="B19" s="58"/>
      <c r="C19" s="58">
        <v>-6451.6129000000001</v>
      </c>
      <c r="D19" s="58">
        <v>-6451.6129000000001</v>
      </c>
      <c r="E19" s="58">
        <v>0</v>
      </c>
      <c r="F19" s="58">
        <v>0</v>
      </c>
      <c r="G19" s="58">
        <v>-5000</v>
      </c>
      <c r="H19" s="58">
        <v>-5000</v>
      </c>
      <c r="I19" s="58">
        <v>-5000</v>
      </c>
      <c r="J19" s="58">
        <v>-5000</v>
      </c>
      <c r="K19" s="58">
        <v>-5000</v>
      </c>
      <c r="L19" s="58">
        <v>-5000</v>
      </c>
      <c r="M19" s="58">
        <v>-5000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9">
        <v>0</v>
      </c>
    </row>
    <row r="21" spans="1:27" ht="11.25" customHeight="1" x14ac:dyDescent="0.2">
      <c r="A21" s="55" t="s">
        <v>199</v>
      </c>
      <c r="C21" s="55">
        <v>-6451.6129000000001</v>
      </c>
      <c r="D21" s="55">
        <v>-6451.6129000000001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</row>
    <row r="22" spans="1:27" ht="11.25" customHeight="1" x14ac:dyDescent="0.2">
      <c r="A22" s="55" t="s">
        <v>0</v>
      </c>
      <c r="C22" s="39">
        <v>0</v>
      </c>
      <c r="D22" s="39">
        <v>0</v>
      </c>
      <c r="E22" s="39">
        <v>0</v>
      </c>
      <c r="F22" s="39">
        <v>0</v>
      </c>
      <c r="G22" s="39">
        <v>-5000</v>
      </c>
      <c r="H22" s="39">
        <v>-5000</v>
      </c>
      <c r="I22" s="39">
        <v>-5000</v>
      </c>
      <c r="J22" s="39">
        <v>-5000</v>
      </c>
      <c r="K22" s="39">
        <v>-5000</v>
      </c>
      <c r="L22" s="39">
        <v>-5000</v>
      </c>
      <c r="M22" s="39">
        <v>-5000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</row>
    <row r="24" spans="1:27" ht="12" customHeight="1" x14ac:dyDescent="0.2">
      <c r="A24" s="36" t="s">
        <v>1</v>
      </c>
    </row>
    <row r="25" spans="1:27" ht="11.25" customHeight="1" x14ac:dyDescent="0.2">
      <c r="A25" s="55" t="s">
        <v>200</v>
      </c>
      <c r="C25" s="55">
        <v>62021</v>
      </c>
      <c r="D25" s="55">
        <v>135064</v>
      </c>
      <c r="E25" s="55">
        <v>137164</v>
      </c>
      <c r="F25" s="55">
        <v>145399</v>
      </c>
      <c r="G25" s="55">
        <v>-15001</v>
      </c>
      <c r="H25" s="55">
        <v>-21548</v>
      </c>
      <c r="I25" s="55">
        <v>-26665</v>
      </c>
      <c r="J25" s="55">
        <v>-33515</v>
      </c>
      <c r="K25" s="55">
        <v>-39441</v>
      </c>
      <c r="L25" s="55">
        <v>-39504</v>
      </c>
      <c r="M25" s="55">
        <v>-45180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258794</v>
      </c>
    </row>
    <row r="26" spans="1:27" ht="11.25" customHeight="1" x14ac:dyDescent="0.2">
      <c r="A26" s="55" t="s">
        <v>201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</row>
    <row r="27" spans="1:27" ht="11.25" customHeight="1" x14ac:dyDescent="0.2">
      <c r="A27" s="37" t="s">
        <v>191</v>
      </c>
      <c r="B27" s="58"/>
      <c r="C27" s="58">
        <v>62021</v>
      </c>
      <c r="D27" s="58">
        <v>135064</v>
      </c>
      <c r="E27" s="58">
        <v>137164</v>
      </c>
      <c r="F27" s="58">
        <v>145399</v>
      </c>
      <c r="G27" s="58">
        <v>-15001</v>
      </c>
      <c r="H27" s="58">
        <v>-21548</v>
      </c>
      <c r="I27" s="58">
        <v>-26665</v>
      </c>
      <c r="J27" s="58">
        <v>-33515</v>
      </c>
      <c r="K27" s="58">
        <v>-39441</v>
      </c>
      <c r="L27" s="58">
        <v>-39504</v>
      </c>
      <c r="M27" s="58">
        <v>-45180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9">
        <v>258794</v>
      </c>
    </row>
    <row r="28" spans="1:27" ht="11.25" customHeight="1" x14ac:dyDescent="0.2">
      <c r="A28" s="55" t="s">
        <v>2</v>
      </c>
      <c r="C28" s="55">
        <v>77994</v>
      </c>
      <c r="D28" s="55">
        <v>146997</v>
      </c>
      <c r="E28" s="55">
        <v>137150</v>
      </c>
      <c r="F28" s="55">
        <v>145384</v>
      </c>
      <c r="G28" s="55">
        <v>-26836</v>
      </c>
      <c r="H28" s="55">
        <v>-27642</v>
      </c>
      <c r="I28" s="55">
        <v>-26663</v>
      </c>
      <c r="J28" s="55">
        <v>-27455</v>
      </c>
      <c r="K28" s="55">
        <v>-27363</v>
      </c>
      <c r="L28" s="55">
        <v>-26400</v>
      </c>
      <c r="M28" s="55">
        <v>-27187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317979</v>
      </c>
    </row>
    <row r="29" spans="1:27" ht="11.25" customHeight="1" x14ac:dyDescent="0.2">
      <c r="A29" s="55" t="s">
        <v>0</v>
      </c>
      <c r="C29" s="39">
        <v>-15973</v>
      </c>
      <c r="D29" s="39">
        <v>-11933</v>
      </c>
      <c r="E29" s="39">
        <v>14</v>
      </c>
      <c r="F29" s="39">
        <v>15</v>
      </c>
      <c r="G29" s="39">
        <v>11835</v>
      </c>
      <c r="H29" s="39">
        <v>6094</v>
      </c>
      <c r="I29" s="39">
        <v>-2</v>
      </c>
      <c r="J29" s="39">
        <v>-6060</v>
      </c>
      <c r="K29" s="39">
        <v>-12078</v>
      </c>
      <c r="L29" s="39">
        <v>-13104</v>
      </c>
      <c r="M29" s="39">
        <v>-17993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-59185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48"/>
  </cols>
  <sheetData>
    <row r="1" spans="1:27" ht="12" customHeight="1" x14ac:dyDescent="0.2">
      <c r="A1" s="2" t="s">
        <v>177</v>
      </c>
    </row>
    <row r="2" spans="1:27" ht="12" customHeight="1" x14ac:dyDescent="0.2">
      <c r="A2" s="2" t="s">
        <v>146</v>
      </c>
    </row>
    <row r="3" spans="1:27" ht="12" customHeight="1" x14ac:dyDescent="0.2">
      <c r="A3" s="2" t="s">
        <v>178</v>
      </c>
    </row>
    <row r="4" spans="1:27" ht="12" customHeight="1" x14ac:dyDescent="0.2">
      <c r="A4" s="2" t="s">
        <v>179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148</v>
      </c>
      <c r="D8" s="51" t="s">
        <v>149</v>
      </c>
      <c r="E8" s="51" t="s">
        <v>150</v>
      </c>
      <c r="F8" s="51" t="s">
        <v>151</v>
      </c>
      <c r="G8" s="51" t="s">
        <v>152</v>
      </c>
      <c r="H8" s="51" t="s">
        <v>153</v>
      </c>
      <c r="I8" s="51" t="s">
        <v>154</v>
      </c>
      <c r="J8" s="51" t="s">
        <v>155</v>
      </c>
      <c r="K8" s="51" t="s">
        <v>156</v>
      </c>
      <c r="L8" s="51" t="s">
        <v>157</v>
      </c>
      <c r="M8" s="51" t="s">
        <v>158</v>
      </c>
      <c r="N8" s="51" t="s">
        <v>159</v>
      </c>
      <c r="O8" s="51" t="s">
        <v>160</v>
      </c>
      <c r="P8" s="51" t="s">
        <v>161</v>
      </c>
      <c r="Q8" s="51" t="s">
        <v>162</v>
      </c>
      <c r="R8" s="51" t="s">
        <v>163</v>
      </c>
      <c r="S8" s="51" t="s">
        <v>164</v>
      </c>
      <c r="T8" s="51" t="s">
        <v>165</v>
      </c>
      <c r="U8" s="51" t="s">
        <v>166</v>
      </c>
      <c r="V8" s="51" t="s">
        <v>167</v>
      </c>
      <c r="W8" s="51" t="s">
        <v>168</v>
      </c>
      <c r="X8" s="51" t="s">
        <v>169</v>
      </c>
      <c r="Y8" s="51" t="s">
        <v>170</v>
      </c>
      <c r="Z8" s="51" t="s">
        <v>171</v>
      </c>
      <c r="AA8" s="51" t="s">
        <v>40</v>
      </c>
    </row>
    <row r="9" spans="1:27" ht="12" customHeight="1" x14ac:dyDescent="0.2">
      <c r="A9" s="142" t="s">
        <v>180</v>
      </c>
    </row>
    <row r="10" spans="1:27" ht="11.25" customHeight="1" x14ac:dyDescent="0.2">
      <c r="A10" s="143" t="s">
        <v>42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</row>
    <row r="11" spans="1:27" ht="11.25" customHeight="1" x14ac:dyDescent="0.2">
      <c r="A11" s="143" t="s">
        <v>181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182</v>
      </c>
    </row>
    <row r="15" spans="1:27" ht="11.25" customHeight="1" x14ac:dyDescent="0.2">
      <c r="A15" s="143" t="s">
        <v>42</v>
      </c>
      <c r="C15" s="146">
        <v>2.87</v>
      </c>
      <c r="D15" s="146">
        <v>3.06</v>
      </c>
      <c r="E15" s="146">
        <v>3.1</v>
      </c>
      <c r="F15" s="146">
        <v>3.06</v>
      </c>
      <c r="G15" s="146">
        <v>3.03</v>
      </c>
      <c r="H15" s="146">
        <v>3.07</v>
      </c>
      <c r="I15" s="146">
        <v>3.11</v>
      </c>
      <c r="J15" s="146">
        <v>3.15</v>
      </c>
      <c r="K15" s="146">
        <v>3.18</v>
      </c>
      <c r="L15" s="146">
        <v>3.19</v>
      </c>
      <c r="M15" s="146">
        <v>3.22</v>
      </c>
      <c r="N15" s="146">
        <v>3.41</v>
      </c>
      <c r="O15" s="146">
        <v>3.59</v>
      </c>
      <c r="P15" s="146">
        <v>3.7</v>
      </c>
      <c r="Q15" s="146">
        <v>3.63</v>
      </c>
      <c r="R15" s="146">
        <v>3.52</v>
      </c>
      <c r="S15" s="146">
        <v>3.41</v>
      </c>
      <c r="T15" s="146">
        <v>3.42</v>
      </c>
      <c r="U15" s="146">
        <v>3.45</v>
      </c>
      <c r="V15" s="146">
        <v>3.48</v>
      </c>
      <c r="W15" s="146">
        <v>3.51</v>
      </c>
      <c r="X15" s="146">
        <v>3.52</v>
      </c>
      <c r="Y15" s="146">
        <v>3.56</v>
      </c>
      <c r="Z15" s="146">
        <v>3.71</v>
      </c>
      <c r="AA15" s="146"/>
    </row>
    <row r="16" spans="1:27" ht="11.25" customHeight="1" x14ac:dyDescent="0.2">
      <c r="A16" s="143" t="s">
        <v>181</v>
      </c>
      <c r="C16" s="146">
        <v>2.79</v>
      </c>
      <c r="D16" s="146">
        <v>3</v>
      </c>
      <c r="E16" s="146">
        <v>3.04</v>
      </c>
      <c r="F16" s="146">
        <v>3.03</v>
      </c>
      <c r="G16" s="146">
        <v>3</v>
      </c>
      <c r="H16" s="146">
        <v>3.04</v>
      </c>
      <c r="I16" s="146">
        <v>3.09</v>
      </c>
      <c r="J16" s="146">
        <v>3.13</v>
      </c>
      <c r="K16" s="146">
        <v>3.17</v>
      </c>
      <c r="L16" s="146">
        <v>3.18</v>
      </c>
      <c r="M16" s="146">
        <v>3.22</v>
      </c>
      <c r="N16" s="146">
        <v>3.41</v>
      </c>
      <c r="O16" s="146">
        <v>3.59</v>
      </c>
      <c r="P16" s="146">
        <v>3.7</v>
      </c>
      <c r="Q16" s="146">
        <v>3.63</v>
      </c>
      <c r="R16" s="146">
        <v>3.52</v>
      </c>
      <c r="S16" s="146">
        <v>3.41</v>
      </c>
      <c r="T16" s="146">
        <v>3.42</v>
      </c>
      <c r="U16" s="146">
        <v>3.45</v>
      </c>
      <c r="V16" s="146">
        <v>3.48</v>
      </c>
      <c r="W16" s="146">
        <v>3.51</v>
      </c>
      <c r="X16" s="146">
        <v>3.52</v>
      </c>
      <c r="Y16" s="146">
        <v>3.56</v>
      </c>
      <c r="Z16" s="146">
        <v>3.71</v>
      </c>
      <c r="AA16" s="146"/>
    </row>
    <row r="17" spans="1:27" ht="11.25" customHeight="1" x14ac:dyDescent="0.2">
      <c r="A17" s="143" t="s">
        <v>0</v>
      </c>
      <c r="C17" s="147">
        <v>8.0000000000000071E-2</v>
      </c>
      <c r="D17" s="147">
        <v>6.0000000000000053E-2</v>
      </c>
      <c r="E17" s="147">
        <v>6.0000000000000053E-2</v>
      </c>
      <c r="F17" s="147">
        <v>3.0000000000000249E-2</v>
      </c>
      <c r="G17" s="147">
        <v>2.9999999999999805E-2</v>
      </c>
      <c r="H17" s="147">
        <v>2.9999999999999805E-2</v>
      </c>
      <c r="I17" s="147">
        <v>0.02</v>
      </c>
      <c r="J17" s="147">
        <v>0.02</v>
      </c>
      <c r="K17" s="147">
        <v>1.0000000000000231E-2</v>
      </c>
      <c r="L17" s="147">
        <v>9.9999999999997868E-3</v>
      </c>
      <c r="M17" s="147">
        <v>0</v>
      </c>
      <c r="N17" s="147">
        <v>0</v>
      </c>
      <c r="O17" s="147">
        <v>0</v>
      </c>
      <c r="P17" s="147">
        <v>0</v>
      </c>
      <c r="Q17" s="147">
        <v>0</v>
      </c>
      <c r="R17" s="147">
        <v>0</v>
      </c>
      <c r="S17" s="147">
        <v>0</v>
      </c>
      <c r="T17" s="147">
        <v>0</v>
      </c>
      <c r="U17" s="147">
        <v>0</v>
      </c>
      <c r="V17" s="147">
        <v>0</v>
      </c>
      <c r="W17" s="147">
        <v>0</v>
      </c>
      <c r="X17" s="147">
        <v>0</v>
      </c>
      <c r="Y17" s="147">
        <v>0</v>
      </c>
      <c r="Z17" s="147">
        <v>0</v>
      </c>
      <c r="AA17" s="146"/>
    </row>
    <row r="19" spans="1:27" ht="12" customHeight="1" x14ac:dyDescent="0.2">
      <c r="A19" s="142" t="s">
        <v>183</v>
      </c>
    </row>
    <row r="20" spans="1:27" ht="11.25" customHeight="1" x14ac:dyDescent="0.2">
      <c r="A20" s="143" t="s">
        <v>184</v>
      </c>
      <c r="C20" s="144">
        <v>0</v>
      </c>
      <c r="D20" s="144">
        <v>0</v>
      </c>
      <c r="E20" s="144">
        <v>0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0</v>
      </c>
    </row>
    <row r="21" spans="1:27" ht="11.25" customHeight="1" x14ac:dyDescent="0.2">
      <c r="A21" s="143" t="s">
        <v>2</v>
      </c>
      <c r="C21" s="144">
        <v>0</v>
      </c>
      <c r="D21" s="144">
        <v>0</v>
      </c>
      <c r="E21" s="144">
        <v>0</v>
      </c>
      <c r="F21" s="144">
        <v>0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0</v>
      </c>
    </row>
    <row r="22" spans="1:27" ht="11.25" customHeight="1" x14ac:dyDescent="0.2">
      <c r="A22" s="143" t="s">
        <v>0</v>
      </c>
      <c r="C22" s="145">
        <v>0</v>
      </c>
      <c r="D22" s="145">
        <v>0</v>
      </c>
      <c r="E22" s="145">
        <v>0</v>
      </c>
      <c r="F22" s="145">
        <v>0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0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185</v>
      </c>
      <c r="C26" s="51" t="s">
        <v>148</v>
      </c>
      <c r="D26" s="51" t="s">
        <v>149</v>
      </c>
      <c r="E26" s="51" t="s">
        <v>150</v>
      </c>
      <c r="F26" s="51" t="s">
        <v>151</v>
      </c>
      <c r="G26" s="51" t="s">
        <v>152</v>
      </c>
      <c r="H26" s="51" t="s">
        <v>153</v>
      </c>
      <c r="I26" s="51" t="s">
        <v>154</v>
      </c>
      <c r="J26" s="51" t="s">
        <v>155</v>
      </c>
      <c r="K26" s="51" t="s">
        <v>156</v>
      </c>
      <c r="L26" s="51" t="s">
        <v>157</v>
      </c>
      <c r="M26" s="51" t="s">
        <v>158</v>
      </c>
      <c r="N26" s="51" t="s">
        <v>159</v>
      </c>
      <c r="O26" s="51" t="s">
        <v>160</v>
      </c>
      <c r="P26" s="51" t="s">
        <v>161</v>
      </c>
      <c r="Q26" s="51" t="s">
        <v>162</v>
      </c>
      <c r="R26" s="51" t="s">
        <v>163</v>
      </c>
      <c r="S26" s="51" t="s">
        <v>164</v>
      </c>
      <c r="T26" s="51" t="s">
        <v>165</v>
      </c>
      <c r="U26" s="51" t="s">
        <v>166</v>
      </c>
      <c r="V26" s="51" t="s">
        <v>167</v>
      </c>
      <c r="W26" s="51" t="s">
        <v>168</v>
      </c>
      <c r="X26" s="51" t="s">
        <v>169</v>
      </c>
      <c r="Y26" s="51" t="s">
        <v>170</v>
      </c>
      <c r="Z26" s="51" t="s">
        <v>171</v>
      </c>
      <c r="AA26" s="51" t="s">
        <v>40</v>
      </c>
    </row>
    <row r="27" spans="1:27" ht="11.25" customHeight="1" x14ac:dyDescent="0.2">
      <c r="A27" s="143" t="s">
        <v>186</v>
      </c>
      <c r="C27" s="144">
        <v>33173.594599999997</v>
      </c>
      <c r="D27" s="144">
        <v>33173.594599999997</v>
      </c>
      <c r="E27" s="144">
        <v>33173.594599999997</v>
      </c>
      <c r="F27" s="144">
        <v>33173.594599999997</v>
      </c>
      <c r="G27" s="144">
        <v>14217.254800000001</v>
      </c>
      <c r="H27" s="144">
        <v>14217.254800000001</v>
      </c>
      <c r="I27" s="144">
        <v>14217.254800000001</v>
      </c>
      <c r="J27" s="144">
        <v>14217.254800000001</v>
      </c>
      <c r="K27" s="144">
        <v>14217.254800000001</v>
      </c>
      <c r="L27" s="144">
        <v>14217.254800000001</v>
      </c>
      <c r="M27" s="144">
        <v>14217.254800000001</v>
      </c>
      <c r="N27" s="144">
        <v>14217.254800000001</v>
      </c>
      <c r="O27" s="144">
        <v>14217.254800000001</v>
      </c>
      <c r="P27" s="144">
        <v>14217.254800000001</v>
      </c>
      <c r="Q27" s="144">
        <v>14217.254800000001</v>
      </c>
      <c r="R27" s="144">
        <v>14217.254800000001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303301.43599999993</v>
      </c>
    </row>
    <row r="28" spans="1:27" ht="11.25" customHeight="1" x14ac:dyDescent="0.2">
      <c r="A28" s="143" t="s">
        <v>187</v>
      </c>
      <c r="C28" s="144">
        <v>-33032.258099999999</v>
      </c>
      <c r="D28" s="144">
        <v>-34741.9355</v>
      </c>
      <c r="E28" s="144">
        <v>-30249.9643</v>
      </c>
      <c r="F28" s="144">
        <v>-27225.7742</v>
      </c>
      <c r="G28" s="144">
        <v>-19366.666700000002</v>
      </c>
      <c r="H28" s="144">
        <v>-2000</v>
      </c>
      <c r="I28" s="144">
        <v>-15366.6667</v>
      </c>
      <c r="J28" s="144">
        <v>-29225.7742</v>
      </c>
      <c r="K28" s="144">
        <v>-31806.419399999999</v>
      </c>
      <c r="L28" s="144">
        <v>-27100</v>
      </c>
      <c r="M28" s="144">
        <v>-23290.3226</v>
      </c>
      <c r="N28" s="144">
        <v>-24033.3</v>
      </c>
      <c r="O28" s="144">
        <v>-24225.806499999999</v>
      </c>
      <c r="P28" s="144">
        <v>-26419.3871</v>
      </c>
      <c r="Q28" s="144">
        <v>-23464.2857</v>
      </c>
      <c r="R28" s="144">
        <v>-20419.354800000001</v>
      </c>
      <c r="S28" s="144">
        <v>-12900</v>
      </c>
      <c r="T28" s="144">
        <v>-14838.709699999999</v>
      </c>
      <c r="U28" s="144">
        <v>-14999.966700000001</v>
      </c>
      <c r="V28" s="144">
        <v>-24483.9355</v>
      </c>
      <c r="W28" s="144">
        <v>-28322.6129</v>
      </c>
      <c r="X28" s="144">
        <v>-26000</v>
      </c>
      <c r="Y28" s="144">
        <v>-21677.4516</v>
      </c>
      <c r="Z28" s="144">
        <v>-22733.333299999998</v>
      </c>
      <c r="AA28" s="144">
        <v>-557923.9254999999</v>
      </c>
    </row>
    <row r="29" spans="1:27" ht="11.25" customHeight="1" x14ac:dyDescent="0.2">
      <c r="A29" s="143" t="s">
        <v>188</v>
      </c>
      <c r="C29" s="145">
        <v>141.33649999999761</v>
      </c>
      <c r="D29" s="145">
        <v>-1568.3409000000029</v>
      </c>
      <c r="E29" s="145">
        <v>2923.6302999999971</v>
      </c>
      <c r="F29" s="145">
        <v>5947.8203999999969</v>
      </c>
      <c r="G29" s="145">
        <v>-5149.411900000001</v>
      </c>
      <c r="H29" s="145">
        <v>12217.254800000001</v>
      </c>
      <c r="I29" s="145">
        <v>-1149.4118999999992</v>
      </c>
      <c r="J29" s="145">
        <v>-15008.519399999999</v>
      </c>
      <c r="K29" s="145">
        <v>-17589.164599999996</v>
      </c>
      <c r="L29" s="145">
        <v>-12882.745199999999</v>
      </c>
      <c r="M29" s="145">
        <v>-9073.0677999999989</v>
      </c>
      <c r="N29" s="145">
        <v>-9816.0451999999987</v>
      </c>
      <c r="O29" s="145">
        <v>-10008.551699999998</v>
      </c>
      <c r="P29" s="145">
        <v>-12202.132299999999</v>
      </c>
      <c r="Q29" s="145">
        <v>-9247.0308999999997</v>
      </c>
      <c r="R29" s="145">
        <v>-6202.1</v>
      </c>
      <c r="S29" s="145">
        <v>-12900</v>
      </c>
      <c r="T29" s="145">
        <v>-14838.709699999999</v>
      </c>
      <c r="U29" s="145">
        <v>-14999.966700000001</v>
      </c>
      <c r="V29" s="145">
        <v>-24483.9355</v>
      </c>
      <c r="W29" s="145">
        <v>-28322.6129</v>
      </c>
      <c r="X29" s="145">
        <v>-26000</v>
      </c>
      <c r="Y29" s="145">
        <v>-21677.4516</v>
      </c>
      <c r="Z29" s="145">
        <v>-22733.333299999998</v>
      </c>
      <c r="AA29" s="145">
        <v>-254622.48949999997</v>
      </c>
    </row>
    <row r="30" spans="1:27" ht="13.5" customHeight="1" thickBot="1" x14ac:dyDescent="0.25"/>
    <row r="31" spans="1:27" ht="12" customHeight="1" thickBot="1" x14ac:dyDescent="0.25">
      <c r="A31" s="50" t="s">
        <v>189</v>
      </c>
      <c r="C31" s="51" t="s">
        <v>148</v>
      </c>
      <c r="D31" s="51" t="s">
        <v>149</v>
      </c>
      <c r="E31" s="51" t="s">
        <v>150</v>
      </c>
      <c r="F31" s="51" t="s">
        <v>151</v>
      </c>
      <c r="G31" s="51" t="s">
        <v>152</v>
      </c>
      <c r="H31" s="51" t="s">
        <v>153</v>
      </c>
      <c r="I31" s="51" t="s">
        <v>154</v>
      </c>
      <c r="J31" s="51" t="s">
        <v>155</v>
      </c>
      <c r="K31" s="51" t="s">
        <v>156</v>
      </c>
      <c r="L31" s="51" t="s">
        <v>157</v>
      </c>
      <c r="M31" s="51" t="s">
        <v>158</v>
      </c>
      <c r="N31" s="51" t="s">
        <v>159</v>
      </c>
      <c r="O31" s="51" t="s">
        <v>160</v>
      </c>
      <c r="P31" s="51" t="s">
        <v>161</v>
      </c>
      <c r="Q31" s="51" t="s">
        <v>162</v>
      </c>
      <c r="R31" s="51" t="s">
        <v>163</v>
      </c>
      <c r="S31" s="51" t="s">
        <v>164</v>
      </c>
      <c r="T31" s="51" t="s">
        <v>165</v>
      </c>
      <c r="U31" s="51" t="s">
        <v>166</v>
      </c>
      <c r="V31" s="51" t="s">
        <v>167</v>
      </c>
      <c r="W31" s="51" t="s">
        <v>168</v>
      </c>
      <c r="X31" s="51" t="s">
        <v>169</v>
      </c>
      <c r="Y31" s="51" t="s">
        <v>170</v>
      </c>
      <c r="Z31" s="51" t="s">
        <v>171</v>
      </c>
      <c r="AA31" s="51" t="s">
        <v>40</v>
      </c>
    </row>
    <row r="32" spans="1:27" ht="11.25" customHeight="1" x14ac:dyDescent="0.2">
      <c r="A32" s="143" t="s">
        <v>189</v>
      </c>
      <c r="C32" s="144">
        <v>0</v>
      </c>
      <c r="D32" s="144">
        <v>-4739.0848999999998</v>
      </c>
      <c r="E32" s="144">
        <v>-4739.0848999999998</v>
      </c>
      <c r="F32" s="144">
        <v>-4739.0848999999998</v>
      </c>
      <c r="G32" s="144">
        <v>-4739.0848999999998</v>
      </c>
      <c r="H32" s="144">
        <v>-4739.0848999999998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4739.0848999999998</v>
      </c>
      <c r="O32" s="144">
        <v>4739.0848999999998</v>
      </c>
      <c r="P32" s="144">
        <v>4739.0848999999998</v>
      </c>
      <c r="Q32" s="144">
        <v>4739.0848999999998</v>
      </c>
      <c r="R32" s="144">
        <v>4739.0848999999998</v>
      </c>
      <c r="S32" s="144">
        <v>9478.1699000000008</v>
      </c>
      <c r="T32" s="144">
        <v>9478.1699000000008</v>
      </c>
      <c r="U32" s="144">
        <v>9478.1699000000008</v>
      </c>
      <c r="V32" s="144">
        <v>9478.1699000000008</v>
      </c>
      <c r="W32" s="144">
        <v>9478.1699000000008</v>
      </c>
      <c r="X32" s="144">
        <v>9478.1699000000008</v>
      </c>
      <c r="Y32" s="144">
        <v>9478.1699000000008</v>
      </c>
      <c r="Z32" s="144">
        <v>0</v>
      </c>
      <c r="AA32" s="144">
        <v>66347.189299999998</v>
      </c>
    </row>
    <row r="33" spans="1:27" ht="13.5" customHeight="1" thickBot="1" x14ac:dyDescent="0.25"/>
    <row r="34" spans="1:27" ht="11.25" customHeight="1" thickBot="1" x14ac:dyDescent="0.25">
      <c r="A34" s="148" t="s">
        <v>188</v>
      </c>
      <c r="B34" s="149"/>
      <c r="C34" s="150">
        <v>141.33649999999761</v>
      </c>
      <c r="D34" s="150">
        <v>-6307.4258000000027</v>
      </c>
      <c r="E34" s="150">
        <v>-1815.4546000000028</v>
      </c>
      <c r="F34" s="150">
        <v>1208.735499999997</v>
      </c>
      <c r="G34" s="150">
        <v>-9888.4968000000008</v>
      </c>
      <c r="H34" s="150">
        <v>7478.1699000000008</v>
      </c>
      <c r="I34" s="150">
        <v>-1149.4118999999992</v>
      </c>
      <c r="J34" s="150">
        <v>-15008.519399999999</v>
      </c>
      <c r="K34" s="150">
        <v>-17589.164599999996</v>
      </c>
      <c r="L34" s="150">
        <v>-12882.745199999999</v>
      </c>
      <c r="M34" s="150">
        <v>-9073.0677999999989</v>
      </c>
      <c r="N34" s="150">
        <v>-5076.9602999999988</v>
      </c>
      <c r="O34" s="150">
        <v>-5269.4667999999983</v>
      </c>
      <c r="P34" s="150">
        <v>-7463.0473999999995</v>
      </c>
      <c r="Q34" s="150">
        <v>-4507.9459999999999</v>
      </c>
      <c r="R34" s="150">
        <v>-1463.0151000000005</v>
      </c>
      <c r="S34" s="150">
        <v>-3421.8300999999992</v>
      </c>
      <c r="T34" s="150">
        <v>-5360.5397999999986</v>
      </c>
      <c r="U34" s="150">
        <v>-5521.7968000000001</v>
      </c>
      <c r="V34" s="150">
        <v>-15005.765599999999</v>
      </c>
      <c r="W34" s="150">
        <v>-18844.442999999999</v>
      </c>
      <c r="X34" s="150">
        <v>-16521.830099999999</v>
      </c>
      <c r="Y34" s="150">
        <v>-12199.2817</v>
      </c>
      <c r="Z34" s="150">
        <v>-22733.333299999998</v>
      </c>
      <c r="AA34" s="151">
        <v>-188275.30019999997</v>
      </c>
    </row>
    <row r="36" spans="1:27" ht="12" customHeight="1" x14ac:dyDescent="0.2">
      <c r="A36" s="142" t="s">
        <v>181</v>
      </c>
    </row>
    <row r="37" spans="1:27" ht="11.25" customHeight="1" x14ac:dyDescent="0.2">
      <c r="A37" s="143" t="s">
        <v>186</v>
      </c>
      <c r="C37" s="144">
        <v>33173.594599999997</v>
      </c>
      <c r="D37" s="144">
        <v>33173.594599999997</v>
      </c>
      <c r="E37" s="144">
        <v>33173.594599999997</v>
      </c>
      <c r="F37" s="144">
        <v>33173.594599999997</v>
      </c>
      <c r="G37" s="144">
        <v>14217.254800000001</v>
      </c>
      <c r="H37" s="144">
        <v>14217.254800000001</v>
      </c>
      <c r="I37" s="144">
        <v>14217.254800000001</v>
      </c>
      <c r="J37" s="144">
        <v>14217.254800000001</v>
      </c>
      <c r="K37" s="144">
        <v>14217.254800000001</v>
      </c>
      <c r="L37" s="144">
        <v>14217.254800000001</v>
      </c>
      <c r="M37" s="144">
        <v>14217.254800000001</v>
      </c>
      <c r="N37" s="144">
        <v>14217.254800000001</v>
      </c>
      <c r="O37" s="144">
        <v>14217.254800000001</v>
      </c>
      <c r="P37" s="144">
        <v>14217.254800000001</v>
      </c>
      <c r="Q37" s="144">
        <v>14217.254800000001</v>
      </c>
      <c r="R37" s="144">
        <v>14217.254800000001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303301.43599999993</v>
      </c>
    </row>
    <row r="38" spans="1:27" ht="11.25" customHeight="1" x14ac:dyDescent="0.2">
      <c r="A38" s="143" t="s">
        <v>187</v>
      </c>
      <c r="C38" s="144">
        <v>-33838.709699999999</v>
      </c>
      <c r="D38" s="144">
        <v>-35290.3226</v>
      </c>
      <c r="E38" s="144">
        <v>-29571.392899999999</v>
      </c>
      <c r="F38" s="144">
        <v>-27129</v>
      </c>
      <c r="G38" s="144">
        <v>-19566.666700000002</v>
      </c>
      <c r="H38" s="144">
        <v>-2000</v>
      </c>
      <c r="I38" s="144">
        <v>-15500</v>
      </c>
      <c r="J38" s="144">
        <v>-29064.483899999999</v>
      </c>
      <c r="K38" s="144">
        <v>-31580.6129</v>
      </c>
      <c r="L38" s="144">
        <v>-26833.333299999998</v>
      </c>
      <c r="M38" s="144">
        <v>-23000</v>
      </c>
      <c r="N38" s="144">
        <v>-23733.3</v>
      </c>
      <c r="O38" s="144">
        <v>-23870.967700000001</v>
      </c>
      <c r="P38" s="144">
        <v>-26000.032299999999</v>
      </c>
      <c r="Q38" s="144">
        <v>-23035.7143</v>
      </c>
      <c r="R38" s="144">
        <v>-19967.741900000001</v>
      </c>
      <c r="S38" s="144">
        <v>-12666.6667</v>
      </c>
      <c r="T38" s="144">
        <v>-14709.6774</v>
      </c>
      <c r="U38" s="144">
        <v>-14866.6333</v>
      </c>
      <c r="V38" s="144">
        <v>-24225.870999999999</v>
      </c>
      <c r="W38" s="144">
        <v>-27967.7742</v>
      </c>
      <c r="X38" s="144">
        <v>-25633.333299999998</v>
      </c>
      <c r="Y38" s="144">
        <v>-21354.870999999999</v>
      </c>
      <c r="Z38" s="144">
        <v>-22466.666700000002</v>
      </c>
      <c r="AA38" s="144">
        <v>-553873.77179999999</v>
      </c>
    </row>
    <row r="39" spans="1:27" ht="11.25" customHeight="1" x14ac:dyDescent="0.2">
      <c r="A39" s="143" t="s">
        <v>189</v>
      </c>
      <c r="C39" s="144">
        <v>0</v>
      </c>
      <c r="D39" s="144">
        <v>-4739.0848999999998</v>
      </c>
      <c r="E39" s="144">
        <v>-4739.0848999999998</v>
      </c>
      <c r="F39" s="144">
        <v>-4739.0848999999998</v>
      </c>
      <c r="G39" s="144">
        <v>-4739.0848999999998</v>
      </c>
      <c r="H39" s="144">
        <v>-4739.0848999999998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4739.0848999999998</v>
      </c>
      <c r="O39" s="144">
        <v>4739.0848999999998</v>
      </c>
      <c r="P39" s="144">
        <v>4739.0848999999998</v>
      </c>
      <c r="Q39" s="144">
        <v>4739.0848999999998</v>
      </c>
      <c r="R39" s="144">
        <v>4739.0848999999998</v>
      </c>
      <c r="S39" s="144">
        <v>9478.1699000000008</v>
      </c>
      <c r="T39" s="144">
        <v>9478.1699000000008</v>
      </c>
      <c r="U39" s="144">
        <v>9478.1699000000008</v>
      </c>
      <c r="V39" s="144">
        <v>9478.1699000000008</v>
      </c>
      <c r="W39" s="144">
        <v>9478.1699000000008</v>
      </c>
      <c r="X39" s="144">
        <v>9478.1699000000008</v>
      </c>
      <c r="Y39" s="144">
        <v>9478.1699000000008</v>
      </c>
      <c r="Z39" s="144">
        <v>0</v>
      </c>
      <c r="AA39" s="144">
        <v>66347.189299999998</v>
      </c>
    </row>
    <row r="40" spans="1:27" ht="11.25" customHeight="1" x14ac:dyDescent="0.2">
      <c r="A40" s="143" t="s">
        <v>188</v>
      </c>
      <c r="C40" s="145">
        <v>-665.11510000000271</v>
      </c>
      <c r="D40" s="145">
        <v>-6855.8129000000026</v>
      </c>
      <c r="E40" s="145">
        <v>-1136.883200000002</v>
      </c>
      <c r="F40" s="145">
        <v>1305.5096999999969</v>
      </c>
      <c r="G40" s="145">
        <v>-10088.496800000001</v>
      </c>
      <c r="H40" s="145">
        <v>7478.1699000000008</v>
      </c>
      <c r="I40" s="145">
        <v>-1282.7451999999994</v>
      </c>
      <c r="J40" s="145">
        <v>-14847.229099999999</v>
      </c>
      <c r="K40" s="145">
        <v>-17363.358099999998</v>
      </c>
      <c r="L40" s="145">
        <v>-12616.078499999998</v>
      </c>
      <c r="M40" s="145">
        <v>-8782.7451999999994</v>
      </c>
      <c r="N40" s="145">
        <v>-4776.9602999999988</v>
      </c>
      <c r="O40" s="145">
        <v>-4914.6280000000006</v>
      </c>
      <c r="P40" s="145">
        <v>-7043.6925999999985</v>
      </c>
      <c r="Q40" s="145">
        <v>-4079.3745999999992</v>
      </c>
      <c r="R40" s="145">
        <v>-1011.4022000000004</v>
      </c>
      <c r="S40" s="145">
        <v>-3188.496799999999</v>
      </c>
      <c r="T40" s="145">
        <v>-5231.5074999999997</v>
      </c>
      <c r="U40" s="145">
        <v>-5388.4633999999987</v>
      </c>
      <c r="V40" s="145">
        <v>-14747.701099999998</v>
      </c>
      <c r="W40" s="145">
        <v>-18489.604299999999</v>
      </c>
      <c r="X40" s="145">
        <v>-16155.163399999998</v>
      </c>
      <c r="Y40" s="145">
        <v>-11876.701099999998</v>
      </c>
      <c r="Z40" s="145">
        <v>-22466.666700000002</v>
      </c>
      <c r="AA40" s="145">
        <v>-184225.14650000006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186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187</v>
      </c>
      <c r="C44" s="144">
        <v>806.45160000000033</v>
      </c>
      <c r="D44" s="144">
        <v>548.38709999999992</v>
      </c>
      <c r="E44" s="144">
        <v>-678.57140000000072</v>
      </c>
      <c r="F44" s="144">
        <v>-96.774199999999837</v>
      </c>
      <c r="G44" s="144">
        <v>200</v>
      </c>
      <c r="H44" s="144">
        <v>0</v>
      </c>
      <c r="I44" s="144">
        <v>133.33330000000024</v>
      </c>
      <c r="J44" s="144">
        <v>-161.29030000000057</v>
      </c>
      <c r="K44" s="144">
        <v>-225.80649999999878</v>
      </c>
      <c r="L44" s="144">
        <v>-266.66670000000158</v>
      </c>
      <c r="M44" s="144">
        <v>-290.32259999999951</v>
      </c>
      <c r="N44" s="144">
        <v>-300</v>
      </c>
      <c r="O44" s="144">
        <v>-354.83879999999772</v>
      </c>
      <c r="P44" s="144">
        <v>-419.35480000000098</v>
      </c>
      <c r="Q44" s="144">
        <v>-428.57140000000072</v>
      </c>
      <c r="R44" s="144">
        <v>-451.61290000000008</v>
      </c>
      <c r="S44" s="144">
        <v>-233.33330000000024</v>
      </c>
      <c r="T44" s="144">
        <v>-129.03229999999894</v>
      </c>
      <c r="U44" s="144">
        <v>-133.33340000000135</v>
      </c>
      <c r="V44" s="144">
        <v>-258.06450000000041</v>
      </c>
      <c r="W44" s="144">
        <v>-354.83870000000024</v>
      </c>
      <c r="X44" s="144">
        <v>-366.66670000000158</v>
      </c>
      <c r="Y44" s="144">
        <v>-322.58060000000114</v>
      </c>
      <c r="Z44" s="144">
        <v>-266.66659999999683</v>
      </c>
      <c r="AA44" s="144">
        <v>-4050.153699999908</v>
      </c>
    </row>
    <row r="45" spans="1:27" ht="11.25" customHeight="1" x14ac:dyDescent="0.2">
      <c r="A45" s="143" t="s">
        <v>189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188</v>
      </c>
      <c r="C46" s="145">
        <v>806.45160000000033</v>
      </c>
      <c r="D46" s="145">
        <v>548.38709999999992</v>
      </c>
      <c r="E46" s="145">
        <v>-678.57140000000072</v>
      </c>
      <c r="F46" s="145">
        <v>-96.774199999999837</v>
      </c>
      <c r="G46" s="145">
        <v>200</v>
      </c>
      <c r="H46" s="145">
        <v>0</v>
      </c>
      <c r="I46" s="145">
        <v>133.33330000000024</v>
      </c>
      <c r="J46" s="145">
        <v>-161.29030000000057</v>
      </c>
      <c r="K46" s="145">
        <v>-225.80649999999878</v>
      </c>
      <c r="L46" s="145">
        <v>-266.66670000000158</v>
      </c>
      <c r="M46" s="145">
        <v>-290.32259999999951</v>
      </c>
      <c r="N46" s="145">
        <v>-300</v>
      </c>
      <c r="O46" s="145">
        <v>-354.83879999999772</v>
      </c>
      <c r="P46" s="145">
        <v>-419.35480000000098</v>
      </c>
      <c r="Q46" s="145">
        <v>-428.57140000000072</v>
      </c>
      <c r="R46" s="145">
        <v>-451.61290000000008</v>
      </c>
      <c r="S46" s="145">
        <v>-233.33330000000024</v>
      </c>
      <c r="T46" s="145">
        <v>-129.03229999999894</v>
      </c>
      <c r="U46" s="145">
        <v>-133.33340000000135</v>
      </c>
      <c r="V46" s="145">
        <v>-258.06450000000041</v>
      </c>
      <c r="W46" s="145">
        <v>-354.83870000000024</v>
      </c>
      <c r="X46" s="145">
        <v>-366.66670000000158</v>
      </c>
      <c r="Y46" s="145">
        <v>-322.58060000000114</v>
      </c>
      <c r="Z46" s="145">
        <v>-266.66659999999683</v>
      </c>
      <c r="AA46" s="145">
        <v>-4050.153699999908</v>
      </c>
    </row>
    <row r="48" spans="1:27" ht="12" customHeight="1" x14ac:dyDescent="0.2">
      <c r="A48" s="142" t="s">
        <v>182</v>
      </c>
    </row>
    <row r="49" spans="1:27" ht="11.25" customHeight="1" x14ac:dyDescent="0.2">
      <c r="A49" s="143" t="s">
        <v>42</v>
      </c>
      <c r="C49" s="146">
        <v>3.8</v>
      </c>
      <c r="D49" s="146">
        <v>3.96</v>
      </c>
      <c r="E49" s="146">
        <v>3.98</v>
      </c>
      <c r="F49" s="146">
        <v>3.86</v>
      </c>
      <c r="G49" s="146">
        <v>3.8</v>
      </c>
      <c r="H49" s="146">
        <v>3.86</v>
      </c>
      <c r="I49" s="146">
        <v>3.92</v>
      </c>
      <c r="J49" s="146">
        <v>3.98</v>
      </c>
      <c r="K49" s="146">
        <v>4.03</v>
      </c>
      <c r="L49" s="146">
        <v>4.05</v>
      </c>
      <c r="M49" s="146">
        <v>4.09</v>
      </c>
      <c r="N49" s="146">
        <v>4.47</v>
      </c>
      <c r="O49" s="146">
        <v>4.75</v>
      </c>
      <c r="P49" s="146">
        <v>4.92</v>
      </c>
      <c r="Q49" s="146">
        <v>4.8099999999999996</v>
      </c>
      <c r="R49" s="146">
        <v>4.6399999999999997</v>
      </c>
      <c r="S49" s="146">
        <v>4.47</v>
      </c>
      <c r="T49" s="146">
        <v>4.49</v>
      </c>
      <c r="U49" s="146">
        <v>4.53</v>
      </c>
      <c r="V49" s="146">
        <v>4.58</v>
      </c>
      <c r="W49" s="146">
        <v>4.63</v>
      </c>
      <c r="X49" s="146">
        <v>4.6500000000000004</v>
      </c>
      <c r="Y49" s="146">
        <v>4.71</v>
      </c>
      <c r="Z49" s="146">
        <v>4.95</v>
      </c>
      <c r="AA49" s="146"/>
    </row>
    <row r="50" spans="1:27" ht="11.25" customHeight="1" x14ac:dyDescent="0.2">
      <c r="A50" s="143" t="s">
        <v>181</v>
      </c>
      <c r="C50" s="146">
        <v>3.69</v>
      </c>
      <c r="D50" s="146">
        <v>3.87</v>
      </c>
      <c r="E50" s="146">
        <v>3.89</v>
      </c>
      <c r="F50" s="146">
        <v>3.81</v>
      </c>
      <c r="G50" s="146">
        <v>3.76</v>
      </c>
      <c r="H50" s="146">
        <v>3.82</v>
      </c>
      <c r="I50" s="146">
        <v>3.89</v>
      </c>
      <c r="J50" s="146">
        <v>3.95</v>
      </c>
      <c r="K50" s="146">
        <v>4.01</v>
      </c>
      <c r="L50" s="146">
        <v>4.03</v>
      </c>
      <c r="M50" s="146">
        <v>4.09</v>
      </c>
      <c r="N50" s="146">
        <v>4.47</v>
      </c>
      <c r="O50" s="146">
        <v>4.75</v>
      </c>
      <c r="P50" s="146">
        <v>4.92</v>
      </c>
      <c r="Q50" s="146">
        <v>4.8</v>
      </c>
      <c r="R50" s="146">
        <v>4.6500000000000004</v>
      </c>
      <c r="S50" s="146">
        <v>4.4800000000000004</v>
      </c>
      <c r="T50" s="146">
        <v>4.49</v>
      </c>
      <c r="U50" s="146">
        <v>4.53</v>
      </c>
      <c r="V50" s="146">
        <v>4.58</v>
      </c>
      <c r="W50" s="146">
        <v>4.63</v>
      </c>
      <c r="X50" s="146">
        <v>4.6500000000000004</v>
      </c>
      <c r="Y50" s="146">
        <v>4.71</v>
      </c>
      <c r="Z50" s="146">
        <v>4.95</v>
      </c>
      <c r="AA50" s="146"/>
    </row>
    <row r="51" spans="1:27" ht="11.25" customHeight="1" x14ac:dyDescent="0.2">
      <c r="A51" s="143" t="s">
        <v>0</v>
      </c>
      <c r="C51" s="147">
        <v>0.11</v>
      </c>
      <c r="D51" s="147">
        <v>8.9999999999999858E-2</v>
      </c>
      <c r="E51" s="147">
        <v>8.9999999999999858E-2</v>
      </c>
      <c r="F51" s="147">
        <v>4.9999999999999822E-2</v>
      </c>
      <c r="G51" s="147">
        <v>0.04</v>
      </c>
      <c r="H51" s="147">
        <v>0.04</v>
      </c>
      <c r="I51" s="147">
        <v>2.9999999999999805E-2</v>
      </c>
      <c r="J51" s="147">
        <v>2.9999999999999805E-2</v>
      </c>
      <c r="K51" s="147">
        <v>2.0000000000000462E-2</v>
      </c>
      <c r="L51" s="147">
        <v>1.9999999999999574E-2</v>
      </c>
      <c r="M51" s="147">
        <v>0</v>
      </c>
      <c r="N51" s="147">
        <v>0</v>
      </c>
      <c r="O51" s="147">
        <v>0</v>
      </c>
      <c r="P51" s="147">
        <v>0</v>
      </c>
      <c r="Q51" s="147">
        <v>9.9999999999997868E-3</v>
      </c>
      <c r="R51" s="147">
        <v>-1.0000000000000675E-2</v>
      </c>
      <c r="S51" s="147">
        <v>-1.0000000000000675E-2</v>
      </c>
      <c r="T51" s="147">
        <v>0</v>
      </c>
      <c r="U51" s="147">
        <v>0</v>
      </c>
      <c r="V51" s="147">
        <v>0</v>
      </c>
      <c r="W51" s="147">
        <v>0</v>
      </c>
      <c r="X51" s="147">
        <v>0</v>
      </c>
      <c r="Y51" s="147">
        <v>0</v>
      </c>
      <c r="Z51" s="147">
        <v>0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5.68</v>
      </c>
      <c r="D54" s="146">
        <v>5.68</v>
      </c>
      <c r="E54" s="146">
        <v>5.68</v>
      </c>
      <c r="F54" s="146">
        <v>5.68</v>
      </c>
      <c r="G54" s="146">
        <v>4.7633000000000001</v>
      </c>
      <c r="H54" s="146">
        <v>4.7633000000000001</v>
      </c>
      <c r="I54" s="146">
        <v>4.7633000000000001</v>
      </c>
      <c r="J54" s="146">
        <v>4.7633000000000001</v>
      </c>
      <c r="K54" s="146">
        <v>4.7633000000000001</v>
      </c>
      <c r="L54" s="146">
        <v>4.7633000000000001</v>
      </c>
      <c r="M54" s="146">
        <v>4.7633000000000001</v>
      </c>
      <c r="N54" s="146">
        <v>6.3883000000000001</v>
      </c>
      <c r="O54" s="146">
        <v>6.3883000000000001</v>
      </c>
      <c r="P54" s="146">
        <v>6.3883000000000001</v>
      </c>
      <c r="Q54" s="146">
        <v>6.3883000000000001</v>
      </c>
      <c r="R54" s="146">
        <v>6.3883000000000001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0</v>
      </c>
      <c r="D55" s="146">
        <v>0</v>
      </c>
      <c r="E55" s="146">
        <v>0</v>
      </c>
      <c r="F55" s="146">
        <v>0</v>
      </c>
      <c r="G55" s="146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183</v>
      </c>
    </row>
    <row r="58" spans="1:27" ht="11.25" customHeight="1" x14ac:dyDescent="0.2">
      <c r="A58" s="143" t="s">
        <v>184</v>
      </c>
      <c r="C58" s="144">
        <v>-1320259</v>
      </c>
      <c r="D58" s="144">
        <v>-1219093</v>
      </c>
      <c r="E58" s="144">
        <v>-1086851</v>
      </c>
      <c r="F58" s="144">
        <v>-1269723</v>
      </c>
      <c r="G58" s="144">
        <v>-837551</v>
      </c>
      <c r="H58" s="144">
        <v>-851116</v>
      </c>
      <c r="I58" s="144">
        <v>-862845</v>
      </c>
      <c r="J58" s="144">
        <v>-871358</v>
      </c>
      <c r="K58" s="144">
        <v>-854128</v>
      </c>
      <c r="L58" s="144">
        <v>-818405</v>
      </c>
      <c r="M58" s="144">
        <v>-831425</v>
      </c>
      <c r="N58" s="144">
        <v>-1180431</v>
      </c>
      <c r="O58" s="144">
        <v>-1109163</v>
      </c>
      <c r="P58" s="144">
        <v>-1039910</v>
      </c>
      <c r="Q58" s="144">
        <v>-971895</v>
      </c>
      <c r="R58" s="144">
        <v>-1133829</v>
      </c>
      <c r="S58" s="144">
        <v>82156</v>
      </c>
      <c r="T58" s="144">
        <v>88087</v>
      </c>
      <c r="U58" s="144">
        <v>91795</v>
      </c>
      <c r="V58" s="144">
        <v>103277</v>
      </c>
      <c r="W58" s="144">
        <v>111741</v>
      </c>
      <c r="X58" s="144">
        <v>111020</v>
      </c>
      <c r="Y58" s="144">
        <v>124779</v>
      </c>
      <c r="Z58" s="144">
        <v>0</v>
      </c>
      <c r="AA58" s="144">
        <v>-15545127</v>
      </c>
    </row>
    <row r="59" spans="1:27" ht="11.25" customHeight="1" thickBot="1" x14ac:dyDescent="0.25">
      <c r="A59" s="143" t="s">
        <v>190</v>
      </c>
      <c r="C59" s="144">
        <v>3150374</v>
      </c>
      <c r="D59" s="144">
        <v>3043054</v>
      </c>
      <c r="E59" s="144">
        <v>2387220</v>
      </c>
      <c r="F59" s="144">
        <v>2373121</v>
      </c>
      <c r="G59" s="144">
        <v>1440971</v>
      </c>
      <c r="H59" s="144">
        <v>134897</v>
      </c>
      <c r="I59" s="144">
        <v>1312198</v>
      </c>
      <c r="J59" s="144">
        <v>1192843</v>
      </c>
      <c r="K59" s="144">
        <v>1112243</v>
      </c>
      <c r="L59" s="144">
        <v>1157709</v>
      </c>
      <c r="M59" s="144">
        <v>1269609</v>
      </c>
      <c r="N59" s="144">
        <v>1225850</v>
      </c>
      <c r="O59" s="144">
        <v>1107341</v>
      </c>
      <c r="P59" s="144">
        <v>153553</v>
      </c>
      <c r="Q59" s="144">
        <v>115566</v>
      </c>
      <c r="R59" s="144">
        <v>149271</v>
      </c>
      <c r="S59" s="144">
        <v>-110766</v>
      </c>
      <c r="T59" s="144">
        <v>-121776</v>
      </c>
      <c r="U59" s="144">
        <v>4726</v>
      </c>
      <c r="V59" s="144">
        <v>-62974</v>
      </c>
      <c r="W59" s="144">
        <v>-65572</v>
      </c>
      <c r="X59" s="144">
        <v>-35463</v>
      </c>
      <c r="Y59" s="144">
        <v>-6006</v>
      </c>
      <c r="Z59" s="144">
        <v>64109</v>
      </c>
      <c r="AA59" s="144">
        <v>20992098</v>
      </c>
    </row>
    <row r="60" spans="1:27" ht="11.25" customHeight="1" thickBot="1" x14ac:dyDescent="0.25">
      <c r="A60" s="148" t="s">
        <v>191</v>
      </c>
      <c r="B60" s="149"/>
      <c r="C60" s="150">
        <v>1830115</v>
      </c>
      <c r="D60" s="150">
        <v>1823961</v>
      </c>
      <c r="E60" s="150">
        <v>1300369</v>
      </c>
      <c r="F60" s="150">
        <v>1103398</v>
      </c>
      <c r="G60" s="150">
        <v>603420</v>
      </c>
      <c r="H60" s="150">
        <v>-716219</v>
      </c>
      <c r="I60" s="150">
        <v>449353</v>
      </c>
      <c r="J60" s="150">
        <v>321485</v>
      </c>
      <c r="K60" s="150">
        <v>258115</v>
      </c>
      <c r="L60" s="150">
        <v>339304</v>
      </c>
      <c r="M60" s="150">
        <v>438184</v>
      </c>
      <c r="N60" s="150">
        <v>45419</v>
      </c>
      <c r="O60" s="150">
        <v>-1822</v>
      </c>
      <c r="P60" s="150">
        <v>-886357</v>
      </c>
      <c r="Q60" s="150">
        <v>-856329</v>
      </c>
      <c r="R60" s="150">
        <v>-984558</v>
      </c>
      <c r="S60" s="150">
        <v>-28610</v>
      </c>
      <c r="T60" s="150">
        <v>-33689</v>
      </c>
      <c r="U60" s="150">
        <v>96521</v>
      </c>
      <c r="V60" s="150">
        <v>40303</v>
      </c>
      <c r="W60" s="150">
        <v>46169</v>
      </c>
      <c r="X60" s="150">
        <v>75557</v>
      </c>
      <c r="Y60" s="150">
        <v>118773</v>
      </c>
      <c r="Z60" s="150">
        <v>64109</v>
      </c>
      <c r="AA60" s="151">
        <v>5446971</v>
      </c>
    </row>
    <row r="61" spans="1:27" ht="11.25" customHeight="1" x14ac:dyDescent="0.2">
      <c r="A61" s="143" t="s">
        <v>2</v>
      </c>
      <c r="C61" s="144">
        <v>1831279</v>
      </c>
      <c r="D61" s="144">
        <v>1836372</v>
      </c>
      <c r="E61" s="144">
        <v>1302788</v>
      </c>
      <c r="F61" s="144">
        <v>1102263</v>
      </c>
      <c r="G61" s="144">
        <v>611353</v>
      </c>
      <c r="H61" s="144">
        <v>-722221</v>
      </c>
      <c r="I61" s="144">
        <v>450120</v>
      </c>
      <c r="J61" s="144">
        <v>330693</v>
      </c>
      <c r="K61" s="144">
        <v>265339</v>
      </c>
      <c r="L61" s="144">
        <v>344463</v>
      </c>
      <c r="M61" s="144">
        <v>438454</v>
      </c>
      <c r="N61" s="144">
        <v>45760</v>
      </c>
      <c r="O61" s="144">
        <v>-1412</v>
      </c>
      <c r="P61" s="144">
        <v>-885856</v>
      </c>
      <c r="Q61" s="144">
        <v>-855150</v>
      </c>
      <c r="R61" s="144">
        <v>-984266</v>
      </c>
      <c r="S61" s="144">
        <v>-29069</v>
      </c>
      <c r="T61" s="144">
        <v>-33592</v>
      </c>
      <c r="U61" s="144">
        <v>96607</v>
      </c>
      <c r="V61" s="144">
        <v>40470</v>
      </c>
      <c r="W61" s="144">
        <v>46421</v>
      </c>
      <c r="X61" s="144">
        <v>75867</v>
      </c>
      <c r="Y61" s="144">
        <v>119032</v>
      </c>
      <c r="Z61" s="144">
        <v>64315</v>
      </c>
      <c r="AA61" s="144">
        <v>1266774</v>
      </c>
    </row>
    <row r="62" spans="1:27" ht="11.25" customHeight="1" x14ac:dyDescent="0.2">
      <c r="A62" s="143" t="s">
        <v>0</v>
      </c>
      <c r="C62" s="145">
        <f>C60-C61</f>
        <v>-1164</v>
      </c>
      <c r="D62" s="145">
        <f t="shared" ref="D62:AA62" si="0">D60-D61</f>
        <v>-12411</v>
      </c>
      <c r="E62" s="145">
        <f t="shared" si="0"/>
        <v>-2419</v>
      </c>
      <c r="F62" s="145">
        <f t="shared" si="0"/>
        <v>1135</v>
      </c>
      <c r="G62" s="145">
        <f t="shared" si="0"/>
        <v>-7933</v>
      </c>
      <c r="H62" s="145">
        <f t="shared" si="0"/>
        <v>6002</v>
      </c>
      <c r="I62" s="145">
        <f t="shared" si="0"/>
        <v>-767</v>
      </c>
      <c r="J62" s="145">
        <f t="shared" si="0"/>
        <v>-9208</v>
      </c>
      <c r="K62" s="145">
        <f t="shared" si="0"/>
        <v>-7224</v>
      </c>
      <c r="L62" s="145">
        <f t="shared" si="0"/>
        <v>-5159</v>
      </c>
      <c r="M62" s="145">
        <f t="shared" si="0"/>
        <v>-270</v>
      </c>
      <c r="N62" s="145">
        <f t="shared" si="0"/>
        <v>-341</v>
      </c>
      <c r="O62" s="145">
        <f t="shared" si="0"/>
        <v>-410</v>
      </c>
      <c r="P62" s="145">
        <f t="shared" si="0"/>
        <v>-501</v>
      </c>
      <c r="Q62" s="145">
        <f t="shared" si="0"/>
        <v>-1179</v>
      </c>
      <c r="R62" s="145">
        <f t="shared" si="0"/>
        <v>-292</v>
      </c>
      <c r="S62" s="145">
        <f t="shared" si="0"/>
        <v>459</v>
      </c>
      <c r="T62" s="145">
        <f t="shared" si="0"/>
        <v>-97</v>
      </c>
      <c r="U62" s="145">
        <f t="shared" si="0"/>
        <v>-86</v>
      </c>
      <c r="V62" s="145">
        <f t="shared" si="0"/>
        <v>-167</v>
      </c>
      <c r="W62" s="145">
        <f t="shared" si="0"/>
        <v>-252</v>
      </c>
      <c r="X62" s="145">
        <f t="shared" si="0"/>
        <v>-310</v>
      </c>
      <c r="Y62" s="145">
        <f t="shared" si="0"/>
        <v>-259</v>
      </c>
      <c r="Z62" s="145">
        <f t="shared" si="0"/>
        <v>-206</v>
      </c>
      <c r="AA62" s="145">
        <f t="shared" si="0"/>
        <v>4180197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185</v>
      </c>
      <c r="C66" s="51" t="s">
        <v>148</v>
      </c>
      <c r="D66" s="51" t="s">
        <v>149</v>
      </c>
      <c r="E66" s="51" t="s">
        <v>150</v>
      </c>
      <c r="F66" s="51" t="s">
        <v>151</v>
      </c>
      <c r="G66" s="51" t="s">
        <v>152</v>
      </c>
      <c r="H66" s="51" t="s">
        <v>153</v>
      </c>
      <c r="I66" s="51" t="s">
        <v>154</v>
      </c>
      <c r="J66" s="51" t="s">
        <v>155</v>
      </c>
      <c r="K66" s="51" t="s">
        <v>156</v>
      </c>
      <c r="L66" s="51" t="s">
        <v>157</v>
      </c>
      <c r="M66" s="51" t="s">
        <v>158</v>
      </c>
      <c r="N66" s="51" t="s">
        <v>159</v>
      </c>
      <c r="O66" s="51" t="s">
        <v>160</v>
      </c>
      <c r="P66" s="51" t="s">
        <v>161</v>
      </c>
      <c r="Q66" s="51" t="s">
        <v>162</v>
      </c>
      <c r="R66" s="51" t="s">
        <v>163</v>
      </c>
      <c r="S66" s="51" t="s">
        <v>164</v>
      </c>
      <c r="T66" s="51" t="s">
        <v>165</v>
      </c>
      <c r="U66" s="51" t="s">
        <v>166</v>
      </c>
      <c r="V66" s="51" t="s">
        <v>167</v>
      </c>
      <c r="W66" s="51" t="s">
        <v>168</v>
      </c>
      <c r="X66" s="51" t="s">
        <v>169</v>
      </c>
      <c r="Y66" s="51" t="s">
        <v>170</v>
      </c>
      <c r="Z66" s="51" t="s">
        <v>171</v>
      </c>
      <c r="AA66" s="51" t="s">
        <v>40</v>
      </c>
    </row>
    <row r="67" spans="1:27" ht="11.25" customHeight="1" x14ac:dyDescent="0.2">
      <c r="A67" s="143" t="s">
        <v>186</v>
      </c>
      <c r="C67" s="144">
        <v>30000</v>
      </c>
      <c r="D67" s="144">
        <v>30000</v>
      </c>
      <c r="E67" s="144">
        <v>20000</v>
      </c>
      <c r="F67" s="144">
        <v>20000</v>
      </c>
      <c r="G67" s="144">
        <v>20000</v>
      </c>
      <c r="H67" s="144">
        <v>20000</v>
      </c>
      <c r="I67" s="144">
        <v>20000</v>
      </c>
      <c r="J67" s="144">
        <v>20000</v>
      </c>
      <c r="K67" s="144">
        <v>20000</v>
      </c>
      <c r="L67" s="144">
        <v>20000</v>
      </c>
      <c r="M67" s="144">
        <v>20000</v>
      </c>
      <c r="N67" s="144">
        <v>5000</v>
      </c>
      <c r="O67" s="144">
        <v>5000</v>
      </c>
      <c r="P67" s="144">
        <v>5000</v>
      </c>
      <c r="Q67" s="144">
        <v>5000</v>
      </c>
      <c r="R67" s="144">
        <v>5000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265000</v>
      </c>
    </row>
    <row r="68" spans="1:27" ht="11.25" customHeight="1" x14ac:dyDescent="0.2">
      <c r="A68" s="143" t="s">
        <v>187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188</v>
      </c>
      <c r="C69" s="145">
        <v>30000</v>
      </c>
      <c r="D69" s="145">
        <v>30000</v>
      </c>
      <c r="E69" s="145">
        <v>20000</v>
      </c>
      <c r="F69" s="145">
        <v>20000</v>
      </c>
      <c r="G69" s="145">
        <v>20000</v>
      </c>
      <c r="H69" s="145">
        <v>20000</v>
      </c>
      <c r="I69" s="145">
        <v>20000</v>
      </c>
      <c r="J69" s="145">
        <v>20000</v>
      </c>
      <c r="K69" s="145">
        <v>20000</v>
      </c>
      <c r="L69" s="145">
        <v>20000</v>
      </c>
      <c r="M69" s="145">
        <v>20000</v>
      </c>
      <c r="N69" s="145">
        <v>5000</v>
      </c>
      <c r="O69" s="145">
        <v>5000</v>
      </c>
      <c r="P69" s="145">
        <v>5000</v>
      </c>
      <c r="Q69" s="145">
        <v>5000</v>
      </c>
      <c r="R69" s="145">
        <v>5000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265000</v>
      </c>
    </row>
    <row r="70" spans="1:27" ht="13.5" customHeight="1" thickBot="1" x14ac:dyDescent="0.25"/>
    <row r="71" spans="1:27" ht="12" customHeight="1" thickBot="1" x14ac:dyDescent="0.25">
      <c r="A71" s="50" t="s">
        <v>189</v>
      </c>
      <c r="C71" s="51" t="s">
        <v>148</v>
      </c>
      <c r="D71" s="51" t="s">
        <v>149</v>
      </c>
      <c r="E71" s="51" t="s">
        <v>150</v>
      </c>
      <c r="F71" s="51" t="s">
        <v>151</v>
      </c>
      <c r="G71" s="51" t="s">
        <v>152</v>
      </c>
      <c r="H71" s="51" t="s">
        <v>153</v>
      </c>
      <c r="I71" s="51" t="s">
        <v>154</v>
      </c>
      <c r="J71" s="51" t="s">
        <v>155</v>
      </c>
      <c r="K71" s="51" t="s">
        <v>156</v>
      </c>
      <c r="L71" s="51" t="s">
        <v>157</v>
      </c>
      <c r="M71" s="51" t="s">
        <v>158</v>
      </c>
      <c r="N71" s="51" t="s">
        <v>159</v>
      </c>
      <c r="O71" s="51" t="s">
        <v>160</v>
      </c>
      <c r="P71" s="51" t="s">
        <v>161</v>
      </c>
      <c r="Q71" s="51" t="s">
        <v>162</v>
      </c>
      <c r="R71" s="51" t="s">
        <v>163</v>
      </c>
      <c r="S71" s="51" t="s">
        <v>164</v>
      </c>
      <c r="T71" s="51" t="s">
        <v>165</v>
      </c>
      <c r="U71" s="51" t="s">
        <v>166</v>
      </c>
      <c r="V71" s="51" t="s">
        <v>167</v>
      </c>
      <c r="W71" s="51" t="s">
        <v>168</v>
      </c>
      <c r="X71" s="51" t="s">
        <v>169</v>
      </c>
      <c r="Y71" s="51" t="s">
        <v>170</v>
      </c>
      <c r="Z71" s="51" t="s">
        <v>171</v>
      </c>
      <c r="AA71" s="51" t="s">
        <v>40</v>
      </c>
    </row>
    <row r="72" spans="1:27" ht="11.25" customHeight="1" x14ac:dyDescent="0.2">
      <c r="A72" s="143" t="s">
        <v>189</v>
      </c>
      <c r="C72" s="144">
        <v>0</v>
      </c>
      <c r="D72" s="144">
        <v>0</v>
      </c>
      <c r="E72" s="144">
        <v>0</v>
      </c>
      <c r="F72" s="144">
        <v>-10000</v>
      </c>
      <c r="G72" s="144">
        <v>-5000</v>
      </c>
      <c r="H72" s="144">
        <v>10000</v>
      </c>
      <c r="I72" s="144">
        <v>10000</v>
      </c>
      <c r="J72" s="144">
        <v>30000</v>
      </c>
      <c r="K72" s="144">
        <v>30000</v>
      </c>
      <c r="L72" s="144">
        <v>30000</v>
      </c>
      <c r="M72" s="144">
        <v>30000</v>
      </c>
      <c r="N72" s="144">
        <v>20000</v>
      </c>
      <c r="O72" s="144">
        <v>20000</v>
      </c>
      <c r="P72" s="144">
        <v>20000</v>
      </c>
      <c r="Q72" s="144">
        <v>20000</v>
      </c>
      <c r="R72" s="144">
        <v>20000</v>
      </c>
      <c r="S72" s="144">
        <v>5000</v>
      </c>
      <c r="T72" s="144">
        <v>5000</v>
      </c>
      <c r="U72" s="144">
        <v>5000</v>
      </c>
      <c r="V72" s="144">
        <v>5000</v>
      </c>
      <c r="W72" s="144">
        <v>5000</v>
      </c>
      <c r="X72" s="144">
        <v>5000</v>
      </c>
      <c r="Y72" s="144">
        <v>5000</v>
      </c>
      <c r="Z72" s="144">
        <v>0</v>
      </c>
      <c r="AA72" s="144">
        <v>260000</v>
      </c>
    </row>
    <row r="73" spans="1:27" ht="13.5" customHeight="1" thickBot="1" x14ac:dyDescent="0.25"/>
    <row r="74" spans="1:27" ht="11.25" customHeight="1" thickBot="1" x14ac:dyDescent="0.25">
      <c r="A74" s="148" t="s">
        <v>188</v>
      </c>
      <c r="B74" s="149"/>
      <c r="C74" s="150">
        <v>30000</v>
      </c>
      <c r="D74" s="150">
        <v>30000</v>
      </c>
      <c r="E74" s="150">
        <v>20000</v>
      </c>
      <c r="F74" s="150">
        <v>10000</v>
      </c>
      <c r="G74" s="150">
        <v>15000</v>
      </c>
      <c r="H74" s="150">
        <v>30000</v>
      </c>
      <c r="I74" s="150">
        <v>30000</v>
      </c>
      <c r="J74" s="150">
        <v>50000</v>
      </c>
      <c r="K74" s="150">
        <v>50000</v>
      </c>
      <c r="L74" s="150">
        <v>50000</v>
      </c>
      <c r="M74" s="150">
        <v>50000</v>
      </c>
      <c r="N74" s="150">
        <v>25000</v>
      </c>
      <c r="O74" s="150">
        <v>25000</v>
      </c>
      <c r="P74" s="150">
        <v>25000</v>
      </c>
      <c r="Q74" s="150">
        <v>25000</v>
      </c>
      <c r="R74" s="150">
        <v>25000</v>
      </c>
      <c r="S74" s="150">
        <v>5000</v>
      </c>
      <c r="T74" s="150">
        <v>5000</v>
      </c>
      <c r="U74" s="150">
        <v>5000</v>
      </c>
      <c r="V74" s="150">
        <v>5000</v>
      </c>
      <c r="W74" s="150">
        <v>5000</v>
      </c>
      <c r="X74" s="150">
        <v>5000</v>
      </c>
      <c r="Y74" s="150">
        <v>5000</v>
      </c>
      <c r="Z74" s="150">
        <v>0</v>
      </c>
      <c r="AA74" s="151">
        <v>525000</v>
      </c>
    </row>
    <row r="76" spans="1:27" ht="12" customHeight="1" x14ac:dyDescent="0.2">
      <c r="A76" s="142" t="s">
        <v>181</v>
      </c>
    </row>
    <row r="77" spans="1:27" ht="11.25" customHeight="1" x14ac:dyDescent="0.2">
      <c r="A77" s="143" t="s">
        <v>186</v>
      </c>
      <c r="C77" s="144">
        <v>30000</v>
      </c>
      <c r="D77" s="144">
        <v>30000</v>
      </c>
      <c r="E77" s="144">
        <v>20000</v>
      </c>
      <c r="F77" s="144">
        <v>20000</v>
      </c>
      <c r="G77" s="144">
        <v>20000</v>
      </c>
      <c r="H77" s="144">
        <v>20000</v>
      </c>
      <c r="I77" s="144">
        <v>20000</v>
      </c>
      <c r="J77" s="144">
        <v>20000</v>
      </c>
      <c r="K77" s="144">
        <v>20000</v>
      </c>
      <c r="L77" s="144">
        <v>20000</v>
      </c>
      <c r="M77" s="144">
        <v>20000</v>
      </c>
      <c r="N77" s="144">
        <v>5000</v>
      </c>
      <c r="O77" s="144">
        <v>5000</v>
      </c>
      <c r="P77" s="144">
        <v>5000</v>
      </c>
      <c r="Q77" s="144">
        <v>5000</v>
      </c>
      <c r="R77" s="144">
        <v>5000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265000</v>
      </c>
    </row>
    <row r="78" spans="1:27" ht="11.25" customHeight="1" x14ac:dyDescent="0.2">
      <c r="A78" s="143" t="s">
        <v>187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189</v>
      </c>
      <c r="C79" s="144">
        <v>0</v>
      </c>
      <c r="D79" s="144">
        <v>0</v>
      </c>
      <c r="E79" s="144">
        <v>0</v>
      </c>
      <c r="F79" s="144">
        <v>-10000</v>
      </c>
      <c r="G79" s="144">
        <v>0</v>
      </c>
      <c r="H79" s="144">
        <v>15000</v>
      </c>
      <c r="I79" s="144">
        <v>15000</v>
      </c>
      <c r="J79" s="144">
        <v>35000</v>
      </c>
      <c r="K79" s="144">
        <v>35000</v>
      </c>
      <c r="L79" s="144">
        <v>35000</v>
      </c>
      <c r="M79" s="144">
        <v>35000</v>
      </c>
      <c r="N79" s="144">
        <v>20000</v>
      </c>
      <c r="O79" s="144">
        <v>20000</v>
      </c>
      <c r="P79" s="144">
        <v>20000</v>
      </c>
      <c r="Q79" s="144">
        <v>20000</v>
      </c>
      <c r="R79" s="144">
        <v>20000</v>
      </c>
      <c r="S79" s="144">
        <v>5000</v>
      </c>
      <c r="T79" s="144">
        <v>5000</v>
      </c>
      <c r="U79" s="144">
        <v>5000</v>
      </c>
      <c r="V79" s="144">
        <v>5000</v>
      </c>
      <c r="W79" s="144">
        <v>5000</v>
      </c>
      <c r="X79" s="144">
        <v>5000</v>
      </c>
      <c r="Y79" s="144">
        <v>5000</v>
      </c>
      <c r="Z79" s="144">
        <v>0</v>
      </c>
      <c r="AA79" s="144">
        <v>295000</v>
      </c>
    </row>
    <row r="80" spans="1:27" ht="11.25" customHeight="1" x14ac:dyDescent="0.2">
      <c r="A80" s="143" t="s">
        <v>188</v>
      </c>
      <c r="C80" s="145">
        <v>30000</v>
      </c>
      <c r="D80" s="145">
        <v>30000</v>
      </c>
      <c r="E80" s="145">
        <v>20000</v>
      </c>
      <c r="F80" s="145">
        <v>10000</v>
      </c>
      <c r="G80" s="145">
        <v>20000</v>
      </c>
      <c r="H80" s="145">
        <v>35000</v>
      </c>
      <c r="I80" s="145">
        <v>35000</v>
      </c>
      <c r="J80" s="145">
        <v>55000</v>
      </c>
      <c r="K80" s="145">
        <v>55000</v>
      </c>
      <c r="L80" s="145">
        <v>55000</v>
      </c>
      <c r="M80" s="145">
        <v>55000</v>
      </c>
      <c r="N80" s="145">
        <v>25000</v>
      </c>
      <c r="O80" s="145">
        <v>25000</v>
      </c>
      <c r="P80" s="145">
        <v>25000</v>
      </c>
      <c r="Q80" s="145">
        <v>25000</v>
      </c>
      <c r="R80" s="145">
        <v>25000</v>
      </c>
      <c r="S80" s="145">
        <v>5000</v>
      </c>
      <c r="T80" s="145">
        <v>5000</v>
      </c>
      <c r="U80" s="145">
        <v>5000</v>
      </c>
      <c r="V80" s="145">
        <v>5000</v>
      </c>
      <c r="W80" s="145">
        <v>5000</v>
      </c>
      <c r="X80" s="145">
        <v>5000</v>
      </c>
      <c r="Y80" s="145">
        <v>5000</v>
      </c>
      <c r="Z80" s="145">
        <v>0</v>
      </c>
      <c r="AA80" s="145">
        <v>560000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186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187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189</v>
      </c>
      <c r="C85" s="144">
        <v>0</v>
      </c>
      <c r="D85" s="144">
        <v>0</v>
      </c>
      <c r="E85" s="144">
        <v>0</v>
      </c>
      <c r="F85" s="144">
        <v>0</v>
      </c>
      <c r="G85" s="144">
        <v>-5000</v>
      </c>
      <c r="H85" s="144">
        <v>-5000</v>
      </c>
      <c r="I85" s="144">
        <v>-5000</v>
      </c>
      <c r="J85" s="144">
        <v>-5000</v>
      </c>
      <c r="K85" s="144">
        <v>-5000</v>
      </c>
      <c r="L85" s="144">
        <v>-5000</v>
      </c>
      <c r="M85" s="144">
        <v>-5000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-35000</v>
      </c>
    </row>
    <row r="86" spans="1:27" ht="11.25" customHeight="1" x14ac:dyDescent="0.2">
      <c r="A86" s="143" t="s">
        <v>188</v>
      </c>
      <c r="C86" s="145">
        <v>0</v>
      </c>
      <c r="D86" s="145">
        <v>0</v>
      </c>
      <c r="E86" s="145">
        <v>0</v>
      </c>
      <c r="F86" s="145">
        <v>0</v>
      </c>
      <c r="G86" s="145">
        <v>-5000</v>
      </c>
      <c r="H86" s="145">
        <v>-5000</v>
      </c>
      <c r="I86" s="145">
        <v>-5000</v>
      </c>
      <c r="J86" s="145">
        <v>-5000</v>
      </c>
      <c r="K86" s="145">
        <v>-5000</v>
      </c>
      <c r="L86" s="145">
        <v>-5000</v>
      </c>
      <c r="M86" s="145">
        <v>-5000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-35000</v>
      </c>
    </row>
    <row r="88" spans="1:27" ht="12" customHeight="1" x14ac:dyDescent="0.2">
      <c r="A88" s="142" t="s">
        <v>182</v>
      </c>
    </row>
    <row r="89" spans="1:27" ht="11.25" customHeight="1" x14ac:dyDescent="0.2">
      <c r="A89" s="143" t="s">
        <v>42</v>
      </c>
      <c r="C89" s="146">
        <v>2.36</v>
      </c>
      <c r="D89" s="146">
        <v>2.6</v>
      </c>
      <c r="E89" s="146">
        <v>2.64</v>
      </c>
      <c r="F89" s="146">
        <v>2.56</v>
      </c>
      <c r="G89" s="146">
        <v>2.42</v>
      </c>
      <c r="H89" s="146">
        <v>2.46</v>
      </c>
      <c r="I89" s="146">
        <v>2.5</v>
      </c>
      <c r="J89" s="146">
        <v>2.54</v>
      </c>
      <c r="K89" s="146">
        <v>2.58</v>
      </c>
      <c r="L89" s="146">
        <v>2.59</v>
      </c>
      <c r="M89" s="146">
        <v>2.62</v>
      </c>
      <c r="N89" s="146">
        <v>3.11</v>
      </c>
      <c r="O89" s="146">
        <v>3.29</v>
      </c>
      <c r="P89" s="146">
        <v>3.4</v>
      </c>
      <c r="Q89" s="146">
        <v>3.33</v>
      </c>
      <c r="R89" s="146">
        <v>3.22</v>
      </c>
      <c r="S89" s="146">
        <v>3.01</v>
      </c>
      <c r="T89" s="146">
        <v>3.02</v>
      </c>
      <c r="U89" s="146">
        <v>3.05</v>
      </c>
      <c r="V89" s="146">
        <v>3.08</v>
      </c>
      <c r="W89" s="146">
        <v>3.11</v>
      </c>
      <c r="X89" s="146">
        <v>3.12</v>
      </c>
      <c r="Y89" s="146">
        <v>3.16</v>
      </c>
      <c r="Z89" s="146">
        <v>3.57</v>
      </c>
      <c r="AA89" s="146"/>
    </row>
    <row r="90" spans="1:27" ht="11.25" customHeight="1" x14ac:dyDescent="0.2">
      <c r="A90" s="143" t="s">
        <v>181</v>
      </c>
      <c r="C90" s="146">
        <v>2.29</v>
      </c>
      <c r="D90" s="146">
        <v>2.54</v>
      </c>
      <c r="E90" s="146">
        <v>2.58</v>
      </c>
      <c r="F90" s="146">
        <v>2.52</v>
      </c>
      <c r="G90" s="146">
        <v>2.41</v>
      </c>
      <c r="H90" s="146">
        <v>2.4500000000000002</v>
      </c>
      <c r="I90" s="146">
        <v>2.4900000000000002</v>
      </c>
      <c r="J90" s="146">
        <v>2.5299999999999998</v>
      </c>
      <c r="K90" s="146">
        <v>2.57</v>
      </c>
      <c r="L90" s="146">
        <v>2.58</v>
      </c>
      <c r="M90" s="146">
        <v>2.62</v>
      </c>
      <c r="N90" s="146">
        <v>3.11</v>
      </c>
      <c r="O90" s="146">
        <v>3.29</v>
      </c>
      <c r="P90" s="146">
        <v>3.4</v>
      </c>
      <c r="Q90" s="146">
        <v>3.33</v>
      </c>
      <c r="R90" s="146">
        <v>3.22</v>
      </c>
      <c r="S90" s="146">
        <v>3.01</v>
      </c>
      <c r="T90" s="146">
        <v>3.02</v>
      </c>
      <c r="U90" s="146">
        <v>3.05</v>
      </c>
      <c r="V90" s="146">
        <v>3.08</v>
      </c>
      <c r="W90" s="146">
        <v>3.11</v>
      </c>
      <c r="X90" s="146">
        <v>3.12</v>
      </c>
      <c r="Y90" s="146">
        <v>3.16</v>
      </c>
      <c r="Z90" s="146">
        <v>3.57</v>
      </c>
      <c r="AA90" s="146"/>
    </row>
    <row r="91" spans="1:27" ht="11.25" customHeight="1" x14ac:dyDescent="0.2">
      <c r="A91" s="143" t="s">
        <v>0</v>
      </c>
      <c r="C91" s="147">
        <v>6.999999999999984E-2</v>
      </c>
      <c r="D91" s="147">
        <v>6.0000000000000053E-2</v>
      </c>
      <c r="E91" s="147">
        <v>6.0000000000000053E-2</v>
      </c>
      <c r="F91" s="147">
        <v>0.04</v>
      </c>
      <c r="G91" s="147">
        <v>9.9999999999997868E-3</v>
      </c>
      <c r="H91" s="147">
        <v>9.9999999999997868E-3</v>
      </c>
      <c r="I91" s="147">
        <v>9.9999999999997868E-3</v>
      </c>
      <c r="J91" s="147">
        <v>1.0000000000000231E-2</v>
      </c>
      <c r="K91" s="147">
        <v>1.0000000000000231E-2</v>
      </c>
      <c r="L91" s="147">
        <v>9.9999999999997868E-3</v>
      </c>
      <c r="M91" s="147">
        <v>0</v>
      </c>
      <c r="N91" s="147">
        <v>0</v>
      </c>
      <c r="O91" s="147">
        <v>0</v>
      </c>
      <c r="P91" s="147">
        <v>0</v>
      </c>
      <c r="Q91" s="147">
        <v>0</v>
      </c>
      <c r="R91" s="147">
        <v>0</v>
      </c>
      <c r="S91" s="147">
        <v>0</v>
      </c>
      <c r="T91" s="147">
        <v>0</v>
      </c>
      <c r="U91" s="147">
        <v>0</v>
      </c>
      <c r="V91" s="147">
        <v>0</v>
      </c>
      <c r="W91" s="147">
        <v>0</v>
      </c>
      <c r="X91" s="147">
        <v>0</v>
      </c>
      <c r="Y91" s="147">
        <v>0</v>
      </c>
      <c r="Z91" s="147">
        <v>0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4.0141999999999998</v>
      </c>
      <c r="D94" s="146">
        <v>4.0141999999999998</v>
      </c>
      <c r="E94" s="146">
        <v>4.2462</v>
      </c>
      <c r="F94" s="146">
        <v>4.2462</v>
      </c>
      <c r="G94" s="146">
        <v>3.6987999999999999</v>
      </c>
      <c r="H94" s="146">
        <v>3.6987999999999999</v>
      </c>
      <c r="I94" s="146">
        <v>3.6987999999999999</v>
      </c>
      <c r="J94" s="146">
        <v>3.6987999999999999</v>
      </c>
      <c r="K94" s="146">
        <v>3.6987999999999999</v>
      </c>
      <c r="L94" s="146">
        <v>3.6987999999999999</v>
      </c>
      <c r="M94" s="146">
        <v>3.6987999999999999</v>
      </c>
      <c r="N94" s="146">
        <v>4.58</v>
      </c>
      <c r="O94" s="146">
        <v>4.58</v>
      </c>
      <c r="P94" s="146">
        <v>4.58</v>
      </c>
      <c r="Q94" s="146">
        <v>4.58</v>
      </c>
      <c r="R94" s="146">
        <v>4.58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183</v>
      </c>
    </row>
    <row r="98" spans="1:27" ht="11.25" customHeight="1" x14ac:dyDescent="0.2">
      <c r="A98" s="143" t="s">
        <v>184</v>
      </c>
      <c r="C98" s="144">
        <v>-1372428</v>
      </c>
      <c r="D98" s="144">
        <v>-1145842</v>
      </c>
      <c r="E98" s="144">
        <v>-745397</v>
      </c>
      <c r="F98" s="144">
        <v>-703317</v>
      </c>
      <c r="G98" s="144">
        <v>-989612</v>
      </c>
      <c r="H98" s="144">
        <v>-1251004</v>
      </c>
      <c r="I98" s="144">
        <v>-1171393</v>
      </c>
      <c r="J98" s="144">
        <v>-1618472</v>
      </c>
      <c r="K98" s="144">
        <v>-1552714</v>
      </c>
      <c r="L98" s="144">
        <v>-1483032</v>
      </c>
      <c r="M98" s="144">
        <v>-1482290</v>
      </c>
      <c r="N98" s="144">
        <v>-1028579</v>
      </c>
      <c r="O98" s="144">
        <v>-924363</v>
      </c>
      <c r="P98" s="144">
        <v>-838358</v>
      </c>
      <c r="Q98" s="144">
        <v>-800081</v>
      </c>
      <c r="R98" s="144">
        <v>-961882</v>
      </c>
      <c r="S98" s="144">
        <v>52165</v>
      </c>
      <c r="T98" s="144">
        <v>55040</v>
      </c>
      <c r="U98" s="144">
        <v>57115</v>
      </c>
      <c r="V98" s="144">
        <v>62912</v>
      </c>
      <c r="W98" s="144">
        <v>66835</v>
      </c>
      <c r="X98" s="144">
        <v>65687</v>
      </c>
      <c r="Y98" s="144">
        <v>73125</v>
      </c>
      <c r="Z98" s="144">
        <v>0</v>
      </c>
      <c r="AA98" s="144">
        <v>-17635885</v>
      </c>
    </row>
    <row r="99" spans="1:27" ht="11.25" customHeight="1" thickBot="1" x14ac:dyDescent="0.25">
      <c r="A99" s="143" t="s">
        <v>190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191</v>
      </c>
      <c r="B100" s="149"/>
      <c r="C100" s="150">
        <v>-1372428</v>
      </c>
      <c r="D100" s="150">
        <v>-1145842</v>
      </c>
      <c r="E100" s="150">
        <v>-745397</v>
      </c>
      <c r="F100" s="150">
        <v>-703317</v>
      </c>
      <c r="G100" s="150">
        <v>-989612</v>
      </c>
      <c r="H100" s="150">
        <v>-1251004</v>
      </c>
      <c r="I100" s="150">
        <v>-1171393</v>
      </c>
      <c r="J100" s="150">
        <v>-1618472</v>
      </c>
      <c r="K100" s="150">
        <v>-1552714</v>
      </c>
      <c r="L100" s="150">
        <v>-1483032</v>
      </c>
      <c r="M100" s="150">
        <v>-1482290</v>
      </c>
      <c r="N100" s="150">
        <v>-1028579</v>
      </c>
      <c r="O100" s="150">
        <v>-924363</v>
      </c>
      <c r="P100" s="150">
        <v>-838358</v>
      </c>
      <c r="Q100" s="150">
        <v>-800081</v>
      </c>
      <c r="R100" s="150">
        <v>-961882</v>
      </c>
      <c r="S100" s="150">
        <v>52165</v>
      </c>
      <c r="T100" s="150">
        <v>55040</v>
      </c>
      <c r="U100" s="150">
        <v>57115</v>
      </c>
      <c r="V100" s="150">
        <v>62912</v>
      </c>
      <c r="W100" s="150">
        <v>66835</v>
      </c>
      <c r="X100" s="150">
        <v>65687</v>
      </c>
      <c r="Y100" s="150">
        <v>73125</v>
      </c>
      <c r="Z100" s="150">
        <v>0</v>
      </c>
      <c r="AA100" s="151">
        <v>-17635885</v>
      </c>
    </row>
    <row r="101" spans="1:27" ht="11.25" customHeight="1" x14ac:dyDescent="0.2">
      <c r="A101" s="143" t="s">
        <v>2</v>
      </c>
      <c r="C101" s="144">
        <v>-1437304</v>
      </c>
      <c r="D101" s="144">
        <v>-1201278</v>
      </c>
      <c r="E101" s="144">
        <v>-778664</v>
      </c>
      <c r="F101" s="144">
        <v>-715517</v>
      </c>
      <c r="G101" s="144">
        <v>-1007266</v>
      </c>
      <c r="H101" s="144">
        <v>-1267639</v>
      </c>
      <c r="I101" s="144">
        <v>-1181562</v>
      </c>
      <c r="J101" s="144">
        <v>-1628903</v>
      </c>
      <c r="K101" s="144">
        <v>-1557079</v>
      </c>
      <c r="L101" s="144">
        <v>-1485787</v>
      </c>
      <c r="M101" s="144">
        <v>-1464145</v>
      </c>
      <c r="N101" s="144">
        <v>-1028470</v>
      </c>
      <c r="O101" s="144">
        <v>-924261</v>
      </c>
      <c r="P101" s="144">
        <v>-838263</v>
      </c>
      <c r="Q101" s="144">
        <v>-799987</v>
      </c>
      <c r="R101" s="144">
        <v>-961766</v>
      </c>
      <c r="S101" s="144">
        <v>52158</v>
      </c>
      <c r="T101" s="144">
        <v>55033</v>
      </c>
      <c r="U101" s="144">
        <v>57108</v>
      </c>
      <c r="V101" s="144">
        <v>62903</v>
      </c>
      <c r="W101" s="144">
        <v>66826</v>
      </c>
      <c r="X101" s="144">
        <v>65678</v>
      </c>
      <c r="Y101" s="144">
        <v>73114</v>
      </c>
      <c r="Z101" s="144">
        <v>0</v>
      </c>
      <c r="AA101" s="144">
        <v>-17845071</v>
      </c>
    </row>
    <row r="102" spans="1:27" ht="11.25" customHeight="1" x14ac:dyDescent="0.2">
      <c r="A102" s="143" t="s">
        <v>0</v>
      </c>
      <c r="C102" s="145">
        <f>C100-C101</f>
        <v>64876</v>
      </c>
      <c r="D102" s="145">
        <f t="shared" ref="D102:AA102" si="1">D100-D101</f>
        <v>55436</v>
      </c>
      <c r="E102" s="145">
        <f t="shared" si="1"/>
        <v>33267</v>
      </c>
      <c r="F102" s="145">
        <f t="shared" si="1"/>
        <v>12200</v>
      </c>
      <c r="G102" s="145">
        <f t="shared" si="1"/>
        <v>17654</v>
      </c>
      <c r="H102" s="145">
        <f t="shared" si="1"/>
        <v>16635</v>
      </c>
      <c r="I102" s="145">
        <f t="shared" si="1"/>
        <v>10169</v>
      </c>
      <c r="J102" s="145">
        <f t="shared" si="1"/>
        <v>10431</v>
      </c>
      <c r="K102" s="145">
        <f t="shared" si="1"/>
        <v>4365</v>
      </c>
      <c r="L102" s="145">
        <f t="shared" si="1"/>
        <v>2755</v>
      </c>
      <c r="M102" s="145">
        <f t="shared" si="1"/>
        <v>-18145</v>
      </c>
      <c r="N102" s="145">
        <f t="shared" si="1"/>
        <v>-109</v>
      </c>
      <c r="O102" s="145">
        <f t="shared" si="1"/>
        <v>-102</v>
      </c>
      <c r="P102" s="145">
        <f t="shared" si="1"/>
        <v>-95</v>
      </c>
      <c r="Q102" s="145">
        <f t="shared" si="1"/>
        <v>-94</v>
      </c>
      <c r="R102" s="145">
        <f t="shared" si="1"/>
        <v>-116</v>
      </c>
      <c r="S102" s="145">
        <f t="shared" si="1"/>
        <v>7</v>
      </c>
      <c r="T102" s="145">
        <f t="shared" si="1"/>
        <v>7</v>
      </c>
      <c r="U102" s="145">
        <f t="shared" si="1"/>
        <v>7</v>
      </c>
      <c r="V102" s="145">
        <f t="shared" si="1"/>
        <v>9</v>
      </c>
      <c r="W102" s="145">
        <f t="shared" si="1"/>
        <v>9</v>
      </c>
      <c r="X102" s="145">
        <f t="shared" si="1"/>
        <v>9</v>
      </c>
      <c r="Y102" s="145">
        <f t="shared" si="1"/>
        <v>11</v>
      </c>
      <c r="Z102" s="145">
        <f t="shared" si="1"/>
        <v>0</v>
      </c>
      <c r="AA102" s="145">
        <f t="shared" si="1"/>
        <v>209186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185</v>
      </c>
      <c r="C106" s="51" t="s">
        <v>148</v>
      </c>
      <c r="D106" s="51" t="s">
        <v>149</v>
      </c>
      <c r="E106" s="51" t="s">
        <v>150</v>
      </c>
      <c r="F106" s="51" t="s">
        <v>151</v>
      </c>
      <c r="G106" s="51" t="s">
        <v>152</v>
      </c>
      <c r="H106" s="51" t="s">
        <v>153</v>
      </c>
      <c r="I106" s="51" t="s">
        <v>154</v>
      </c>
      <c r="J106" s="51" t="s">
        <v>155</v>
      </c>
      <c r="K106" s="51" t="s">
        <v>156</v>
      </c>
      <c r="L106" s="51" t="s">
        <v>157</v>
      </c>
      <c r="M106" s="51" t="s">
        <v>158</v>
      </c>
      <c r="N106" s="51" t="s">
        <v>159</v>
      </c>
      <c r="O106" s="51" t="s">
        <v>160</v>
      </c>
      <c r="P106" s="51" t="s">
        <v>161</v>
      </c>
      <c r="Q106" s="51" t="s">
        <v>162</v>
      </c>
      <c r="R106" s="51" t="s">
        <v>163</v>
      </c>
      <c r="S106" s="51" t="s">
        <v>164</v>
      </c>
      <c r="T106" s="51" t="s">
        <v>165</v>
      </c>
      <c r="U106" s="51" t="s">
        <v>166</v>
      </c>
      <c r="V106" s="51" t="s">
        <v>167</v>
      </c>
      <c r="W106" s="51" t="s">
        <v>168</v>
      </c>
      <c r="X106" s="51" t="s">
        <v>169</v>
      </c>
      <c r="Y106" s="51" t="s">
        <v>170</v>
      </c>
      <c r="Z106" s="51" t="s">
        <v>171</v>
      </c>
      <c r="AA106" s="51" t="s">
        <v>40</v>
      </c>
    </row>
    <row r="107" spans="1:27" ht="11.25" customHeight="1" x14ac:dyDescent="0.2">
      <c r="A107" s="143" t="s">
        <v>186</v>
      </c>
      <c r="C107" s="144">
        <v>55000</v>
      </c>
      <c r="D107" s="144">
        <v>55000</v>
      </c>
      <c r="E107" s="144">
        <v>55000</v>
      </c>
      <c r="F107" s="144">
        <v>45000</v>
      </c>
      <c r="G107" s="144">
        <v>10000</v>
      </c>
      <c r="H107" s="144">
        <v>10000</v>
      </c>
      <c r="I107" s="144">
        <v>15000</v>
      </c>
      <c r="J107" s="144">
        <v>25000</v>
      </c>
      <c r="K107" s="144">
        <v>30000</v>
      </c>
      <c r="L107" s="144">
        <v>30000</v>
      </c>
      <c r="M107" s="144">
        <v>30000</v>
      </c>
      <c r="N107" s="144">
        <v>15000</v>
      </c>
      <c r="O107" s="144">
        <v>15000</v>
      </c>
      <c r="P107" s="144">
        <v>15000</v>
      </c>
      <c r="Q107" s="144">
        <v>15000</v>
      </c>
      <c r="R107" s="144">
        <v>15000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435000</v>
      </c>
    </row>
    <row r="108" spans="1:27" ht="11.25" customHeight="1" x14ac:dyDescent="0.2">
      <c r="A108" s="143" t="s">
        <v>187</v>
      </c>
      <c r="C108" s="144">
        <v>-48516.129000000001</v>
      </c>
      <c r="D108" s="144">
        <v>-40096.741900000001</v>
      </c>
      <c r="E108" s="144">
        <v>-41357.142899999999</v>
      </c>
      <c r="F108" s="144">
        <v>-9903.2258000000002</v>
      </c>
      <c r="G108" s="144">
        <v>-7300</v>
      </c>
      <c r="H108" s="144">
        <v>-20870.967700000001</v>
      </c>
      <c r="I108" s="144">
        <v>-25799.966700000001</v>
      </c>
      <c r="J108" s="144">
        <v>-59096.7742</v>
      </c>
      <c r="K108" s="144">
        <v>-64967.741900000001</v>
      </c>
      <c r="L108" s="144">
        <v>-51766.666700000002</v>
      </c>
      <c r="M108" s="144">
        <v>-41612.903200000001</v>
      </c>
      <c r="N108" s="144">
        <v>-31499.966700000001</v>
      </c>
      <c r="O108" s="144">
        <v>-37193.516100000001</v>
      </c>
      <c r="P108" s="144">
        <v>-35838.709699999999</v>
      </c>
      <c r="Q108" s="144">
        <v>-30678.5357</v>
      </c>
      <c r="R108" s="144">
        <v>-21419.3871</v>
      </c>
      <c r="S108" s="144">
        <v>-28966.666700000002</v>
      </c>
      <c r="T108" s="144">
        <v>-19548.354800000001</v>
      </c>
      <c r="U108" s="144">
        <v>-20533.333299999998</v>
      </c>
      <c r="V108" s="144">
        <v>-47709.709699999999</v>
      </c>
      <c r="W108" s="144">
        <v>-55645.1613</v>
      </c>
      <c r="X108" s="144">
        <v>-48333.333299999998</v>
      </c>
      <c r="Y108" s="144">
        <v>-36064.516100000001</v>
      </c>
      <c r="Z108" s="144">
        <v>-31100</v>
      </c>
      <c r="AA108" s="144">
        <v>-855819.45050000015</v>
      </c>
    </row>
    <row r="109" spans="1:27" ht="11.25" customHeight="1" x14ac:dyDescent="0.2">
      <c r="A109" s="143" t="s">
        <v>188</v>
      </c>
      <c r="C109" s="145">
        <v>6483.8709999999992</v>
      </c>
      <c r="D109" s="145">
        <v>14903.258099999999</v>
      </c>
      <c r="E109" s="145">
        <v>13642.857100000001</v>
      </c>
      <c r="F109" s="145">
        <v>35096.7742</v>
      </c>
      <c r="G109" s="145">
        <v>2700</v>
      </c>
      <c r="H109" s="145">
        <v>-10870.967700000001</v>
      </c>
      <c r="I109" s="145">
        <v>-10799.966700000001</v>
      </c>
      <c r="J109" s="145">
        <v>-34096.7742</v>
      </c>
      <c r="K109" s="145">
        <v>-34967.741900000001</v>
      </c>
      <c r="L109" s="145">
        <v>-21766.666700000002</v>
      </c>
      <c r="M109" s="145">
        <v>-11612.903200000001</v>
      </c>
      <c r="N109" s="145">
        <v>-16499.966700000001</v>
      </c>
      <c r="O109" s="145">
        <v>-22193.516100000001</v>
      </c>
      <c r="P109" s="145">
        <v>-20838.709699999999</v>
      </c>
      <c r="Q109" s="145">
        <v>-15678.5357</v>
      </c>
      <c r="R109" s="145">
        <v>-6419.3870999999999</v>
      </c>
      <c r="S109" s="145">
        <v>-28966.666700000002</v>
      </c>
      <c r="T109" s="145">
        <v>-19548.354800000001</v>
      </c>
      <c r="U109" s="145">
        <v>-20533.333299999998</v>
      </c>
      <c r="V109" s="145">
        <v>-47709.709699999999</v>
      </c>
      <c r="W109" s="145">
        <v>-55645.1613</v>
      </c>
      <c r="X109" s="145">
        <v>-48333.333299999998</v>
      </c>
      <c r="Y109" s="145">
        <v>-36064.516100000001</v>
      </c>
      <c r="Z109" s="145">
        <v>-31100</v>
      </c>
      <c r="AA109" s="145">
        <v>-420819.45050000015</v>
      </c>
    </row>
    <row r="110" spans="1:27" ht="13.5" customHeight="1" thickBot="1" x14ac:dyDescent="0.25"/>
    <row r="111" spans="1:27" ht="12" customHeight="1" thickBot="1" x14ac:dyDescent="0.25">
      <c r="A111" s="50" t="s">
        <v>189</v>
      </c>
      <c r="C111" s="51" t="s">
        <v>148</v>
      </c>
      <c r="D111" s="51" t="s">
        <v>149</v>
      </c>
      <c r="E111" s="51" t="s">
        <v>150</v>
      </c>
      <c r="F111" s="51" t="s">
        <v>151</v>
      </c>
      <c r="G111" s="51" t="s">
        <v>152</v>
      </c>
      <c r="H111" s="51" t="s">
        <v>153</v>
      </c>
      <c r="I111" s="51" t="s">
        <v>154</v>
      </c>
      <c r="J111" s="51" t="s">
        <v>155</v>
      </c>
      <c r="K111" s="51" t="s">
        <v>156</v>
      </c>
      <c r="L111" s="51" t="s">
        <v>157</v>
      </c>
      <c r="M111" s="51" t="s">
        <v>158</v>
      </c>
      <c r="N111" s="51" t="s">
        <v>159</v>
      </c>
      <c r="O111" s="51" t="s">
        <v>160</v>
      </c>
      <c r="P111" s="51" t="s">
        <v>161</v>
      </c>
      <c r="Q111" s="51" t="s">
        <v>162</v>
      </c>
      <c r="R111" s="51" t="s">
        <v>163</v>
      </c>
      <c r="S111" s="51" t="s">
        <v>164</v>
      </c>
      <c r="T111" s="51" t="s">
        <v>165</v>
      </c>
      <c r="U111" s="51" t="s">
        <v>166</v>
      </c>
      <c r="V111" s="51" t="s">
        <v>167</v>
      </c>
      <c r="W111" s="51" t="s">
        <v>168</v>
      </c>
      <c r="X111" s="51" t="s">
        <v>169</v>
      </c>
      <c r="Y111" s="51" t="s">
        <v>170</v>
      </c>
      <c r="Z111" s="51" t="s">
        <v>171</v>
      </c>
      <c r="AA111" s="51" t="s">
        <v>40</v>
      </c>
    </row>
    <row r="112" spans="1:27" ht="11.25" customHeight="1" x14ac:dyDescent="0.2">
      <c r="A112" s="143" t="s">
        <v>189</v>
      </c>
      <c r="C112" s="144">
        <f>10000-25000</f>
        <v>-15000</v>
      </c>
      <c r="D112" s="144">
        <f>10000-25000</f>
        <v>-15000</v>
      </c>
      <c r="E112" s="144">
        <f>10000-25000</f>
        <v>-15000</v>
      </c>
      <c r="F112" s="144">
        <f>-20000-25000</f>
        <v>-45000</v>
      </c>
      <c r="G112" s="144">
        <v>-15000</v>
      </c>
      <c r="H112" s="144">
        <v>-15000</v>
      </c>
      <c r="I112" s="144">
        <v>0</v>
      </c>
      <c r="J112" s="144">
        <v>-5000</v>
      </c>
      <c r="K112" s="144">
        <v>-5000</v>
      </c>
      <c r="L112" s="144">
        <v>-5000</v>
      </c>
      <c r="M112" s="144">
        <v>-5000</v>
      </c>
      <c r="N112" s="144">
        <v>10000</v>
      </c>
      <c r="O112" s="144">
        <v>10000</v>
      </c>
      <c r="P112" s="144">
        <v>10000</v>
      </c>
      <c r="Q112" s="144">
        <v>5000</v>
      </c>
      <c r="R112" s="144">
        <v>5000</v>
      </c>
      <c r="S112" s="144">
        <v>5000</v>
      </c>
      <c r="T112" s="144">
        <v>5000</v>
      </c>
      <c r="U112" s="144">
        <v>5000</v>
      </c>
      <c r="V112" s="144">
        <v>5000</v>
      </c>
      <c r="W112" s="144">
        <v>5000</v>
      </c>
      <c r="X112" s="144">
        <v>5000</v>
      </c>
      <c r="Y112" s="144">
        <v>5000</v>
      </c>
      <c r="Z112" s="144">
        <v>0</v>
      </c>
      <c r="AA112" s="144">
        <v>35000</v>
      </c>
    </row>
    <row r="113" spans="1:27" ht="13.5" customHeight="1" thickBot="1" x14ac:dyDescent="0.25">
      <c r="C113" s="208"/>
      <c r="D113" s="208"/>
      <c r="E113" s="208"/>
      <c r="F113" s="208"/>
      <c r="G113" s="208"/>
    </row>
    <row r="114" spans="1:27" ht="11.25" customHeight="1" thickBot="1" x14ac:dyDescent="0.25">
      <c r="A114" s="148" t="s">
        <v>188</v>
      </c>
      <c r="B114" s="149"/>
      <c r="C114" s="150">
        <f>C109+C112</f>
        <v>-8516.1290000000008</v>
      </c>
      <c r="D114" s="150">
        <f>D109+D112</f>
        <v>-96.741900000000896</v>
      </c>
      <c r="E114" s="150">
        <f>E109+E112</f>
        <v>-1357.1428999999989</v>
      </c>
      <c r="F114" s="150">
        <f>F109+F112</f>
        <v>-9903.2258000000002</v>
      </c>
      <c r="G114" s="150">
        <v>-12300</v>
      </c>
      <c r="H114" s="150">
        <v>-25870.967700000001</v>
      </c>
      <c r="I114" s="150">
        <v>-10799.966700000001</v>
      </c>
      <c r="J114" s="150">
        <v>-39096.7742</v>
      </c>
      <c r="K114" s="150">
        <v>-39967.741900000001</v>
      </c>
      <c r="L114" s="150">
        <v>-26766.666700000002</v>
      </c>
      <c r="M114" s="150">
        <v>-16612.903200000001</v>
      </c>
      <c r="N114" s="150">
        <v>-6499.9667000000009</v>
      </c>
      <c r="O114" s="150">
        <v>-12193.516100000001</v>
      </c>
      <c r="P114" s="150">
        <v>-10838.709699999999</v>
      </c>
      <c r="Q114" s="150">
        <v>-10678.5357</v>
      </c>
      <c r="R114" s="150">
        <v>-1419.3870999999999</v>
      </c>
      <c r="S114" s="150">
        <v>-23966.666700000002</v>
      </c>
      <c r="T114" s="150">
        <v>-14548.354800000001</v>
      </c>
      <c r="U114" s="150">
        <v>-15533.333299999998</v>
      </c>
      <c r="V114" s="150">
        <v>-42709.709699999999</v>
      </c>
      <c r="W114" s="150">
        <v>-50645.1613</v>
      </c>
      <c r="X114" s="150">
        <v>-43333.333299999998</v>
      </c>
      <c r="Y114" s="150">
        <v>-31064.516100000001</v>
      </c>
      <c r="Z114" s="150">
        <v>-31100</v>
      </c>
      <c r="AA114" s="151">
        <v>-385819.45050000015</v>
      </c>
    </row>
    <row r="116" spans="1:27" ht="12" customHeight="1" x14ac:dyDescent="0.2">
      <c r="A116" s="142" t="s">
        <v>181</v>
      </c>
    </row>
    <row r="117" spans="1:27" ht="11.25" customHeight="1" x14ac:dyDescent="0.2">
      <c r="A117" s="143" t="s">
        <v>186</v>
      </c>
      <c r="C117" s="144">
        <v>55000</v>
      </c>
      <c r="D117" s="144">
        <v>55000</v>
      </c>
      <c r="E117" s="144">
        <v>55000</v>
      </c>
      <c r="F117" s="144">
        <v>45000</v>
      </c>
      <c r="G117" s="144">
        <v>10000</v>
      </c>
      <c r="H117" s="144">
        <v>10000</v>
      </c>
      <c r="I117" s="144">
        <v>15000</v>
      </c>
      <c r="J117" s="144">
        <v>25000</v>
      </c>
      <c r="K117" s="144">
        <v>30000</v>
      </c>
      <c r="L117" s="144">
        <v>30000</v>
      </c>
      <c r="M117" s="144">
        <v>30000</v>
      </c>
      <c r="N117" s="144">
        <v>15000</v>
      </c>
      <c r="O117" s="144">
        <v>15000</v>
      </c>
      <c r="P117" s="144">
        <v>15000</v>
      </c>
      <c r="Q117" s="144">
        <v>15000</v>
      </c>
      <c r="R117" s="144">
        <v>15000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435000</v>
      </c>
    </row>
    <row r="118" spans="1:27" ht="11.25" customHeight="1" x14ac:dyDescent="0.2">
      <c r="A118" s="143" t="s">
        <v>187</v>
      </c>
      <c r="C118" s="144">
        <v>-49903.2258</v>
      </c>
      <c r="D118" s="144">
        <v>-40774.1613</v>
      </c>
      <c r="E118" s="144">
        <v>-37750</v>
      </c>
      <c r="F118" s="144">
        <v>-9741.9354999999996</v>
      </c>
      <c r="G118" s="144">
        <v>-8033.3333000000002</v>
      </c>
      <c r="H118" s="144">
        <v>-21677.419399999999</v>
      </c>
      <c r="I118" s="144">
        <v>-26266.633300000001</v>
      </c>
      <c r="J118" s="144">
        <v>-58935.483899999999</v>
      </c>
      <c r="K118" s="144">
        <v>-64677.419399999999</v>
      </c>
      <c r="L118" s="144">
        <v>-51533.333299999998</v>
      </c>
      <c r="M118" s="144">
        <v>-41483.870999999999</v>
      </c>
      <c r="N118" s="144">
        <v>-31566.633300000001</v>
      </c>
      <c r="O118" s="144">
        <v>-36967.709699999999</v>
      </c>
      <c r="P118" s="144">
        <v>-35387.096799999999</v>
      </c>
      <c r="Q118" s="144">
        <v>-30321.392899999999</v>
      </c>
      <c r="R118" s="144">
        <v>-21032.290300000001</v>
      </c>
      <c r="S118" s="144">
        <v>-28466.666700000002</v>
      </c>
      <c r="T118" s="144">
        <v>-19612.870999999999</v>
      </c>
      <c r="U118" s="144">
        <v>-20566.666700000002</v>
      </c>
      <c r="V118" s="144">
        <v>-47258.096799999999</v>
      </c>
      <c r="W118" s="144">
        <v>-55096.7742</v>
      </c>
      <c r="X118" s="144">
        <v>-47866.666700000002</v>
      </c>
      <c r="Y118" s="144">
        <v>-35806.4516</v>
      </c>
      <c r="Z118" s="144">
        <v>-31066.666700000002</v>
      </c>
      <c r="AA118" s="144">
        <v>-851792.79959999979</v>
      </c>
    </row>
    <row r="119" spans="1:27" ht="11.25" customHeight="1" x14ac:dyDescent="0.2">
      <c r="A119" s="143" t="s">
        <v>189</v>
      </c>
      <c r="C119" s="144">
        <f>10000-25000</f>
        <v>-15000</v>
      </c>
      <c r="D119" s="144">
        <f>10000-25000</f>
        <v>-15000</v>
      </c>
      <c r="E119" s="144">
        <f>10000-25000</f>
        <v>-15000</v>
      </c>
      <c r="F119" s="144">
        <f>-20000-25000</f>
        <v>-45000</v>
      </c>
      <c r="G119" s="144">
        <v>-15000</v>
      </c>
      <c r="H119" s="144">
        <v>-15000</v>
      </c>
      <c r="I119" s="144">
        <v>0</v>
      </c>
      <c r="J119" s="144">
        <v>-5000</v>
      </c>
      <c r="K119" s="144">
        <v>-5000</v>
      </c>
      <c r="L119" s="144">
        <v>-5000</v>
      </c>
      <c r="M119" s="144">
        <v>-5000</v>
      </c>
      <c r="N119" s="144">
        <v>10000</v>
      </c>
      <c r="O119" s="144">
        <v>10000</v>
      </c>
      <c r="P119" s="144">
        <v>10000</v>
      </c>
      <c r="Q119" s="144">
        <v>5000</v>
      </c>
      <c r="R119" s="144">
        <v>5000</v>
      </c>
      <c r="S119" s="144">
        <v>5000</v>
      </c>
      <c r="T119" s="144">
        <v>5000</v>
      </c>
      <c r="U119" s="144">
        <v>5000</v>
      </c>
      <c r="V119" s="144">
        <v>5000</v>
      </c>
      <c r="W119" s="144">
        <v>5000</v>
      </c>
      <c r="X119" s="144">
        <v>5000</v>
      </c>
      <c r="Y119" s="144">
        <v>5000</v>
      </c>
      <c r="Z119" s="144">
        <v>0</v>
      </c>
      <c r="AA119" s="144">
        <v>35000</v>
      </c>
    </row>
    <row r="120" spans="1:27" ht="11.25" customHeight="1" x14ac:dyDescent="0.2">
      <c r="A120" s="143" t="s">
        <v>188</v>
      </c>
      <c r="C120" s="145">
        <f>SUM(C117:C119)</f>
        <v>-9903.2258000000002</v>
      </c>
      <c r="D120" s="145">
        <f>SUM(D117:D119)</f>
        <v>-774.16129999999976</v>
      </c>
      <c r="E120" s="145">
        <f>SUM(E117:E119)</f>
        <v>2250</v>
      </c>
      <c r="F120" s="145">
        <f>SUM(F117:F119)</f>
        <v>-9741.9354999999996</v>
      </c>
      <c r="G120" s="145">
        <v>-13033.3333</v>
      </c>
      <c r="H120" s="145">
        <v>-26677.419399999999</v>
      </c>
      <c r="I120" s="145">
        <v>-11266.633300000001</v>
      </c>
      <c r="J120" s="145">
        <v>-38935.483899999999</v>
      </c>
      <c r="K120" s="145">
        <v>-39677.419399999999</v>
      </c>
      <c r="L120" s="145">
        <v>-26533.333299999998</v>
      </c>
      <c r="M120" s="145">
        <v>-16483.870999999999</v>
      </c>
      <c r="N120" s="145">
        <v>-6566.6333000000013</v>
      </c>
      <c r="O120" s="145">
        <v>-11967.709699999999</v>
      </c>
      <c r="P120" s="145">
        <v>-10387.096799999999</v>
      </c>
      <c r="Q120" s="145">
        <v>-10321.392899999999</v>
      </c>
      <c r="R120" s="145">
        <v>-1032.2903000000006</v>
      </c>
      <c r="S120" s="145">
        <v>-23466.666700000002</v>
      </c>
      <c r="T120" s="145">
        <v>-14612.870999999999</v>
      </c>
      <c r="U120" s="145">
        <v>-15566.666700000002</v>
      </c>
      <c r="V120" s="145">
        <v>-42258.096799999999</v>
      </c>
      <c r="W120" s="145">
        <v>-50096.7742</v>
      </c>
      <c r="X120" s="145">
        <v>-42866.666700000002</v>
      </c>
      <c r="Y120" s="145">
        <v>-30806.4516</v>
      </c>
      <c r="Z120" s="145">
        <v>-31066.666700000002</v>
      </c>
      <c r="AA120" s="145">
        <v>-381792.79959999979</v>
      </c>
    </row>
    <row r="121" spans="1:27" ht="13.5" customHeight="1" x14ac:dyDescent="0.2">
      <c r="C121" s="208"/>
      <c r="D121" s="208"/>
      <c r="E121" s="208"/>
      <c r="F121" s="208"/>
      <c r="G121" s="208"/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186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187</v>
      </c>
      <c r="C124" s="144">
        <v>1387.0967999999993</v>
      </c>
      <c r="D124" s="144">
        <v>677.41939999999886</v>
      </c>
      <c r="E124" s="144">
        <v>-3607.1428999999989</v>
      </c>
      <c r="F124" s="144">
        <v>-161.29030000000057</v>
      </c>
      <c r="G124" s="144">
        <v>733.33330000000024</v>
      </c>
      <c r="H124" s="144">
        <v>806.4516999999978</v>
      </c>
      <c r="I124" s="144">
        <v>466.66660000000047</v>
      </c>
      <c r="J124" s="144">
        <v>-161.29030000000057</v>
      </c>
      <c r="K124" s="144">
        <v>-290.32250000000204</v>
      </c>
      <c r="L124" s="144">
        <v>-233.33340000000317</v>
      </c>
      <c r="M124" s="144">
        <v>-129.03220000000147</v>
      </c>
      <c r="N124" s="144">
        <v>66.666600000000471</v>
      </c>
      <c r="O124" s="144">
        <v>-225.8064000000013</v>
      </c>
      <c r="P124" s="144">
        <v>-451.61290000000008</v>
      </c>
      <c r="Q124" s="144">
        <v>-357.14280000000144</v>
      </c>
      <c r="R124" s="144">
        <v>-387.09679999999935</v>
      </c>
      <c r="S124" s="144">
        <v>-500</v>
      </c>
      <c r="T124" s="144">
        <v>64.516199999998207</v>
      </c>
      <c r="U124" s="144">
        <v>33.333400000003166</v>
      </c>
      <c r="V124" s="144">
        <v>-451.61290000000008</v>
      </c>
      <c r="W124" s="144">
        <v>-548.38709999999992</v>
      </c>
      <c r="X124" s="144">
        <v>-466.66659999999683</v>
      </c>
      <c r="Y124" s="144">
        <v>-258.06450000000041</v>
      </c>
      <c r="Z124" s="144">
        <v>-33.333299999998417</v>
      </c>
      <c r="AA124" s="144">
        <v>-4026.6509000003571</v>
      </c>
    </row>
    <row r="125" spans="1:27" ht="11.25" customHeight="1" x14ac:dyDescent="0.2">
      <c r="A125" s="143" t="s">
        <v>189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188</v>
      </c>
      <c r="C126" s="145">
        <v>1387.0967999999993</v>
      </c>
      <c r="D126" s="145">
        <v>677.41939999999886</v>
      </c>
      <c r="E126" s="145">
        <v>-3607.1428999999989</v>
      </c>
      <c r="F126" s="145">
        <v>-161.29030000000057</v>
      </c>
      <c r="G126" s="145">
        <v>733.33330000000024</v>
      </c>
      <c r="H126" s="145">
        <v>806.4516999999978</v>
      </c>
      <c r="I126" s="145">
        <v>466.66660000000047</v>
      </c>
      <c r="J126" s="145">
        <v>-161.29030000000057</v>
      </c>
      <c r="K126" s="145">
        <v>-290.32250000000204</v>
      </c>
      <c r="L126" s="145">
        <v>-233.33340000000317</v>
      </c>
      <c r="M126" s="145">
        <v>-129.03220000000147</v>
      </c>
      <c r="N126" s="145">
        <v>66.666600000000471</v>
      </c>
      <c r="O126" s="145">
        <v>-225.8064000000013</v>
      </c>
      <c r="P126" s="145">
        <v>-451.61290000000008</v>
      </c>
      <c r="Q126" s="145">
        <v>-357.14280000000144</v>
      </c>
      <c r="R126" s="145">
        <v>-387.09679999999935</v>
      </c>
      <c r="S126" s="145">
        <v>-500</v>
      </c>
      <c r="T126" s="145">
        <v>64.516199999998207</v>
      </c>
      <c r="U126" s="145">
        <v>33.333400000003166</v>
      </c>
      <c r="V126" s="145">
        <v>-451.61290000000008</v>
      </c>
      <c r="W126" s="145">
        <v>-548.38709999999992</v>
      </c>
      <c r="X126" s="145">
        <v>-466.66659999999683</v>
      </c>
      <c r="Y126" s="145">
        <v>-258.06450000000041</v>
      </c>
      <c r="Z126" s="145">
        <v>-33.333299999998417</v>
      </c>
      <c r="AA126" s="145">
        <v>-4026.6509000003571</v>
      </c>
    </row>
    <row r="128" spans="1:27" ht="12" customHeight="1" x14ac:dyDescent="0.2">
      <c r="A128" s="142" t="s">
        <v>182</v>
      </c>
    </row>
    <row r="129" spans="1:27" ht="11.25" customHeight="1" x14ac:dyDescent="0.2">
      <c r="A129" s="143" t="s">
        <v>42</v>
      </c>
      <c r="C129" s="146">
        <v>2.6949999999999998</v>
      </c>
      <c r="D129" s="146">
        <v>2.9849999999999999</v>
      </c>
      <c r="E129" s="146">
        <v>2.8279999999999998</v>
      </c>
      <c r="F129" s="146">
        <v>2.77</v>
      </c>
      <c r="G129" s="146">
        <v>2.6509999999999998</v>
      </c>
      <c r="H129" s="146">
        <v>2.6930000000000001</v>
      </c>
      <c r="I129" s="146">
        <v>2.7330000000000001</v>
      </c>
      <c r="J129" s="146">
        <v>2.7709999999999999</v>
      </c>
      <c r="K129" s="146">
        <v>2.8069999999999999</v>
      </c>
      <c r="L129" s="146">
        <v>2.819</v>
      </c>
      <c r="M129" s="146">
        <v>2.8460000000000001</v>
      </c>
      <c r="N129" s="146">
        <v>3.4609999999999999</v>
      </c>
      <c r="O129" s="146">
        <v>3.6459999999999999</v>
      </c>
      <c r="P129" s="146">
        <v>3.7559999999999998</v>
      </c>
      <c r="Q129" s="146">
        <v>3.6840000000000002</v>
      </c>
      <c r="R129" s="146">
        <v>3.5739999999999998</v>
      </c>
      <c r="S129" s="146">
        <v>3.2290000000000001</v>
      </c>
      <c r="T129" s="146">
        <v>3.2370000000000001</v>
      </c>
      <c r="U129" s="146">
        <v>3.2669999999999999</v>
      </c>
      <c r="V129" s="146">
        <v>3.302</v>
      </c>
      <c r="W129" s="146">
        <v>3.3340000000000001</v>
      </c>
      <c r="X129" s="146">
        <v>3.3420000000000001</v>
      </c>
      <c r="Y129" s="146">
        <v>3.3839999999999999</v>
      </c>
      <c r="Z129" s="146">
        <v>3.9119999999999999</v>
      </c>
      <c r="AA129" s="146"/>
    </row>
    <row r="130" spans="1:27" ht="11.25" customHeight="1" x14ac:dyDescent="0.2">
      <c r="A130" s="143" t="s">
        <v>181</v>
      </c>
      <c r="C130" s="146">
        <v>2.621</v>
      </c>
      <c r="D130" s="146">
        <v>2.9260000000000002</v>
      </c>
      <c r="E130" s="146">
        <v>2.766</v>
      </c>
      <c r="F130" s="146">
        <v>2.738</v>
      </c>
      <c r="G130" s="146">
        <v>2.625</v>
      </c>
      <c r="H130" s="146">
        <v>2.6680000000000001</v>
      </c>
      <c r="I130" s="146">
        <v>2.71</v>
      </c>
      <c r="J130" s="146">
        <v>2.75</v>
      </c>
      <c r="K130" s="146">
        <v>2.79</v>
      </c>
      <c r="L130" s="146">
        <v>2.802</v>
      </c>
      <c r="M130" s="146">
        <v>2.8420000000000001</v>
      </c>
      <c r="N130" s="146">
        <v>3.4620000000000002</v>
      </c>
      <c r="O130" s="146">
        <v>3.6469999999999998</v>
      </c>
      <c r="P130" s="146">
        <v>3.7570000000000001</v>
      </c>
      <c r="Q130" s="146">
        <v>3.6819999999999999</v>
      </c>
      <c r="R130" s="146">
        <v>3.577</v>
      </c>
      <c r="S130" s="146">
        <v>3.2320000000000002</v>
      </c>
      <c r="T130" s="146">
        <v>3.2370000000000001</v>
      </c>
      <c r="U130" s="146">
        <v>3.2669999999999999</v>
      </c>
      <c r="V130" s="146">
        <v>3.302</v>
      </c>
      <c r="W130" s="146">
        <v>3.3340000000000001</v>
      </c>
      <c r="X130" s="146">
        <v>3.3420000000000001</v>
      </c>
      <c r="Y130" s="146">
        <v>3.3839999999999999</v>
      </c>
      <c r="Z130" s="146">
        <v>3.9119999999999999</v>
      </c>
      <c r="AA130" s="146"/>
    </row>
    <row r="131" spans="1:27" ht="11.25" customHeight="1" x14ac:dyDescent="0.2">
      <c r="A131" s="143" t="s">
        <v>0</v>
      </c>
      <c r="C131" s="147">
        <v>7.3999999999999844E-2</v>
      </c>
      <c r="D131" s="147">
        <v>5.8999999999999719E-2</v>
      </c>
      <c r="E131" s="147">
        <v>6.1999999999999833E-2</v>
      </c>
      <c r="F131" s="147">
        <v>3.2000000000000028E-2</v>
      </c>
      <c r="G131" s="147">
        <v>2.5999999999999801E-2</v>
      </c>
      <c r="H131" s="147">
        <v>2.4999999999999911E-2</v>
      </c>
      <c r="I131" s="147">
        <v>2.3000000000000131E-2</v>
      </c>
      <c r="J131" s="147">
        <v>2.0999999999999908E-2</v>
      </c>
      <c r="K131" s="147">
        <v>1.6999999999999904E-2</v>
      </c>
      <c r="L131" s="147">
        <v>1.6999999999999904E-2</v>
      </c>
      <c r="M131" s="147">
        <v>4.0000000000000036E-3</v>
      </c>
      <c r="N131" s="147">
        <v>-1.000000000000334E-3</v>
      </c>
      <c r="O131" s="147">
        <v>-9.9999999999988987E-4</v>
      </c>
      <c r="P131" s="147">
        <v>-1.000000000000334E-3</v>
      </c>
      <c r="Q131" s="147">
        <v>2.0000000000002238E-3</v>
      </c>
      <c r="R131" s="147">
        <v>-3.0000000000001137E-3</v>
      </c>
      <c r="S131" s="147">
        <v>-3.0000000000001137E-3</v>
      </c>
      <c r="T131" s="147">
        <v>0</v>
      </c>
      <c r="U131" s="147">
        <v>0</v>
      </c>
      <c r="V131" s="147">
        <v>0</v>
      </c>
      <c r="W131" s="147">
        <v>0</v>
      </c>
      <c r="X131" s="147">
        <v>0</v>
      </c>
      <c r="Y131" s="147">
        <v>0</v>
      </c>
      <c r="Z131" s="147">
        <v>0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4.1566999999999998</v>
      </c>
      <c r="D134" s="146">
        <v>4.1566999999999998</v>
      </c>
      <c r="E134" s="146">
        <v>4.1566999999999998</v>
      </c>
      <c r="F134" s="146">
        <v>4.1566999999999998</v>
      </c>
      <c r="G134" s="146">
        <v>3.8712</v>
      </c>
      <c r="H134" s="146">
        <v>3.8712</v>
      </c>
      <c r="I134" s="146">
        <v>3.7320000000000002</v>
      </c>
      <c r="J134" s="146">
        <v>3.7320000000000002</v>
      </c>
      <c r="K134" s="146">
        <v>3.9483000000000001</v>
      </c>
      <c r="L134" s="146">
        <v>3.9483000000000001</v>
      </c>
      <c r="M134" s="146">
        <v>3.9483000000000001</v>
      </c>
      <c r="N134" s="146">
        <v>5.3632999999999997</v>
      </c>
      <c r="O134" s="146">
        <v>5.3632999999999997</v>
      </c>
      <c r="P134" s="146">
        <v>5.3632999999999997</v>
      </c>
      <c r="Q134" s="146">
        <v>5.3632999999999997</v>
      </c>
      <c r="R134" s="146">
        <v>5.3632999999999997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0</v>
      </c>
      <c r="D135" s="146">
        <v>0</v>
      </c>
      <c r="E135" s="146">
        <v>0</v>
      </c>
      <c r="F135" s="146">
        <v>3.1575000000000002</v>
      </c>
      <c r="G135" s="146">
        <v>3.1575000000000002</v>
      </c>
      <c r="H135" s="146">
        <v>3.1575000000000002</v>
      </c>
      <c r="I135" s="146">
        <v>3.1575000000000002</v>
      </c>
      <c r="J135" s="146">
        <v>0</v>
      </c>
      <c r="K135" s="146">
        <v>0</v>
      </c>
      <c r="L135" s="146">
        <v>0</v>
      </c>
      <c r="M135" s="146">
        <v>0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183</v>
      </c>
    </row>
    <row r="138" spans="1:27" ht="11.25" customHeight="1" x14ac:dyDescent="0.2">
      <c r="A138" s="143" t="s">
        <v>184</v>
      </c>
      <c r="C138" s="144">
        <v>-2858805</v>
      </c>
      <c r="D138" s="144">
        <v>-2491699</v>
      </c>
      <c r="E138" s="169">
        <v>-2417867</v>
      </c>
      <c r="F138" s="169">
        <v>-2054187</v>
      </c>
      <c r="G138" s="169">
        <v>-475532</v>
      </c>
      <c r="H138" s="169">
        <v>-496210</v>
      </c>
      <c r="I138" s="169">
        <v>-780463</v>
      </c>
      <c r="J138" s="144">
        <v>-828128</v>
      </c>
      <c r="K138" s="144">
        <v>-1139160</v>
      </c>
      <c r="L138" s="144">
        <v>-1089983</v>
      </c>
      <c r="M138" s="144">
        <v>-1102254</v>
      </c>
      <c r="N138" s="144">
        <v>-2677342</v>
      </c>
      <c r="O138" s="144">
        <v>-2616921</v>
      </c>
      <c r="P138" s="144">
        <v>-2522475</v>
      </c>
      <c r="Q138" s="144">
        <v>-2179971</v>
      </c>
      <c r="R138" s="144">
        <v>-2465730</v>
      </c>
      <c r="S138" s="144">
        <v>49204</v>
      </c>
      <c r="T138" s="144">
        <v>51708</v>
      </c>
      <c r="U138" s="144">
        <v>53911</v>
      </c>
      <c r="V138" s="144">
        <v>60338</v>
      </c>
      <c r="W138" s="144">
        <v>64560</v>
      </c>
      <c r="X138" s="144">
        <v>63224</v>
      </c>
      <c r="Y138" s="144">
        <v>70875</v>
      </c>
      <c r="Z138" s="144">
        <v>0</v>
      </c>
      <c r="AA138" s="144">
        <v>-27782907</v>
      </c>
    </row>
    <row r="139" spans="1:27" ht="11.25" customHeight="1" thickBot="1" x14ac:dyDescent="0.25">
      <c r="A139" s="143" t="s">
        <v>190</v>
      </c>
      <c r="C139" s="144">
        <v>11422056</v>
      </c>
      <c r="D139" s="144">
        <v>11395995</v>
      </c>
      <c r="E139" s="144">
        <v>8689383</v>
      </c>
      <c r="F139" s="144">
        <v>1785007</v>
      </c>
      <c r="G139" s="144">
        <v>161812</v>
      </c>
      <c r="H139" s="144">
        <v>2071805</v>
      </c>
      <c r="I139" s="144">
        <v>2634335</v>
      </c>
      <c r="J139" s="144">
        <v>4164497</v>
      </c>
      <c r="K139" s="144">
        <v>3751600</v>
      </c>
      <c r="L139" s="144">
        <v>4360379</v>
      </c>
      <c r="M139" s="144">
        <v>4607294</v>
      </c>
      <c r="N139" s="144">
        <v>4572721</v>
      </c>
      <c r="O139" s="144">
        <v>4706102</v>
      </c>
      <c r="P139" s="144">
        <v>1755452</v>
      </c>
      <c r="Q139" s="144">
        <v>1178367</v>
      </c>
      <c r="R139" s="144">
        <v>1405912</v>
      </c>
      <c r="S139" s="144">
        <v>-14760</v>
      </c>
      <c r="T139" s="144">
        <v>-79286</v>
      </c>
      <c r="U139" s="144">
        <v>-54316</v>
      </c>
      <c r="V139" s="144">
        <v>-149167</v>
      </c>
      <c r="W139" s="144">
        <v>-191740</v>
      </c>
      <c r="X139" s="144">
        <v>-115226</v>
      </c>
      <c r="Y139" s="144">
        <v>-33790</v>
      </c>
      <c r="Z139" s="144">
        <v>1658338</v>
      </c>
      <c r="AA139" s="144">
        <v>69682770</v>
      </c>
    </row>
    <row r="140" spans="1:27" ht="11.25" customHeight="1" thickBot="1" x14ac:dyDescent="0.25">
      <c r="A140" s="148" t="s">
        <v>191</v>
      </c>
      <c r="B140" s="149"/>
      <c r="C140" s="150">
        <v>8563251</v>
      </c>
      <c r="D140" s="150">
        <v>8904296</v>
      </c>
      <c r="E140" s="150">
        <v>6271516</v>
      </c>
      <c r="F140" s="150">
        <v>-269180</v>
      </c>
      <c r="G140" s="150">
        <v>-313720</v>
      </c>
      <c r="H140" s="150">
        <v>1575595</v>
      </c>
      <c r="I140" s="150">
        <v>1853872</v>
      </c>
      <c r="J140" s="150">
        <v>3336369</v>
      </c>
      <c r="K140" s="150">
        <v>2612440</v>
      </c>
      <c r="L140" s="150">
        <v>3270396</v>
      </c>
      <c r="M140" s="150">
        <v>3505040</v>
      </c>
      <c r="N140" s="150">
        <v>1895379</v>
      </c>
      <c r="O140" s="150">
        <v>2089181</v>
      </c>
      <c r="P140" s="150">
        <v>-767023</v>
      </c>
      <c r="Q140" s="150">
        <v>-1001604</v>
      </c>
      <c r="R140" s="150">
        <v>-1059818</v>
      </c>
      <c r="S140" s="150">
        <v>34444</v>
      </c>
      <c r="T140" s="150">
        <v>-27578</v>
      </c>
      <c r="U140" s="150">
        <v>-405</v>
      </c>
      <c r="V140" s="150">
        <v>-88829</v>
      </c>
      <c r="W140" s="150">
        <v>-127180</v>
      </c>
      <c r="X140" s="150">
        <v>-52002</v>
      </c>
      <c r="Y140" s="150">
        <v>37085</v>
      </c>
      <c r="Z140" s="150">
        <v>1658338</v>
      </c>
      <c r="AA140" s="151">
        <v>41899863</v>
      </c>
    </row>
    <row r="141" spans="1:27" ht="11.25" customHeight="1" x14ac:dyDescent="0.2">
      <c r="A141" s="143" t="s">
        <v>2</v>
      </c>
      <c r="C141" s="144">
        <v>8586249</v>
      </c>
      <c r="D141" s="144">
        <v>8905969</v>
      </c>
      <c r="E141" s="144">
        <v>6267895</v>
      </c>
      <c r="F141" s="144">
        <v>-259405</v>
      </c>
      <c r="G141" s="144">
        <v>-303642</v>
      </c>
      <c r="H141" s="144">
        <v>1595977</v>
      </c>
      <c r="I141" s="144">
        <v>1861573</v>
      </c>
      <c r="J141" s="144">
        <v>3361221</v>
      </c>
      <c r="K141" s="144">
        <v>2632923</v>
      </c>
      <c r="L141" s="144">
        <v>3283645</v>
      </c>
      <c r="M141" s="144">
        <v>3507134</v>
      </c>
      <c r="N141" s="144">
        <v>1895474</v>
      </c>
      <c r="O141" s="144">
        <v>2089113</v>
      </c>
      <c r="P141" s="144">
        <v>-767043</v>
      </c>
      <c r="Q141" s="144">
        <v>-1000800</v>
      </c>
      <c r="R141" s="144">
        <v>-1059611</v>
      </c>
      <c r="S141" s="144">
        <v>32453</v>
      </c>
      <c r="T141" s="144">
        <v>-27584</v>
      </c>
      <c r="U141" s="144">
        <v>-412</v>
      </c>
      <c r="V141" s="144">
        <v>-88837</v>
      </c>
      <c r="W141" s="144">
        <v>-127189</v>
      </c>
      <c r="X141" s="144">
        <v>-52011</v>
      </c>
      <c r="Y141" s="144">
        <v>37075</v>
      </c>
      <c r="Z141" s="144">
        <v>1658338</v>
      </c>
      <c r="AA141" s="144">
        <v>42021082</v>
      </c>
    </row>
    <row r="142" spans="1:27" ht="11.25" customHeight="1" x14ac:dyDescent="0.2">
      <c r="A142" s="143" t="s">
        <v>0</v>
      </c>
      <c r="C142" s="145">
        <f>C140-C141</f>
        <v>-22998</v>
      </c>
      <c r="D142" s="145">
        <f t="shared" ref="D142:Z142" si="2">D140-D141</f>
        <v>-1673</v>
      </c>
      <c r="E142" s="145">
        <f t="shared" si="2"/>
        <v>3621</v>
      </c>
      <c r="F142" s="145">
        <f t="shared" si="2"/>
        <v>-9775</v>
      </c>
      <c r="G142" s="145">
        <f t="shared" si="2"/>
        <v>-10078</v>
      </c>
      <c r="H142" s="145">
        <f t="shared" si="2"/>
        <v>-20382</v>
      </c>
      <c r="I142" s="145">
        <f t="shared" si="2"/>
        <v>-7701</v>
      </c>
      <c r="J142" s="145">
        <f t="shared" si="2"/>
        <v>-24852</v>
      </c>
      <c r="K142" s="145">
        <f t="shared" si="2"/>
        <v>-20483</v>
      </c>
      <c r="L142" s="145">
        <f t="shared" si="2"/>
        <v>-13249</v>
      </c>
      <c r="M142" s="145">
        <f t="shared" si="2"/>
        <v>-2094</v>
      </c>
      <c r="N142" s="145">
        <f t="shared" si="2"/>
        <v>-95</v>
      </c>
      <c r="O142" s="145">
        <f t="shared" si="2"/>
        <v>68</v>
      </c>
      <c r="P142" s="145">
        <f t="shared" si="2"/>
        <v>20</v>
      </c>
      <c r="Q142" s="145">
        <f t="shared" si="2"/>
        <v>-804</v>
      </c>
      <c r="R142" s="145">
        <f t="shared" si="2"/>
        <v>-207</v>
      </c>
      <c r="S142" s="145">
        <f t="shared" si="2"/>
        <v>1991</v>
      </c>
      <c r="T142" s="145">
        <f t="shared" si="2"/>
        <v>6</v>
      </c>
      <c r="U142" s="145">
        <f t="shared" si="2"/>
        <v>7</v>
      </c>
      <c r="V142" s="145">
        <f t="shared" si="2"/>
        <v>8</v>
      </c>
      <c r="W142" s="145">
        <f t="shared" si="2"/>
        <v>9</v>
      </c>
      <c r="X142" s="145">
        <f t="shared" si="2"/>
        <v>9</v>
      </c>
      <c r="Y142" s="145">
        <f t="shared" si="2"/>
        <v>10</v>
      </c>
      <c r="Z142" s="145">
        <f t="shared" si="2"/>
        <v>0</v>
      </c>
      <c r="AA142" s="145">
        <v>-121219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C2" sqref="C2"/>
    </sheetView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48"/>
  </cols>
  <sheetData>
    <row r="1" spans="1:27" ht="12" customHeight="1" x14ac:dyDescent="0.2">
      <c r="A1" s="2" t="s">
        <v>192</v>
      </c>
    </row>
    <row r="2" spans="1:27" ht="12" customHeight="1" x14ac:dyDescent="0.2">
      <c r="A2" s="2" t="s">
        <v>146</v>
      </c>
    </row>
    <row r="3" spans="1:27" ht="12" customHeight="1" x14ac:dyDescent="0.2">
      <c r="A3" s="2" t="s">
        <v>178</v>
      </c>
    </row>
    <row r="4" spans="1:27" ht="12" customHeight="1" x14ac:dyDescent="0.2">
      <c r="A4" s="2" t="s">
        <v>179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148</v>
      </c>
      <c r="D8" s="51" t="s">
        <v>149</v>
      </c>
      <c r="E8" s="51" t="s">
        <v>150</v>
      </c>
      <c r="F8" s="51" t="s">
        <v>151</v>
      </c>
      <c r="G8" s="51" t="s">
        <v>152</v>
      </c>
      <c r="H8" s="51" t="s">
        <v>153</v>
      </c>
      <c r="I8" s="51" t="s">
        <v>154</v>
      </c>
      <c r="J8" s="51" t="s">
        <v>155</v>
      </c>
      <c r="K8" s="51" t="s">
        <v>156</v>
      </c>
      <c r="L8" s="51" t="s">
        <v>157</v>
      </c>
      <c r="M8" s="51" t="s">
        <v>158</v>
      </c>
      <c r="N8" s="51" t="s">
        <v>159</v>
      </c>
      <c r="O8" s="51" t="s">
        <v>160</v>
      </c>
      <c r="P8" s="51" t="s">
        <v>161</v>
      </c>
      <c r="Q8" s="51" t="s">
        <v>162</v>
      </c>
      <c r="R8" s="51" t="s">
        <v>163</v>
      </c>
      <c r="S8" s="51" t="s">
        <v>164</v>
      </c>
      <c r="T8" s="51" t="s">
        <v>165</v>
      </c>
      <c r="U8" s="51" t="s">
        <v>166</v>
      </c>
      <c r="V8" s="51" t="s">
        <v>167</v>
      </c>
      <c r="W8" s="51" t="s">
        <v>168</v>
      </c>
      <c r="X8" s="51" t="s">
        <v>169</v>
      </c>
      <c r="Y8" s="51" t="s">
        <v>170</v>
      </c>
      <c r="Z8" s="51" t="s">
        <v>171</v>
      </c>
      <c r="AA8" s="51" t="s">
        <v>40</v>
      </c>
    </row>
    <row r="9" spans="1:27" ht="12" customHeight="1" x14ac:dyDescent="0.2">
      <c r="A9" s="142" t="s">
        <v>180</v>
      </c>
    </row>
    <row r="10" spans="1:27" ht="11.25" customHeight="1" x14ac:dyDescent="0.2">
      <c r="A10" s="143" t="s">
        <v>42</v>
      </c>
      <c r="C10" s="144">
        <v>-6451.6129000000001</v>
      </c>
      <c r="D10" s="144">
        <v>-6451.6129000000001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-12903.2258</v>
      </c>
    </row>
    <row r="11" spans="1:27" ht="11.25" customHeight="1" x14ac:dyDescent="0.2">
      <c r="A11" s="143" t="s">
        <v>181</v>
      </c>
      <c r="C11" s="144">
        <v>-6451.6129000000001</v>
      </c>
      <c r="D11" s="144">
        <v>-6451.6129000000001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-12903.2258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182</v>
      </c>
    </row>
    <row r="15" spans="1:27" ht="11.25" customHeight="1" x14ac:dyDescent="0.2">
      <c r="A15" s="143" t="s">
        <v>42</v>
      </c>
      <c r="C15" s="146">
        <v>2.87</v>
      </c>
      <c r="D15" s="146">
        <v>3.06</v>
      </c>
      <c r="E15" s="146">
        <v>3.1</v>
      </c>
      <c r="F15" s="146">
        <v>3.06</v>
      </c>
      <c r="G15" s="146">
        <v>3.03</v>
      </c>
      <c r="H15" s="146">
        <v>3.07</v>
      </c>
      <c r="I15" s="146">
        <v>3.11</v>
      </c>
      <c r="J15" s="146">
        <v>3.15</v>
      </c>
      <c r="K15" s="146">
        <v>3.18</v>
      </c>
      <c r="L15" s="146">
        <v>3.19</v>
      </c>
      <c r="M15" s="146">
        <v>3.22</v>
      </c>
      <c r="N15" s="146">
        <v>3.41</v>
      </c>
      <c r="O15" s="146">
        <v>3.59</v>
      </c>
      <c r="P15" s="146">
        <v>3.7</v>
      </c>
      <c r="Q15" s="146">
        <v>3.63</v>
      </c>
      <c r="R15" s="146">
        <v>3.52</v>
      </c>
      <c r="S15" s="146">
        <v>3.41</v>
      </c>
      <c r="T15" s="146">
        <v>3.42</v>
      </c>
      <c r="U15" s="146">
        <v>3.45</v>
      </c>
      <c r="V15" s="146">
        <v>3.48</v>
      </c>
      <c r="W15" s="146">
        <v>3.51</v>
      </c>
      <c r="X15" s="146">
        <v>3.52</v>
      </c>
      <c r="Y15" s="146">
        <v>3.56</v>
      </c>
      <c r="Z15" s="146">
        <v>3.71</v>
      </c>
      <c r="AA15" s="146"/>
    </row>
    <row r="16" spans="1:27" ht="11.25" customHeight="1" x14ac:dyDescent="0.2">
      <c r="A16" s="143" t="s">
        <v>181</v>
      </c>
      <c r="C16" s="146">
        <v>2.79</v>
      </c>
      <c r="D16" s="146">
        <v>3</v>
      </c>
      <c r="E16" s="146">
        <v>3.04</v>
      </c>
      <c r="F16" s="146">
        <v>3.03</v>
      </c>
      <c r="G16" s="146">
        <v>3</v>
      </c>
      <c r="H16" s="146">
        <v>3.04</v>
      </c>
      <c r="I16" s="146">
        <v>3.09</v>
      </c>
      <c r="J16" s="146">
        <v>3.13</v>
      </c>
      <c r="K16" s="146">
        <v>3.17</v>
      </c>
      <c r="L16" s="146">
        <v>3.18</v>
      </c>
      <c r="M16" s="146">
        <v>3.22</v>
      </c>
      <c r="N16" s="146">
        <v>3.41</v>
      </c>
      <c r="O16" s="146">
        <v>3.59</v>
      </c>
      <c r="P16" s="146">
        <v>3.7</v>
      </c>
      <c r="Q16" s="146">
        <v>3.63</v>
      </c>
      <c r="R16" s="146">
        <v>3.52</v>
      </c>
      <c r="S16" s="146">
        <v>3.41</v>
      </c>
      <c r="T16" s="146">
        <v>3.42</v>
      </c>
      <c r="U16" s="146">
        <v>3.45</v>
      </c>
      <c r="V16" s="146">
        <v>3.48</v>
      </c>
      <c r="W16" s="146">
        <v>3.51</v>
      </c>
      <c r="X16" s="146">
        <v>3.52</v>
      </c>
      <c r="Y16" s="146">
        <v>3.56</v>
      </c>
      <c r="Z16" s="146">
        <v>3.71</v>
      </c>
      <c r="AA16" s="146"/>
    </row>
    <row r="17" spans="1:27" ht="11.25" customHeight="1" x14ac:dyDescent="0.2">
      <c r="A17" s="143" t="s">
        <v>0</v>
      </c>
      <c r="C17" s="147">
        <v>8.0000000000000071E-2</v>
      </c>
      <c r="D17" s="147">
        <v>6.0000000000000053E-2</v>
      </c>
      <c r="E17" s="147">
        <v>6.0000000000000053E-2</v>
      </c>
      <c r="F17" s="147">
        <v>3.0000000000000249E-2</v>
      </c>
      <c r="G17" s="147">
        <v>2.9999999999999805E-2</v>
      </c>
      <c r="H17" s="147">
        <v>2.9999999999999805E-2</v>
      </c>
      <c r="I17" s="147">
        <v>0.02</v>
      </c>
      <c r="J17" s="147">
        <v>0.02</v>
      </c>
      <c r="K17" s="147">
        <v>1.0000000000000231E-2</v>
      </c>
      <c r="L17" s="147">
        <v>9.9999999999997868E-3</v>
      </c>
      <c r="M17" s="147">
        <v>0</v>
      </c>
      <c r="N17" s="147">
        <v>0</v>
      </c>
      <c r="O17" s="147">
        <v>0</v>
      </c>
      <c r="P17" s="147">
        <v>0</v>
      </c>
      <c r="Q17" s="147">
        <v>0</v>
      </c>
      <c r="R17" s="147">
        <v>0</v>
      </c>
      <c r="S17" s="147">
        <v>0</v>
      </c>
      <c r="T17" s="147">
        <v>0</v>
      </c>
      <c r="U17" s="147">
        <v>0</v>
      </c>
      <c r="V17" s="147">
        <v>0</v>
      </c>
      <c r="W17" s="147">
        <v>0</v>
      </c>
      <c r="X17" s="147">
        <v>0</v>
      </c>
      <c r="Y17" s="147">
        <v>0</v>
      </c>
      <c r="Z17" s="147">
        <v>0</v>
      </c>
      <c r="AA17" s="146"/>
    </row>
    <row r="19" spans="1:27" ht="12" customHeight="1" x14ac:dyDescent="0.2">
      <c r="A19" s="142" t="s">
        <v>183</v>
      </c>
    </row>
    <row r="20" spans="1:27" ht="11.25" customHeight="1" x14ac:dyDescent="0.2">
      <c r="A20" s="143" t="s">
        <v>184</v>
      </c>
      <c r="C20" s="144">
        <v>-82556</v>
      </c>
      <c r="D20" s="144">
        <v>-747</v>
      </c>
      <c r="E20" s="169">
        <v>14887</v>
      </c>
      <c r="F20" s="144">
        <v>10392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-58024</v>
      </c>
    </row>
    <row r="21" spans="1:27" ht="11.25" customHeight="1" x14ac:dyDescent="0.2">
      <c r="A21" s="143" t="s">
        <v>2</v>
      </c>
      <c r="C21" s="144">
        <v>-66567</v>
      </c>
      <c r="D21" s="144">
        <v>11200</v>
      </c>
      <c r="E21" s="144">
        <v>14886</v>
      </c>
      <c r="F21" s="144">
        <v>10391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-30090</v>
      </c>
    </row>
    <row r="22" spans="1:27" ht="11.25" customHeight="1" x14ac:dyDescent="0.2">
      <c r="A22" s="143" t="s">
        <v>0</v>
      </c>
      <c r="C22" s="145">
        <v>-15989</v>
      </c>
      <c r="D22" s="145">
        <v>-11947</v>
      </c>
      <c r="E22" s="145">
        <v>1</v>
      </c>
      <c r="F22" s="145">
        <v>1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-27934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185</v>
      </c>
      <c r="C26" s="51" t="s">
        <v>148</v>
      </c>
      <c r="D26" s="51" t="s">
        <v>149</v>
      </c>
      <c r="E26" s="51" t="s">
        <v>150</v>
      </c>
      <c r="F26" s="51" t="s">
        <v>151</v>
      </c>
      <c r="G26" s="51" t="s">
        <v>152</v>
      </c>
      <c r="H26" s="51" t="s">
        <v>153</v>
      </c>
      <c r="I26" s="51" t="s">
        <v>154</v>
      </c>
      <c r="J26" s="51" t="s">
        <v>155</v>
      </c>
      <c r="K26" s="51" t="s">
        <v>156</v>
      </c>
      <c r="L26" s="51" t="s">
        <v>157</v>
      </c>
      <c r="M26" s="51" t="s">
        <v>158</v>
      </c>
      <c r="N26" s="51" t="s">
        <v>159</v>
      </c>
      <c r="O26" s="51" t="s">
        <v>160</v>
      </c>
      <c r="P26" s="51" t="s">
        <v>161</v>
      </c>
      <c r="Q26" s="51" t="s">
        <v>162</v>
      </c>
      <c r="R26" s="51" t="s">
        <v>163</v>
      </c>
      <c r="S26" s="51" t="s">
        <v>164</v>
      </c>
      <c r="T26" s="51" t="s">
        <v>165</v>
      </c>
      <c r="U26" s="51" t="s">
        <v>166</v>
      </c>
      <c r="V26" s="51" t="s">
        <v>167</v>
      </c>
      <c r="W26" s="51" t="s">
        <v>168</v>
      </c>
      <c r="X26" s="51" t="s">
        <v>169</v>
      </c>
      <c r="Y26" s="51" t="s">
        <v>170</v>
      </c>
      <c r="Z26" s="51" t="s">
        <v>171</v>
      </c>
      <c r="AA26" s="51" t="s">
        <v>40</v>
      </c>
    </row>
    <row r="27" spans="1:27" ht="11.25" customHeight="1" x14ac:dyDescent="0.2">
      <c r="A27" s="143" t="s">
        <v>186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4">
        <v>0</v>
      </c>
      <c r="O27" s="144">
        <v>0</v>
      </c>
      <c r="P27" s="144">
        <v>0</v>
      </c>
      <c r="Q27" s="144">
        <v>0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0</v>
      </c>
    </row>
    <row r="28" spans="1:27" ht="11.25" customHeight="1" x14ac:dyDescent="0.2">
      <c r="A28" s="143" t="s">
        <v>187</v>
      </c>
      <c r="C28" s="144">
        <v>0</v>
      </c>
      <c r="D28" s="144">
        <v>0</v>
      </c>
      <c r="E28" s="144">
        <v>0</v>
      </c>
      <c r="F28" s="144">
        <v>0</v>
      </c>
      <c r="G28" s="144">
        <v>0</v>
      </c>
      <c r="H28" s="144">
        <v>0</v>
      </c>
      <c r="I28" s="144">
        <v>0</v>
      </c>
      <c r="J28" s="144">
        <v>0</v>
      </c>
      <c r="K28" s="144">
        <v>0</v>
      </c>
      <c r="L28" s="144">
        <v>0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4">
        <v>0</v>
      </c>
      <c r="U28" s="144">
        <v>0</v>
      </c>
      <c r="V28" s="144">
        <v>0</v>
      </c>
      <c r="W28" s="144">
        <v>0</v>
      </c>
      <c r="X28" s="144">
        <v>0</v>
      </c>
      <c r="Y28" s="144">
        <v>0</v>
      </c>
      <c r="Z28" s="144">
        <v>0</v>
      </c>
      <c r="AA28" s="144">
        <v>0</v>
      </c>
    </row>
    <row r="29" spans="1:27" ht="11.25" customHeight="1" x14ac:dyDescent="0.2">
      <c r="A29" s="143" t="s">
        <v>188</v>
      </c>
      <c r="C29" s="145">
        <v>0</v>
      </c>
      <c r="D29" s="145">
        <v>0</v>
      </c>
      <c r="E29" s="145">
        <v>0</v>
      </c>
      <c r="F29" s="145">
        <v>0</v>
      </c>
      <c r="G29" s="145">
        <v>0</v>
      </c>
      <c r="H29" s="145">
        <v>0</v>
      </c>
      <c r="I29" s="145">
        <v>0</v>
      </c>
      <c r="J29" s="145">
        <v>0</v>
      </c>
      <c r="K29" s="145">
        <v>0</v>
      </c>
      <c r="L29" s="145">
        <v>0</v>
      </c>
      <c r="M29" s="145">
        <v>0</v>
      </c>
      <c r="N29" s="145">
        <v>0</v>
      </c>
      <c r="O29" s="145">
        <v>0</v>
      </c>
      <c r="P29" s="145">
        <v>0</v>
      </c>
      <c r="Q29" s="145">
        <v>0</v>
      </c>
      <c r="R29" s="145">
        <v>0</v>
      </c>
      <c r="S29" s="145">
        <v>0</v>
      </c>
      <c r="T29" s="145">
        <v>0</v>
      </c>
      <c r="U29" s="145">
        <v>0</v>
      </c>
      <c r="V29" s="145">
        <v>0</v>
      </c>
      <c r="W29" s="145">
        <v>0</v>
      </c>
      <c r="X29" s="145">
        <v>0</v>
      </c>
      <c r="Y29" s="145">
        <v>0</v>
      </c>
      <c r="Z29" s="145">
        <v>0</v>
      </c>
      <c r="AA29" s="145">
        <v>0</v>
      </c>
    </row>
    <row r="30" spans="1:27" ht="13.5" customHeight="1" thickBot="1" x14ac:dyDescent="0.25"/>
    <row r="31" spans="1:27" ht="12" customHeight="1" thickBot="1" x14ac:dyDescent="0.25">
      <c r="A31" s="50" t="s">
        <v>189</v>
      </c>
      <c r="C31" s="51" t="s">
        <v>148</v>
      </c>
      <c r="D31" s="51" t="s">
        <v>149</v>
      </c>
      <c r="E31" s="51" t="s">
        <v>150</v>
      </c>
      <c r="F31" s="51" t="s">
        <v>151</v>
      </c>
      <c r="G31" s="51" t="s">
        <v>152</v>
      </c>
      <c r="H31" s="51" t="s">
        <v>153</v>
      </c>
      <c r="I31" s="51" t="s">
        <v>154</v>
      </c>
      <c r="J31" s="51" t="s">
        <v>155</v>
      </c>
      <c r="K31" s="51" t="s">
        <v>156</v>
      </c>
      <c r="L31" s="51" t="s">
        <v>157</v>
      </c>
      <c r="M31" s="51" t="s">
        <v>158</v>
      </c>
      <c r="N31" s="51" t="s">
        <v>159</v>
      </c>
      <c r="O31" s="51" t="s">
        <v>160</v>
      </c>
      <c r="P31" s="51" t="s">
        <v>161</v>
      </c>
      <c r="Q31" s="51" t="s">
        <v>162</v>
      </c>
      <c r="R31" s="51" t="s">
        <v>163</v>
      </c>
      <c r="S31" s="51" t="s">
        <v>164</v>
      </c>
      <c r="T31" s="51" t="s">
        <v>165</v>
      </c>
      <c r="U31" s="51" t="s">
        <v>166</v>
      </c>
      <c r="V31" s="51" t="s">
        <v>167</v>
      </c>
      <c r="W31" s="51" t="s">
        <v>168</v>
      </c>
      <c r="X31" s="51" t="s">
        <v>169</v>
      </c>
      <c r="Y31" s="51" t="s">
        <v>170</v>
      </c>
      <c r="Z31" s="51" t="s">
        <v>171</v>
      </c>
      <c r="AA31" s="51" t="s">
        <v>40</v>
      </c>
    </row>
    <row r="32" spans="1:27" ht="11.25" customHeight="1" x14ac:dyDescent="0.2">
      <c r="A32" s="143" t="s">
        <v>189</v>
      </c>
      <c r="C32" s="144">
        <v>0</v>
      </c>
      <c r="D32" s="144">
        <v>0</v>
      </c>
      <c r="E32" s="144">
        <v>0</v>
      </c>
      <c r="F32" s="144">
        <v>0</v>
      </c>
      <c r="G32" s="144">
        <v>0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0</v>
      </c>
      <c r="Y32" s="144">
        <v>0</v>
      </c>
      <c r="Z32" s="144">
        <v>0</v>
      </c>
      <c r="AA32" s="144">
        <v>0</v>
      </c>
    </row>
    <row r="33" spans="1:27" ht="13.5" customHeight="1" thickBot="1" x14ac:dyDescent="0.25"/>
    <row r="34" spans="1:27" ht="11.25" customHeight="1" thickBot="1" x14ac:dyDescent="0.25">
      <c r="A34" s="148" t="s">
        <v>188</v>
      </c>
      <c r="B34" s="149"/>
      <c r="C34" s="150">
        <v>0</v>
      </c>
      <c r="D34" s="150">
        <v>0</v>
      </c>
      <c r="E34" s="150">
        <v>0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  <c r="P34" s="150">
        <v>0</v>
      </c>
      <c r="Q34" s="150">
        <v>0</v>
      </c>
      <c r="R34" s="150">
        <v>0</v>
      </c>
      <c r="S34" s="150">
        <v>0</v>
      </c>
      <c r="T34" s="150">
        <v>0</v>
      </c>
      <c r="U34" s="150">
        <v>0</v>
      </c>
      <c r="V34" s="150">
        <v>0</v>
      </c>
      <c r="W34" s="150">
        <v>0</v>
      </c>
      <c r="X34" s="150">
        <v>0</v>
      </c>
      <c r="Y34" s="150">
        <v>0</v>
      </c>
      <c r="Z34" s="150">
        <v>0</v>
      </c>
      <c r="AA34" s="151">
        <v>0</v>
      </c>
    </row>
    <row r="36" spans="1:27" ht="12" customHeight="1" x14ac:dyDescent="0.2">
      <c r="A36" s="142" t="s">
        <v>181</v>
      </c>
    </row>
    <row r="37" spans="1:27" ht="11.25" customHeight="1" x14ac:dyDescent="0.2">
      <c r="A37" s="143" t="s">
        <v>186</v>
      </c>
      <c r="C37" s="144">
        <v>0</v>
      </c>
      <c r="D37" s="144">
        <v>0</v>
      </c>
      <c r="E37" s="144">
        <v>0</v>
      </c>
      <c r="F37" s="144">
        <v>0</v>
      </c>
      <c r="G37" s="144">
        <v>0</v>
      </c>
      <c r="H37" s="144">
        <v>0</v>
      </c>
      <c r="I37" s="144">
        <v>0</v>
      </c>
      <c r="J37" s="144">
        <v>0</v>
      </c>
      <c r="K37" s="144">
        <v>0</v>
      </c>
      <c r="L37" s="144">
        <v>0</v>
      </c>
      <c r="M37" s="144">
        <v>0</v>
      </c>
      <c r="N37" s="144">
        <v>0</v>
      </c>
      <c r="O37" s="144">
        <v>0</v>
      </c>
      <c r="P37" s="144">
        <v>0</v>
      </c>
      <c r="Q37" s="144">
        <v>0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0</v>
      </c>
    </row>
    <row r="38" spans="1:27" ht="11.25" customHeight="1" x14ac:dyDescent="0.2">
      <c r="A38" s="143" t="s">
        <v>187</v>
      </c>
      <c r="C38" s="144">
        <v>0</v>
      </c>
      <c r="D38" s="144">
        <v>0</v>
      </c>
      <c r="E38" s="144">
        <v>0</v>
      </c>
      <c r="F38" s="144">
        <v>0</v>
      </c>
      <c r="G38" s="144">
        <v>0</v>
      </c>
      <c r="H38" s="144">
        <v>0</v>
      </c>
      <c r="I38" s="144">
        <v>0</v>
      </c>
      <c r="J38" s="144">
        <v>0</v>
      </c>
      <c r="K38" s="144">
        <v>0</v>
      </c>
      <c r="L38" s="144">
        <v>0</v>
      </c>
      <c r="M38" s="144">
        <v>0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4">
        <v>0</v>
      </c>
      <c r="W38" s="144">
        <v>0</v>
      </c>
      <c r="X38" s="144">
        <v>0</v>
      </c>
      <c r="Y38" s="144">
        <v>0</v>
      </c>
      <c r="Z38" s="144">
        <v>0</v>
      </c>
      <c r="AA38" s="144">
        <v>0</v>
      </c>
    </row>
    <row r="39" spans="1:27" ht="11.25" customHeight="1" x14ac:dyDescent="0.2">
      <c r="A39" s="143" t="s">
        <v>189</v>
      </c>
      <c r="C39" s="144">
        <v>0</v>
      </c>
      <c r="D39" s="144">
        <v>0</v>
      </c>
      <c r="E39" s="144">
        <v>0</v>
      </c>
      <c r="F39" s="144">
        <v>0</v>
      </c>
      <c r="G39" s="144">
        <v>0</v>
      </c>
      <c r="H39" s="144">
        <v>0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0</v>
      </c>
      <c r="O39" s="144">
        <v>0</v>
      </c>
      <c r="P39" s="144">
        <v>0</v>
      </c>
      <c r="Q39" s="144">
        <v>0</v>
      </c>
      <c r="R39" s="144">
        <v>0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0</v>
      </c>
      <c r="Y39" s="144">
        <v>0</v>
      </c>
      <c r="Z39" s="144">
        <v>0</v>
      </c>
      <c r="AA39" s="144">
        <v>0</v>
      </c>
    </row>
    <row r="40" spans="1:27" ht="11.25" customHeight="1" x14ac:dyDescent="0.2">
      <c r="A40" s="143" t="s">
        <v>188</v>
      </c>
      <c r="C40" s="145">
        <v>0</v>
      </c>
      <c r="D40" s="145">
        <v>0</v>
      </c>
      <c r="E40" s="145">
        <v>0</v>
      </c>
      <c r="F40" s="145">
        <v>0</v>
      </c>
      <c r="G40" s="145">
        <v>0</v>
      </c>
      <c r="H40" s="145">
        <v>0</v>
      </c>
      <c r="I40" s="145">
        <v>0</v>
      </c>
      <c r="J40" s="145">
        <v>0</v>
      </c>
      <c r="K40" s="145">
        <v>0</v>
      </c>
      <c r="L40" s="145">
        <v>0</v>
      </c>
      <c r="M40" s="145">
        <v>0</v>
      </c>
      <c r="N40" s="145">
        <v>0</v>
      </c>
      <c r="O40" s="145">
        <v>0</v>
      </c>
      <c r="P40" s="145">
        <v>0</v>
      </c>
      <c r="Q40" s="145">
        <v>0</v>
      </c>
      <c r="R40" s="145">
        <v>0</v>
      </c>
      <c r="S40" s="145">
        <v>0</v>
      </c>
      <c r="T40" s="145">
        <v>0</v>
      </c>
      <c r="U40" s="145">
        <v>0</v>
      </c>
      <c r="V40" s="145">
        <v>0</v>
      </c>
      <c r="W40" s="145">
        <v>0</v>
      </c>
      <c r="X40" s="145">
        <v>0</v>
      </c>
      <c r="Y40" s="145">
        <v>0</v>
      </c>
      <c r="Z40" s="145">
        <v>0</v>
      </c>
      <c r="AA40" s="145">
        <v>0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186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187</v>
      </c>
      <c r="C44" s="144">
        <v>0</v>
      </c>
      <c r="D44" s="144">
        <v>0</v>
      </c>
      <c r="E44" s="144">
        <v>0</v>
      </c>
      <c r="F44" s="144">
        <v>0</v>
      </c>
      <c r="G44" s="144">
        <v>0</v>
      </c>
      <c r="H44" s="144">
        <v>0</v>
      </c>
      <c r="I44" s="144">
        <v>0</v>
      </c>
      <c r="J44" s="144">
        <v>0</v>
      </c>
      <c r="K44" s="144">
        <v>0</v>
      </c>
      <c r="L44" s="144">
        <v>0</v>
      </c>
      <c r="M44" s="144">
        <v>0</v>
      </c>
      <c r="N44" s="144">
        <v>0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0</v>
      </c>
      <c r="Y44" s="144">
        <v>0</v>
      </c>
      <c r="Z44" s="144">
        <v>0</v>
      </c>
      <c r="AA44" s="144">
        <v>0</v>
      </c>
    </row>
    <row r="45" spans="1:27" ht="11.25" customHeight="1" x14ac:dyDescent="0.2">
      <c r="A45" s="143" t="s">
        <v>189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188</v>
      </c>
      <c r="C46" s="145">
        <v>0</v>
      </c>
      <c r="D46" s="145">
        <v>0</v>
      </c>
      <c r="E46" s="145">
        <v>0</v>
      </c>
      <c r="F46" s="145">
        <v>0</v>
      </c>
      <c r="G46" s="145">
        <v>0</v>
      </c>
      <c r="H46" s="145">
        <v>0</v>
      </c>
      <c r="I46" s="145">
        <v>0</v>
      </c>
      <c r="J46" s="145">
        <v>0</v>
      </c>
      <c r="K46" s="145">
        <v>0</v>
      </c>
      <c r="L46" s="145">
        <v>0</v>
      </c>
      <c r="M46" s="145">
        <v>0</v>
      </c>
      <c r="N46" s="145">
        <v>0</v>
      </c>
      <c r="O46" s="145">
        <v>0</v>
      </c>
      <c r="P46" s="145">
        <v>0</v>
      </c>
      <c r="Q46" s="145">
        <v>0</v>
      </c>
      <c r="R46" s="145">
        <v>0</v>
      </c>
      <c r="S46" s="145">
        <v>0</v>
      </c>
      <c r="T46" s="145">
        <v>0</v>
      </c>
      <c r="U46" s="145">
        <v>0</v>
      </c>
      <c r="V46" s="145">
        <v>0</v>
      </c>
      <c r="W46" s="145">
        <v>0</v>
      </c>
      <c r="X46" s="145">
        <v>0</v>
      </c>
      <c r="Y46" s="145">
        <v>0</v>
      </c>
      <c r="Z46" s="145">
        <v>0</v>
      </c>
      <c r="AA46" s="145">
        <v>0</v>
      </c>
    </row>
    <row r="48" spans="1:27" ht="12" customHeight="1" x14ac:dyDescent="0.2">
      <c r="A48" s="142" t="s">
        <v>182</v>
      </c>
    </row>
    <row r="49" spans="1:27" ht="11.25" customHeight="1" x14ac:dyDescent="0.2">
      <c r="A49" s="143" t="s">
        <v>42</v>
      </c>
      <c r="C49" s="146">
        <v>3.8</v>
      </c>
      <c r="D49" s="146">
        <v>3.96</v>
      </c>
      <c r="E49" s="146">
        <v>3.98</v>
      </c>
      <c r="F49" s="146">
        <v>3.86</v>
      </c>
      <c r="G49" s="146">
        <v>3.8</v>
      </c>
      <c r="H49" s="146">
        <v>3.86</v>
      </c>
      <c r="I49" s="146">
        <v>3.92</v>
      </c>
      <c r="J49" s="146">
        <v>3.98</v>
      </c>
      <c r="K49" s="146">
        <v>4.03</v>
      </c>
      <c r="L49" s="146">
        <v>4.05</v>
      </c>
      <c r="M49" s="146">
        <v>4.09</v>
      </c>
      <c r="N49" s="146">
        <v>4.47</v>
      </c>
      <c r="O49" s="146">
        <v>4.75</v>
      </c>
      <c r="P49" s="146">
        <v>4.92</v>
      </c>
      <c r="Q49" s="146">
        <v>4.8099999999999996</v>
      </c>
      <c r="R49" s="146">
        <v>4.6399999999999997</v>
      </c>
      <c r="S49" s="146">
        <v>4.47</v>
      </c>
      <c r="T49" s="146">
        <v>4.49</v>
      </c>
      <c r="U49" s="146">
        <v>4.53</v>
      </c>
      <c r="V49" s="146">
        <v>4.58</v>
      </c>
      <c r="W49" s="146">
        <v>4.63</v>
      </c>
      <c r="X49" s="146">
        <v>4.6500000000000004</v>
      </c>
      <c r="Y49" s="146">
        <v>4.71</v>
      </c>
      <c r="Z49" s="146">
        <v>4.95</v>
      </c>
      <c r="AA49" s="146"/>
    </row>
    <row r="50" spans="1:27" ht="11.25" customHeight="1" x14ac:dyDescent="0.2">
      <c r="A50" s="143" t="s">
        <v>181</v>
      </c>
      <c r="C50" s="146">
        <v>3.69</v>
      </c>
      <c r="D50" s="146">
        <v>3.87</v>
      </c>
      <c r="E50" s="146">
        <v>3.89</v>
      </c>
      <c r="F50" s="146">
        <v>3.81</v>
      </c>
      <c r="G50" s="146">
        <v>3.76</v>
      </c>
      <c r="H50" s="146">
        <v>3.82</v>
      </c>
      <c r="I50" s="146">
        <v>3.89</v>
      </c>
      <c r="J50" s="146">
        <v>3.95</v>
      </c>
      <c r="K50" s="146">
        <v>4.01</v>
      </c>
      <c r="L50" s="146">
        <v>4.03</v>
      </c>
      <c r="M50" s="146">
        <v>4.09</v>
      </c>
      <c r="N50" s="146">
        <v>4.47</v>
      </c>
      <c r="O50" s="146">
        <v>4.75</v>
      </c>
      <c r="P50" s="146">
        <v>4.92</v>
      </c>
      <c r="Q50" s="146">
        <v>4.8</v>
      </c>
      <c r="R50" s="146">
        <v>4.6500000000000004</v>
      </c>
      <c r="S50" s="146">
        <v>4.4800000000000004</v>
      </c>
      <c r="T50" s="146">
        <v>4.49</v>
      </c>
      <c r="U50" s="146">
        <v>4.53</v>
      </c>
      <c r="V50" s="146">
        <v>4.58</v>
      </c>
      <c r="W50" s="146">
        <v>4.63</v>
      </c>
      <c r="X50" s="146">
        <v>4.6500000000000004</v>
      </c>
      <c r="Y50" s="146">
        <v>4.71</v>
      </c>
      <c r="Z50" s="146">
        <v>4.95</v>
      </c>
      <c r="AA50" s="146"/>
    </row>
    <row r="51" spans="1:27" ht="11.25" customHeight="1" x14ac:dyDescent="0.2">
      <c r="A51" s="143" t="s">
        <v>0</v>
      </c>
      <c r="C51" s="147">
        <v>0.11</v>
      </c>
      <c r="D51" s="147">
        <v>8.9999999999999858E-2</v>
      </c>
      <c r="E51" s="147">
        <v>8.9999999999999858E-2</v>
      </c>
      <c r="F51" s="147">
        <v>4.9999999999999822E-2</v>
      </c>
      <c r="G51" s="147">
        <v>0.04</v>
      </c>
      <c r="H51" s="147">
        <v>0.04</v>
      </c>
      <c r="I51" s="147">
        <v>2.9999999999999805E-2</v>
      </c>
      <c r="J51" s="147">
        <v>2.9999999999999805E-2</v>
      </c>
      <c r="K51" s="147">
        <v>2.0000000000000462E-2</v>
      </c>
      <c r="L51" s="147">
        <v>1.9999999999999574E-2</v>
      </c>
      <c r="M51" s="147">
        <v>0</v>
      </c>
      <c r="N51" s="147">
        <v>0</v>
      </c>
      <c r="O51" s="147">
        <v>0</v>
      </c>
      <c r="P51" s="147">
        <v>0</v>
      </c>
      <c r="Q51" s="147">
        <v>9.9999999999997868E-3</v>
      </c>
      <c r="R51" s="147">
        <v>-1.0000000000000675E-2</v>
      </c>
      <c r="S51" s="147">
        <v>-1.0000000000000675E-2</v>
      </c>
      <c r="T51" s="147">
        <v>0</v>
      </c>
      <c r="U51" s="147">
        <v>0</v>
      </c>
      <c r="V51" s="147">
        <v>0</v>
      </c>
      <c r="W51" s="147">
        <v>0</v>
      </c>
      <c r="X51" s="147">
        <v>0</v>
      </c>
      <c r="Y51" s="147">
        <v>0</v>
      </c>
      <c r="Z51" s="147">
        <v>0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5.2061999999999999</v>
      </c>
      <c r="D54" s="146">
        <v>5.2586000000000004</v>
      </c>
      <c r="E54" s="146">
        <v>5.2586000000000004</v>
      </c>
      <c r="F54" s="146">
        <v>5.2586000000000004</v>
      </c>
      <c r="G54" s="146">
        <v>4.4021999999999997</v>
      </c>
      <c r="H54" s="146">
        <v>4.4021999999999997</v>
      </c>
      <c r="I54" s="146">
        <v>4.4021999999999997</v>
      </c>
      <c r="J54" s="146">
        <v>4.4021999999999997</v>
      </c>
      <c r="K54" s="146">
        <v>4.4021999999999997</v>
      </c>
      <c r="L54" s="146">
        <v>4.4021999999999997</v>
      </c>
      <c r="M54" s="146">
        <v>4.4021999999999997</v>
      </c>
      <c r="N54" s="146">
        <v>0</v>
      </c>
      <c r="O54" s="146">
        <v>0</v>
      </c>
      <c r="P54" s="146">
        <v>0</v>
      </c>
      <c r="Q54" s="146">
        <v>0</v>
      </c>
      <c r="R54" s="146">
        <v>0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5.2035999999999998</v>
      </c>
      <c r="D55" s="146">
        <v>5.2534000000000001</v>
      </c>
      <c r="E55" s="146">
        <v>5.2534000000000001</v>
      </c>
      <c r="F55" s="146">
        <v>5.2534000000000001</v>
      </c>
      <c r="G55" s="146">
        <v>4.3406000000000002</v>
      </c>
      <c r="H55" s="146">
        <v>4.3406000000000002</v>
      </c>
      <c r="I55" s="146">
        <v>4.3406000000000002</v>
      </c>
      <c r="J55" s="146">
        <v>4.3406000000000002</v>
      </c>
      <c r="K55" s="146">
        <v>4.3406000000000002</v>
      </c>
      <c r="L55" s="146">
        <v>4.3406000000000002</v>
      </c>
      <c r="M55" s="146">
        <v>4.3406000000000002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183</v>
      </c>
    </row>
    <row r="58" spans="1:27" ht="11.25" customHeight="1" x14ac:dyDescent="0.2">
      <c r="A58" s="143" t="s">
        <v>184</v>
      </c>
      <c r="C58" s="144">
        <v>-10866</v>
      </c>
      <c r="D58" s="144">
        <v>-19139</v>
      </c>
      <c r="E58" s="144">
        <v>-17229</v>
      </c>
      <c r="F58" s="144">
        <v>-19019</v>
      </c>
      <c r="G58" s="144">
        <v>-51996</v>
      </c>
      <c r="H58" s="144">
        <v>-53557</v>
      </c>
      <c r="I58" s="144">
        <v>-51659</v>
      </c>
      <c r="J58" s="144">
        <v>-53202</v>
      </c>
      <c r="K58" s="144">
        <v>-53025</v>
      </c>
      <c r="L58" s="144">
        <v>-51150</v>
      </c>
      <c r="M58" s="144">
        <v>-52676</v>
      </c>
      <c r="N58" s="144">
        <v>0</v>
      </c>
      <c r="O58" s="144">
        <v>0</v>
      </c>
      <c r="P58" s="144">
        <v>0</v>
      </c>
      <c r="Q58" s="144">
        <v>0</v>
      </c>
      <c r="R58" s="144">
        <v>0</v>
      </c>
      <c r="S58" s="144">
        <v>0</v>
      </c>
      <c r="T58" s="144">
        <v>0</v>
      </c>
      <c r="U58" s="144">
        <v>0</v>
      </c>
      <c r="V58" s="144">
        <v>0</v>
      </c>
      <c r="W58" s="144">
        <v>0</v>
      </c>
      <c r="X58" s="144">
        <v>0</v>
      </c>
      <c r="Y58" s="144">
        <v>0</v>
      </c>
      <c r="Z58" s="144">
        <v>0</v>
      </c>
      <c r="AA58" s="144">
        <v>-433518</v>
      </c>
    </row>
    <row r="59" spans="1:27" ht="11.25" customHeight="1" thickBot="1" x14ac:dyDescent="0.25">
      <c r="A59" s="143" t="s">
        <v>190</v>
      </c>
      <c r="C59" s="144">
        <v>0</v>
      </c>
      <c r="D59" s="144">
        <v>0</v>
      </c>
      <c r="E59" s="144">
        <v>0</v>
      </c>
      <c r="F59" s="144">
        <v>0</v>
      </c>
      <c r="G59" s="144">
        <v>0</v>
      </c>
      <c r="H59" s="144">
        <v>0</v>
      </c>
      <c r="I59" s="144">
        <v>0</v>
      </c>
      <c r="J59" s="144">
        <v>0</v>
      </c>
      <c r="K59" s="144">
        <v>0</v>
      </c>
      <c r="L59" s="144">
        <v>0</v>
      </c>
      <c r="M59" s="144">
        <v>0</v>
      </c>
      <c r="N59" s="144">
        <v>0</v>
      </c>
      <c r="O59" s="144">
        <v>0</v>
      </c>
      <c r="P59" s="144">
        <v>0</v>
      </c>
      <c r="Q59" s="144">
        <v>0</v>
      </c>
      <c r="R59" s="144">
        <v>0</v>
      </c>
      <c r="S59" s="144">
        <v>0</v>
      </c>
      <c r="T59" s="144">
        <v>0</v>
      </c>
      <c r="U59" s="144">
        <v>0</v>
      </c>
      <c r="V59" s="144">
        <v>0</v>
      </c>
      <c r="W59" s="144">
        <v>0</v>
      </c>
      <c r="X59" s="144">
        <v>0</v>
      </c>
      <c r="Y59" s="144">
        <v>0</v>
      </c>
      <c r="Z59" s="144">
        <v>0</v>
      </c>
      <c r="AA59" s="144">
        <v>0</v>
      </c>
    </row>
    <row r="60" spans="1:27" ht="11.25" customHeight="1" thickBot="1" x14ac:dyDescent="0.25">
      <c r="A60" s="148" t="s">
        <v>191</v>
      </c>
      <c r="B60" s="149"/>
      <c r="C60" s="150">
        <v>-10866</v>
      </c>
      <c r="D60" s="150">
        <v>-19139</v>
      </c>
      <c r="E60" s="150">
        <v>-17229</v>
      </c>
      <c r="F60" s="150">
        <v>-19019</v>
      </c>
      <c r="G60" s="150">
        <v>-51996</v>
      </c>
      <c r="H60" s="150">
        <v>-53557</v>
      </c>
      <c r="I60" s="150">
        <v>-51659</v>
      </c>
      <c r="J60" s="150">
        <v>-53202</v>
      </c>
      <c r="K60" s="150">
        <v>-53025</v>
      </c>
      <c r="L60" s="150">
        <v>-51150</v>
      </c>
      <c r="M60" s="150">
        <v>-52676</v>
      </c>
      <c r="N60" s="150">
        <v>0</v>
      </c>
      <c r="O60" s="150">
        <v>0</v>
      </c>
      <c r="P60" s="150">
        <v>0</v>
      </c>
      <c r="Q60" s="150">
        <v>0</v>
      </c>
      <c r="R60" s="150">
        <v>0</v>
      </c>
      <c r="S60" s="150">
        <v>0</v>
      </c>
      <c r="T60" s="150">
        <v>0</v>
      </c>
      <c r="U60" s="150">
        <v>0</v>
      </c>
      <c r="V60" s="150">
        <v>0</v>
      </c>
      <c r="W60" s="150">
        <v>0</v>
      </c>
      <c r="X60" s="150">
        <v>0</v>
      </c>
      <c r="Y60" s="150">
        <v>0</v>
      </c>
      <c r="Z60" s="150">
        <v>0</v>
      </c>
      <c r="AA60" s="151">
        <v>-433518</v>
      </c>
    </row>
    <row r="61" spans="1:27" ht="11.25" customHeight="1" x14ac:dyDescent="0.2">
      <c r="A61" s="143" t="s">
        <v>2</v>
      </c>
      <c r="C61" s="144">
        <v>-10865</v>
      </c>
      <c r="D61" s="144">
        <v>-19137</v>
      </c>
      <c r="E61" s="144">
        <v>-17227</v>
      </c>
      <c r="F61" s="144">
        <v>-19017</v>
      </c>
      <c r="G61" s="144">
        <v>-51990</v>
      </c>
      <c r="H61" s="144">
        <v>-53551</v>
      </c>
      <c r="I61" s="144">
        <v>-51654</v>
      </c>
      <c r="J61" s="144">
        <v>-53196</v>
      </c>
      <c r="K61" s="144">
        <v>-53019</v>
      </c>
      <c r="L61" s="144">
        <v>-51145</v>
      </c>
      <c r="M61" s="144">
        <v>-52670</v>
      </c>
      <c r="N61" s="144">
        <v>0</v>
      </c>
      <c r="O61" s="144">
        <v>0</v>
      </c>
      <c r="P61" s="144">
        <v>0</v>
      </c>
      <c r="Q61" s="144">
        <v>0</v>
      </c>
      <c r="R61" s="144">
        <v>0</v>
      </c>
      <c r="S61" s="144">
        <v>0</v>
      </c>
      <c r="T61" s="144">
        <v>0</v>
      </c>
      <c r="U61" s="144">
        <v>0</v>
      </c>
      <c r="V61" s="144">
        <v>0</v>
      </c>
      <c r="W61" s="144">
        <v>0</v>
      </c>
      <c r="X61" s="144">
        <v>0</v>
      </c>
      <c r="Y61" s="144">
        <v>0</v>
      </c>
      <c r="Z61" s="144">
        <v>0</v>
      </c>
      <c r="AA61" s="144">
        <v>-433471</v>
      </c>
    </row>
    <row r="62" spans="1:27" ht="11.25" customHeight="1" x14ac:dyDescent="0.2">
      <c r="A62" s="143" t="s">
        <v>0</v>
      </c>
      <c r="C62" s="145">
        <v>-1</v>
      </c>
      <c r="D62" s="145">
        <v>-2</v>
      </c>
      <c r="E62" s="145">
        <v>-2</v>
      </c>
      <c r="F62" s="145">
        <v>-2</v>
      </c>
      <c r="G62" s="145">
        <v>-6</v>
      </c>
      <c r="H62" s="145">
        <v>-6</v>
      </c>
      <c r="I62" s="145">
        <v>-5</v>
      </c>
      <c r="J62" s="145">
        <v>-6</v>
      </c>
      <c r="K62" s="145">
        <v>-6</v>
      </c>
      <c r="L62" s="145">
        <v>-5</v>
      </c>
      <c r="M62" s="145">
        <v>-6</v>
      </c>
      <c r="N62" s="145">
        <v>0</v>
      </c>
      <c r="O62" s="145">
        <v>0</v>
      </c>
      <c r="P62" s="145">
        <v>0</v>
      </c>
      <c r="Q62" s="145">
        <v>0</v>
      </c>
      <c r="R62" s="145">
        <v>0</v>
      </c>
      <c r="S62" s="145">
        <v>0</v>
      </c>
      <c r="T62" s="145">
        <v>0</v>
      </c>
      <c r="U62" s="145">
        <v>0</v>
      </c>
      <c r="V62" s="145">
        <v>0</v>
      </c>
      <c r="W62" s="145">
        <v>0</v>
      </c>
      <c r="X62" s="145">
        <v>0</v>
      </c>
      <c r="Y62" s="145">
        <v>0</v>
      </c>
      <c r="Z62" s="145">
        <v>0</v>
      </c>
      <c r="AA62" s="145">
        <v>-47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185</v>
      </c>
      <c r="C66" s="51" t="s">
        <v>148</v>
      </c>
      <c r="D66" s="51" t="s">
        <v>149</v>
      </c>
      <c r="E66" s="51" t="s">
        <v>150</v>
      </c>
      <c r="F66" s="51" t="s">
        <v>151</v>
      </c>
      <c r="G66" s="51" t="s">
        <v>152</v>
      </c>
      <c r="H66" s="51" t="s">
        <v>153</v>
      </c>
      <c r="I66" s="51" t="s">
        <v>154</v>
      </c>
      <c r="J66" s="51" t="s">
        <v>155</v>
      </c>
      <c r="K66" s="51" t="s">
        <v>156</v>
      </c>
      <c r="L66" s="51" t="s">
        <v>157</v>
      </c>
      <c r="M66" s="51" t="s">
        <v>158</v>
      </c>
      <c r="N66" s="51" t="s">
        <v>159</v>
      </c>
      <c r="O66" s="51" t="s">
        <v>160</v>
      </c>
      <c r="P66" s="51" t="s">
        <v>161</v>
      </c>
      <c r="Q66" s="51" t="s">
        <v>162</v>
      </c>
      <c r="R66" s="51" t="s">
        <v>163</v>
      </c>
      <c r="S66" s="51" t="s">
        <v>164</v>
      </c>
      <c r="T66" s="51" t="s">
        <v>165</v>
      </c>
      <c r="U66" s="51" t="s">
        <v>166</v>
      </c>
      <c r="V66" s="51" t="s">
        <v>167</v>
      </c>
      <c r="W66" s="51" t="s">
        <v>168</v>
      </c>
      <c r="X66" s="51" t="s">
        <v>169</v>
      </c>
      <c r="Y66" s="51" t="s">
        <v>170</v>
      </c>
      <c r="Z66" s="51" t="s">
        <v>171</v>
      </c>
      <c r="AA66" s="51" t="s">
        <v>40</v>
      </c>
    </row>
    <row r="67" spans="1:27" ht="11.25" customHeight="1" x14ac:dyDescent="0.2">
      <c r="A67" s="143" t="s">
        <v>186</v>
      </c>
      <c r="C67" s="144">
        <v>0</v>
      </c>
      <c r="D67" s="144">
        <v>0</v>
      </c>
      <c r="E67" s="144">
        <v>0</v>
      </c>
      <c r="F67" s="144">
        <v>0</v>
      </c>
      <c r="G67" s="144">
        <v>0</v>
      </c>
      <c r="H67" s="144">
        <v>0</v>
      </c>
      <c r="I67" s="144">
        <v>0</v>
      </c>
      <c r="J67" s="144">
        <v>0</v>
      </c>
      <c r="K67" s="144">
        <v>0</v>
      </c>
      <c r="L67" s="144">
        <v>0</v>
      </c>
      <c r="M67" s="144">
        <v>0</v>
      </c>
      <c r="N67" s="144">
        <v>0</v>
      </c>
      <c r="O67" s="144">
        <v>0</v>
      </c>
      <c r="P67" s="144">
        <v>0</v>
      </c>
      <c r="Q67" s="144">
        <v>0</v>
      </c>
      <c r="R67" s="144">
        <v>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0</v>
      </c>
    </row>
    <row r="68" spans="1:27" ht="11.25" customHeight="1" x14ac:dyDescent="0.2">
      <c r="A68" s="143" t="s">
        <v>187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188</v>
      </c>
      <c r="C69" s="145">
        <v>0</v>
      </c>
      <c r="D69" s="145">
        <v>0</v>
      </c>
      <c r="E69" s="145">
        <v>0</v>
      </c>
      <c r="F69" s="145">
        <v>0</v>
      </c>
      <c r="G69" s="145">
        <v>0</v>
      </c>
      <c r="H69" s="145">
        <v>0</v>
      </c>
      <c r="I69" s="145">
        <v>0</v>
      </c>
      <c r="J69" s="145">
        <v>0</v>
      </c>
      <c r="K69" s="145">
        <v>0</v>
      </c>
      <c r="L69" s="145">
        <v>0</v>
      </c>
      <c r="M69" s="145">
        <v>0</v>
      </c>
      <c r="N69" s="145">
        <v>0</v>
      </c>
      <c r="O69" s="145">
        <v>0</v>
      </c>
      <c r="P69" s="145">
        <v>0</v>
      </c>
      <c r="Q69" s="145">
        <v>0</v>
      </c>
      <c r="R69" s="145">
        <v>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0</v>
      </c>
    </row>
    <row r="70" spans="1:27" ht="13.5" customHeight="1" thickBot="1" x14ac:dyDescent="0.25"/>
    <row r="71" spans="1:27" ht="12" customHeight="1" thickBot="1" x14ac:dyDescent="0.25">
      <c r="A71" s="50" t="s">
        <v>189</v>
      </c>
      <c r="C71" s="51" t="s">
        <v>148</v>
      </c>
      <c r="D71" s="51" t="s">
        <v>149</v>
      </c>
      <c r="E71" s="51" t="s">
        <v>150</v>
      </c>
      <c r="F71" s="51" t="s">
        <v>151</v>
      </c>
      <c r="G71" s="51" t="s">
        <v>152</v>
      </c>
      <c r="H71" s="51" t="s">
        <v>153</v>
      </c>
      <c r="I71" s="51" t="s">
        <v>154</v>
      </c>
      <c r="J71" s="51" t="s">
        <v>155</v>
      </c>
      <c r="K71" s="51" t="s">
        <v>156</v>
      </c>
      <c r="L71" s="51" t="s">
        <v>157</v>
      </c>
      <c r="M71" s="51" t="s">
        <v>158</v>
      </c>
      <c r="N71" s="51" t="s">
        <v>159</v>
      </c>
      <c r="O71" s="51" t="s">
        <v>160</v>
      </c>
      <c r="P71" s="51" t="s">
        <v>161</v>
      </c>
      <c r="Q71" s="51" t="s">
        <v>162</v>
      </c>
      <c r="R71" s="51" t="s">
        <v>163</v>
      </c>
      <c r="S71" s="51" t="s">
        <v>164</v>
      </c>
      <c r="T71" s="51" t="s">
        <v>165</v>
      </c>
      <c r="U71" s="51" t="s">
        <v>166</v>
      </c>
      <c r="V71" s="51" t="s">
        <v>167</v>
      </c>
      <c r="W71" s="51" t="s">
        <v>168</v>
      </c>
      <c r="X71" s="51" t="s">
        <v>169</v>
      </c>
      <c r="Y71" s="51" t="s">
        <v>170</v>
      </c>
      <c r="Z71" s="51" t="s">
        <v>171</v>
      </c>
      <c r="AA71" s="51" t="s">
        <v>40</v>
      </c>
    </row>
    <row r="72" spans="1:27" ht="11.25" customHeight="1" x14ac:dyDescent="0.2">
      <c r="A72" s="143" t="s">
        <v>189</v>
      </c>
      <c r="C72" s="144">
        <v>0</v>
      </c>
      <c r="D72" s="144">
        <v>0</v>
      </c>
      <c r="E72" s="144">
        <v>0</v>
      </c>
      <c r="F72" s="144">
        <v>0</v>
      </c>
      <c r="G72" s="144">
        <v>-5000</v>
      </c>
      <c r="H72" s="144">
        <v>-5000</v>
      </c>
      <c r="I72" s="144">
        <v>-5000</v>
      </c>
      <c r="J72" s="144">
        <v>-5000</v>
      </c>
      <c r="K72" s="144">
        <v>-5000</v>
      </c>
      <c r="L72" s="144">
        <v>-5000</v>
      </c>
      <c r="M72" s="144">
        <v>-5000</v>
      </c>
      <c r="N72" s="144">
        <v>0</v>
      </c>
      <c r="O72" s="144">
        <v>0</v>
      </c>
      <c r="P72" s="144">
        <v>0</v>
      </c>
      <c r="Q72" s="144">
        <v>0</v>
      </c>
      <c r="R72" s="144">
        <v>0</v>
      </c>
      <c r="S72" s="144">
        <v>0</v>
      </c>
      <c r="T72" s="144">
        <v>0</v>
      </c>
      <c r="U72" s="144">
        <v>0</v>
      </c>
      <c r="V72" s="144">
        <v>0</v>
      </c>
      <c r="W72" s="144">
        <v>0</v>
      </c>
      <c r="X72" s="144">
        <v>0</v>
      </c>
      <c r="Y72" s="144">
        <v>0</v>
      </c>
      <c r="Z72" s="144">
        <v>0</v>
      </c>
      <c r="AA72" s="144">
        <v>-35000</v>
      </c>
    </row>
    <row r="73" spans="1:27" ht="13.5" customHeight="1" thickBot="1" x14ac:dyDescent="0.25"/>
    <row r="74" spans="1:27" ht="11.25" customHeight="1" thickBot="1" x14ac:dyDescent="0.25">
      <c r="A74" s="148" t="s">
        <v>188</v>
      </c>
      <c r="B74" s="149"/>
      <c r="C74" s="150">
        <v>0</v>
      </c>
      <c r="D74" s="150">
        <v>0</v>
      </c>
      <c r="E74" s="150">
        <v>0</v>
      </c>
      <c r="F74" s="150">
        <v>0</v>
      </c>
      <c r="G74" s="150">
        <v>-5000</v>
      </c>
      <c r="H74" s="150">
        <v>-5000</v>
      </c>
      <c r="I74" s="150">
        <v>-5000</v>
      </c>
      <c r="J74" s="150">
        <v>-5000</v>
      </c>
      <c r="K74" s="150">
        <v>-5000</v>
      </c>
      <c r="L74" s="150">
        <v>-5000</v>
      </c>
      <c r="M74" s="150">
        <v>-5000</v>
      </c>
      <c r="N74" s="150">
        <v>0</v>
      </c>
      <c r="O74" s="150">
        <v>0</v>
      </c>
      <c r="P74" s="150">
        <v>0</v>
      </c>
      <c r="Q74" s="150">
        <v>0</v>
      </c>
      <c r="R74" s="150">
        <v>0</v>
      </c>
      <c r="S74" s="150">
        <v>0</v>
      </c>
      <c r="T74" s="150">
        <v>0</v>
      </c>
      <c r="U74" s="150">
        <v>0</v>
      </c>
      <c r="V74" s="150">
        <v>0</v>
      </c>
      <c r="W74" s="150">
        <v>0</v>
      </c>
      <c r="X74" s="150">
        <v>0</v>
      </c>
      <c r="Y74" s="150">
        <v>0</v>
      </c>
      <c r="Z74" s="150">
        <v>0</v>
      </c>
      <c r="AA74" s="151">
        <v>-35000</v>
      </c>
    </row>
    <row r="76" spans="1:27" ht="12" customHeight="1" x14ac:dyDescent="0.2">
      <c r="A76" s="142" t="s">
        <v>181</v>
      </c>
    </row>
    <row r="77" spans="1:27" ht="11.25" customHeight="1" x14ac:dyDescent="0.2">
      <c r="A77" s="143" t="s">
        <v>186</v>
      </c>
      <c r="C77" s="144">
        <v>0</v>
      </c>
      <c r="D77" s="144">
        <v>0</v>
      </c>
      <c r="E77" s="144">
        <v>0</v>
      </c>
      <c r="F77" s="144">
        <v>0</v>
      </c>
      <c r="G77" s="144">
        <v>0</v>
      </c>
      <c r="H77" s="144">
        <v>0</v>
      </c>
      <c r="I77" s="144">
        <v>0</v>
      </c>
      <c r="J77" s="144">
        <v>0</v>
      </c>
      <c r="K77" s="144">
        <v>0</v>
      </c>
      <c r="L77" s="144">
        <v>0</v>
      </c>
      <c r="M77" s="144">
        <v>0</v>
      </c>
      <c r="N77" s="144">
        <v>0</v>
      </c>
      <c r="O77" s="144">
        <v>0</v>
      </c>
      <c r="P77" s="144">
        <v>0</v>
      </c>
      <c r="Q77" s="144">
        <v>0</v>
      </c>
      <c r="R77" s="144">
        <v>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0</v>
      </c>
    </row>
    <row r="78" spans="1:27" ht="11.25" customHeight="1" x14ac:dyDescent="0.2">
      <c r="A78" s="143" t="s">
        <v>187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189</v>
      </c>
      <c r="C79" s="144">
        <v>0</v>
      </c>
      <c r="D79" s="144">
        <v>0</v>
      </c>
      <c r="E79" s="144">
        <v>0</v>
      </c>
      <c r="F79" s="144">
        <v>0</v>
      </c>
      <c r="G79" s="144">
        <v>0</v>
      </c>
      <c r="H79" s="144">
        <v>0</v>
      </c>
      <c r="I79" s="144">
        <v>0</v>
      </c>
      <c r="J79" s="144">
        <v>0</v>
      </c>
      <c r="K79" s="144">
        <v>0</v>
      </c>
      <c r="L79" s="144">
        <v>0</v>
      </c>
      <c r="M79" s="144">
        <v>0</v>
      </c>
      <c r="N79" s="144">
        <v>0</v>
      </c>
      <c r="O79" s="144">
        <v>0</v>
      </c>
      <c r="P79" s="144">
        <v>0</v>
      </c>
      <c r="Q79" s="144">
        <v>0</v>
      </c>
      <c r="R79" s="144">
        <v>0</v>
      </c>
      <c r="S79" s="144">
        <v>0</v>
      </c>
      <c r="T79" s="144">
        <v>0</v>
      </c>
      <c r="U79" s="144">
        <v>0</v>
      </c>
      <c r="V79" s="144">
        <v>0</v>
      </c>
      <c r="W79" s="144">
        <v>0</v>
      </c>
      <c r="X79" s="144">
        <v>0</v>
      </c>
      <c r="Y79" s="144">
        <v>0</v>
      </c>
      <c r="Z79" s="144">
        <v>0</v>
      </c>
      <c r="AA79" s="144">
        <v>0</v>
      </c>
    </row>
    <row r="80" spans="1:27" ht="11.25" customHeight="1" x14ac:dyDescent="0.2">
      <c r="A80" s="143" t="s">
        <v>188</v>
      </c>
      <c r="C80" s="145">
        <v>0</v>
      </c>
      <c r="D80" s="145">
        <v>0</v>
      </c>
      <c r="E80" s="145">
        <v>0</v>
      </c>
      <c r="F80" s="145">
        <v>0</v>
      </c>
      <c r="G80" s="145">
        <v>0</v>
      </c>
      <c r="H80" s="145">
        <v>0</v>
      </c>
      <c r="I80" s="145">
        <v>0</v>
      </c>
      <c r="J80" s="145">
        <v>0</v>
      </c>
      <c r="K80" s="145">
        <v>0</v>
      </c>
      <c r="L80" s="145">
        <v>0</v>
      </c>
      <c r="M80" s="145">
        <v>0</v>
      </c>
      <c r="N80" s="145">
        <v>0</v>
      </c>
      <c r="O80" s="145">
        <v>0</v>
      </c>
      <c r="P80" s="145">
        <v>0</v>
      </c>
      <c r="Q80" s="145">
        <v>0</v>
      </c>
      <c r="R80" s="145">
        <v>0</v>
      </c>
      <c r="S80" s="145">
        <v>0</v>
      </c>
      <c r="T80" s="145">
        <v>0</v>
      </c>
      <c r="U80" s="145">
        <v>0</v>
      </c>
      <c r="V80" s="145">
        <v>0</v>
      </c>
      <c r="W80" s="145">
        <v>0</v>
      </c>
      <c r="X80" s="145">
        <v>0</v>
      </c>
      <c r="Y80" s="145">
        <v>0</v>
      </c>
      <c r="Z80" s="145">
        <v>0</v>
      </c>
      <c r="AA80" s="145">
        <v>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186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187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189</v>
      </c>
      <c r="C85" s="144">
        <v>0</v>
      </c>
      <c r="D85" s="144">
        <v>0</v>
      </c>
      <c r="E85" s="144">
        <v>0</v>
      </c>
      <c r="F85" s="144">
        <v>0</v>
      </c>
      <c r="G85" s="144">
        <v>-5000</v>
      </c>
      <c r="H85" s="144">
        <v>-5000</v>
      </c>
      <c r="I85" s="144">
        <v>-5000</v>
      </c>
      <c r="J85" s="144">
        <v>-5000</v>
      </c>
      <c r="K85" s="144">
        <v>-5000</v>
      </c>
      <c r="L85" s="144">
        <v>-5000</v>
      </c>
      <c r="M85" s="144">
        <v>-5000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-35000</v>
      </c>
    </row>
    <row r="86" spans="1:27" ht="11.25" customHeight="1" x14ac:dyDescent="0.2">
      <c r="A86" s="143" t="s">
        <v>188</v>
      </c>
      <c r="C86" s="145">
        <v>0</v>
      </c>
      <c r="D86" s="145">
        <v>0</v>
      </c>
      <c r="E86" s="145">
        <v>0</v>
      </c>
      <c r="F86" s="145">
        <v>0</v>
      </c>
      <c r="G86" s="145">
        <v>-5000</v>
      </c>
      <c r="H86" s="145">
        <v>-5000</v>
      </c>
      <c r="I86" s="145">
        <v>-5000</v>
      </c>
      <c r="J86" s="145">
        <v>-5000</v>
      </c>
      <c r="K86" s="145">
        <v>-5000</v>
      </c>
      <c r="L86" s="145">
        <v>-5000</v>
      </c>
      <c r="M86" s="145">
        <v>-5000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-35000</v>
      </c>
    </row>
    <row r="88" spans="1:27" ht="12" customHeight="1" x14ac:dyDescent="0.2">
      <c r="A88" s="142" t="s">
        <v>182</v>
      </c>
    </row>
    <row r="89" spans="1:27" ht="11.25" customHeight="1" x14ac:dyDescent="0.2">
      <c r="A89" s="143" t="s">
        <v>42</v>
      </c>
      <c r="C89" s="146">
        <v>2.36</v>
      </c>
      <c r="D89" s="146">
        <v>2.6</v>
      </c>
      <c r="E89" s="146">
        <v>2.64</v>
      </c>
      <c r="F89" s="146">
        <v>2.56</v>
      </c>
      <c r="G89" s="146">
        <v>2.42</v>
      </c>
      <c r="H89" s="146">
        <v>2.46</v>
      </c>
      <c r="I89" s="146">
        <v>2.5</v>
      </c>
      <c r="J89" s="146">
        <v>2.54</v>
      </c>
      <c r="K89" s="146">
        <v>2.58</v>
      </c>
      <c r="L89" s="146">
        <v>2.59</v>
      </c>
      <c r="M89" s="146">
        <v>2.62</v>
      </c>
      <c r="N89" s="146">
        <v>3.11</v>
      </c>
      <c r="O89" s="146">
        <v>3.29</v>
      </c>
      <c r="P89" s="146">
        <v>3.4</v>
      </c>
      <c r="Q89" s="146">
        <v>3.33</v>
      </c>
      <c r="R89" s="146">
        <v>3.22</v>
      </c>
      <c r="S89" s="146">
        <v>3.01</v>
      </c>
      <c r="T89" s="146">
        <v>3.02</v>
      </c>
      <c r="U89" s="146">
        <v>3.05</v>
      </c>
      <c r="V89" s="146">
        <v>3.08</v>
      </c>
      <c r="W89" s="146">
        <v>3.11</v>
      </c>
      <c r="X89" s="146">
        <v>3.12</v>
      </c>
      <c r="Y89" s="146">
        <v>3.16</v>
      </c>
      <c r="Z89" s="146">
        <v>3.57</v>
      </c>
      <c r="AA89" s="146"/>
    </row>
    <row r="90" spans="1:27" ht="11.25" customHeight="1" x14ac:dyDescent="0.2">
      <c r="A90" s="143" t="s">
        <v>181</v>
      </c>
      <c r="C90" s="146">
        <v>2.29</v>
      </c>
      <c r="D90" s="146">
        <v>2.54</v>
      </c>
      <c r="E90" s="146">
        <v>2.58</v>
      </c>
      <c r="F90" s="146">
        <v>2.52</v>
      </c>
      <c r="G90" s="146">
        <v>2.41</v>
      </c>
      <c r="H90" s="146">
        <v>2.4500000000000002</v>
      </c>
      <c r="I90" s="146">
        <v>2.4900000000000002</v>
      </c>
      <c r="J90" s="146">
        <v>2.5299999999999998</v>
      </c>
      <c r="K90" s="146">
        <v>2.57</v>
      </c>
      <c r="L90" s="146">
        <v>2.58</v>
      </c>
      <c r="M90" s="146">
        <v>2.62</v>
      </c>
      <c r="N90" s="146">
        <v>3.11</v>
      </c>
      <c r="O90" s="146">
        <v>3.29</v>
      </c>
      <c r="P90" s="146">
        <v>3.4</v>
      </c>
      <c r="Q90" s="146">
        <v>3.33</v>
      </c>
      <c r="R90" s="146">
        <v>3.22</v>
      </c>
      <c r="S90" s="146">
        <v>3.01</v>
      </c>
      <c r="T90" s="146">
        <v>3.02</v>
      </c>
      <c r="U90" s="146">
        <v>3.05</v>
      </c>
      <c r="V90" s="146">
        <v>3.08</v>
      </c>
      <c r="W90" s="146">
        <v>3.11</v>
      </c>
      <c r="X90" s="146">
        <v>3.12</v>
      </c>
      <c r="Y90" s="146">
        <v>3.16</v>
      </c>
      <c r="Z90" s="146">
        <v>3.57</v>
      </c>
      <c r="AA90" s="146"/>
    </row>
    <row r="91" spans="1:27" ht="11.25" customHeight="1" x14ac:dyDescent="0.2">
      <c r="A91" s="143" t="s">
        <v>0</v>
      </c>
      <c r="C91" s="147">
        <v>6.999999999999984E-2</v>
      </c>
      <c r="D91" s="147">
        <v>6.0000000000000053E-2</v>
      </c>
      <c r="E91" s="147">
        <v>6.0000000000000053E-2</v>
      </c>
      <c r="F91" s="147">
        <v>0.04</v>
      </c>
      <c r="G91" s="147">
        <v>9.9999999999997868E-3</v>
      </c>
      <c r="H91" s="147">
        <v>9.9999999999997868E-3</v>
      </c>
      <c r="I91" s="147">
        <v>9.9999999999997868E-3</v>
      </c>
      <c r="J91" s="147">
        <v>1.0000000000000231E-2</v>
      </c>
      <c r="K91" s="147">
        <v>1.0000000000000231E-2</v>
      </c>
      <c r="L91" s="147">
        <v>9.9999999999997868E-3</v>
      </c>
      <c r="M91" s="147">
        <v>0</v>
      </c>
      <c r="N91" s="147">
        <v>0</v>
      </c>
      <c r="O91" s="147">
        <v>0</v>
      </c>
      <c r="P91" s="147">
        <v>0</v>
      </c>
      <c r="Q91" s="147">
        <v>0</v>
      </c>
      <c r="R91" s="147">
        <v>0</v>
      </c>
      <c r="S91" s="147">
        <v>0</v>
      </c>
      <c r="T91" s="147">
        <v>0</v>
      </c>
      <c r="U91" s="147">
        <v>0</v>
      </c>
      <c r="V91" s="147">
        <v>0</v>
      </c>
      <c r="W91" s="147">
        <v>0</v>
      </c>
      <c r="X91" s="147">
        <v>0</v>
      </c>
      <c r="Y91" s="147">
        <v>0</v>
      </c>
      <c r="Z91" s="147">
        <v>0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0</v>
      </c>
      <c r="D94" s="146">
        <v>0</v>
      </c>
      <c r="E94" s="146">
        <v>0</v>
      </c>
      <c r="F94" s="146">
        <v>0</v>
      </c>
      <c r="G94" s="146">
        <v>0</v>
      </c>
      <c r="H94" s="146">
        <v>0</v>
      </c>
      <c r="I94" s="146">
        <v>0</v>
      </c>
      <c r="J94" s="146">
        <v>0</v>
      </c>
      <c r="K94" s="146">
        <v>0</v>
      </c>
      <c r="L94" s="146">
        <v>0</v>
      </c>
      <c r="M94" s="146">
        <v>0</v>
      </c>
      <c r="N94" s="146">
        <v>0</v>
      </c>
      <c r="O94" s="146">
        <v>0</v>
      </c>
      <c r="P94" s="146">
        <v>0</v>
      </c>
      <c r="Q94" s="146">
        <v>0</v>
      </c>
      <c r="R94" s="146">
        <v>0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2.5</v>
      </c>
      <c r="H95" s="146">
        <v>2.5</v>
      </c>
      <c r="I95" s="146">
        <v>2.5</v>
      </c>
      <c r="J95" s="146">
        <v>2.5</v>
      </c>
      <c r="K95" s="146">
        <v>2.5</v>
      </c>
      <c r="L95" s="146">
        <v>2.5</v>
      </c>
      <c r="M95" s="146">
        <v>2.5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183</v>
      </c>
    </row>
    <row r="98" spans="1:27" ht="11.25" customHeight="1" x14ac:dyDescent="0.2">
      <c r="A98" s="143" t="s">
        <v>184</v>
      </c>
      <c r="C98" s="144">
        <v>0</v>
      </c>
      <c r="D98" s="144">
        <v>0</v>
      </c>
      <c r="E98" s="144">
        <v>0</v>
      </c>
      <c r="F98" s="144">
        <v>0</v>
      </c>
      <c r="G98" s="144">
        <v>11838</v>
      </c>
      <c r="H98" s="144">
        <v>6097</v>
      </c>
      <c r="I98" s="144">
        <v>0</v>
      </c>
      <c r="J98" s="144">
        <v>-6057</v>
      </c>
      <c r="K98" s="144">
        <v>-12075</v>
      </c>
      <c r="L98" s="144">
        <v>-13102</v>
      </c>
      <c r="M98" s="144">
        <v>-17990</v>
      </c>
      <c r="N98" s="144">
        <v>0</v>
      </c>
      <c r="O98" s="144">
        <v>0</v>
      </c>
      <c r="P98" s="144">
        <v>0</v>
      </c>
      <c r="Q98" s="144">
        <v>0</v>
      </c>
      <c r="R98" s="144">
        <v>0</v>
      </c>
      <c r="S98" s="144">
        <v>0</v>
      </c>
      <c r="T98" s="144">
        <v>0</v>
      </c>
      <c r="U98" s="144">
        <v>0</v>
      </c>
      <c r="V98" s="144">
        <v>0</v>
      </c>
      <c r="W98" s="144">
        <v>0</v>
      </c>
      <c r="X98" s="144">
        <v>0</v>
      </c>
      <c r="Y98" s="144">
        <v>0</v>
      </c>
      <c r="Z98" s="144">
        <v>0</v>
      </c>
      <c r="AA98" s="144">
        <v>-31289</v>
      </c>
    </row>
    <row r="99" spans="1:27" ht="11.25" customHeight="1" thickBot="1" x14ac:dyDescent="0.25">
      <c r="A99" s="143" t="s">
        <v>190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191</v>
      </c>
      <c r="B100" s="149"/>
      <c r="C100" s="150">
        <v>0</v>
      </c>
      <c r="D100" s="150">
        <v>0</v>
      </c>
      <c r="E100" s="150">
        <v>0</v>
      </c>
      <c r="F100" s="150">
        <v>0</v>
      </c>
      <c r="G100" s="150">
        <v>11838</v>
      </c>
      <c r="H100" s="150">
        <v>6097</v>
      </c>
      <c r="I100" s="150">
        <v>0</v>
      </c>
      <c r="J100" s="150">
        <v>-6057</v>
      </c>
      <c r="K100" s="150">
        <v>-12075</v>
      </c>
      <c r="L100" s="150">
        <v>-13102</v>
      </c>
      <c r="M100" s="150">
        <v>-17990</v>
      </c>
      <c r="N100" s="150">
        <v>0</v>
      </c>
      <c r="O100" s="150">
        <v>0</v>
      </c>
      <c r="P100" s="150">
        <v>0</v>
      </c>
      <c r="Q100" s="150">
        <v>0</v>
      </c>
      <c r="R100" s="150">
        <v>0</v>
      </c>
      <c r="S100" s="150">
        <v>0</v>
      </c>
      <c r="T100" s="150">
        <v>0</v>
      </c>
      <c r="U100" s="150">
        <v>0</v>
      </c>
      <c r="V100" s="150">
        <v>0</v>
      </c>
      <c r="W100" s="150">
        <v>0</v>
      </c>
      <c r="X100" s="150">
        <v>0</v>
      </c>
      <c r="Y100" s="150">
        <v>0</v>
      </c>
      <c r="Z100" s="150">
        <v>0</v>
      </c>
      <c r="AA100" s="151">
        <v>-31289</v>
      </c>
    </row>
    <row r="101" spans="1:27" ht="11.25" customHeight="1" x14ac:dyDescent="0.2">
      <c r="A101" s="143" t="s">
        <v>2</v>
      </c>
      <c r="C101" s="144">
        <v>0</v>
      </c>
      <c r="D101" s="144">
        <v>0</v>
      </c>
      <c r="E101" s="144">
        <v>0</v>
      </c>
      <c r="F101" s="144">
        <v>0</v>
      </c>
      <c r="G101" s="144">
        <v>0</v>
      </c>
      <c r="H101" s="144">
        <v>0</v>
      </c>
      <c r="I101" s="144">
        <v>0</v>
      </c>
      <c r="J101" s="144">
        <v>0</v>
      </c>
      <c r="K101" s="144">
        <v>0</v>
      </c>
      <c r="L101" s="144">
        <v>0</v>
      </c>
      <c r="M101" s="144">
        <v>0</v>
      </c>
      <c r="N101" s="144">
        <v>0</v>
      </c>
      <c r="O101" s="144">
        <v>0</v>
      </c>
      <c r="P101" s="144">
        <v>0</v>
      </c>
      <c r="Q101" s="144">
        <v>0</v>
      </c>
      <c r="R101" s="144">
        <v>0</v>
      </c>
      <c r="S101" s="144">
        <v>0</v>
      </c>
      <c r="T101" s="144">
        <v>0</v>
      </c>
      <c r="U101" s="144">
        <v>0</v>
      </c>
      <c r="V101" s="144">
        <v>0</v>
      </c>
      <c r="W101" s="144">
        <v>0</v>
      </c>
      <c r="X101" s="144">
        <v>0</v>
      </c>
      <c r="Y101" s="144">
        <v>0</v>
      </c>
      <c r="Z101" s="144">
        <v>0</v>
      </c>
      <c r="AA101" s="144">
        <v>0</v>
      </c>
    </row>
    <row r="102" spans="1:27" ht="11.25" customHeight="1" x14ac:dyDescent="0.2">
      <c r="A102" s="143" t="s">
        <v>0</v>
      </c>
      <c r="C102" s="145">
        <v>0</v>
      </c>
      <c r="D102" s="145">
        <v>0</v>
      </c>
      <c r="E102" s="145">
        <v>0</v>
      </c>
      <c r="F102" s="145">
        <v>0</v>
      </c>
      <c r="G102" s="145">
        <v>11838</v>
      </c>
      <c r="H102" s="145">
        <v>6097</v>
      </c>
      <c r="I102" s="145">
        <v>0</v>
      </c>
      <c r="J102" s="145">
        <v>-6057</v>
      </c>
      <c r="K102" s="145">
        <v>-12075</v>
      </c>
      <c r="L102" s="145">
        <v>-13102</v>
      </c>
      <c r="M102" s="145">
        <v>-17990</v>
      </c>
      <c r="N102" s="145">
        <v>0</v>
      </c>
      <c r="O102" s="145">
        <v>0</v>
      </c>
      <c r="P102" s="145">
        <v>0</v>
      </c>
      <c r="Q102" s="145">
        <v>0</v>
      </c>
      <c r="R102" s="145">
        <v>0</v>
      </c>
      <c r="S102" s="145">
        <v>0</v>
      </c>
      <c r="T102" s="145">
        <v>0</v>
      </c>
      <c r="U102" s="145">
        <v>0</v>
      </c>
      <c r="V102" s="145">
        <v>0</v>
      </c>
      <c r="W102" s="145">
        <v>0</v>
      </c>
      <c r="X102" s="145">
        <v>0</v>
      </c>
      <c r="Y102" s="145">
        <v>0</v>
      </c>
      <c r="Z102" s="145">
        <v>0</v>
      </c>
      <c r="AA102" s="145">
        <v>-31289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185</v>
      </c>
      <c r="C106" s="51" t="s">
        <v>148</v>
      </c>
      <c r="D106" s="51" t="s">
        <v>149</v>
      </c>
      <c r="E106" s="51" t="s">
        <v>150</v>
      </c>
      <c r="F106" s="51" t="s">
        <v>151</v>
      </c>
      <c r="G106" s="51" t="s">
        <v>152</v>
      </c>
      <c r="H106" s="51" t="s">
        <v>153</v>
      </c>
      <c r="I106" s="51" t="s">
        <v>154</v>
      </c>
      <c r="J106" s="51" t="s">
        <v>155</v>
      </c>
      <c r="K106" s="51" t="s">
        <v>156</v>
      </c>
      <c r="L106" s="51" t="s">
        <v>157</v>
      </c>
      <c r="M106" s="51" t="s">
        <v>158</v>
      </c>
      <c r="N106" s="51" t="s">
        <v>159</v>
      </c>
      <c r="O106" s="51" t="s">
        <v>160</v>
      </c>
      <c r="P106" s="51" t="s">
        <v>161</v>
      </c>
      <c r="Q106" s="51" t="s">
        <v>162</v>
      </c>
      <c r="R106" s="51" t="s">
        <v>163</v>
      </c>
      <c r="S106" s="51" t="s">
        <v>164</v>
      </c>
      <c r="T106" s="51" t="s">
        <v>165</v>
      </c>
      <c r="U106" s="51" t="s">
        <v>166</v>
      </c>
      <c r="V106" s="51" t="s">
        <v>167</v>
      </c>
      <c r="W106" s="51" t="s">
        <v>168</v>
      </c>
      <c r="X106" s="51" t="s">
        <v>169</v>
      </c>
      <c r="Y106" s="51" t="s">
        <v>170</v>
      </c>
      <c r="Z106" s="51" t="s">
        <v>171</v>
      </c>
      <c r="AA106" s="51" t="s">
        <v>40</v>
      </c>
    </row>
    <row r="107" spans="1:27" ht="11.25" customHeight="1" x14ac:dyDescent="0.2">
      <c r="A107" s="143" t="s">
        <v>186</v>
      </c>
      <c r="C107" s="144">
        <v>0</v>
      </c>
      <c r="D107" s="144">
        <v>0</v>
      </c>
      <c r="E107" s="144">
        <v>0</v>
      </c>
      <c r="F107" s="144">
        <v>0</v>
      </c>
      <c r="G107" s="144">
        <v>0</v>
      </c>
      <c r="H107" s="144">
        <v>0</v>
      </c>
      <c r="I107" s="144">
        <v>0</v>
      </c>
      <c r="J107" s="144">
        <v>0</v>
      </c>
      <c r="K107" s="144">
        <v>0</v>
      </c>
      <c r="L107" s="144">
        <v>0</v>
      </c>
      <c r="M107" s="144">
        <v>0</v>
      </c>
      <c r="N107" s="144">
        <v>0</v>
      </c>
      <c r="O107" s="144">
        <v>0</v>
      </c>
      <c r="P107" s="144">
        <v>0</v>
      </c>
      <c r="Q107" s="144">
        <v>0</v>
      </c>
      <c r="R107" s="144">
        <v>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0</v>
      </c>
    </row>
    <row r="108" spans="1:27" ht="11.25" customHeight="1" x14ac:dyDescent="0.2">
      <c r="A108" s="143" t="s">
        <v>187</v>
      </c>
      <c r="C108" s="144">
        <v>0</v>
      </c>
      <c r="D108" s="144">
        <v>0</v>
      </c>
      <c r="E108" s="144">
        <v>0</v>
      </c>
      <c r="F108" s="144">
        <v>0</v>
      </c>
      <c r="G108" s="144">
        <v>0</v>
      </c>
      <c r="H108" s="144">
        <v>0</v>
      </c>
      <c r="I108" s="144">
        <v>0</v>
      </c>
      <c r="J108" s="144">
        <v>0</v>
      </c>
      <c r="K108" s="144">
        <v>0</v>
      </c>
      <c r="L108" s="144">
        <v>0</v>
      </c>
      <c r="M108" s="144">
        <v>0</v>
      </c>
      <c r="N108" s="144">
        <v>0</v>
      </c>
      <c r="O108" s="144">
        <v>0</v>
      </c>
      <c r="P108" s="144">
        <v>0</v>
      </c>
      <c r="Q108" s="144">
        <v>0</v>
      </c>
      <c r="R108" s="144">
        <v>0</v>
      </c>
      <c r="S108" s="144">
        <v>0</v>
      </c>
      <c r="T108" s="144">
        <v>0</v>
      </c>
      <c r="U108" s="144">
        <v>0</v>
      </c>
      <c r="V108" s="144">
        <v>0</v>
      </c>
      <c r="W108" s="144">
        <v>0</v>
      </c>
      <c r="X108" s="144">
        <v>0</v>
      </c>
      <c r="Y108" s="144">
        <v>0</v>
      </c>
      <c r="Z108" s="144">
        <v>0</v>
      </c>
      <c r="AA108" s="144">
        <v>0</v>
      </c>
    </row>
    <row r="109" spans="1:27" ht="11.25" customHeight="1" x14ac:dyDescent="0.2">
      <c r="A109" s="143" t="s">
        <v>188</v>
      </c>
      <c r="C109" s="145">
        <v>0</v>
      </c>
      <c r="D109" s="145">
        <v>0</v>
      </c>
      <c r="E109" s="145">
        <v>0</v>
      </c>
      <c r="F109" s="145">
        <v>0</v>
      </c>
      <c r="G109" s="145">
        <v>0</v>
      </c>
      <c r="H109" s="145">
        <v>0</v>
      </c>
      <c r="I109" s="145">
        <v>0</v>
      </c>
      <c r="J109" s="145">
        <v>0</v>
      </c>
      <c r="K109" s="145">
        <v>0</v>
      </c>
      <c r="L109" s="145">
        <v>0</v>
      </c>
      <c r="M109" s="145">
        <v>0</v>
      </c>
      <c r="N109" s="145">
        <v>0</v>
      </c>
      <c r="O109" s="145">
        <v>0</v>
      </c>
      <c r="P109" s="145">
        <v>0</v>
      </c>
      <c r="Q109" s="145">
        <v>0</v>
      </c>
      <c r="R109" s="145">
        <v>0</v>
      </c>
      <c r="S109" s="145">
        <v>0</v>
      </c>
      <c r="T109" s="145">
        <v>0</v>
      </c>
      <c r="U109" s="145">
        <v>0</v>
      </c>
      <c r="V109" s="145">
        <v>0</v>
      </c>
      <c r="W109" s="145">
        <v>0</v>
      </c>
      <c r="X109" s="145">
        <v>0</v>
      </c>
      <c r="Y109" s="145">
        <v>0</v>
      </c>
      <c r="Z109" s="145">
        <v>0</v>
      </c>
      <c r="AA109" s="145">
        <v>0</v>
      </c>
    </row>
    <row r="110" spans="1:27" ht="13.5" customHeight="1" thickBot="1" x14ac:dyDescent="0.25"/>
    <row r="111" spans="1:27" ht="12" customHeight="1" thickBot="1" x14ac:dyDescent="0.25">
      <c r="A111" s="50" t="s">
        <v>189</v>
      </c>
      <c r="C111" s="51" t="s">
        <v>148</v>
      </c>
      <c r="D111" s="51" t="s">
        <v>149</v>
      </c>
      <c r="E111" s="51" t="s">
        <v>150</v>
      </c>
      <c r="F111" s="51" t="s">
        <v>151</v>
      </c>
      <c r="G111" s="51" t="s">
        <v>152</v>
      </c>
      <c r="H111" s="51" t="s">
        <v>153</v>
      </c>
      <c r="I111" s="51" t="s">
        <v>154</v>
      </c>
      <c r="J111" s="51" t="s">
        <v>155</v>
      </c>
      <c r="K111" s="51" t="s">
        <v>156</v>
      </c>
      <c r="L111" s="51" t="s">
        <v>157</v>
      </c>
      <c r="M111" s="51" t="s">
        <v>158</v>
      </c>
      <c r="N111" s="51" t="s">
        <v>159</v>
      </c>
      <c r="O111" s="51" t="s">
        <v>160</v>
      </c>
      <c r="P111" s="51" t="s">
        <v>161</v>
      </c>
      <c r="Q111" s="51" t="s">
        <v>162</v>
      </c>
      <c r="R111" s="51" t="s">
        <v>163</v>
      </c>
      <c r="S111" s="51" t="s">
        <v>164</v>
      </c>
      <c r="T111" s="51" t="s">
        <v>165</v>
      </c>
      <c r="U111" s="51" t="s">
        <v>166</v>
      </c>
      <c r="V111" s="51" t="s">
        <v>167</v>
      </c>
      <c r="W111" s="51" t="s">
        <v>168</v>
      </c>
      <c r="X111" s="51" t="s">
        <v>169</v>
      </c>
      <c r="Y111" s="51" t="s">
        <v>170</v>
      </c>
      <c r="Z111" s="51" t="s">
        <v>171</v>
      </c>
      <c r="AA111" s="51" t="s">
        <v>40</v>
      </c>
    </row>
    <row r="112" spans="1:27" ht="11.25" customHeight="1" x14ac:dyDescent="0.2">
      <c r="A112" s="143" t="s">
        <v>189</v>
      </c>
      <c r="C112" s="144">
        <v>0</v>
      </c>
      <c r="D112" s="144">
        <v>0</v>
      </c>
      <c r="E112" s="144">
        <v>0</v>
      </c>
      <c r="F112" s="144">
        <v>0</v>
      </c>
      <c r="G112" s="144">
        <v>0</v>
      </c>
      <c r="H112" s="144">
        <v>0</v>
      </c>
      <c r="I112" s="144">
        <v>0</v>
      </c>
      <c r="J112" s="144">
        <v>0</v>
      </c>
      <c r="K112" s="144">
        <v>0</v>
      </c>
      <c r="L112" s="144">
        <v>0</v>
      </c>
      <c r="M112" s="144">
        <v>0</v>
      </c>
      <c r="N112" s="144">
        <v>0</v>
      </c>
      <c r="O112" s="144">
        <v>0</v>
      </c>
      <c r="P112" s="144">
        <v>0</v>
      </c>
      <c r="Q112" s="144">
        <v>0</v>
      </c>
      <c r="R112" s="144">
        <v>0</v>
      </c>
      <c r="S112" s="144">
        <v>0</v>
      </c>
      <c r="T112" s="144">
        <v>0</v>
      </c>
      <c r="U112" s="144">
        <v>0</v>
      </c>
      <c r="V112" s="144">
        <v>0</v>
      </c>
      <c r="W112" s="144">
        <v>0</v>
      </c>
      <c r="X112" s="144">
        <v>0</v>
      </c>
      <c r="Y112" s="144">
        <v>0</v>
      </c>
      <c r="Z112" s="144">
        <v>0</v>
      </c>
      <c r="AA112" s="144">
        <v>0</v>
      </c>
    </row>
    <row r="113" spans="1:27" ht="13.5" customHeight="1" thickBot="1" x14ac:dyDescent="0.25"/>
    <row r="114" spans="1:27" ht="11.25" customHeight="1" thickBot="1" x14ac:dyDescent="0.25">
      <c r="A114" s="148" t="s">
        <v>188</v>
      </c>
      <c r="B114" s="149"/>
      <c r="C114" s="150">
        <v>0</v>
      </c>
      <c r="D114" s="150">
        <v>0</v>
      </c>
      <c r="E114" s="150">
        <v>0</v>
      </c>
      <c r="F114" s="150">
        <v>0</v>
      </c>
      <c r="G114" s="150">
        <v>0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0</v>
      </c>
      <c r="N114" s="150">
        <v>0</v>
      </c>
      <c r="O114" s="150">
        <v>0</v>
      </c>
      <c r="P114" s="150">
        <v>0</v>
      </c>
      <c r="Q114" s="150">
        <v>0</v>
      </c>
      <c r="R114" s="150">
        <v>0</v>
      </c>
      <c r="S114" s="150">
        <v>0</v>
      </c>
      <c r="T114" s="150">
        <v>0</v>
      </c>
      <c r="U114" s="150">
        <v>0</v>
      </c>
      <c r="V114" s="150">
        <v>0</v>
      </c>
      <c r="W114" s="150">
        <v>0</v>
      </c>
      <c r="X114" s="150">
        <v>0</v>
      </c>
      <c r="Y114" s="150">
        <v>0</v>
      </c>
      <c r="Z114" s="150">
        <v>0</v>
      </c>
      <c r="AA114" s="151">
        <v>0</v>
      </c>
    </row>
    <row r="116" spans="1:27" ht="12" customHeight="1" x14ac:dyDescent="0.2">
      <c r="A116" s="142" t="s">
        <v>181</v>
      </c>
    </row>
    <row r="117" spans="1:27" ht="11.25" customHeight="1" x14ac:dyDescent="0.2">
      <c r="A117" s="143" t="s">
        <v>186</v>
      </c>
      <c r="C117" s="144">
        <v>0</v>
      </c>
      <c r="D117" s="144">
        <v>0</v>
      </c>
      <c r="E117" s="144">
        <v>0</v>
      </c>
      <c r="F117" s="144">
        <v>0</v>
      </c>
      <c r="G117" s="144">
        <v>0</v>
      </c>
      <c r="H117" s="144">
        <v>0</v>
      </c>
      <c r="I117" s="144">
        <v>0</v>
      </c>
      <c r="J117" s="144">
        <v>0</v>
      </c>
      <c r="K117" s="144">
        <v>0</v>
      </c>
      <c r="L117" s="144">
        <v>0</v>
      </c>
      <c r="M117" s="144">
        <v>0</v>
      </c>
      <c r="N117" s="144">
        <v>0</v>
      </c>
      <c r="O117" s="144">
        <v>0</v>
      </c>
      <c r="P117" s="144">
        <v>0</v>
      </c>
      <c r="Q117" s="144">
        <v>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0</v>
      </c>
    </row>
    <row r="118" spans="1:27" ht="11.25" customHeight="1" x14ac:dyDescent="0.2">
      <c r="A118" s="143" t="s">
        <v>187</v>
      </c>
      <c r="C118" s="144">
        <v>0</v>
      </c>
      <c r="D118" s="144">
        <v>0</v>
      </c>
      <c r="E118" s="144">
        <v>0</v>
      </c>
      <c r="F118" s="144">
        <v>0</v>
      </c>
      <c r="G118" s="144">
        <v>0</v>
      </c>
      <c r="H118" s="144">
        <v>0</v>
      </c>
      <c r="I118" s="144">
        <v>0</v>
      </c>
      <c r="J118" s="144">
        <v>0</v>
      </c>
      <c r="K118" s="144">
        <v>0</v>
      </c>
      <c r="L118" s="144">
        <v>0</v>
      </c>
      <c r="M118" s="144">
        <v>0</v>
      </c>
      <c r="N118" s="144">
        <v>0</v>
      </c>
      <c r="O118" s="144">
        <v>0</v>
      </c>
      <c r="P118" s="144">
        <v>0</v>
      </c>
      <c r="Q118" s="144">
        <v>0</v>
      </c>
      <c r="R118" s="144">
        <v>0</v>
      </c>
      <c r="S118" s="144">
        <v>0</v>
      </c>
      <c r="T118" s="144">
        <v>0</v>
      </c>
      <c r="U118" s="144">
        <v>0</v>
      </c>
      <c r="V118" s="144">
        <v>0</v>
      </c>
      <c r="W118" s="144">
        <v>0</v>
      </c>
      <c r="X118" s="144">
        <v>0</v>
      </c>
      <c r="Y118" s="144">
        <v>0</v>
      </c>
      <c r="Z118" s="144">
        <v>0</v>
      </c>
      <c r="AA118" s="144">
        <v>0</v>
      </c>
    </row>
    <row r="119" spans="1:27" ht="11.25" customHeight="1" x14ac:dyDescent="0.2">
      <c r="A119" s="143" t="s">
        <v>189</v>
      </c>
      <c r="C119" s="144">
        <v>0</v>
      </c>
      <c r="D119" s="144">
        <v>0</v>
      </c>
      <c r="E119" s="144">
        <v>0</v>
      </c>
      <c r="F119" s="144">
        <v>0</v>
      </c>
      <c r="G119" s="144">
        <v>0</v>
      </c>
      <c r="H119" s="144">
        <v>0</v>
      </c>
      <c r="I119" s="144">
        <v>0</v>
      </c>
      <c r="J119" s="144">
        <v>0</v>
      </c>
      <c r="K119" s="144">
        <v>0</v>
      </c>
      <c r="L119" s="144">
        <v>0</v>
      </c>
      <c r="M119" s="144">
        <v>0</v>
      </c>
      <c r="N119" s="144">
        <v>0</v>
      </c>
      <c r="O119" s="144">
        <v>0</v>
      </c>
      <c r="P119" s="144">
        <v>0</v>
      </c>
      <c r="Q119" s="144">
        <v>0</v>
      </c>
      <c r="R119" s="144">
        <v>0</v>
      </c>
      <c r="S119" s="144">
        <v>0</v>
      </c>
      <c r="T119" s="144">
        <v>0</v>
      </c>
      <c r="U119" s="144">
        <v>0</v>
      </c>
      <c r="V119" s="144">
        <v>0</v>
      </c>
      <c r="W119" s="144">
        <v>0</v>
      </c>
      <c r="X119" s="144">
        <v>0</v>
      </c>
      <c r="Y119" s="144">
        <v>0</v>
      </c>
      <c r="Z119" s="144">
        <v>0</v>
      </c>
      <c r="AA119" s="144">
        <v>0</v>
      </c>
    </row>
    <row r="120" spans="1:27" ht="11.25" customHeight="1" x14ac:dyDescent="0.2">
      <c r="A120" s="143" t="s">
        <v>188</v>
      </c>
      <c r="C120" s="145">
        <v>0</v>
      </c>
      <c r="D120" s="145">
        <v>0</v>
      </c>
      <c r="E120" s="145">
        <v>0</v>
      </c>
      <c r="F120" s="145">
        <v>0</v>
      </c>
      <c r="G120" s="145">
        <v>0</v>
      </c>
      <c r="H120" s="145">
        <v>0</v>
      </c>
      <c r="I120" s="145">
        <v>0</v>
      </c>
      <c r="J120" s="145">
        <v>0</v>
      </c>
      <c r="K120" s="145">
        <v>0</v>
      </c>
      <c r="L120" s="145">
        <v>0</v>
      </c>
      <c r="M120" s="145">
        <v>0</v>
      </c>
      <c r="N120" s="145">
        <v>0</v>
      </c>
      <c r="O120" s="145">
        <v>0</v>
      </c>
      <c r="P120" s="145">
        <v>0</v>
      </c>
      <c r="Q120" s="145">
        <v>0</v>
      </c>
      <c r="R120" s="145">
        <v>0</v>
      </c>
      <c r="S120" s="145">
        <v>0</v>
      </c>
      <c r="T120" s="145">
        <v>0</v>
      </c>
      <c r="U120" s="145">
        <v>0</v>
      </c>
      <c r="V120" s="145">
        <v>0</v>
      </c>
      <c r="W120" s="145">
        <v>0</v>
      </c>
      <c r="X120" s="145">
        <v>0</v>
      </c>
      <c r="Y120" s="145">
        <v>0</v>
      </c>
      <c r="Z120" s="145">
        <v>0</v>
      </c>
      <c r="AA120" s="145">
        <v>0</v>
      </c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186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187</v>
      </c>
      <c r="C124" s="144">
        <v>0</v>
      </c>
      <c r="D124" s="144">
        <v>0</v>
      </c>
      <c r="E124" s="144">
        <v>0</v>
      </c>
      <c r="F124" s="144">
        <v>0</v>
      </c>
      <c r="G124" s="144">
        <v>0</v>
      </c>
      <c r="H124" s="144">
        <v>0</v>
      </c>
      <c r="I124" s="144">
        <v>0</v>
      </c>
      <c r="J124" s="144">
        <v>0</v>
      </c>
      <c r="K124" s="144">
        <v>0</v>
      </c>
      <c r="L124" s="144">
        <v>0</v>
      </c>
      <c r="M124" s="144">
        <v>0</v>
      </c>
      <c r="N124" s="144">
        <v>0</v>
      </c>
      <c r="O124" s="144">
        <v>0</v>
      </c>
      <c r="P124" s="144">
        <v>0</v>
      </c>
      <c r="Q124" s="144">
        <v>0</v>
      </c>
      <c r="R124" s="144">
        <v>0</v>
      </c>
      <c r="S124" s="144">
        <v>0</v>
      </c>
      <c r="T124" s="144">
        <v>0</v>
      </c>
      <c r="U124" s="144">
        <v>0</v>
      </c>
      <c r="V124" s="144">
        <v>0</v>
      </c>
      <c r="W124" s="144">
        <v>0</v>
      </c>
      <c r="X124" s="144">
        <v>0</v>
      </c>
      <c r="Y124" s="144">
        <v>0</v>
      </c>
      <c r="Z124" s="144">
        <v>0</v>
      </c>
      <c r="AA124" s="144">
        <v>0</v>
      </c>
    </row>
    <row r="125" spans="1:27" ht="11.25" customHeight="1" x14ac:dyDescent="0.2">
      <c r="A125" s="143" t="s">
        <v>189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188</v>
      </c>
      <c r="C126" s="145">
        <v>0</v>
      </c>
      <c r="D126" s="145">
        <v>0</v>
      </c>
      <c r="E126" s="145">
        <v>0</v>
      </c>
      <c r="F126" s="145">
        <v>0</v>
      </c>
      <c r="G126" s="145">
        <v>0</v>
      </c>
      <c r="H126" s="145">
        <v>0</v>
      </c>
      <c r="I126" s="145">
        <v>0</v>
      </c>
      <c r="J126" s="145">
        <v>0</v>
      </c>
      <c r="K126" s="145">
        <v>0</v>
      </c>
      <c r="L126" s="145">
        <v>0</v>
      </c>
      <c r="M126" s="145">
        <v>0</v>
      </c>
      <c r="N126" s="145">
        <v>0</v>
      </c>
      <c r="O126" s="145">
        <v>0</v>
      </c>
      <c r="P126" s="145">
        <v>0</v>
      </c>
      <c r="Q126" s="145">
        <v>0</v>
      </c>
      <c r="R126" s="145">
        <v>0</v>
      </c>
      <c r="S126" s="145">
        <v>0</v>
      </c>
      <c r="T126" s="145">
        <v>0</v>
      </c>
      <c r="U126" s="145">
        <v>0</v>
      </c>
      <c r="V126" s="145">
        <v>0</v>
      </c>
      <c r="W126" s="145">
        <v>0</v>
      </c>
      <c r="X126" s="145">
        <v>0</v>
      </c>
      <c r="Y126" s="145">
        <v>0</v>
      </c>
      <c r="Z126" s="145">
        <v>0</v>
      </c>
      <c r="AA126" s="145">
        <v>0</v>
      </c>
    </row>
    <row r="128" spans="1:27" ht="12" customHeight="1" x14ac:dyDescent="0.2">
      <c r="A128" s="142" t="s">
        <v>182</v>
      </c>
    </row>
    <row r="129" spans="1:27" ht="11.25" customHeight="1" x14ac:dyDescent="0.2">
      <c r="A129" s="143" t="s">
        <v>42</v>
      </c>
      <c r="C129" s="146">
        <v>2.6949999999999998</v>
      </c>
      <c r="D129" s="146">
        <v>2.9849999999999999</v>
      </c>
      <c r="E129" s="146">
        <v>2.8279999999999998</v>
      </c>
      <c r="F129" s="146">
        <v>2.77</v>
      </c>
      <c r="G129" s="146">
        <v>2.6509999999999998</v>
      </c>
      <c r="H129" s="146">
        <v>2.6930000000000001</v>
      </c>
      <c r="I129" s="146">
        <v>2.7330000000000001</v>
      </c>
      <c r="J129" s="146">
        <v>2.7709999999999999</v>
      </c>
      <c r="K129" s="146">
        <v>2.8069999999999999</v>
      </c>
      <c r="L129" s="146">
        <v>2.819</v>
      </c>
      <c r="M129" s="146">
        <v>2.8460000000000001</v>
      </c>
      <c r="N129" s="146">
        <v>3.4609999999999999</v>
      </c>
      <c r="O129" s="146">
        <v>3.6459999999999999</v>
      </c>
      <c r="P129" s="146">
        <v>3.7559999999999998</v>
      </c>
      <c r="Q129" s="146">
        <v>3.6840000000000002</v>
      </c>
      <c r="R129" s="146">
        <v>3.5739999999999998</v>
      </c>
      <c r="S129" s="146">
        <v>3.2290000000000001</v>
      </c>
      <c r="T129" s="146">
        <v>3.2370000000000001</v>
      </c>
      <c r="U129" s="146">
        <v>3.2669999999999999</v>
      </c>
      <c r="V129" s="146">
        <v>3.302</v>
      </c>
      <c r="W129" s="146">
        <v>3.3340000000000001</v>
      </c>
      <c r="X129" s="146">
        <v>3.3420000000000001</v>
      </c>
      <c r="Y129" s="146">
        <v>3.3839999999999999</v>
      </c>
      <c r="Z129" s="146">
        <v>3.9119999999999999</v>
      </c>
      <c r="AA129" s="146"/>
    </row>
    <row r="130" spans="1:27" ht="11.25" customHeight="1" x14ac:dyDescent="0.2">
      <c r="A130" s="143" t="s">
        <v>181</v>
      </c>
      <c r="C130" s="146">
        <v>2.621</v>
      </c>
      <c r="D130" s="146">
        <v>2.9260000000000002</v>
      </c>
      <c r="E130" s="146">
        <v>2.766</v>
      </c>
      <c r="F130" s="146">
        <v>2.738</v>
      </c>
      <c r="G130" s="146">
        <v>2.625</v>
      </c>
      <c r="H130" s="146">
        <v>2.6680000000000001</v>
      </c>
      <c r="I130" s="146">
        <v>2.71</v>
      </c>
      <c r="J130" s="146">
        <v>2.75</v>
      </c>
      <c r="K130" s="146">
        <v>2.79</v>
      </c>
      <c r="L130" s="146">
        <v>2.802</v>
      </c>
      <c r="M130" s="146">
        <v>2.8420000000000001</v>
      </c>
      <c r="N130" s="146">
        <v>3.4620000000000002</v>
      </c>
      <c r="O130" s="146">
        <v>3.6469999999999998</v>
      </c>
      <c r="P130" s="146">
        <v>3.7570000000000001</v>
      </c>
      <c r="Q130" s="146">
        <v>3.6819999999999999</v>
      </c>
      <c r="R130" s="146">
        <v>3.577</v>
      </c>
      <c r="S130" s="146">
        <v>3.2320000000000002</v>
      </c>
      <c r="T130" s="146">
        <v>3.2370000000000001</v>
      </c>
      <c r="U130" s="146">
        <v>3.2669999999999999</v>
      </c>
      <c r="V130" s="146">
        <v>3.302</v>
      </c>
      <c r="W130" s="146">
        <v>3.3340000000000001</v>
      </c>
      <c r="X130" s="146">
        <v>3.3420000000000001</v>
      </c>
      <c r="Y130" s="146">
        <v>3.3839999999999999</v>
      </c>
      <c r="Z130" s="146">
        <v>3.9119999999999999</v>
      </c>
      <c r="AA130" s="146"/>
    </row>
    <row r="131" spans="1:27" ht="11.25" customHeight="1" x14ac:dyDescent="0.2">
      <c r="A131" s="143" t="s">
        <v>0</v>
      </c>
      <c r="C131" s="147">
        <v>7.3999999999999844E-2</v>
      </c>
      <c r="D131" s="147">
        <v>5.8999999999999719E-2</v>
      </c>
      <c r="E131" s="147">
        <v>6.1999999999999833E-2</v>
      </c>
      <c r="F131" s="147">
        <v>3.2000000000000028E-2</v>
      </c>
      <c r="G131" s="147">
        <v>2.5999999999999801E-2</v>
      </c>
      <c r="H131" s="147">
        <v>2.4999999999999911E-2</v>
      </c>
      <c r="I131" s="147">
        <v>2.3000000000000131E-2</v>
      </c>
      <c r="J131" s="147">
        <v>2.0999999999999908E-2</v>
      </c>
      <c r="K131" s="147">
        <v>1.6999999999999904E-2</v>
      </c>
      <c r="L131" s="147">
        <v>1.6999999999999904E-2</v>
      </c>
      <c r="M131" s="147">
        <v>4.0000000000000036E-3</v>
      </c>
      <c r="N131" s="147">
        <v>-1.000000000000334E-3</v>
      </c>
      <c r="O131" s="147">
        <v>-9.9999999999988987E-4</v>
      </c>
      <c r="P131" s="147">
        <v>-1.000000000000334E-3</v>
      </c>
      <c r="Q131" s="147">
        <v>2.0000000000002238E-3</v>
      </c>
      <c r="R131" s="147">
        <v>-3.0000000000001137E-3</v>
      </c>
      <c r="S131" s="147">
        <v>-3.0000000000001137E-3</v>
      </c>
      <c r="T131" s="147">
        <v>0</v>
      </c>
      <c r="U131" s="147">
        <v>0</v>
      </c>
      <c r="V131" s="147">
        <v>0</v>
      </c>
      <c r="W131" s="147">
        <v>0</v>
      </c>
      <c r="X131" s="147">
        <v>0</v>
      </c>
      <c r="Y131" s="147">
        <v>0</v>
      </c>
      <c r="Z131" s="147">
        <v>0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4.7</v>
      </c>
      <c r="D134" s="146">
        <v>4.7</v>
      </c>
      <c r="E134" s="146">
        <v>4.7</v>
      </c>
      <c r="F134" s="146">
        <v>4.7</v>
      </c>
      <c r="G134" s="146">
        <v>3.2256</v>
      </c>
      <c r="H134" s="146">
        <v>3.2256</v>
      </c>
      <c r="I134" s="146">
        <v>3.2256</v>
      </c>
      <c r="J134" s="146">
        <v>3.2256</v>
      </c>
      <c r="K134" s="146">
        <v>3.2256</v>
      </c>
      <c r="L134" s="146">
        <v>3.2256</v>
      </c>
      <c r="M134" s="146">
        <v>3.2256</v>
      </c>
      <c r="N134" s="146">
        <v>0</v>
      </c>
      <c r="O134" s="146">
        <v>0</v>
      </c>
      <c r="P134" s="146">
        <v>0</v>
      </c>
      <c r="Q134" s="146">
        <v>0</v>
      </c>
      <c r="R134" s="146">
        <v>0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4.8436000000000003</v>
      </c>
      <c r="D135" s="146">
        <v>4.8436000000000003</v>
      </c>
      <c r="E135" s="146">
        <v>4.8436000000000003</v>
      </c>
      <c r="F135" s="146">
        <v>4.8436000000000003</v>
      </c>
      <c r="G135" s="146">
        <v>3.2469000000000001</v>
      </c>
      <c r="H135" s="146">
        <v>3.2469000000000001</v>
      </c>
      <c r="I135" s="146">
        <v>3.2469000000000001</v>
      </c>
      <c r="J135" s="146">
        <v>3.2469000000000001</v>
      </c>
      <c r="K135" s="146">
        <v>3.2469000000000001</v>
      </c>
      <c r="L135" s="146">
        <v>3.2469000000000001</v>
      </c>
      <c r="M135" s="146">
        <v>3.2469000000000001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183</v>
      </c>
    </row>
    <row r="138" spans="1:27" ht="11.25" customHeight="1" x14ac:dyDescent="0.2">
      <c r="A138" s="143" t="s">
        <v>184</v>
      </c>
      <c r="C138" s="144">
        <v>155442</v>
      </c>
      <c r="D138" s="144">
        <v>154950</v>
      </c>
      <c r="E138" s="169">
        <v>139506</v>
      </c>
      <c r="F138" s="169">
        <v>154026</v>
      </c>
      <c r="G138" s="169">
        <v>25156</v>
      </c>
      <c r="H138" s="169">
        <v>25912</v>
      </c>
      <c r="I138" s="169">
        <v>24994</v>
      </c>
      <c r="J138" s="144">
        <v>25744</v>
      </c>
      <c r="K138" s="144">
        <v>25658</v>
      </c>
      <c r="L138" s="144">
        <v>24748</v>
      </c>
      <c r="M138" s="144">
        <v>25486</v>
      </c>
      <c r="N138" s="144">
        <v>0</v>
      </c>
      <c r="O138" s="144">
        <v>0</v>
      </c>
      <c r="P138" s="144">
        <v>0</v>
      </c>
      <c r="Q138" s="144">
        <v>0</v>
      </c>
      <c r="R138" s="144">
        <v>0</v>
      </c>
      <c r="S138" s="144">
        <v>0</v>
      </c>
      <c r="T138" s="144">
        <v>0</v>
      </c>
      <c r="U138" s="144">
        <v>0</v>
      </c>
      <c r="V138" s="144">
        <v>0</v>
      </c>
      <c r="W138" s="144">
        <v>0</v>
      </c>
      <c r="X138" s="144">
        <v>0</v>
      </c>
      <c r="Y138" s="144">
        <v>0</v>
      </c>
      <c r="Z138" s="144">
        <v>0</v>
      </c>
      <c r="AA138" s="144">
        <v>781622</v>
      </c>
    </row>
    <row r="139" spans="1:27" ht="11.25" customHeight="1" thickBot="1" x14ac:dyDescent="0.25">
      <c r="A139" s="143" t="s">
        <v>190</v>
      </c>
      <c r="C139" s="144">
        <v>0</v>
      </c>
      <c r="D139" s="144">
        <v>0</v>
      </c>
      <c r="E139" s="144">
        <v>0</v>
      </c>
      <c r="F139" s="144">
        <v>0</v>
      </c>
      <c r="G139" s="144">
        <v>0</v>
      </c>
      <c r="H139" s="144">
        <v>0</v>
      </c>
      <c r="I139" s="144">
        <v>0</v>
      </c>
      <c r="J139" s="144">
        <v>0</v>
      </c>
      <c r="K139" s="144">
        <v>0</v>
      </c>
      <c r="L139" s="144">
        <v>0</v>
      </c>
      <c r="M139" s="144">
        <v>0</v>
      </c>
      <c r="N139" s="144">
        <v>0</v>
      </c>
      <c r="O139" s="144">
        <v>0</v>
      </c>
      <c r="P139" s="144">
        <v>0</v>
      </c>
      <c r="Q139" s="144">
        <v>0</v>
      </c>
      <c r="R139" s="144">
        <v>0</v>
      </c>
      <c r="S139" s="144">
        <v>0</v>
      </c>
      <c r="T139" s="144">
        <v>0</v>
      </c>
      <c r="U139" s="144">
        <v>0</v>
      </c>
      <c r="V139" s="144">
        <v>0</v>
      </c>
      <c r="W139" s="144">
        <v>0</v>
      </c>
      <c r="X139" s="144">
        <v>0</v>
      </c>
      <c r="Y139" s="144">
        <v>0</v>
      </c>
      <c r="Z139" s="144">
        <v>0</v>
      </c>
      <c r="AA139" s="144">
        <v>0</v>
      </c>
    </row>
    <row r="140" spans="1:27" ht="11.25" customHeight="1" thickBot="1" x14ac:dyDescent="0.25">
      <c r="A140" s="148" t="s">
        <v>191</v>
      </c>
      <c r="B140" s="149"/>
      <c r="C140" s="150">
        <v>155442</v>
      </c>
      <c r="D140" s="150">
        <v>154950</v>
      </c>
      <c r="E140" s="150">
        <v>139506</v>
      </c>
      <c r="F140" s="150">
        <v>154026</v>
      </c>
      <c r="G140" s="150">
        <v>25156</v>
      </c>
      <c r="H140" s="150">
        <v>25912</v>
      </c>
      <c r="I140" s="150">
        <v>24994</v>
      </c>
      <c r="J140" s="150">
        <v>25744</v>
      </c>
      <c r="K140" s="150">
        <v>25658</v>
      </c>
      <c r="L140" s="150">
        <v>24748</v>
      </c>
      <c r="M140" s="150">
        <v>25486</v>
      </c>
      <c r="N140" s="150">
        <v>0</v>
      </c>
      <c r="O140" s="150">
        <v>0</v>
      </c>
      <c r="P140" s="150">
        <v>0</v>
      </c>
      <c r="Q140" s="150">
        <v>0</v>
      </c>
      <c r="R140" s="150">
        <v>0</v>
      </c>
      <c r="S140" s="150">
        <v>0</v>
      </c>
      <c r="T140" s="150">
        <v>0</v>
      </c>
      <c r="U140" s="150">
        <v>0</v>
      </c>
      <c r="V140" s="150">
        <v>0</v>
      </c>
      <c r="W140" s="150">
        <v>0</v>
      </c>
      <c r="X140" s="150">
        <v>0</v>
      </c>
      <c r="Y140" s="150">
        <v>0</v>
      </c>
      <c r="Z140" s="150">
        <v>0</v>
      </c>
      <c r="AA140" s="151">
        <v>781622</v>
      </c>
    </row>
    <row r="141" spans="1:27" ht="11.25" customHeight="1" x14ac:dyDescent="0.2">
      <c r="A141" s="143" t="s">
        <v>2</v>
      </c>
      <c r="C141" s="144">
        <v>155426</v>
      </c>
      <c r="D141" s="144">
        <v>154934</v>
      </c>
      <c r="E141" s="144">
        <v>139491</v>
      </c>
      <c r="F141" s="144">
        <v>154010</v>
      </c>
      <c r="G141" s="144">
        <v>25154</v>
      </c>
      <c r="H141" s="144">
        <v>25909</v>
      </c>
      <c r="I141" s="144">
        <v>24991</v>
      </c>
      <c r="J141" s="144">
        <v>25741</v>
      </c>
      <c r="K141" s="144">
        <v>25656</v>
      </c>
      <c r="L141" s="144">
        <v>24745</v>
      </c>
      <c r="M141" s="144">
        <v>25483</v>
      </c>
      <c r="N141" s="144">
        <v>0</v>
      </c>
      <c r="O141" s="144">
        <v>0</v>
      </c>
      <c r="P141" s="144">
        <v>0</v>
      </c>
      <c r="Q141" s="144">
        <v>0</v>
      </c>
      <c r="R141" s="144">
        <v>0</v>
      </c>
      <c r="S141" s="144">
        <v>0</v>
      </c>
      <c r="T141" s="144">
        <v>0</v>
      </c>
      <c r="U141" s="144">
        <v>0</v>
      </c>
      <c r="V141" s="144">
        <v>0</v>
      </c>
      <c r="W141" s="144">
        <v>0</v>
      </c>
      <c r="X141" s="144">
        <v>0</v>
      </c>
      <c r="Y141" s="144">
        <v>0</v>
      </c>
      <c r="Z141" s="144">
        <v>0</v>
      </c>
      <c r="AA141" s="144">
        <v>781540</v>
      </c>
    </row>
    <row r="142" spans="1:27" ht="11.25" customHeight="1" x14ac:dyDescent="0.2">
      <c r="A142" s="143" t="s">
        <v>0</v>
      </c>
      <c r="C142" s="145">
        <v>16</v>
      </c>
      <c r="D142" s="145">
        <v>16</v>
      </c>
      <c r="E142" s="145">
        <v>15</v>
      </c>
      <c r="F142" s="145">
        <v>16</v>
      </c>
      <c r="G142" s="145">
        <v>2</v>
      </c>
      <c r="H142" s="145">
        <v>3</v>
      </c>
      <c r="I142" s="145">
        <v>3</v>
      </c>
      <c r="J142" s="145">
        <v>3</v>
      </c>
      <c r="K142" s="145">
        <v>2</v>
      </c>
      <c r="L142" s="145">
        <v>3</v>
      </c>
      <c r="M142" s="145">
        <v>3</v>
      </c>
      <c r="N142" s="145">
        <v>0</v>
      </c>
      <c r="O142" s="145">
        <v>0</v>
      </c>
      <c r="P142" s="145">
        <v>0</v>
      </c>
      <c r="Q142" s="145">
        <v>0</v>
      </c>
      <c r="R142" s="145">
        <v>0</v>
      </c>
      <c r="S142" s="145">
        <v>0</v>
      </c>
      <c r="T142" s="145">
        <v>0</v>
      </c>
      <c r="U142" s="145">
        <v>0</v>
      </c>
      <c r="V142" s="145">
        <v>0</v>
      </c>
      <c r="W142" s="145">
        <v>0</v>
      </c>
      <c r="X142" s="145">
        <v>0</v>
      </c>
      <c r="Y142" s="145">
        <v>0</v>
      </c>
      <c r="Z142" s="145">
        <v>0</v>
      </c>
      <c r="AA142" s="145">
        <v>82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>
      <selection activeCell="A30" sqref="A30"/>
    </sheetView>
  </sheetViews>
  <sheetFormatPr defaultRowHeight="10.199999999999999" x14ac:dyDescent="0.2"/>
  <cols>
    <col min="1" max="1" width="50.1640625" style="87" customWidth="1"/>
    <col min="2" max="2" width="4.33203125" style="87" customWidth="1"/>
    <col min="3" max="31" width="14.83203125" style="87" customWidth="1"/>
    <col min="32" max="16384" width="9.33203125" style="87"/>
  </cols>
  <sheetData>
    <row r="1" spans="1:31" ht="12.6" x14ac:dyDescent="0.25">
      <c r="A1" s="86" t="s">
        <v>10</v>
      </c>
    </row>
    <row r="2" spans="1:31" ht="12.6" x14ac:dyDescent="0.25">
      <c r="A2" s="86" t="s">
        <v>11</v>
      </c>
    </row>
    <row r="3" spans="1:31" ht="12.6" x14ac:dyDescent="0.25">
      <c r="A3" s="86" t="str">
        <f>'GAS SUM'!A3</f>
        <v>As of November 20, 2001</v>
      </c>
    </row>
    <row r="4" spans="1:31" ht="12.6" x14ac:dyDescent="0.25">
      <c r="A4" s="86" t="s">
        <v>12</v>
      </c>
      <c r="F4" s="100"/>
    </row>
    <row r="5" spans="1:31" x14ac:dyDescent="0.2">
      <c r="I5" s="25"/>
    </row>
    <row r="6" spans="1:31" ht="12.6" x14ac:dyDescent="0.25">
      <c r="A6" s="86" t="s">
        <v>13</v>
      </c>
    </row>
    <row r="7" spans="1:31" x14ac:dyDescent="0.2">
      <c r="A7" s="87" t="s">
        <v>142</v>
      </c>
      <c r="D7" s="88">
        <f>SUM(C17:L17)</f>
        <v>1281152.94</v>
      </c>
      <c r="F7" s="105" t="s">
        <v>48</v>
      </c>
      <c r="I7" s="123" t="s">
        <v>42</v>
      </c>
      <c r="J7" s="123" t="s">
        <v>45</v>
      </c>
      <c r="K7" s="123" t="s">
        <v>46</v>
      </c>
    </row>
    <row r="8" spans="1:31" x14ac:dyDescent="0.2">
      <c r="A8" s="87" t="s">
        <v>143</v>
      </c>
      <c r="D8" s="88">
        <f>SUM(M17)</f>
        <v>66703</v>
      </c>
      <c r="E8" s="88"/>
      <c r="F8" s="87" t="s">
        <v>41</v>
      </c>
      <c r="G8" s="102"/>
      <c r="I8" s="138">
        <f>'GAS SUM'!C23</f>
        <v>207174</v>
      </c>
      <c r="J8" s="124">
        <v>1000000</v>
      </c>
      <c r="K8" s="125">
        <f>IF(I8&gt;J8,I8-J8,0)</f>
        <v>0</v>
      </c>
    </row>
    <row r="9" spans="1:31" x14ac:dyDescent="0.2">
      <c r="A9" s="87" t="s">
        <v>14</v>
      </c>
      <c r="B9" s="89"/>
      <c r="C9" s="88">
        <f>C25</f>
        <v>267841</v>
      </c>
      <c r="F9" s="87" t="s">
        <v>15</v>
      </c>
      <c r="I9" s="180">
        <f>O54</f>
        <v>-59188</v>
      </c>
      <c r="J9" s="88">
        <v>-1000000</v>
      </c>
      <c r="K9" s="126">
        <f>IF(I9&lt;J9,I9-J9,0)</f>
        <v>0</v>
      </c>
    </row>
    <row r="10" spans="1:31" x14ac:dyDescent="0.2">
      <c r="A10" s="87" t="s">
        <v>16</v>
      </c>
      <c r="B10" s="90"/>
      <c r="C10" s="122">
        <v>2541355.6032664902</v>
      </c>
      <c r="F10" s="87" t="s">
        <v>17</v>
      </c>
      <c r="I10" s="88">
        <f>'5-DAY'!C2</f>
        <v>209051</v>
      </c>
      <c r="J10" s="88">
        <v>-2250000</v>
      </c>
      <c r="K10" s="126">
        <f>IF(I10&lt;J10,I10-J10,0)</f>
        <v>0</v>
      </c>
    </row>
    <row r="11" spans="1:31" x14ac:dyDescent="0.2">
      <c r="A11" s="87" t="s">
        <v>39</v>
      </c>
      <c r="B11" s="90"/>
      <c r="C11" s="91"/>
      <c r="D11" s="88">
        <f>SUM(C9:C10)</f>
        <v>2809196.6032664902</v>
      </c>
      <c r="F11" s="87" t="s">
        <v>47</v>
      </c>
      <c r="H11" s="91"/>
      <c r="I11" s="131">
        <f>'Gap Risk'!B29</f>
        <v>-1469999.9997999999</v>
      </c>
      <c r="J11" s="128">
        <v>5000000</v>
      </c>
      <c r="K11" s="127">
        <f>IF(ABS(I11)&gt;J11,ABS(I11)-J11,0)</f>
        <v>0</v>
      </c>
    </row>
    <row r="12" spans="1:31" x14ac:dyDescent="0.2">
      <c r="A12" s="112" t="s">
        <v>18</v>
      </c>
      <c r="B12" s="113"/>
      <c r="C12" s="113"/>
      <c r="D12" s="114">
        <f>SUM(D7:D11)</f>
        <v>4157052.5432664901</v>
      </c>
      <c r="F12" s="87" t="s">
        <v>117</v>
      </c>
      <c r="I12" s="131">
        <f>'Gap Risk'!B8</f>
        <v>-1469999.9997999999</v>
      </c>
      <c r="J12" s="128">
        <v>5000000</v>
      </c>
      <c r="K12" s="127">
        <f>IF(ABS(I12)&gt;J12,ABS(I12)-J12,0)</f>
        <v>0</v>
      </c>
    </row>
    <row r="13" spans="1:31" x14ac:dyDescent="0.2">
      <c r="D13" s="88"/>
      <c r="E13" s="209"/>
    </row>
    <row r="14" spans="1:31" x14ac:dyDescent="0.2">
      <c r="C14" s="95"/>
      <c r="D14" s="88"/>
    </row>
    <row r="15" spans="1:31" x14ac:dyDescent="0.2">
      <c r="D15" s="88"/>
    </row>
    <row r="16" spans="1:31" s="96" customFormat="1" ht="12.6" x14ac:dyDescent="0.25">
      <c r="A16" s="86" t="s">
        <v>19</v>
      </c>
      <c r="C16" s="97">
        <v>36892</v>
      </c>
      <c r="D16" s="97">
        <v>36923</v>
      </c>
      <c r="E16" s="97">
        <v>36951</v>
      </c>
      <c r="F16" s="97">
        <v>36982</v>
      </c>
      <c r="G16" s="97">
        <v>37012</v>
      </c>
      <c r="H16" s="97">
        <v>37043</v>
      </c>
      <c r="I16" s="97">
        <v>37073</v>
      </c>
      <c r="J16" s="97">
        <v>37104</v>
      </c>
      <c r="K16" s="97">
        <v>37135</v>
      </c>
      <c r="L16" s="97">
        <v>37165</v>
      </c>
      <c r="M16" s="97">
        <v>37196</v>
      </c>
      <c r="N16" s="98" t="s">
        <v>20</v>
      </c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</row>
    <row r="17" spans="1:37" x14ac:dyDescent="0.2">
      <c r="A17" s="92" t="s">
        <v>21</v>
      </c>
      <c r="B17" s="92"/>
      <c r="C17" s="94">
        <v>0</v>
      </c>
      <c r="D17" s="94">
        <f>-73083</f>
        <v>-73083</v>
      </c>
      <c r="E17" s="94">
        <v>268221</v>
      </c>
      <c r="F17" s="94">
        <v>194767</v>
      </c>
      <c r="G17" s="94">
        <v>96424</v>
      </c>
      <c r="H17" s="94">
        <v>99479</v>
      </c>
      <c r="I17" s="94">
        <f>132235+17000</f>
        <v>149235</v>
      </c>
      <c r="J17" s="94">
        <f>135570+40000</f>
        <v>175570</v>
      </c>
      <c r="K17" s="94">
        <f>132471+38900</f>
        <v>171371</v>
      </c>
      <c r="L17" s="94">
        <f>207918.94-8750</f>
        <v>199168.94</v>
      </c>
      <c r="M17" s="94">
        <v>66703</v>
      </c>
      <c r="N17" s="94">
        <f>SUM(C17:M17)</f>
        <v>1347855.94</v>
      </c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</row>
    <row r="18" spans="1:37" x14ac:dyDescent="0.2">
      <c r="C18" s="88"/>
      <c r="D18" s="88"/>
      <c r="E18" s="88"/>
      <c r="F18" s="88"/>
      <c r="G18" s="88"/>
      <c r="H18" s="88"/>
      <c r="I18" s="99"/>
      <c r="J18" s="99"/>
      <c r="K18" s="198"/>
      <c r="L18" s="198"/>
      <c r="M18" s="100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</row>
    <row r="19" spans="1:37" x14ac:dyDescent="0.2">
      <c r="C19" s="88"/>
      <c r="D19" s="88" t="s">
        <v>54</v>
      </c>
      <c r="E19" s="88"/>
      <c r="F19" s="88"/>
      <c r="G19" s="88"/>
      <c r="H19" s="88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</row>
    <row r="20" spans="1:37" x14ac:dyDescent="0.2">
      <c r="AF20" s="99"/>
      <c r="AG20" s="99"/>
      <c r="AH20" s="99"/>
      <c r="AI20" s="99"/>
      <c r="AJ20" s="99"/>
      <c r="AK20" s="99"/>
    </row>
    <row r="21" spans="1:37" ht="12.6" x14ac:dyDescent="0.25">
      <c r="A21" s="86" t="s">
        <v>14</v>
      </c>
      <c r="J21" s="88"/>
      <c r="AF21" s="99"/>
      <c r="AG21" s="99"/>
      <c r="AH21" s="99"/>
      <c r="AI21" s="99"/>
      <c r="AJ21" s="99"/>
      <c r="AK21" s="99"/>
    </row>
    <row r="22" spans="1:37" x14ac:dyDescent="0.2">
      <c r="A22" s="87" t="s">
        <v>22</v>
      </c>
      <c r="C22" s="88">
        <f>O49</f>
        <v>353291</v>
      </c>
      <c r="AF22" s="99"/>
      <c r="AG22" s="99"/>
      <c r="AH22" s="99"/>
      <c r="AI22" s="99"/>
      <c r="AJ22" s="99"/>
      <c r="AK22" s="99"/>
    </row>
    <row r="23" spans="1:37" x14ac:dyDescent="0.2">
      <c r="A23" s="87" t="s">
        <v>23</v>
      </c>
      <c r="C23" s="88">
        <f>O50</f>
        <v>-94500</v>
      </c>
      <c r="AF23" s="99"/>
      <c r="AG23" s="99"/>
      <c r="AH23" s="99"/>
      <c r="AI23" s="99"/>
      <c r="AJ23" s="99"/>
      <c r="AK23" s="99"/>
    </row>
    <row r="24" spans="1:37" x14ac:dyDescent="0.2">
      <c r="A24" s="87" t="s">
        <v>44</v>
      </c>
      <c r="C24" s="88">
        <f>O51</f>
        <v>9050</v>
      </c>
      <c r="AF24" s="99"/>
      <c r="AG24" s="99"/>
      <c r="AH24" s="99"/>
      <c r="AI24" s="99"/>
      <c r="AJ24" s="99"/>
      <c r="AK24" s="99"/>
    </row>
    <row r="25" spans="1:37" x14ac:dyDescent="0.2">
      <c r="A25" s="92" t="s">
        <v>14</v>
      </c>
      <c r="B25" s="93"/>
      <c r="C25" s="94">
        <f>SUM(C22:C24)</f>
        <v>267841</v>
      </c>
      <c r="AF25" s="99"/>
      <c r="AG25" s="99"/>
      <c r="AH25" s="99"/>
      <c r="AI25" s="99"/>
      <c r="AJ25" s="99"/>
      <c r="AK25" s="99"/>
    </row>
    <row r="26" spans="1:37" x14ac:dyDescent="0.2">
      <c r="AF26" s="99"/>
      <c r="AG26" s="99"/>
      <c r="AH26" s="99"/>
      <c r="AI26" s="99"/>
      <c r="AJ26" s="99"/>
      <c r="AK26" s="99"/>
    </row>
    <row r="27" spans="1:37" x14ac:dyDescent="0.2">
      <c r="AF27" s="99"/>
      <c r="AG27" s="99"/>
      <c r="AH27" s="99"/>
      <c r="AI27" s="99"/>
      <c r="AJ27" s="99"/>
      <c r="AK27" s="99"/>
    </row>
    <row r="28" spans="1:37" x14ac:dyDescent="0.2">
      <c r="A28" s="100" t="s">
        <v>24</v>
      </c>
      <c r="C28" s="98">
        <v>37226</v>
      </c>
      <c r="D28" s="98">
        <v>37257</v>
      </c>
      <c r="E28" s="98">
        <v>37288</v>
      </c>
      <c r="F28" s="98">
        <v>37316</v>
      </c>
      <c r="G28" s="98">
        <v>37347</v>
      </c>
      <c r="H28" s="98">
        <v>37377</v>
      </c>
      <c r="I28" s="98">
        <v>37408</v>
      </c>
      <c r="J28" s="98">
        <v>37438</v>
      </c>
      <c r="K28" s="98">
        <v>37469</v>
      </c>
      <c r="L28" s="98">
        <v>37500</v>
      </c>
      <c r="M28" s="98">
        <v>37530</v>
      </c>
      <c r="N28" s="98">
        <v>37561</v>
      </c>
      <c r="O28" s="101"/>
      <c r="AF28" s="99"/>
      <c r="AG28" s="99"/>
      <c r="AH28" s="99"/>
      <c r="AI28" s="99"/>
      <c r="AJ28" s="99"/>
      <c r="AK28" s="99"/>
    </row>
    <row r="29" spans="1:37" x14ac:dyDescent="0.2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102"/>
      <c r="AF29" s="99"/>
      <c r="AG29" s="99"/>
      <c r="AH29" s="99"/>
      <c r="AI29" s="99"/>
      <c r="AJ29" s="99"/>
      <c r="AK29" s="99"/>
    </row>
    <row r="30" spans="1:37" s="104" customFormat="1" x14ac:dyDescent="0.2">
      <c r="A30" s="92" t="s">
        <v>25</v>
      </c>
      <c r="B30" s="103"/>
      <c r="C30" s="103">
        <f>'SPEC REPORT DETAILS'!J8+'SPEC REPORT DETAILS'!J20+'SPEC REPORT DETAILS'!J32+'SPEC REPORT DETAILS'!J44</f>
        <v>-6451.6129000000001</v>
      </c>
      <c r="D30" s="103">
        <f>'SPEC REPORT DETAILS'!K8+'SPEC REPORT DETAILS'!K20+'SPEC REPORT DETAILS'!K32+'SPEC REPORT DETAILS'!K44</f>
        <v>-6451.6129000000001</v>
      </c>
      <c r="E30" s="103">
        <f>'SPEC REPORT DETAILS'!L8+'SPEC REPORT DETAILS'!L20+'SPEC REPORT DETAILS'!L32+'SPEC REPORT DETAILS'!L44</f>
        <v>0</v>
      </c>
      <c r="F30" s="103">
        <f>'SPEC REPORT DETAILS'!M8+'SPEC REPORT DETAILS'!M20+'SPEC REPORT DETAILS'!M32+'SPEC REPORT DETAILS'!M44</f>
        <v>0</v>
      </c>
      <c r="G30" s="103">
        <f>'SPEC REPORT DETAILS'!N8+'SPEC REPORT DETAILS'!N20+'SPEC REPORT DETAILS'!N32+'SPEC REPORT DETAILS'!N44</f>
        <v>-5000</v>
      </c>
      <c r="H30" s="103">
        <f>'SPEC REPORT DETAILS'!O8+'SPEC REPORT DETAILS'!O20+'SPEC REPORT DETAILS'!O32+'SPEC REPORT DETAILS'!O44</f>
        <v>-5000</v>
      </c>
      <c r="I30" s="103">
        <f>'SPEC REPORT DETAILS'!P8+'SPEC REPORT DETAILS'!P20+'SPEC REPORT DETAILS'!P32+'SPEC REPORT DETAILS'!P44</f>
        <v>-5000</v>
      </c>
      <c r="J30" s="103">
        <f>'SPEC REPORT DETAILS'!Q8+'SPEC REPORT DETAILS'!Q20+'SPEC REPORT DETAILS'!Q32+'SPEC REPORT DETAILS'!Q44</f>
        <v>-5000</v>
      </c>
      <c r="K30" s="103">
        <f>'SPEC REPORT DETAILS'!R8+'SPEC REPORT DETAILS'!R20+'SPEC REPORT DETAILS'!R32+'SPEC REPORT DETAILS'!R44</f>
        <v>-5000</v>
      </c>
      <c r="L30" s="103">
        <f>'SPEC REPORT DETAILS'!S8+'SPEC REPORT DETAILS'!S20+'SPEC REPORT DETAILS'!S32+'SPEC REPORT DETAILS'!S44</f>
        <v>-5000</v>
      </c>
      <c r="M30" s="103">
        <f>'SPEC REPORT DETAILS'!T8+'SPEC REPORT DETAILS'!T20+'SPEC REPORT DETAILS'!T32+'SPEC REPORT DETAILS'!T44</f>
        <v>-5000</v>
      </c>
      <c r="N30" s="103">
        <f>'SPEC REPORT DETAILS'!U8+'SPEC REPORT DETAILS'!U20+'SPEC REPORT DETAILS'!U32+'SPEC REPORT DETAILS'!U44</f>
        <v>0</v>
      </c>
    </row>
    <row r="31" spans="1:37" s="104" customFormat="1" x14ac:dyDescent="0.2">
      <c r="A31" s="115" t="s">
        <v>38</v>
      </c>
      <c r="C31" s="116">
        <f>'SPEC SUM'!C21</f>
        <v>-6451.6129000000001</v>
      </c>
      <c r="D31" s="116">
        <f>'SPEC SUM'!D21</f>
        <v>-6451.6129000000001</v>
      </c>
      <c r="E31" s="116">
        <f>'SPEC SUM'!E21</f>
        <v>0</v>
      </c>
      <c r="F31" s="116">
        <f>'SPEC SUM'!F21</f>
        <v>0</v>
      </c>
      <c r="G31" s="116">
        <f>'SPEC SUM'!G21</f>
        <v>0</v>
      </c>
      <c r="H31" s="116">
        <f>'SPEC SUM'!H21</f>
        <v>0</v>
      </c>
      <c r="I31" s="116">
        <f>'SPEC SUM'!I21</f>
        <v>0</v>
      </c>
      <c r="J31" s="116">
        <f>'SPEC SUM'!J21</f>
        <v>0</v>
      </c>
      <c r="K31" s="116">
        <f>'SPEC SUM'!K21</f>
        <v>0</v>
      </c>
      <c r="L31" s="116">
        <f>'SPEC SUM'!L21</f>
        <v>0</v>
      </c>
      <c r="M31" s="116">
        <f>'SPEC SUM'!M21</f>
        <v>0</v>
      </c>
      <c r="N31" s="116">
        <f>'SPEC SUM'!N21</f>
        <v>0</v>
      </c>
    </row>
    <row r="32" spans="1:37" s="104" customFormat="1" x14ac:dyDescent="0.2">
      <c r="A32" s="87" t="s">
        <v>0</v>
      </c>
      <c r="C32" s="117">
        <f>ROUND((C30-C31),0)</f>
        <v>0</v>
      </c>
      <c r="D32" s="117">
        <f t="shared" ref="D32:N32" si="0">D30-D31</f>
        <v>0</v>
      </c>
      <c r="E32" s="117">
        <f t="shared" si="0"/>
        <v>0</v>
      </c>
      <c r="F32" s="117">
        <f t="shared" si="0"/>
        <v>0</v>
      </c>
      <c r="G32" s="117">
        <f t="shared" si="0"/>
        <v>-5000</v>
      </c>
      <c r="H32" s="117">
        <f t="shared" si="0"/>
        <v>-5000</v>
      </c>
      <c r="I32" s="117">
        <f t="shared" si="0"/>
        <v>-5000</v>
      </c>
      <c r="J32" s="117">
        <f t="shared" si="0"/>
        <v>-5000</v>
      </c>
      <c r="K32" s="117">
        <f t="shared" si="0"/>
        <v>-5000</v>
      </c>
      <c r="L32" s="117">
        <f t="shared" si="0"/>
        <v>-5000</v>
      </c>
      <c r="M32" s="117">
        <f t="shared" si="0"/>
        <v>-5000</v>
      </c>
      <c r="N32" s="117">
        <f t="shared" si="0"/>
        <v>0</v>
      </c>
    </row>
    <row r="33" spans="1:37" s="104" customFormat="1" x14ac:dyDescent="0.2">
      <c r="N33" s="99"/>
    </row>
    <row r="34" spans="1:37" x14ac:dyDescent="0.2">
      <c r="A34" s="105" t="s">
        <v>1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102"/>
      <c r="AF34" s="99"/>
      <c r="AG34" s="99"/>
      <c r="AH34" s="99"/>
      <c r="AI34" s="99"/>
      <c r="AJ34" s="99"/>
      <c r="AK34" s="99"/>
    </row>
    <row r="35" spans="1:37" x14ac:dyDescent="0.2">
      <c r="A35" s="88" t="s">
        <v>26</v>
      </c>
      <c r="C35" s="88">
        <f>'SPEC REPORT DETAILS'!J10+'SPEC REPORT DETAILS'!J22+'SPEC REPORT DETAILS'!J34+'SPEC REPORT DETAILS'!J46</f>
        <v>94020</v>
      </c>
      <c r="D35" s="88">
        <f>'SPEC REPORT DETAILS'!K10+'SPEC REPORT DETAILS'!K22+'SPEC REPORT DETAILS'!K34+'SPEC REPORT DETAILS'!K46</f>
        <v>165064</v>
      </c>
      <c r="E35" s="88">
        <f>'SPEC REPORT DETAILS'!L10+'SPEC REPORT DETAILS'!L22+'SPEC REPORT DETAILS'!L34+'SPEC REPORT DETAILS'!L46</f>
        <v>137164</v>
      </c>
      <c r="F35" s="88">
        <f>'SPEC REPORT DETAILS'!M10+'SPEC REPORT DETAILS'!M22+'SPEC REPORT DETAILS'!M34+'SPEC REPORT DETAILS'!M46</f>
        <v>145399</v>
      </c>
      <c r="G35" s="88">
        <f>'SPEC REPORT DETAILS'!N10+'SPEC REPORT DETAILS'!N22+'SPEC REPORT DETAILS'!N34+'SPEC REPORT DETAILS'!N46</f>
        <v>-27002</v>
      </c>
      <c r="H35" s="88">
        <f>'SPEC REPORT DETAILS'!O10+'SPEC REPORT DETAILS'!O22+'SPEC REPORT DETAILS'!O34+'SPEC REPORT DETAILS'!O46</f>
        <v>-27748</v>
      </c>
      <c r="I35" s="88">
        <f>'SPEC REPORT DETAILS'!P10+'SPEC REPORT DETAILS'!P22+'SPEC REPORT DETAILS'!P34+'SPEC REPORT DETAILS'!P46</f>
        <v>-26665</v>
      </c>
      <c r="J35" s="88">
        <f>'SPEC REPORT DETAILS'!Q10+'SPEC REPORT DETAILS'!Q22+'SPEC REPORT DETAILS'!Q34+'SPEC REPORT DETAILS'!Q46</f>
        <v>-27315</v>
      </c>
      <c r="K35" s="88">
        <f>'SPEC REPORT DETAILS'!R10+'SPEC REPORT DETAILS'!R22+'SPEC REPORT DETAILS'!R34+'SPEC REPORT DETAILS'!R46</f>
        <v>-27042</v>
      </c>
      <c r="L35" s="88">
        <f>'SPEC REPORT DETAILS'!S10+'SPEC REPORT DETAILS'!S22+'SPEC REPORT DETAILS'!S34+'SPEC REPORT DETAILS'!S46</f>
        <v>-26004</v>
      </c>
      <c r="M35" s="88">
        <f>'SPEC REPORT DETAILS'!T10+'SPEC REPORT DETAILS'!T22+'SPEC REPORT DETAILS'!T34+'SPEC REPORT DETAILS'!T46</f>
        <v>-26580</v>
      </c>
      <c r="N35" s="88">
        <f>'SPEC REPORT DETAILS'!U10+'SPEC REPORT DETAILS'!U22+'SPEC REPORT DETAILS'!U34+'SPEC REPORT DETAILS'!U46</f>
        <v>0</v>
      </c>
      <c r="O35" s="77"/>
      <c r="AF35" s="99"/>
      <c r="AG35" s="99"/>
      <c r="AH35" s="99"/>
      <c r="AI35" s="99"/>
      <c r="AJ35" s="99"/>
      <c r="AK35" s="99"/>
    </row>
    <row r="36" spans="1:37" x14ac:dyDescent="0.2">
      <c r="A36" s="88" t="s">
        <v>27</v>
      </c>
      <c r="C36" s="88">
        <f>'SPEC REPORT DETAILS'!J11+'SPEC REPORT DETAILS'!J23+'SPEC REPORT DETAILS'!J35+'SPEC REPORT DETAILS'!J47</f>
        <v>-32000</v>
      </c>
      <c r="D36" s="88">
        <f>'SPEC REPORT DETAILS'!K11+'SPEC REPORT DETAILS'!K23+'SPEC REPORT DETAILS'!K35+'SPEC REPORT DETAILS'!K47</f>
        <v>-30000</v>
      </c>
      <c r="E36" s="88">
        <f>'SPEC REPORT DETAILS'!L11+'SPEC REPORT DETAILS'!L23+'SPEC REPORT DETAILS'!L35+'SPEC REPORT DETAILS'!L47</f>
        <v>0</v>
      </c>
      <c r="F36" s="88">
        <f>'SPEC REPORT DETAILS'!M11+'SPEC REPORT DETAILS'!M23+'SPEC REPORT DETAILS'!M35+'SPEC REPORT DETAILS'!M47</f>
        <v>0</v>
      </c>
      <c r="G36" s="88">
        <f>'SPEC REPORT DETAILS'!N11+'SPEC REPORT DETAILS'!N23+'SPEC REPORT DETAILS'!N35+'SPEC REPORT DETAILS'!N47</f>
        <v>12000</v>
      </c>
      <c r="H36" s="88">
        <f>'SPEC REPORT DETAILS'!O11+'SPEC REPORT DETAILS'!O23+'SPEC REPORT DETAILS'!O35+'SPEC REPORT DETAILS'!O47</f>
        <v>6200</v>
      </c>
      <c r="I36" s="88">
        <f>'SPEC REPORT DETAILS'!P11+'SPEC REPORT DETAILS'!P23+'SPEC REPORT DETAILS'!P35+'SPEC REPORT DETAILS'!P47</f>
        <v>0</v>
      </c>
      <c r="J36" s="88">
        <f>'SPEC REPORT DETAILS'!Q11+'SPEC REPORT DETAILS'!Q23+'SPEC REPORT DETAILS'!Q35+'SPEC REPORT DETAILS'!Q47</f>
        <v>-6200</v>
      </c>
      <c r="K36" s="88">
        <f>'SPEC REPORT DETAILS'!R11+'SPEC REPORT DETAILS'!R23+'SPEC REPORT DETAILS'!R35+'SPEC REPORT DETAILS'!R47</f>
        <v>-12400</v>
      </c>
      <c r="L36" s="88">
        <f>'SPEC REPORT DETAILS'!S11+'SPEC REPORT DETAILS'!S23+'SPEC REPORT DETAILS'!S35+'SPEC REPORT DETAILS'!S47</f>
        <v>-13500</v>
      </c>
      <c r="M36" s="88">
        <f>'SPEC REPORT DETAILS'!T11+'SPEC REPORT DETAILS'!T23+'SPEC REPORT DETAILS'!T35+'SPEC REPORT DETAILS'!T47</f>
        <v>-18600</v>
      </c>
      <c r="N36" s="88">
        <f>'SPEC REPORT DETAILS'!U11+'SPEC REPORT DETAILS'!U23+'SPEC REPORT DETAILS'!U35+'SPEC REPORT DETAILS'!U47</f>
        <v>0</v>
      </c>
      <c r="O36" s="77"/>
    </row>
    <row r="37" spans="1:37" x14ac:dyDescent="0.2">
      <c r="A37" s="88" t="s">
        <v>43</v>
      </c>
      <c r="B37" s="22"/>
      <c r="C37" s="88">
        <v>-15500</v>
      </c>
      <c r="D37" s="88">
        <v>-15500</v>
      </c>
      <c r="E37" s="88">
        <v>-14000</v>
      </c>
      <c r="F37" s="88">
        <v>-15500</v>
      </c>
      <c r="G37" s="88">
        <v>9750</v>
      </c>
      <c r="H37" s="88">
        <v>10075</v>
      </c>
      <c r="I37" s="88">
        <v>9750</v>
      </c>
      <c r="J37" s="88">
        <v>10075</v>
      </c>
      <c r="K37" s="88">
        <v>10075</v>
      </c>
      <c r="L37" s="88">
        <v>9750</v>
      </c>
      <c r="M37" s="88">
        <v>10075</v>
      </c>
      <c r="N37" s="88"/>
    </row>
    <row r="38" spans="1:37" s="95" customFormat="1" x14ac:dyDescent="0.2">
      <c r="A38" s="92" t="s">
        <v>28</v>
      </c>
      <c r="B38" s="21"/>
      <c r="C38" s="94">
        <f>SUM(C35:C37)</f>
        <v>46520</v>
      </c>
      <c r="D38" s="94">
        <f t="shared" ref="D38:N38" si="1">SUM(D35:D37)</f>
        <v>119564</v>
      </c>
      <c r="E38" s="94">
        <f t="shared" si="1"/>
        <v>123164</v>
      </c>
      <c r="F38" s="94">
        <f t="shared" si="1"/>
        <v>129899</v>
      </c>
      <c r="G38" s="94">
        <f t="shared" si="1"/>
        <v>-5252</v>
      </c>
      <c r="H38" s="94">
        <f t="shared" si="1"/>
        <v>-11473</v>
      </c>
      <c r="I38" s="94">
        <f t="shared" si="1"/>
        <v>-16915</v>
      </c>
      <c r="J38" s="94">
        <f t="shared" si="1"/>
        <v>-23440</v>
      </c>
      <c r="K38" s="94">
        <f t="shared" si="1"/>
        <v>-29367</v>
      </c>
      <c r="L38" s="94">
        <f t="shared" si="1"/>
        <v>-29754</v>
      </c>
      <c r="M38" s="94">
        <f t="shared" si="1"/>
        <v>-35105</v>
      </c>
      <c r="N38" s="94">
        <f t="shared" si="1"/>
        <v>0</v>
      </c>
    </row>
    <row r="39" spans="1:37" x14ac:dyDescent="0.2">
      <c r="A39" s="100" t="s">
        <v>2</v>
      </c>
      <c r="C39" s="107">
        <v>62494</v>
      </c>
      <c r="D39" s="107">
        <v>131497</v>
      </c>
      <c r="E39" s="107">
        <v>123150</v>
      </c>
      <c r="F39" s="107">
        <v>129884</v>
      </c>
      <c r="G39" s="107">
        <v>-17086</v>
      </c>
      <c r="H39" s="107">
        <v>-17567</v>
      </c>
      <c r="I39" s="107">
        <v>-16913</v>
      </c>
      <c r="J39" s="107">
        <v>-17380</v>
      </c>
      <c r="K39" s="107">
        <v>-17288</v>
      </c>
      <c r="L39" s="107">
        <v>-16650</v>
      </c>
      <c r="M39" s="107">
        <v>-17112</v>
      </c>
      <c r="N39" s="107">
        <v>0</v>
      </c>
    </row>
    <row r="40" spans="1:37" x14ac:dyDescent="0.2">
      <c r="A40" s="87" t="s">
        <v>0</v>
      </c>
      <c r="C40" s="88">
        <f>C38-C39</f>
        <v>-15974</v>
      </c>
      <c r="D40" s="88">
        <f t="shared" ref="D40:N40" si="2">D38-D39</f>
        <v>-11933</v>
      </c>
      <c r="E40" s="88">
        <f t="shared" si="2"/>
        <v>14</v>
      </c>
      <c r="F40" s="88">
        <f t="shared" si="2"/>
        <v>15</v>
      </c>
      <c r="G40" s="88">
        <f t="shared" si="2"/>
        <v>11834</v>
      </c>
      <c r="H40" s="88">
        <f t="shared" si="2"/>
        <v>6094</v>
      </c>
      <c r="I40" s="88">
        <f t="shared" si="2"/>
        <v>-2</v>
      </c>
      <c r="J40" s="88">
        <f t="shared" si="2"/>
        <v>-6060</v>
      </c>
      <c r="K40" s="88">
        <f t="shared" si="2"/>
        <v>-12079</v>
      </c>
      <c r="L40" s="88">
        <f t="shared" si="2"/>
        <v>-13104</v>
      </c>
      <c r="M40" s="88">
        <f t="shared" si="2"/>
        <v>-17993</v>
      </c>
      <c r="N40" s="88">
        <f t="shared" si="2"/>
        <v>0</v>
      </c>
    </row>
    <row r="42" spans="1:37" x14ac:dyDescent="0.2">
      <c r="A42" s="100" t="s">
        <v>24</v>
      </c>
      <c r="C42" s="98">
        <v>37591</v>
      </c>
      <c r="D42" s="98">
        <v>37622</v>
      </c>
      <c r="E42" s="98">
        <v>37653</v>
      </c>
      <c r="F42" s="98">
        <v>37681</v>
      </c>
      <c r="G42" s="98">
        <v>37712</v>
      </c>
      <c r="H42" s="98">
        <v>37742</v>
      </c>
      <c r="I42" s="98">
        <v>37773</v>
      </c>
      <c r="J42" s="98">
        <v>37803</v>
      </c>
      <c r="K42" s="98">
        <v>37834</v>
      </c>
      <c r="L42" s="98">
        <v>37865</v>
      </c>
      <c r="M42" s="98">
        <v>37895</v>
      </c>
      <c r="N42" s="98">
        <v>37926</v>
      </c>
      <c r="O42" s="98" t="s">
        <v>20</v>
      </c>
    </row>
    <row r="43" spans="1:37" x14ac:dyDescent="0.2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O43" s="78"/>
    </row>
    <row r="44" spans="1:37" x14ac:dyDescent="0.2">
      <c r="A44" s="92" t="s">
        <v>25</v>
      </c>
      <c r="B44" s="103"/>
      <c r="C44" s="103">
        <f>'SPEC REPORT DETAILS'!V8+'SPEC REPORT DETAILS'!V20+'SPEC REPORT DETAILS'!V32+'SPEC REPORT DETAILS'!V44</f>
        <v>0</v>
      </c>
      <c r="D44" s="103">
        <f>'SPEC REPORT DETAILS'!W8+'SPEC REPORT DETAILS'!W20+'SPEC REPORT DETAILS'!W32+'SPEC REPORT DETAILS'!W44</f>
        <v>0</v>
      </c>
      <c r="E44" s="103">
        <f>'SPEC REPORT DETAILS'!X8+'SPEC REPORT DETAILS'!X20+'SPEC REPORT DETAILS'!X32+'SPEC REPORT DETAILS'!X44</f>
        <v>0</v>
      </c>
      <c r="F44" s="103">
        <f>'SPEC REPORT DETAILS'!Y8+'SPEC REPORT DETAILS'!Y20+'SPEC REPORT DETAILS'!Y32+'SPEC REPORT DETAILS'!Y44</f>
        <v>0</v>
      </c>
      <c r="G44" s="103">
        <f>'SPEC REPORT DETAILS'!Z8+'SPEC REPORT DETAILS'!Z20+'SPEC REPORT DETAILS'!Z32+'SPEC REPORT DETAILS'!Z44</f>
        <v>0</v>
      </c>
      <c r="H44" s="103">
        <f>'SPEC REPORT DETAILS'!AA8+'SPEC REPORT DETAILS'!AA20+'SPEC REPORT DETAILS'!AA32+'SPEC REPORT DETAILS'!AA44</f>
        <v>0</v>
      </c>
      <c r="I44" s="103">
        <f>'SPEC REPORT DETAILS'!AB8+'SPEC REPORT DETAILS'!AB20+'SPEC REPORT DETAILS'!AB32+'SPEC REPORT DETAILS'!AB44</f>
        <v>0</v>
      </c>
      <c r="J44" s="103">
        <f>'SPEC REPORT DETAILS'!AC8+'SPEC REPORT DETAILS'!AC20+'SPEC REPORT DETAILS'!AC32+'SPEC REPORT DETAILS'!AC44</f>
        <v>0</v>
      </c>
      <c r="K44" s="103">
        <f>'SPEC REPORT DETAILS'!AD8+'SPEC REPORT DETAILS'!AD20+'SPEC REPORT DETAILS'!AD32+'SPEC REPORT DETAILS'!AD44</f>
        <v>0</v>
      </c>
      <c r="L44" s="103">
        <f>'SPEC REPORT DETAILS'!AE8+'SPEC REPORT DETAILS'!AE20+'SPEC REPORT DETAILS'!AE32+'SPEC REPORT DETAILS'!AE44</f>
        <v>0</v>
      </c>
      <c r="M44" s="103">
        <f>'SPEC REPORT DETAILS'!AF8+'SPEC REPORT DETAILS'!AF20+'SPEC REPORT DETAILS'!AF32+'SPEC REPORT DETAILS'!AF44</f>
        <v>0</v>
      </c>
      <c r="N44" s="103">
        <f>'SPEC REPORT DETAILS'!AG8+'SPEC REPORT DETAILS'!AG20+'SPEC REPORT DETAILS'!AG32+'SPEC REPORT DETAILS'!AG44</f>
        <v>0</v>
      </c>
      <c r="O44" s="104"/>
    </row>
    <row r="45" spans="1:37" s="104" customFormat="1" x14ac:dyDescent="0.2">
      <c r="A45" s="115" t="s">
        <v>38</v>
      </c>
      <c r="C45" s="116">
        <f>'SPEC SUM'!O21</f>
        <v>0</v>
      </c>
      <c r="D45" s="116">
        <f>'SPEC SUM'!P21</f>
        <v>0</v>
      </c>
      <c r="E45" s="116">
        <f>'SPEC SUM'!Q21</f>
        <v>0</v>
      </c>
      <c r="F45" s="116">
        <f>'SPEC SUM'!R21</f>
        <v>0</v>
      </c>
      <c r="G45" s="116">
        <f>'SPEC SUM'!S21</f>
        <v>0</v>
      </c>
      <c r="H45" s="116">
        <f>'SPEC SUM'!T21</f>
        <v>0</v>
      </c>
      <c r="I45" s="116">
        <f>'SPEC SUM'!U21</f>
        <v>0</v>
      </c>
      <c r="J45" s="116">
        <f>'SPEC SUM'!V21</f>
        <v>0</v>
      </c>
      <c r="K45" s="116">
        <f>'SPEC SUM'!W21</f>
        <v>0</v>
      </c>
      <c r="L45" s="116">
        <f>'SPEC SUM'!X21</f>
        <v>0</v>
      </c>
      <c r="M45" s="116">
        <f>'SPEC SUM'!Y21</f>
        <v>0</v>
      </c>
      <c r="N45" s="116">
        <f>'SPEC SUM'!Z21</f>
        <v>0</v>
      </c>
      <c r="O45" s="117"/>
    </row>
    <row r="46" spans="1:37" s="104" customFormat="1" x14ac:dyDescent="0.2">
      <c r="A46" s="87" t="s">
        <v>0</v>
      </c>
      <c r="C46" s="117">
        <f t="shared" ref="C46:N46" si="3">C44-C45</f>
        <v>0</v>
      </c>
      <c r="D46" s="117">
        <f t="shared" si="3"/>
        <v>0</v>
      </c>
      <c r="E46" s="117">
        <f t="shared" si="3"/>
        <v>0</v>
      </c>
      <c r="F46" s="117">
        <f t="shared" si="3"/>
        <v>0</v>
      </c>
      <c r="G46" s="117">
        <f t="shared" si="3"/>
        <v>0</v>
      </c>
      <c r="H46" s="117">
        <f t="shared" si="3"/>
        <v>0</v>
      </c>
      <c r="I46" s="117">
        <f t="shared" si="3"/>
        <v>0</v>
      </c>
      <c r="J46" s="117">
        <f t="shared" si="3"/>
        <v>0</v>
      </c>
      <c r="K46" s="117">
        <f t="shared" si="3"/>
        <v>0</v>
      </c>
      <c r="L46" s="117">
        <f t="shared" si="3"/>
        <v>0</v>
      </c>
      <c r="M46" s="117">
        <f t="shared" si="3"/>
        <v>0</v>
      </c>
      <c r="N46" s="117">
        <f t="shared" si="3"/>
        <v>0</v>
      </c>
      <c r="O46" s="117"/>
    </row>
    <row r="47" spans="1:37" x14ac:dyDescent="0.2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O47" s="78"/>
    </row>
    <row r="48" spans="1:37" x14ac:dyDescent="0.2">
      <c r="A48" s="105" t="s">
        <v>1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O48" s="78"/>
    </row>
    <row r="49" spans="1:21" x14ac:dyDescent="0.2">
      <c r="A49" s="88" t="s">
        <v>26</v>
      </c>
      <c r="C49" s="88">
        <f>'SPEC REPORT DETAILS'!V10+'SPEC REPORT DETAILS'!V22+'SPEC REPORT DETAILS'!V34+'SPEC REPORT DETAILS'!V46</f>
        <v>0</v>
      </c>
      <c r="D49" s="88">
        <f>'SPEC REPORT DETAILS'!W10+'SPEC REPORT DETAILS'!W22+'SPEC REPORT DETAILS'!W34+'SPEC REPORT DETAILS'!W46</f>
        <v>0</v>
      </c>
      <c r="E49" s="88">
        <f>'SPEC REPORT DETAILS'!X10+'SPEC REPORT DETAILS'!X22+'SPEC REPORT DETAILS'!X34+'SPEC REPORT DETAILS'!X46</f>
        <v>0</v>
      </c>
      <c r="F49" s="88">
        <f>'SPEC REPORT DETAILS'!Y10+'SPEC REPORT DETAILS'!Y22+'SPEC REPORT DETAILS'!Y34+'SPEC REPORT DETAILS'!Y46</f>
        <v>0</v>
      </c>
      <c r="G49" s="88">
        <f>'SPEC REPORT DETAILS'!Z10+'SPEC REPORT DETAILS'!Z22+'SPEC REPORT DETAILS'!Z34+'SPEC REPORT DETAILS'!Z46</f>
        <v>0</v>
      </c>
      <c r="H49" s="88">
        <f>'SPEC REPORT DETAILS'!AA10+'SPEC REPORT DETAILS'!AA22+'SPEC REPORT DETAILS'!AA34+'SPEC REPORT DETAILS'!AA46</f>
        <v>0</v>
      </c>
      <c r="I49" s="88">
        <f>'SPEC REPORT DETAILS'!AB10+'SPEC REPORT DETAILS'!AB22+'SPEC REPORT DETAILS'!AB34+'SPEC REPORT DETAILS'!AB46</f>
        <v>0</v>
      </c>
      <c r="J49" s="88">
        <f>'SPEC REPORT DETAILS'!AC10+'SPEC REPORT DETAILS'!AC22+'SPEC REPORT DETAILS'!AC34+'SPEC REPORT DETAILS'!AC46</f>
        <v>0</v>
      </c>
      <c r="K49" s="88">
        <f>'SPEC REPORT DETAILS'!AD10+'SPEC REPORT DETAILS'!AD22+'SPEC REPORT DETAILS'!AD34+'SPEC REPORT DETAILS'!AD46</f>
        <v>0</v>
      </c>
      <c r="L49" s="88">
        <f>'SPEC REPORT DETAILS'!AE10+'SPEC REPORT DETAILS'!AE22+'SPEC REPORT DETAILS'!AE34+'SPEC REPORT DETAILS'!AE46</f>
        <v>0</v>
      </c>
      <c r="M49" s="88">
        <f>'SPEC REPORT DETAILS'!AF10+'SPEC REPORT DETAILS'!AF22+'SPEC REPORT DETAILS'!AF34+'SPEC REPORT DETAILS'!AF46</f>
        <v>0</v>
      </c>
      <c r="N49" s="88">
        <f>'SPEC REPORT DETAILS'!AG10+'SPEC REPORT DETAILS'!AG22+'SPEC REPORT DETAILS'!AG34+'SPEC REPORT DETAILS'!AG46</f>
        <v>0</v>
      </c>
      <c r="O49" s="91">
        <f>SUM(C35:N35)+SUM(C49:N49)</f>
        <v>353291</v>
      </c>
    </row>
    <row r="50" spans="1:21" ht="11.25" customHeight="1" x14ac:dyDescent="0.2">
      <c r="A50" s="88" t="s">
        <v>27</v>
      </c>
      <c r="C50" s="88">
        <f>'SPEC REPORT DETAILS'!V11+'SPEC REPORT DETAILS'!V23+'SPEC REPORT DETAILS'!V35+'SPEC REPORT DETAILS'!V47</f>
        <v>0</v>
      </c>
      <c r="D50" s="88">
        <f>'SPEC REPORT DETAILS'!W11+'SPEC REPORT DETAILS'!W23+'SPEC REPORT DETAILS'!W35+'SPEC REPORT DETAILS'!W47</f>
        <v>0</v>
      </c>
      <c r="E50" s="88">
        <f>'SPEC REPORT DETAILS'!X11+'SPEC REPORT DETAILS'!X23+'SPEC REPORT DETAILS'!X35+'SPEC REPORT DETAILS'!X47</f>
        <v>0</v>
      </c>
      <c r="F50" s="88">
        <f>'SPEC REPORT DETAILS'!Y11+'SPEC REPORT DETAILS'!Y23+'SPEC REPORT DETAILS'!Y35+'SPEC REPORT DETAILS'!Y47</f>
        <v>0</v>
      </c>
      <c r="G50" s="88">
        <f>'SPEC REPORT DETAILS'!Z11+'SPEC REPORT DETAILS'!Z23+'SPEC REPORT DETAILS'!Z35+'SPEC REPORT DETAILS'!Z47</f>
        <v>0</v>
      </c>
      <c r="H50" s="88">
        <f>'SPEC REPORT DETAILS'!AA11+'SPEC REPORT DETAILS'!AA23+'SPEC REPORT DETAILS'!AA35+'SPEC REPORT DETAILS'!AA47</f>
        <v>0</v>
      </c>
      <c r="I50" s="88">
        <f>'SPEC REPORT DETAILS'!AB11+'SPEC REPORT DETAILS'!AB23+'SPEC REPORT DETAILS'!AB35+'SPEC REPORT DETAILS'!AB47</f>
        <v>0</v>
      </c>
      <c r="J50" s="88">
        <f>'SPEC REPORT DETAILS'!AC11+'SPEC REPORT DETAILS'!AC23+'SPEC REPORT DETAILS'!AC35+'SPEC REPORT DETAILS'!AC47</f>
        <v>0</v>
      </c>
      <c r="K50" s="88">
        <f>'SPEC REPORT DETAILS'!AD11+'SPEC REPORT DETAILS'!AD23+'SPEC REPORT DETAILS'!AD35+'SPEC REPORT DETAILS'!AD47</f>
        <v>0</v>
      </c>
      <c r="L50" s="88">
        <f>'SPEC REPORT DETAILS'!AE11+'SPEC REPORT DETAILS'!AE23+'SPEC REPORT DETAILS'!AE35+'SPEC REPORT DETAILS'!AE47</f>
        <v>0</v>
      </c>
      <c r="M50" s="88">
        <f>'SPEC REPORT DETAILS'!AF11+'SPEC REPORT DETAILS'!AF23+'SPEC REPORT DETAILS'!AF35+'SPEC REPORT DETAILS'!AF47</f>
        <v>0</v>
      </c>
      <c r="N50" s="88">
        <f>'SPEC REPORT DETAILS'!AG11+'SPEC REPORT DETAILS'!AG23+'SPEC REPORT DETAILS'!AG35+'SPEC REPORT DETAILS'!AG47</f>
        <v>0</v>
      </c>
      <c r="O50" s="91">
        <f>SUM(C36:N36)+SUM(C50:N50)</f>
        <v>-94500</v>
      </c>
    </row>
    <row r="51" spans="1:21" x14ac:dyDescent="0.2">
      <c r="A51" s="88" t="s">
        <v>43</v>
      </c>
      <c r="C51" s="88">
        <v>0</v>
      </c>
      <c r="D51" s="88">
        <v>0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N51" s="88">
        <v>0</v>
      </c>
      <c r="O51" s="91">
        <f>SUM(C37:N37)+SUM(C51:N51)</f>
        <v>9050</v>
      </c>
    </row>
    <row r="52" spans="1:21" x14ac:dyDescent="0.2">
      <c r="A52" s="92" t="s">
        <v>28</v>
      </c>
      <c r="B52" s="94"/>
      <c r="C52" s="106">
        <f>SUM(C49:C51)</f>
        <v>0</v>
      </c>
      <c r="D52" s="106">
        <f>SUM(D49:D51)</f>
        <v>0</v>
      </c>
      <c r="E52" s="106">
        <f t="shared" ref="E52:N52" si="4">SUM(E49:E51)</f>
        <v>0</v>
      </c>
      <c r="F52" s="106">
        <f t="shared" si="4"/>
        <v>0</v>
      </c>
      <c r="G52" s="106">
        <f t="shared" si="4"/>
        <v>0</v>
      </c>
      <c r="H52" s="106">
        <f t="shared" si="4"/>
        <v>0</v>
      </c>
      <c r="I52" s="106">
        <f t="shared" si="4"/>
        <v>0</v>
      </c>
      <c r="J52" s="106">
        <f t="shared" si="4"/>
        <v>0</v>
      </c>
      <c r="K52" s="106">
        <f t="shared" si="4"/>
        <v>0</v>
      </c>
      <c r="L52" s="106">
        <f t="shared" si="4"/>
        <v>0</v>
      </c>
      <c r="M52" s="106">
        <f t="shared" si="4"/>
        <v>0</v>
      </c>
      <c r="N52" s="106">
        <f t="shared" si="4"/>
        <v>0</v>
      </c>
      <c r="O52" s="106">
        <f>SUM(C38:N38)+SUM(C52:N52)</f>
        <v>267841</v>
      </c>
    </row>
    <row r="53" spans="1:21" x14ac:dyDescent="0.2">
      <c r="A53" s="100" t="s">
        <v>2</v>
      </c>
      <c r="C53" s="107">
        <v>0</v>
      </c>
      <c r="D53" s="107">
        <v>0</v>
      </c>
      <c r="E53" s="107">
        <v>0</v>
      </c>
      <c r="F53" s="107">
        <v>0</v>
      </c>
      <c r="G53" s="107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f>SUM(C53:N53)+SUM(C39:N39)</f>
        <v>327029</v>
      </c>
      <c r="P53" s="91"/>
      <c r="Q53" s="91"/>
      <c r="R53" s="91"/>
      <c r="S53" s="91"/>
      <c r="T53" s="91"/>
      <c r="U53" s="68"/>
    </row>
    <row r="54" spans="1:21" x14ac:dyDescent="0.2">
      <c r="A54" s="87" t="s">
        <v>0</v>
      </c>
      <c r="C54" s="88">
        <f t="shared" ref="C54:N54" si="5">C52-C53</f>
        <v>0</v>
      </c>
      <c r="D54" s="88">
        <f t="shared" si="5"/>
        <v>0</v>
      </c>
      <c r="E54" s="88">
        <f t="shared" si="5"/>
        <v>0</v>
      </c>
      <c r="F54" s="88">
        <f t="shared" si="5"/>
        <v>0</v>
      </c>
      <c r="G54" s="88">
        <f t="shared" si="5"/>
        <v>0</v>
      </c>
      <c r="H54" s="88">
        <f t="shared" si="5"/>
        <v>0</v>
      </c>
      <c r="I54" s="88">
        <f t="shared" si="5"/>
        <v>0</v>
      </c>
      <c r="J54" s="88">
        <f t="shared" si="5"/>
        <v>0</v>
      </c>
      <c r="K54" s="88">
        <f t="shared" si="5"/>
        <v>0</v>
      </c>
      <c r="L54" s="88">
        <f t="shared" si="5"/>
        <v>0</v>
      </c>
      <c r="M54" s="88">
        <f t="shared" si="5"/>
        <v>0</v>
      </c>
      <c r="N54" s="88">
        <f t="shared" si="5"/>
        <v>0</v>
      </c>
      <c r="O54" s="88">
        <f>O52-O53</f>
        <v>-59188</v>
      </c>
    </row>
    <row r="71" spans="3:37" x14ac:dyDescent="0.2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</row>
    <row r="72" spans="3:37" x14ac:dyDescent="0.2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</row>
    <row r="73" spans="3:37" x14ac:dyDescent="0.2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</row>
    <row r="74" spans="3:37" x14ac:dyDescent="0.2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</row>
    <row r="75" spans="3:37" x14ac:dyDescent="0.2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</row>
    <row r="76" spans="3:37" x14ac:dyDescent="0.2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</row>
    <row r="77" spans="3:37" x14ac:dyDescent="0.2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</row>
    <row r="78" spans="3:37" x14ac:dyDescent="0.2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</row>
    <row r="79" spans="3:37" x14ac:dyDescent="0.2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</row>
    <row r="80" spans="3:37" x14ac:dyDescent="0.2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</row>
    <row r="81" spans="3:37" x14ac:dyDescent="0.2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</row>
    <row r="82" spans="3:37" x14ac:dyDescent="0.2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</row>
    <row r="83" spans="3:37" x14ac:dyDescent="0.2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</row>
    <row r="84" spans="3:37" x14ac:dyDescent="0.2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</row>
    <row r="85" spans="3:37" x14ac:dyDescent="0.2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</row>
    <row r="86" spans="3:37" x14ac:dyDescent="0.2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</row>
    <row r="87" spans="3:37" x14ac:dyDescent="0.2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</row>
    <row r="88" spans="3:37" x14ac:dyDescent="0.2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</row>
    <row r="89" spans="3:37" x14ac:dyDescent="0.2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</row>
    <row r="90" spans="3:37" x14ac:dyDescent="0.2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</row>
    <row r="91" spans="3:37" x14ac:dyDescent="0.2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</row>
    <row r="92" spans="3:37" x14ac:dyDescent="0.2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</row>
    <row r="93" spans="3:37" x14ac:dyDescent="0.2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</row>
    <row r="94" spans="3:37" x14ac:dyDescent="0.2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</row>
    <row r="95" spans="3:37" x14ac:dyDescent="0.2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</row>
    <row r="96" spans="3:37" x14ac:dyDescent="0.2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</row>
    <row r="97" spans="3:37" x14ac:dyDescent="0.2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</row>
    <row r="98" spans="3:37" x14ac:dyDescent="0.2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</row>
    <row r="99" spans="3:37" x14ac:dyDescent="0.2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</row>
    <row r="100" spans="3:37" x14ac:dyDescent="0.2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</row>
    <row r="101" spans="3:37" x14ac:dyDescent="0.2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</row>
    <row r="102" spans="3:37" x14ac:dyDescent="0.2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</row>
    <row r="103" spans="3:37" x14ac:dyDescent="0.2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</row>
    <row r="104" spans="3:37" x14ac:dyDescent="0.2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</row>
    <row r="105" spans="3:37" x14ac:dyDescent="0.2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</row>
    <row r="106" spans="3:37" x14ac:dyDescent="0.2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</row>
    <row r="107" spans="3:37" x14ac:dyDescent="0.2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</row>
    <row r="108" spans="3:37" x14ac:dyDescent="0.2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</row>
    <row r="109" spans="3:37" x14ac:dyDescent="0.2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</row>
    <row r="110" spans="3:37" x14ac:dyDescent="0.2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</row>
    <row r="111" spans="3:37" x14ac:dyDescent="0.2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</row>
    <row r="112" spans="3:37" x14ac:dyDescent="0.2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</row>
    <row r="113" spans="3:37" x14ac:dyDescent="0.2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</row>
    <row r="114" spans="3:37" x14ac:dyDescent="0.2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</row>
    <row r="115" spans="3:37" x14ac:dyDescent="0.2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</row>
    <row r="116" spans="3:37" x14ac:dyDescent="0.2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</row>
    <row r="117" spans="3:37" x14ac:dyDescent="0.2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</row>
    <row r="118" spans="3:37" x14ac:dyDescent="0.2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</row>
    <row r="119" spans="3:37" x14ac:dyDescent="0.2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</row>
    <row r="120" spans="3:37" x14ac:dyDescent="0.2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</row>
    <row r="121" spans="3:37" x14ac:dyDescent="0.2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</row>
    <row r="122" spans="3:37" x14ac:dyDescent="0.2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</row>
    <row r="123" spans="3:37" x14ac:dyDescent="0.2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</row>
    <row r="124" spans="3:37" x14ac:dyDescent="0.2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</row>
    <row r="125" spans="3:37" x14ac:dyDescent="0.2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</row>
    <row r="126" spans="3:37" x14ac:dyDescent="0.2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</row>
    <row r="127" spans="3:37" x14ac:dyDescent="0.2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</row>
    <row r="128" spans="3:37" x14ac:dyDescent="0.2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</row>
    <row r="129" spans="3:37" x14ac:dyDescent="0.2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</row>
    <row r="130" spans="3:37" x14ac:dyDescent="0.2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</row>
    <row r="131" spans="3:37" x14ac:dyDescent="0.2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</row>
    <row r="132" spans="3:37" x14ac:dyDescent="0.2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</row>
    <row r="133" spans="3:37" x14ac:dyDescent="0.2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</row>
    <row r="134" spans="3:37" x14ac:dyDescent="0.2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</row>
    <row r="135" spans="3:37" x14ac:dyDescent="0.2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</row>
    <row r="136" spans="3:37" x14ac:dyDescent="0.2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</row>
    <row r="137" spans="3:37" x14ac:dyDescent="0.2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</row>
    <row r="138" spans="3:37" x14ac:dyDescent="0.2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</row>
    <row r="139" spans="3:37" x14ac:dyDescent="0.2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</row>
    <row r="140" spans="3:37" x14ac:dyDescent="0.2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</row>
    <row r="141" spans="3:37" x14ac:dyDescent="0.2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</row>
    <row r="142" spans="3:37" x14ac:dyDescent="0.2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</row>
    <row r="143" spans="3:37" x14ac:dyDescent="0.2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</row>
    <row r="144" spans="3:37" x14ac:dyDescent="0.2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</row>
    <row r="145" spans="3:37" x14ac:dyDescent="0.2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</row>
    <row r="146" spans="3:37" x14ac:dyDescent="0.2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</row>
    <row r="147" spans="3:37" x14ac:dyDescent="0.2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</row>
    <row r="148" spans="3:37" x14ac:dyDescent="0.2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</row>
    <row r="149" spans="3:37" x14ac:dyDescent="0.2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</row>
    <row r="150" spans="3:37" x14ac:dyDescent="0.2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</row>
    <row r="151" spans="3:37" x14ac:dyDescent="0.2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</row>
    <row r="152" spans="3:37" x14ac:dyDescent="0.2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</row>
    <row r="153" spans="3:37" x14ac:dyDescent="0.2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</row>
    <row r="154" spans="3:37" x14ac:dyDescent="0.2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</row>
    <row r="155" spans="3:37" x14ac:dyDescent="0.2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</row>
    <row r="156" spans="3:37" x14ac:dyDescent="0.2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</row>
    <row r="157" spans="3:37" x14ac:dyDescent="0.2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</row>
    <row r="158" spans="3:37" x14ac:dyDescent="0.2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</row>
    <row r="159" spans="3:37" x14ac:dyDescent="0.2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</row>
    <row r="160" spans="3:37" x14ac:dyDescent="0.2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</row>
    <row r="161" spans="3:37" x14ac:dyDescent="0.2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</row>
    <row r="162" spans="3:37" x14ac:dyDescent="0.2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</row>
    <row r="163" spans="3:37" x14ac:dyDescent="0.2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</row>
    <row r="164" spans="3:37" x14ac:dyDescent="0.2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</row>
    <row r="165" spans="3:37" x14ac:dyDescent="0.2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</row>
    <row r="166" spans="3:37" x14ac:dyDescent="0.2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</row>
    <row r="167" spans="3:37" x14ac:dyDescent="0.2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</row>
    <row r="168" spans="3:37" x14ac:dyDescent="0.2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</row>
    <row r="169" spans="3:37" x14ac:dyDescent="0.2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</row>
    <row r="170" spans="3:37" x14ac:dyDescent="0.2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</row>
    <row r="171" spans="3:37" x14ac:dyDescent="0.2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</row>
    <row r="172" spans="3:37" x14ac:dyDescent="0.2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</row>
    <row r="173" spans="3:37" x14ac:dyDescent="0.2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</row>
    <row r="174" spans="3:37" x14ac:dyDescent="0.2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</row>
    <row r="175" spans="3:37" x14ac:dyDescent="0.2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</row>
    <row r="176" spans="3:37" x14ac:dyDescent="0.2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</row>
    <row r="177" spans="3:37" x14ac:dyDescent="0.2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</row>
    <row r="178" spans="3:37" x14ac:dyDescent="0.2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</row>
    <row r="179" spans="3:37" x14ac:dyDescent="0.2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</row>
    <row r="180" spans="3:37" x14ac:dyDescent="0.2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</row>
    <row r="181" spans="3:37" x14ac:dyDescent="0.2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</row>
    <row r="182" spans="3:37" x14ac:dyDescent="0.2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</row>
    <row r="183" spans="3:37" x14ac:dyDescent="0.2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</row>
    <row r="184" spans="3:37" x14ac:dyDescent="0.2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</row>
    <row r="185" spans="3:37" x14ac:dyDescent="0.2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</row>
    <row r="186" spans="3:37" x14ac:dyDescent="0.2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</row>
    <row r="187" spans="3:37" x14ac:dyDescent="0.2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</row>
    <row r="188" spans="3:37" x14ac:dyDescent="0.2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</row>
    <row r="189" spans="3:37" x14ac:dyDescent="0.2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</row>
    <row r="190" spans="3:37" x14ac:dyDescent="0.2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</row>
    <row r="191" spans="3:37" x14ac:dyDescent="0.2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</row>
    <row r="192" spans="3:37" x14ac:dyDescent="0.2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</row>
    <row r="193" spans="3:37" x14ac:dyDescent="0.2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</row>
    <row r="194" spans="3:37" x14ac:dyDescent="0.2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</row>
    <row r="195" spans="3:37" x14ac:dyDescent="0.2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</row>
    <row r="196" spans="3:37" x14ac:dyDescent="0.2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</row>
    <row r="197" spans="3:37" x14ac:dyDescent="0.2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</row>
    <row r="198" spans="3:37" x14ac:dyDescent="0.2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</row>
    <row r="199" spans="3:37" x14ac:dyDescent="0.2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</row>
    <row r="200" spans="3:37" x14ac:dyDescent="0.2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</row>
    <row r="201" spans="3:37" x14ac:dyDescent="0.2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</row>
    <row r="202" spans="3:37" x14ac:dyDescent="0.2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</row>
    <row r="203" spans="3:37" x14ac:dyDescent="0.2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</row>
    <row r="204" spans="3:37" x14ac:dyDescent="0.2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</row>
    <row r="205" spans="3:37" x14ac:dyDescent="0.2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</row>
    <row r="206" spans="3:37" x14ac:dyDescent="0.2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</row>
    <row r="207" spans="3:37" x14ac:dyDescent="0.2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</row>
    <row r="208" spans="3:37" x14ac:dyDescent="0.2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</row>
    <row r="209" spans="3:37" x14ac:dyDescent="0.2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</row>
    <row r="210" spans="3:37" x14ac:dyDescent="0.2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</row>
    <row r="211" spans="3:37" x14ac:dyDescent="0.2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</row>
    <row r="212" spans="3:37" x14ac:dyDescent="0.2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</row>
    <row r="213" spans="3:37" x14ac:dyDescent="0.2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</row>
    <row r="214" spans="3:37" x14ac:dyDescent="0.2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</row>
    <row r="215" spans="3:37" x14ac:dyDescent="0.2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</row>
    <row r="216" spans="3:37" x14ac:dyDescent="0.2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</row>
    <row r="217" spans="3:37" x14ac:dyDescent="0.2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</row>
    <row r="218" spans="3:37" x14ac:dyDescent="0.2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</row>
    <row r="219" spans="3:37" x14ac:dyDescent="0.2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</row>
    <row r="220" spans="3:37" x14ac:dyDescent="0.2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</row>
    <row r="221" spans="3:37" x14ac:dyDescent="0.2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</row>
    <row r="222" spans="3:37" x14ac:dyDescent="0.2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</row>
    <row r="223" spans="3:37" x14ac:dyDescent="0.2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</row>
    <row r="224" spans="3:37" x14ac:dyDescent="0.2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</row>
    <row r="225" spans="3:37" x14ac:dyDescent="0.2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</row>
    <row r="226" spans="3:37" x14ac:dyDescent="0.2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</row>
    <row r="227" spans="3:37" x14ac:dyDescent="0.2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</row>
    <row r="228" spans="3:37" x14ac:dyDescent="0.2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</row>
    <row r="229" spans="3:37" x14ac:dyDescent="0.2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</row>
    <row r="230" spans="3:37" x14ac:dyDescent="0.2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</row>
    <row r="231" spans="3:37" x14ac:dyDescent="0.2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</row>
    <row r="232" spans="3:37" x14ac:dyDescent="0.2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</row>
    <row r="233" spans="3:37" x14ac:dyDescent="0.2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</row>
    <row r="234" spans="3:37" x14ac:dyDescent="0.2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</row>
    <row r="235" spans="3:37" x14ac:dyDescent="0.2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</row>
    <row r="236" spans="3:37" x14ac:dyDescent="0.2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</row>
    <row r="237" spans="3:37" x14ac:dyDescent="0.2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</row>
    <row r="238" spans="3:37" x14ac:dyDescent="0.2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</row>
    <row r="239" spans="3:37" x14ac:dyDescent="0.2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</row>
    <row r="240" spans="3:37" x14ac:dyDescent="0.2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</row>
    <row r="241" spans="3:37" x14ac:dyDescent="0.2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</row>
    <row r="242" spans="3:37" x14ac:dyDescent="0.2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</row>
    <row r="243" spans="3:37" x14ac:dyDescent="0.2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</row>
    <row r="244" spans="3:37" x14ac:dyDescent="0.2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</row>
    <row r="245" spans="3:37" x14ac:dyDescent="0.2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</row>
    <row r="246" spans="3:37" x14ac:dyDescent="0.2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</row>
    <row r="247" spans="3:37" x14ac:dyDescent="0.2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</row>
    <row r="248" spans="3:37" x14ac:dyDescent="0.2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</row>
    <row r="249" spans="3:37" x14ac:dyDescent="0.2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</row>
    <row r="250" spans="3:37" x14ac:dyDescent="0.2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</row>
    <row r="251" spans="3:37" x14ac:dyDescent="0.2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</row>
    <row r="252" spans="3:37" x14ac:dyDescent="0.2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</row>
    <row r="253" spans="3:37" x14ac:dyDescent="0.2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</row>
    <row r="254" spans="3:37" x14ac:dyDescent="0.2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</row>
    <row r="255" spans="3:37" x14ac:dyDescent="0.2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</row>
    <row r="256" spans="3:37" x14ac:dyDescent="0.2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</row>
    <row r="257" spans="3:37" x14ac:dyDescent="0.2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</row>
    <row r="258" spans="3:37" x14ac:dyDescent="0.2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</row>
    <row r="259" spans="3:37" x14ac:dyDescent="0.2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</row>
    <row r="260" spans="3:37" x14ac:dyDescent="0.2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</row>
    <row r="261" spans="3:37" x14ac:dyDescent="0.2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</row>
    <row r="262" spans="3:37" x14ac:dyDescent="0.2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</row>
    <row r="263" spans="3:37" x14ac:dyDescent="0.2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</row>
    <row r="264" spans="3:37" x14ac:dyDescent="0.2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</row>
    <row r="265" spans="3:37" x14ac:dyDescent="0.2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</row>
    <row r="266" spans="3:37" x14ac:dyDescent="0.2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</row>
    <row r="267" spans="3:37" x14ac:dyDescent="0.2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</row>
    <row r="268" spans="3:37" x14ac:dyDescent="0.2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</row>
    <row r="269" spans="3:37" x14ac:dyDescent="0.2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</row>
    <row r="270" spans="3:37" x14ac:dyDescent="0.2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</row>
    <row r="271" spans="3:37" x14ac:dyDescent="0.2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</row>
    <row r="272" spans="3:37" x14ac:dyDescent="0.2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</row>
    <row r="273" spans="3:37" x14ac:dyDescent="0.2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</row>
    <row r="274" spans="3:37" x14ac:dyDescent="0.2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</row>
    <row r="275" spans="3:37" x14ac:dyDescent="0.2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</row>
    <row r="276" spans="3:37" x14ac:dyDescent="0.2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</row>
    <row r="277" spans="3:37" x14ac:dyDescent="0.2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</row>
    <row r="278" spans="3:37" x14ac:dyDescent="0.2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</row>
    <row r="279" spans="3:37" x14ac:dyDescent="0.2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</row>
    <row r="280" spans="3:37" x14ac:dyDescent="0.2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</row>
    <row r="281" spans="3:37" x14ac:dyDescent="0.2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</row>
    <row r="282" spans="3:37" x14ac:dyDescent="0.2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</row>
    <row r="283" spans="3:37" x14ac:dyDescent="0.2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</row>
    <row r="284" spans="3:37" x14ac:dyDescent="0.2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</row>
    <row r="285" spans="3:37" x14ac:dyDescent="0.2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</row>
    <row r="286" spans="3:37" x14ac:dyDescent="0.2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</row>
    <row r="287" spans="3:37" x14ac:dyDescent="0.2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</row>
    <row r="288" spans="3:37" x14ac:dyDescent="0.2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</row>
    <row r="289" spans="3:37" x14ac:dyDescent="0.2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</row>
    <row r="290" spans="3:37" x14ac:dyDescent="0.2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</row>
    <row r="291" spans="3:37" x14ac:dyDescent="0.2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</row>
    <row r="292" spans="3:37" x14ac:dyDescent="0.2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</row>
    <row r="293" spans="3:37" x14ac:dyDescent="0.2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</row>
    <row r="294" spans="3:37" x14ac:dyDescent="0.2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</row>
    <row r="295" spans="3:37" x14ac:dyDescent="0.2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</row>
    <row r="296" spans="3:37" x14ac:dyDescent="0.2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</row>
    <row r="297" spans="3:37" x14ac:dyDescent="0.2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</row>
    <row r="298" spans="3:37" x14ac:dyDescent="0.2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</row>
    <row r="299" spans="3:37" x14ac:dyDescent="0.2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</row>
    <row r="300" spans="3:37" x14ac:dyDescent="0.2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</row>
    <row r="301" spans="3:37" x14ac:dyDescent="0.2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</row>
    <row r="302" spans="3:37" x14ac:dyDescent="0.2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</row>
    <row r="303" spans="3:37" x14ac:dyDescent="0.2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</row>
    <row r="304" spans="3:37" x14ac:dyDescent="0.2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</row>
    <row r="305" spans="3:37" x14ac:dyDescent="0.2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</row>
    <row r="306" spans="3:37" x14ac:dyDescent="0.2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</row>
    <row r="307" spans="3:37" x14ac:dyDescent="0.2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</row>
    <row r="308" spans="3:37" x14ac:dyDescent="0.2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</row>
    <row r="309" spans="3:37" x14ac:dyDescent="0.2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</row>
    <row r="310" spans="3:37" x14ac:dyDescent="0.2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</row>
    <row r="311" spans="3:37" x14ac:dyDescent="0.2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</row>
    <row r="312" spans="3:37" x14ac:dyDescent="0.2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</row>
    <row r="313" spans="3:37" x14ac:dyDescent="0.2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</row>
    <row r="314" spans="3:37" x14ac:dyDescent="0.2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</row>
    <row r="315" spans="3:37" x14ac:dyDescent="0.2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</row>
    <row r="316" spans="3:37" x14ac:dyDescent="0.2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</row>
    <row r="317" spans="3:37" x14ac:dyDescent="0.2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</row>
    <row r="318" spans="3:37" x14ac:dyDescent="0.2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</row>
    <row r="319" spans="3:37" x14ac:dyDescent="0.2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</row>
    <row r="320" spans="3:37" x14ac:dyDescent="0.2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</row>
    <row r="321" spans="3:37" x14ac:dyDescent="0.2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</row>
    <row r="322" spans="3:37" x14ac:dyDescent="0.2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</row>
    <row r="323" spans="3:37" x14ac:dyDescent="0.2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</row>
    <row r="324" spans="3:37" x14ac:dyDescent="0.2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</row>
    <row r="325" spans="3:37" x14ac:dyDescent="0.2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</row>
    <row r="326" spans="3:37" x14ac:dyDescent="0.2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</row>
    <row r="327" spans="3:37" x14ac:dyDescent="0.2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</row>
    <row r="328" spans="3:37" x14ac:dyDescent="0.2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</row>
    <row r="329" spans="3:37" x14ac:dyDescent="0.2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</row>
    <row r="330" spans="3:37" x14ac:dyDescent="0.2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</row>
    <row r="331" spans="3:37" x14ac:dyDescent="0.2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</row>
    <row r="332" spans="3:37" x14ac:dyDescent="0.2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</row>
    <row r="333" spans="3:37" x14ac:dyDescent="0.2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</row>
    <row r="334" spans="3:37" x14ac:dyDescent="0.2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</row>
    <row r="335" spans="3:37" x14ac:dyDescent="0.2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</row>
    <row r="336" spans="3:37" x14ac:dyDescent="0.2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</row>
    <row r="337" spans="3:37" x14ac:dyDescent="0.2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</row>
    <row r="338" spans="3:37" x14ac:dyDescent="0.2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</row>
    <row r="339" spans="3:37" x14ac:dyDescent="0.2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</row>
    <row r="340" spans="3:37" x14ac:dyDescent="0.2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</row>
    <row r="341" spans="3:37" x14ac:dyDescent="0.2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</row>
    <row r="342" spans="3:37" x14ac:dyDescent="0.2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</row>
    <row r="343" spans="3:37" x14ac:dyDescent="0.2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</row>
    <row r="344" spans="3:37" x14ac:dyDescent="0.2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</row>
    <row r="345" spans="3:37" x14ac:dyDescent="0.2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</row>
    <row r="346" spans="3:37" x14ac:dyDescent="0.2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</row>
    <row r="347" spans="3:37" x14ac:dyDescent="0.2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</row>
    <row r="348" spans="3:37" x14ac:dyDescent="0.2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</row>
    <row r="349" spans="3:37" x14ac:dyDescent="0.2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</row>
    <row r="350" spans="3:37" x14ac:dyDescent="0.2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</row>
    <row r="351" spans="3:37" x14ac:dyDescent="0.2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</row>
    <row r="352" spans="3:37" x14ac:dyDescent="0.2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</row>
    <row r="353" spans="3:37" x14ac:dyDescent="0.2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</row>
    <row r="354" spans="3:37" x14ac:dyDescent="0.2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</row>
    <row r="355" spans="3:37" x14ac:dyDescent="0.2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</row>
    <row r="356" spans="3:37" x14ac:dyDescent="0.2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</row>
    <row r="357" spans="3:37" x14ac:dyDescent="0.2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</row>
    <row r="358" spans="3:37" x14ac:dyDescent="0.2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</row>
    <row r="359" spans="3:37" x14ac:dyDescent="0.2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</row>
    <row r="360" spans="3:37" x14ac:dyDescent="0.2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</row>
    <row r="361" spans="3:37" x14ac:dyDescent="0.2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</row>
    <row r="362" spans="3:37" x14ac:dyDescent="0.2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</row>
    <row r="363" spans="3:37" x14ac:dyDescent="0.2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</row>
    <row r="364" spans="3:37" x14ac:dyDescent="0.2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</row>
    <row r="365" spans="3:37" x14ac:dyDescent="0.2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</row>
    <row r="366" spans="3:37" x14ac:dyDescent="0.2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</row>
    <row r="367" spans="3:37" x14ac:dyDescent="0.2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</row>
    <row r="368" spans="3:37" x14ac:dyDescent="0.2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</row>
    <row r="369" spans="3:37" x14ac:dyDescent="0.2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</row>
    <row r="370" spans="3:37" x14ac:dyDescent="0.2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</row>
    <row r="371" spans="3:37" x14ac:dyDescent="0.2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</row>
    <row r="372" spans="3:37" x14ac:dyDescent="0.2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</row>
    <row r="373" spans="3:37" x14ac:dyDescent="0.2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</row>
    <row r="374" spans="3:37" x14ac:dyDescent="0.2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</row>
    <row r="375" spans="3:37" x14ac:dyDescent="0.2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</row>
    <row r="376" spans="3:37" x14ac:dyDescent="0.2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</row>
    <row r="377" spans="3:37" x14ac:dyDescent="0.2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</row>
    <row r="378" spans="3:37" x14ac:dyDescent="0.2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</row>
    <row r="379" spans="3:37" x14ac:dyDescent="0.2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</row>
    <row r="380" spans="3:37" x14ac:dyDescent="0.2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</row>
    <row r="381" spans="3:37" x14ac:dyDescent="0.2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</row>
    <row r="382" spans="3:37" x14ac:dyDescent="0.2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</row>
    <row r="383" spans="3:37" x14ac:dyDescent="0.2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</row>
    <row r="384" spans="3:37" x14ac:dyDescent="0.2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</row>
    <row r="385" spans="3:37" x14ac:dyDescent="0.2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</row>
    <row r="386" spans="3:37" x14ac:dyDescent="0.2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</row>
    <row r="387" spans="3:37" x14ac:dyDescent="0.2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3:37" x14ac:dyDescent="0.2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</row>
    <row r="389" spans="3:37" x14ac:dyDescent="0.2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</row>
    <row r="390" spans="3:37" x14ac:dyDescent="0.2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</row>
    <row r="391" spans="3:37" x14ac:dyDescent="0.2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</row>
    <row r="392" spans="3:37" x14ac:dyDescent="0.2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</row>
    <row r="393" spans="3:37" x14ac:dyDescent="0.2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</row>
    <row r="394" spans="3:37" x14ac:dyDescent="0.2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</row>
    <row r="395" spans="3:37" x14ac:dyDescent="0.2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</row>
    <row r="396" spans="3:37" x14ac:dyDescent="0.2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</row>
    <row r="397" spans="3:37" x14ac:dyDescent="0.2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</row>
    <row r="398" spans="3:37" x14ac:dyDescent="0.2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</row>
    <row r="399" spans="3:37" x14ac:dyDescent="0.2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</row>
    <row r="400" spans="3:37" x14ac:dyDescent="0.2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</row>
    <row r="401" spans="3:37" x14ac:dyDescent="0.2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</row>
    <row r="402" spans="3:37" x14ac:dyDescent="0.2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</row>
    <row r="403" spans="3:37" x14ac:dyDescent="0.2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</row>
    <row r="404" spans="3:37" x14ac:dyDescent="0.2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</row>
    <row r="405" spans="3:37" x14ac:dyDescent="0.2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</row>
    <row r="406" spans="3:37" x14ac:dyDescent="0.2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</row>
    <row r="407" spans="3:37" x14ac:dyDescent="0.2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</row>
    <row r="408" spans="3:37" x14ac:dyDescent="0.2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</row>
    <row r="409" spans="3:37" x14ac:dyDescent="0.2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</row>
    <row r="410" spans="3:37" x14ac:dyDescent="0.2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</row>
    <row r="411" spans="3:37" x14ac:dyDescent="0.2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</row>
    <row r="412" spans="3:37" x14ac:dyDescent="0.2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</row>
    <row r="413" spans="3:37" x14ac:dyDescent="0.2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</row>
    <row r="414" spans="3:37" x14ac:dyDescent="0.2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</row>
    <row r="415" spans="3:37" x14ac:dyDescent="0.2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</row>
    <row r="416" spans="3:37" x14ac:dyDescent="0.2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</row>
    <row r="417" spans="3:37" x14ac:dyDescent="0.2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</row>
    <row r="418" spans="3:37" x14ac:dyDescent="0.2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</row>
    <row r="419" spans="3:37" x14ac:dyDescent="0.2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</row>
    <row r="420" spans="3:37" x14ac:dyDescent="0.2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</row>
    <row r="421" spans="3:37" x14ac:dyDescent="0.2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</row>
    <row r="422" spans="3:37" x14ac:dyDescent="0.2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</row>
    <row r="423" spans="3:37" x14ac:dyDescent="0.2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</row>
    <row r="424" spans="3:37" x14ac:dyDescent="0.2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</row>
    <row r="425" spans="3:37" x14ac:dyDescent="0.2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</row>
    <row r="426" spans="3:37" x14ac:dyDescent="0.2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</row>
    <row r="427" spans="3:37" x14ac:dyDescent="0.2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</row>
    <row r="428" spans="3:37" x14ac:dyDescent="0.2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</row>
    <row r="429" spans="3:37" x14ac:dyDescent="0.2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</row>
    <row r="430" spans="3:37" x14ac:dyDescent="0.2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</row>
    <row r="431" spans="3:37" x14ac:dyDescent="0.2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</row>
    <row r="432" spans="3:37" x14ac:dyDescent="0.2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</row>
    <row r="433" spans="3:37" x14ac:dyDescent="0.2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</row>
    <row r="434" spans="3:37" x14ac:dyDescent="0.2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</row>
    <row r="435" spans="3:37" x14ac:dyDescent="0.2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</row>
    <row r="436" spans="3:37" x14ac:dyDescent="0.2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</row>
    <row r="437" spans="3:37" x14ac:dyDescent="0.2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</row>
    <row r="438" spans="3:37" x14ac:dyDescent="0.2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</row>
    <row r="439" spans="3:37" x14ac:dyDescent="0.2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</row>
    <row r="440" spans="3:37" x14ac:dyDescent="0.2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</row>
    <row r="441" spans="3:37" x14ac:dyDescent="0.2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</row>
    <row r="442" spans="3:37" x14ac:dyDescent="0.2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</row>
    <row r="443" spans="3:37" x14ac:dyDescent="0.2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</row>
    <row r="444" spans="3:37" x14ac:dyDescent="0.2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</row>
    <row r="445" spans="3:37" x14ac:dyDescent="0.2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</row>
    <row r="446" spans="3:37" x14ac:dyDescent="0.2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</row>
    <row r="447" spans="3:37" x14ac:dyDescent="0.2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</row>
    <row r="448" spans="3:37" x14ac:dyDescent="0.2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</row>
    <row r="449" spans="3:37" x14ac:dyDescent="0.2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</row>
    <row r="450" spans="3:37" x14ac:dyDescent="0.2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</row>
    <row r="451" spans="3:37" x14ac:dyDescent="0.2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</row>
    <row r="452" spans="3:37" x14ac:dyDescent="0.2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</row>
    <row r="453" spans="3:37" x14ac:dyDescent="0.2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</row>
    <row r="454" spans="3:37" x14ac:dyDescent="0.2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</row>
    <row r="455" spans="3:37" x14ac:dyDescent="0.2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</row>
    <row r="456" spans="3:37" x14ac:dyDescent="0.2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</row>
    <row r="457" spans="3:37" x14ac:dyDescent="0.2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</row>
    <row r="458" spans="3:37" x14ac:dyDescent="0.2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</row>
    <row r="459" spans="3:37" x14ac:dyDescent="0.2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</row>
    <row r="460" spans="3:37" x14ac:dyDescent="0.2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</row>
    <row r="461" spans="3:37" x14ac:dyDescent="0.2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</row>
    <row r="462" spans="3:37" x14ac:dyDescent="0.2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</row>
    <row r="463" spans="3:37" x14ac:dyDescent="0.2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</row>
    <row r="464" spans="3:37" x14ac:dyDescent="0.2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</row>
    <row r="465" spans="3:37" x14ac:dyDescent="0.2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</row>
    <row r="466" spans="3:37" x14ac:dyDescent="0.2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B41" sqref="B41"/>
    </sheetView>
  </sheetViews>
  <sheetFormatPr defaultRowHeight="8.4" x14ac:dyDescent="0.15"/>
  <cols>
    <col min="1" max="1" width="16.83203125" style="80" customWidth="1"/>
    <col min="2" max="2" width="21.83203125" style="80" customWidth="1"/>
    <col min="3" max="3" width="5" style="80" customWidth="1"/>
    <col min="4" max="7" width="13.83203125" style="80" hidden="1" customWidth="1"/>
    <col min="8" max="8" width="0.1640625" style="80" hidden="1" customWidth="1"/>
    <col min="9" max="9" width="13.83203125" style="80" hidden="1" customWidth="1"/>
    <col min="10" max="11" width="15" style="80" customWidth="1"/>
    <col min="12" max="12" width="15.1640625" style="80" customWidth="1"/>
    <col min="13" max="33" width="13.83203125" style="80" customWidth="1"/>
    <col min="34" max="34" width="14.6640625" style="80" customWidth="1"/>
    <col min="35" max="16384" width="9.33203125" style="81"/>
  </cols>
  <sheetData>
    <row r="1" spans="1:39" ht="10.199999999999999" x14ac:dyDescent="0.2">
      <c r="A1" s="100" t="s">
        <v>10</v>
      </c>
      <c r="B1" s="79"/>
    </row>
    <row r="2" spans="1:39" ht="10.199999999999999" x14ac:dyDescent="0.2">
      <c r="A2" s="100" t="s">
        <v>29</v>
      </c>
      <c r="B2" s="79"/>
    </row>
    <row r="3" spans="1:39" ht="10.199999999999999" x14ac:dyDescent="0.2">
      <c r="A3" s="100" t="str">
        <f>'SPEC REPORT'!A3</f>
        <v>As of November 20, 2001</v>
      </c>
      <c r="B3" s="79"/>
    </row>
    <row r="4" spans="1:39" ht="10.199999999999999" x14ac:dyDescent="0.2">
      <c r="A4" s="100" t="s">
        <v>12</v>
      </c>
      <c r="B4" s="79"/>
    </row>
    <row r="5" spans="1:39" x14ac:dyDescent="0.15">
      <c r="A5" s="82"/>
      <c r="B5" s="82"/>
      <c r="D5" s="83">
        <v>36892</v>
      </c>
      <c r="E5" s="83">
        <v>36923</v>
      </c>
      <c r="F5" s="83">
        <v>36951</v>
      </c>
      <c r="G5" s="83">
        <v>36982</v>
      </c>
      <c r="H5" s="83">
        <v>37012</v>
      </c>
    </row>
    <row r="7" spans="1:39" x14ac:dyDescent="0.15">
      <c r="A7" s="118" t="s">
        <v>4</v>
      </c>
      <c r="B7" s="84"/>
      <c r="D7" s="85"/>
      <c r="E7" s="85"/>
      <c r="F7" s="85"/>
      <c r="G7" s="85"/>
      <c r="H7" s="85"/>
      <c r="I7" s="83"/>
      <c r="J7" s="83">
        <v>37226</v>
      </c>
      <c r="K7" s="83">
        <v>37257</v>
      </c>
      <c r="L7" s="83">
        <v>37288</v>
      </c>
      <c r="M7" s="83">
        <v>37316</v>
      </c>
      <c r="N7" s="83">
        <v>37347</v>
      </c>
      <c r="O7" s="83">
        <v>37377</v>
      </c>
      <c r="P7" s="83">
        <v>37408</v>
      </c>
      <c r="Q7" s="83">
        <v>37438</v>
      </c>
      <c r="R7" s="83">
        <v>37469</v>
      </c>
      <c r="S7" s="83">
        <v>37500</v>
      </c>
      <c r="T7" s="83">
        <v>37530</v>
      </c>
      <c r="U7" s="83">
        <v>37561</v>
      </c>
      <c r="V7" s="83">
        <v>37591</v>
      </c>
      <c r="W7" s="83">
        <v>37622</v>
      </c>
      <c r="X7" s="83">
        <v>37653</v>
      </c>
      <c r="Y7" s="83">
        <v>37681</v>
      </c>
      <c r="Z7" s="83">
        <v>37712</v>
      </c>
      <c r="AA7" s="83">
        <v>37742</v>
      </c>
      <c r="AB7" s="83">
        <v>37773</v>
      </c>
      <c r="AC7" s="83">
        <v>37803</v>
      </c>
      <c r="AD7" s="83">
        <v>37834</v>
      </c>
      <c r="AE7" s="83">
        <v>37865</v>
      </c>
      <c r="AF7" s="83">
        <v>37895</v>
      </c>
      <c r="AG7" s="83">
        <v>37926</v>
      </c>
      <c r="AH7" s="69" t="s">
        <v>20</v>
      </c>
      <c r="AI7" s="70"/>
      <c r="AJ7" s="70"/>
      <c r="AK7" s="70"/>
      <c r="AL7" s="70"/>
      <c r="AM7" s="70"/>
    </row>
    <row r="8" spans="1:39" s="84" customFormat="1" x14ac:dyDescent="0.15">
      <c r="A8" s="71" t="s">
        <v>25</v>
      </c>
      <c r="B8" s="71"/>
      <c r="C8" s="71"/>
      <c r="D8" s="72"/>
      <c r="E8" s="72"/>
      <c r="F8" s="72"/>
      <c r="G8" s="72"/>
      <c r="H8" s="72"/>
      <c r="I8" s="72"/>
      <c r="J8" s="72">
        <f>'SPEC DETAILS'!C34</f>
        <v>0</v>
      </c>
      <c r="K8" s="72">
        <f>'SPEC DETAILS'!D34</f>
        <v>0</v>
      </c>
      <c r="L8" s="72">
        <f>'SPEC DETAILS'!E34</f>
        <v>0</v>
      </c>
      <c r="M8" s="72">
        <f>'SPEC DETAILS'!F34</f>
        <v>0</v>
      </c>
      <c r="N8" s="72">
        <f>'SPEC DETAILS'!G34</f>
        <v>0</v>
      </c>
      <c r="O8" s="72">
        <f>'SPEC DETAILS'!H34</f>
        <v>0</v>
      </c>
      <c r="P8" s="72">
        <f>'SPEC DETAILS'!I34</f>
        <v>0</v>
      </c>
      <c r="Q8" s="72">
        <f>'SPEC DETAILS'!J34</f>
        <v>0</v>
      </c>
      <c r="R8" s="72">
        <f>'SPEC DETAILS'!K34</f>
        <v>0</v>
      </c>
      <c r="S8" s="72">
        <f>'SPEC DETAILS'!L34</f>
        <v>0</v>
      </c>
      <c r="T8" s="72">
        <f>'SPEC DETAILS'!M34</f>
        <v>0</v>
      </c>
      <c r="U8" s="72">
        <f>'SPEC DETAILS'!N34</f>
        <v>0</v>
      </c>
      <c r="V8" s="72">
        <f>'SPEC DETAILS'!O34</f>
        <v>0</v>
      </c>
      <c r="W8" s="72">
        <f>'SPEC DETAILS'!P34</f>
        <v>0</v>
      </c>
      <c r="X8" s="72">
        <f>'SPEC DETAILS'!Q34</f>
        <v>0</v>
      </c>
      <c r="Y8" s="72">
        <f>'SPEC DETAILS'!R34</f>
        <v>0</v>
      </c>
      <c r="Z8" s="72">
        <f>'SPEC DETAILS'!S34</f>
        <v>0</v>
      </c>
      <c r="AA8" s="72">
        <f>'SPEC DETAILS'!T34</f>
        <v>0</v>
      </c>
      <c r="AB8" s="72">
        <f>'SPEC DETAILS'!U34</f>
        <v>0</v>
      </c>
      <c r="AC8" s="72">
        <f>'SPEC DETAILS'!V34</f>
        <v>0</v>
      </c>
      <c r="AD8" s="72">
        <f>'SPEC DETAILS'!W34</f>
        <v>0</v>
      </c>
      <c r="AE8" s="72">
        <f>'SPEC DETAILS'!X34</f>
        <v>0</v>
      </c>
      <c r="AF8" s="72">
        <f>'SPEC DETAILS'!Y34</f>
        <v>0</v>
      </c>
      <c r="AG8" s="72">
        <f>'SPEC DETAILS'!Z34</f>
        <v>0</v>
      </c>
      <c r="AH8" s="73"/>
      <c r="AI8" s="73"/>
      <c r="AJ8" s="73"/>
      <c r="AK8" s="73"/>
      <c r="AL8" s="73"/>
      <c r="AM8" s="73"/>
    </row>
    <row r="9" spans="1:39" x14ac:dyDescent="0.15">
      <c r="A9" s="80" t="s">
        <v>30</v>
      </c>
      <c r="D9" s="85"/>
      <c r="E9" s="85"/>
      <c r="F9" s="85"/>
      <c r="G9" s="85"/>
      <c r="H9" s="85"/>
      <c r="I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70"/>
      <c r="AJ9" s="70"/>
      <c r="AK9" s="70"/>
      <c r="AL9" s="70"/>
      <c r="AM9" s="70"/>
    </row>
    <row r="10" spans="1:39" s="75" customFormat="1" x14ac:dyDescent="0.15">
      <c r="A10" s="74" t="s">
        <v>31</v>
      </c>
      <c r="B10" s="74"/>
      <c r="C10" s="74"/>
      <c r="D10" s="74"/>
      <c r="E10" s="74"/>
      <c r="F10" s="74"/>
      <c r="G10" s="74"/>
      <c r="H10" s="74"/>
      <c r="I10" s="74"/>
      <c r="J10" s="74">
        <f t="shared" ref="J10:AF10" si="0">J12-J11</f>
        <v>-10866</v>
      </c>
      <c r="K10" s="74">
        <f t="shared" si="0"/>
        <v>-19139</v>
      </c>
      <c r="L10" s="74">
        <f t="shared" si="0"/>
        <v>-17229</v>
      </c>
      <c r="M10" s="74">
        <f t="shared" si="0"/>
        <v>-19019</v>
      </c>
      <c r="N10" s="74">
        <f t="shared" si="0"/>
        <v>-51996</v>
      </c>
      <c r="O10" s="74">
        <f t="shared" si="0"/>
        <v>-53557</v>
      </c>
      <c r="P10" s="74">
        <f t="shared" si="0"/>
        <v>-51659</v>
      </c>
      <c r="Q10" s="74">
        <f t="shared" si="0"/>
        <v>-53202</v>
      </c>
      <c r="R10" s="74">
        <f t="shared" si="0"/>
        <v>-53025</v>
      </c>
      <c r="S10" s="74">
        <f t="shared" si="0"/>
        <v>-51150</v>
      </c>
      <c r="T10" s="74">
        <f t="shared" si="0"/>
        <v>-52676</v>
      </c>
      <c r="U10" s="74">
        <f t="shared" si="0"/>
        <v>0</v>
      </c>
      <c r="V10" s="74">
        <f t="shared" si="0"/>
        <v>0</v>
      </c>
      <c r="W10" s="74">
        <f t="shared" si="0"/>
        <v>0</v>
      </c>
      <c r="X10" s="74">
        <f t="shared" si="0"/>
        <v>0</v>
      </c>
      <c r="Y10" s="74">
        <f t="shared" si="0"/>
        <v>0</v>
      </c>
      <c r="Z10" s="74">
        <f t="shared" si="0"/>
        <v>0</v>
      </c>
      <c r="AA10" s="74">
        <f t="shared" si="0"/>
        <v>0</v>
      </c>
      <c r="AB10" s="74">
        <f t="shared" si="0"/>
        <v>0</v>
      </c>
      <c r="AC10" s="74">
        <f t="shared" si="0"/>
        <v>0</v>
      </c>
      <c r="AD10" s="74">
        <f t="shared" si="0"/>
        <v>0</v>
      </c>
      <c r="AE10" s="74">
        <f t="shared" si="0"/>
        <v>0</v>
      </c>
      <c r="AF10" s="74">
        <f t="shared" si="0"/>
        <v>0</v>
      </c>
      <c r="AG10" s="74"/>
      <c r="AH10" s="74">
        <f>SUM(J10:AG10)</f>
        <v>-433518</v>
      </c>
    </row>
    <row r="11" spans="1:39" s="75" customFormat="1" x14ac:dyDescent="0.15">
      <c r="A11" s="74" t="s">
        <v>32</v>
      </c>
      <c r="B11" s="74"/>
      <c r="C11" s="74"/>
      <c r="D11" s="76"/>
      <c r="E11" s="76"/>
      <c r="F11" s="76"/>
      <c r="G11" s="76"/>
      <c r="H11" s="76"/>
      <c r="I11" s="76"/>
      <c r="J11" s="76"/>
      <c r="K11" s="76"/>
      <c r="L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>
        <f>SUM(J11:AG11)</f>
        <v>0</v>
      </c>
    </row>
    <row r="12" spans="1:39" s="65" customFormat="1" x14ac:dyDescent="0.15">
      <c r="A12" s="64" t="s">
        <v>33</v>
      </c>
      <c r="B12" s="64"/>
      <c r="C12" s="64"/>
      <c r="D12" s="64"/>
      <c r="E12" s="64"/>
      <c r="F12" s="64"/>
      <c r="G12" s="64"/>
      <c r="H12" s="64"/>
      <c r="I12" s="64"/>
      <c r="J12" s="64">
        <f>'SPEC DETAILS'!C60</f>
        <v>-10866</v>
      </c>
      <c r="K12" s="64">
        <f>'SPEC DETAILS'!D60</f>
        <v>-19139</v>
      </c>
      <c r="L12" s="64">
        <f>'SPEC DETAILS'!E60</f>
        <v>-17229</v>
      </c>
      <c r="M12" s="64">
        <f>'SPEC DETAILS'!F60</f>
        <v>-19019</v>
      </c>
      <c r="N12" s="64">
        <f>'SPEC DETAILS'!G60</f>
        <v>-51996</v>
      </c>
      <c r="O12" s="64">
        <f>'SPEC DETAILS'!H60</f>
        <v>-53557</v>
      </c>
      <c r="P12" s="64">
        <f>'SPEC DETAILS'!I60</f>
        <v>-51659</v>
      </c>
      <c r="Q12" s="64">
        <f>'SPEC DETAILS'!J60</f>
        <v>-53202</v>
      </c>
      <c r="R12" s="64">
        <f>'SPEC DETAILS'!K60</f>
        <v>-53025</v>
      </c>
      <c r="S12" s="64">
        <f>'SPEC DETAILS'!L60</f>
        <v>-51150</v>
      </c>
      <c r="T12" s="64">
        <f>'SPEC DETAILS'!M60</f>
        <v>-52676</v>
      </c>
      <c r="U12" s="64">
        <f>'SPEC DETAILS'!N60</f>
        <v>0</v>
      </c>
      <c r="V12" s="64">
        <f>'SPEC DETAILS'!O60</f>
        <v>0</v>
      </c>
      <c r="W12" s="64">
        <f>'SPEC DETAILS'!P60</f>
        <v>0</v>
      </c>
      <c r="X12" s="64">
        <f>'SPEC DETAILS'!Q60</f>
        <v>0</v>
      </c>
      <c r="Y12" s="64">
        <f>'SPEC DETAILS'!R60</f>
        <v>0</v>
      </c>
      <c r="Z12" s="64">
        <f>'SPEC DETAILS'!S60</f>
        <v>0</v>
      </c>
      <c r="AA12" s="64">
        <f>'SPEC DETAILS'!T60</f>
        <v>0</v>
      </c>
      <c r="AB12" s="64">
        <f>'SPEC DETAILS'!U60</f>
        <v>0</v>
      </c>
      <c r="AC12" s="64">
        <f>'SPEC DETAILS'!V60</f>
        <v>0</v>
      </c>
      <c r="AD12" s="64">
        <f>'SPEC DETAILS'!W60</f>
        <v>0</v>
      </c>
      <c r="AE12" s="64">
        <f>'SPEC DETAILS'!X60</f>
        <v>0</v>
      </c>
      <c r="AF12" s="64">
        <f>'SPEC DETAILS'!Y60</f>
        <v>0</v>
      </c>
      <c r="AG12" s="64">
        <f>'SPEC DETAILS'!Z60</f>
        <v>0</v>
      </c>
      <c r="AH12" s="64">
        <f>SUM(AH10:AH11)</f>
        <v>-433518</v>
      </c>
    </row>
    <row r="13" spans="1:39" s="65" customFormat="1" x14ac:dyDescent="0.15"/>
    <row r="14" spans="1:39" x14ac:dyDescent="0.15">
      <c r="A14" s="119" t="s">
        <v>5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70"/>
      <c r="AJ14" s="70"/>
      <c r="AK14" s="70"/>
      <c r="AL14" s="70"/>
      <c r="AM14" s="70"/>
    </row>
    <row r="15" spans="1:39" x14ac:dyDescent="0.15">
      <c r="A15" s="120" t="s">
        <v>6</v>
      </c>
      <c r="D15" s="85"/>
      <c r="E15" s="85"/>
      <c r="F15" s="85"/>
      <c r="G15" s="85"/>
      <c r="H15" s="85"/>
      <c r="I15" s="85"/>
      <c r="J15" s="121">
        <f>'SPEC DETAILS'!C54</f>
        <v>5.2061999999999999</v>
      </c>
      <c r="K15" s="121">
        <f>'SPEC DETAILS'!D54</f>
        <v>5.2586000000000004</v>
      </c>
      <c r="L15" s="121">
        <f>'SPEC DETAILS'!E54</f>
        <v>5.2586000000000004</v>
      </c>
      <c r="M15" s="121">
        <f>'SPEC DETAILS'!F54</f>
        <v>5.2586000000000004</v>
      </c>
      <c r="N15" s="121">
        <f>'SPEC DETAILS'!G54</f>
        <v>4.4021999999999997</v>
      </c>
      <c r="O15" s="121">
        <f>'SPEC DETAILS'!H54</f>
        <v>4.4021999999999997</v>
      </c>
      <c r="P15" s="121">
        <f>'SPEC DETAILS'!I54</f>
        <v>4.4021999999999997</v>
      </c>
      <c r="Q15" s="121">
        <f>'SPEC DETAILS'!J54</f>
        <v>4.4021999999999997</v>
      </c>
      <c r="R15" s="121">
        <f>'SPEC DETAILS'!K54</f>
        <v>4.4021999999999997</v>
      </c>
      <c r="S15" s="121">
        <f>'SPEC DETAILS'!L54</f>
        <v>4.4021999999999997</v>
      </c>
      <c r="T15" s="121">
        <f>'SPEC DETAILS'!M54</f>
        <v>4.4021999999999997</v>
      </c>
      <c r="U15" s="121">
        <f>'SPEC DETAILS'!N54</f>
        <v>0</v>
      </c>
      <c r="V15" s="121">
        <f>'SPEC DETAILS'!O54</f>
        <v>0</v>
      </c>
      <c r="W15" s="121">
        <f>'SPEC DETAILS'!P54</f>
        <v>0</v>
      </c>
      <c r="X15" s="121">
        <f>'SPEC DETAILS'!Q54</f>
        <v>0</v>
      </c>
      <c r="Y15" s="121">
        <f>'SPEC DETAILS'!R54</f>
        <v>0</v>
      </c>
      <c r="Z15" s="121">
        <f>'SPEC DETAILS'!S54</f>
        <v>0</v>
      </c>
      <c r="AA15" s="121">
        <f>'SPEC DETAILS'!T54</f>
        <v>0</v>
      </c>
      <c r="AB15" s="121">
        <f>'SPEC DETAILS'!U54</f>
        <v>0</v>
      </c>
      <c r="AC15" s="121">
        <f>'SPEC DETAILS'!V54</f>
        <v>0</v>
      </c>
      <c r="AD15" s="121">
        <f>'SPEC DETAILS'!W54</f>
        <v>0</v>
      </c>
      <c r="AE15" s="121">
        <f>'SPEC DETAILS'!X54</f>
        <v>0</v>
      </c>
      <c r="AF15" s="121">
        <f>'SPEC DETAILS'!Y54</f>
        <v>0</v>
      </c>
      <c r="AG15" s="121">
        <f>'SPEC DETAILS'!Z54</f>
        <v>0</v>
      </c>
      <c r="AH15" s="85"/>
      <c r="AI15" s="70"/>
      <c r="AJ15" s="70"/>
      <c r="AK15" s="70"/>
      <c r="AL15" s="70"/>
      <c r="AM15" s="70"/>
    </row>
    <row r="16" spans="1:39" x14ac:dyDescent="0.15">
      <c r="A16" s="120" t="s">
        <v>7</v>
      </c>
      <c r="D16" s="85"/>
      <c r="E16" s="85"/>
      <c r="F16" s="85"/>
      <c r="G16" s="85"/>
      <c r="H16" s="85"/>
      <c r="I16" s="85"/>
      <c r="J16" s="121">
        <f>'SPEC DETAILS'!C55</f>
        <v>5.2035999999999998</v>
      </c>
      <c r="K16" s="121">
        <f>'SPEC DETAILS'!D55</f>
        <v>5.2534000000000001</v>
      </c>
      <c r="L16" s="121">
        <f>'SPEC DETAILS'!E55</f>
        <v>5.2534000000000001</v>
      </c>
      <c r="M16" s="121">
        <f>'SPEC DETAILS'!F55</f>
        <v>5.2534000000000001</v>
      </c>
      <c r="N16" s="121">
        <f>'SPEC DETAILS'!G55</f>
        <v>4.3406000000000002</v>
      </c>
      <c r="O16" s="121">
        <f>'SPEC DETAILS'!H55</f>
        <v>4.3406000000000002</v>
      </c>
      <c r="P16" s="121">
        <f>'SPEC DETAILS'!I55</f>
        <v>4.3406000000000002</v>
      </c>
      <c r="Q16" s="121">
        <f>'SPEC DETAILS'!J55</f>
        <v>4.3406000000000002</v>
      </c>
      <c r="R16" s="121">
        <f>'SPEC DETAILS'!K55</f>
        <v>4.3406000000000002</v>
      </c>
      <c r="S16" s="121">
        <f>'SPEC DETAILS'!L55</f>
        <v>4.3406000000000002</v>
      </c>
      <c r="T16" s="121">
        <f>'SPEC DETAILS'!M55</f>
        <v>4.3406000000000002</v>
      </c>
      <c r="U16" s="121">
        <f>'SPEC DETAILS'!N55</f>
        <v>0</v>
      </c>
      <c r="V16" s="121">
        <f>'SPEC DETAILS'!O55</f>
        <v>0</v>
      </c>
      <c r="W16" s="121">
        <f>'SPEC DETAILS'!P55</f>
        <v>0</v>
      </c>
      <c r="X16" s="121">
        <f>'SPEC DETAILS'!Q55</f>
        <v>0</v>
      </c>
      <c r="Y16" s="121">
        <f>'SPEC DETAILS'!R55</f>
        <v>0</v>
      </c>
      <c r="Z16" s="121">
        <f>'SPEC DETAILS'!S55</f>
        <v>0</v>
      </c>
      <c r="AA16" s="121">
        <f>'SPEC DETAILS'!T55</f>
        <v>0</v>
      </c>
      <c r="AB16" s="121">
        <f>'SPEC DETAILS'!U55</f>
        <v>0</v>
      </c>
      <c r="AC16" s="121">
        <f>'SPEC DETAILS'!V55</f>
        <v>0</v>
      </c>
      <c r="AD16" s="121">
        <f>'SPEC DETAILS'!W55</f>
        <v>0</v>
      </c>
      <c r="AE16" s="121">
        <f>'SPEC DETAILS'!X55</f>
        <v>0</v>
      </c>
      <c r="AF16" s="121">
        <f>'SPEC DETAILS'!Y55</f>
        <v>0</v>
      </c>
      <c r="AG16" s="121">
        <f>'SPEC DETAILS'!Z55</f>
        <v>0</v>
      </c>
      <c r="AH16" s="85"/>
      <c r="AI16" s="70"/>
      <c r="AJ16" s="70"/>
      <c r="AK16" s="70"/>
      <c r="AL16" s="70"/>
      <c r="AM16" s="70"/>
    </row>
    <row r="17" spans="1:39" x14ac:dyDescent="0.15"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70"/>
      <c r="AJ17" s="70"/>
      <c r="AK17" s="70"/>
      <c r="AL17" s="70"/>
      <c r="AM17" s="70"/>
    </row>
    <row r="18" spans="1:39" x14ac:dyDescent="0.15"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70"/>
      <c r="AJ18" s="70"/>
      <c r="AK18" s="70"/>
      <c r="AL18" s="70"/>
      <c r="AM18" s="70"/>
    </row>
    <row r="19" spans="1:39" x14ac:dyDescent="0.15">
      <c r="A19" s="118" t="s">
        <v>8</v>
      </c>
      <c r="B19" s="84"/>
      <c r="D19" s="85"/>
      <c r="E19" s="85"/>
      <c r="F19" s="85"/>
      <c r="G19" s="85"/>
      <c r="H19" s="85"/>
      <c r="I19" s="83"/>
      <c r="J19" s="83">
        <f>J7</f>
        <v>37226</v>
      </c>
      <c r="K19" s="83">
        <f t="shared" ref="K19:AG19" si="1">K7</f>
        <v>37257</v>
      </c>
      <c r="L19" s="83">
        <f t="shared" si="1"/>
        <v>37288</v>
      </c>
      <c r="M19" s="83">
        <f t="shared" si="1"/>
        <v>37316</v>
      </c>
      <c r="N19" s="83">
        <f t="shared" si="1"/>
        <v>37347</v>
      </c>
      <c r="O19" s="83">
        <f t="shared" si="1"/>
        <v>37377</v>
      </c>
      <c r="P19" s="83">
        <f t="shared" si="1"/>
        <v>37408</v>
      </c>
      <c r="Q19" s="83">
        <f t="shared" si="1"/>
        <v>37438</v>
      </c>
      <c r="R19" s="83">
        <f t="shared" si="1"/>
        <v>37469</v>
      </c>
      <c r="S19" s="83">
        <f t="shared" si="1"/>
        <v>37500</v>
      </c>
      <c r="T19" s="83">
        <f t="shared" si="1"/>
        <v>37530</v>
      </c>
      <c r="U19" s="83">
        <f t="shared" si="1"/>
        <v>37561</v>
      </c>
      <c r="V19" s="83">
        <f t="shared" si="1"/>
        <v>37591</v>
      </c>
      <c r="W19" s="83">
        <f t="shared" si="1"/>
        <v>37622</v>
      </c>
      <c r="X19" s="83">
        <f t="shared" si="1"/>
        <v>37653</v>
      </c>
      <c r="Y19" s="83">
        <f t="shared" si="1"/>
        <v>37681</v>
      </c>
      <c r="Z19" s="83">
        <f t="shared" si="1"/>
        <v>37712</v>
      </c>
      <c r="AA19" s="83">
        <f t="shared" si="1"/>
        <v>37742</v>
      </c>
      <c r="AB19" s="83">
        <f t="shared" si="1"/>
        <v>37773</v>
      </c>
      <c r="AC19" s="83">
        <f t="shared" si="1"/>
        <v>37803</v>
      </c>
      <c r="AD19" s="83">
        <f t="shared" si="1"/>
        <v>37834</v>
      </c>
      <c r="AE19" s="83">
        <f t="shared" si="1"/>
        <v>37865</v>
      </c>
      <c r="AF19" s="83">
        <f t="shared" si="1"/>
        <v>37895</v>
      </c>
      <c r="AG19" s="83">
        <f t="shared" si="1"/>
        <v>37926</v>
      </c>
      <c r="AH19" s="69" t="s">
        <v>20</v>
      </c>
      <c r="AI19" s="70"/>
      <c r="AJ19" s="70"/>
      <c r="AK19" s="70"/>
      <c r="AL19" s="70"/>
      <c r="AM19" s="70"/>
    </row>
    <row r="20" spans="1:39" s="84" customFormat="1" x14ac:dyDescent="0.15">
      <c r="A20" s="71" t="s">
        <v>25</v>
      </c>
      <c r="B20" s="71"/>
      <c r="C20" s="71"/>
      <c r="D20" s="72"/>
      <c r="E20" s="72"/>
      <c r="F20" s="72"/>
      <c r="G20" s="72"/>
      <c r="H20" s="72"/>
      <c r="I20" s="72"/>
      <c r="J20" s="72">
        <f>'SPEC DETAILS'!C74</f>
        <v>0</v>
      </c>
      <c r="K20" s="72">
        <f>'SPEC DETAILS'!D74</f>
        <v>0</v>
      </c>
      <c r="L20" s="72">
        <f>'SPEC DETAILS'!E74</f>
        <v>0</v>
      </c>
      <c r="M20" s="72">
        <f>'SPEC DETAILS'!F74</f>
        <v>0</v>
      </c>
      <c r="N20" s="72">
        <f>'SPEC DETAILS'!G74</f>
        <v>-5000</v>
      </c>
      <c r="O20" s="72">
        <f>'SPEC DETAILS'!H74</f>
        <v>-5000</v>
      </c>
      <c r="P20" s="72">
        <f>'SPEC DETAILS'!I74</f>
        <v>-5000</v>
      </c>
      <c r="Q20" s="72">
        <f>'SPEC DETAILS'!J74</f>
        <v>-5000</v>
      </c>
      <c r="R20" s="72">
        <f>'SPEC DETAILS'!K74</f>
        <v>-5000</v>
      </c>
      <c r="S20" s="72">
        <f>'SPEC DETAILS'!L74</f>
        <v>-5000</v>
      </c>
      <c r="T20" s="72">
        <f>'SPEC DETAILS'!M74</f>
        <v>-5000</v>
      </c>
      <c r="U20" s="72">
        <f>'SPEC DETAILS'!N74</f>
        <v>0</v>
      </c>
      <c r="V20" s="72">
        <f>'SPEC DETAILS'!O74</f>
        <v>0</v>
      </c>
      <c r="W20" s="72">
        <f>'SPEC DETAILS'!P74</f>
        <v>0</v>
      </c>
      <c r="X20" s="72">
        <f>'SPEC DETAILS'!Q74</f>
        <v>0</v>
      </c>
      <c r="Y20" s="72">
        <f>'SPEC DETAILS'!R74</f>
        <v>0</v>
      </c>
      <c r="Z20" s="72">
        <f>'SPEC DETAILS'!S74</f>
        <v>0</v>
      </c>
      <c r="AA20" s="72">
        <f>'SPEC DETAILS'!T74</f>
        <v>0</v>
      </c>
      <c r="AB20" s="72">
        <f>'SPEC DETAILS'!U74</f>
        <v>0</v>
      </c>
      <c r="AC20" s="72">
        <f>'SPEC DETAILS'!V74</f>
        <v>0</v>
      </c>
      <c r="AD20" s="72">
        <f>'SPEC DETAILS'!W74</f>
        <v>0</v>
      </c>
      <c r="AE20" s="72">
        <f>'SPEC DETAILS'!X74</f>
        <v>0</v>
      </c>
      <c r="AF20" s="72">
        <f>'SPEC DETAILS'!Y74</f>
        <v>0</v>
      </c>
      <c r="AG20" s="72">
        <f>'SPEC DETAILS'!Z74</f>
        <v>0</v>
      </c>
      <c r="AH20" s="73"/>
      <c r="AI20" s="73"/>
      <c r="AJ20" s="73"/>
      <c r="AK20" s="73"/>
      <c r="AL20" s="73"/>
      <c r="AM20" s="73"/>
    </row>
    <row r="21" spans="1:39" x14ac:dyDescent="0.15">
      <c r="A21" s="80" t="s">
        <v>30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70"/>
      <c r="AJ21" s="70"/>
      <c r="AK21" s="70"/>
      <c r="AL21" s="70"/>
      <c r="AM21" s="70"/>
    </row>
    <row r="22" spans="1:39" s="75" customFormat="1" x14ac:dyDescent="0.15">
      <c r="A22" s="74" t="s">
        <v>31</v>
      </c>
      <c r="B22" s="74"/>
      <c r="C22" s="74"/>
      <c r="D22" s="74"/>
      <c r="E22" s="74"/>
      <c r="F22" s="74"/>
      <c r="G22" s="74"/>
      <c r="H22" s="74"/>
      <c r="I22" s="74"/>
      <c r="J22" s="74">
        <f t="shared" ref="J22:AF22" si="2">J24-J23</f>
        <v>0</v>
      </c>
      <c r="K22" s="74">
        <f t="shared" si="2"/>
        <v>0</v>
      </c>
      <c r="L22" s="74">
        <f t="shared" si="2"/>
        <v>0</v>
      </c>
      <c r="M22" s="74">
        <f t="shared" si="2"/>
        <v>0</v>
      </c>
      <c r="N22" s="74">
        <f t="shared" si="2"/>
        <v>-162</v>
      </c>
      <c r="O22" s="74">
        <f t="shared" si="2"/>
        <v>-103</v>
      </c>
      <c r="P22" s="74">
        <f t="shared" si="2"/>
        <v>0</v>
      </c>
      <c r="Q22" s="74">
        <f t="shared" si="2"/>
        <v>143</v>
      </c>
      <c r="R22" s="74">
        <f t="shared" si="2"/>
        <v>325</v>
      </c>
      <c r="S22" s="74">
        <f t="shared" si="2"/>
        <v>398</v>
      </c>
      <c r="T22" s="74">
        <f t="shared" si="2"/>
        <v>610</v>
      </c>
      <c r="U22" s="74">
        <f t="shared" si="2"/>
        <v>0</v>
      </c>
      <c r="V22" s="74">
        <f t="shared" si="2"/>
        <v>0</v>
      </c>
      <c r="W22" s="74">
        <f t="shared" si="2"/>
        <v>0</v>
      </c>
      <c r="X22" s="74">
        <f t="shared" si="2"/>
        <v>0</v>
      </c>
      <c r="Y22" s="74">
        <f t="shared" si="2"/>
        <v>0</v>
      </c>
      <c r="Z22" s="74">
        <f t="shared" si="2"/>
        <v>0</v>
      </c>
      <c r="AA22" s="74">
        <f t="shared" si="2"/>
        <v>0</v>
      </c>
      <c r="AB22" s="74">
        <f t="shared" si="2"/>
        <v>0</v>
      </c>
      <c r="AC22" s="74">
        <f t="shared" si="2"/>
        <v>0</v>
      </c>
      <c r="AD22" s="74">
        <f t="shared" si="2"/>
        <v>0</v>
      </c>
      <c r="AE22" s="74">
        <f t="shared" si="2"/>
        <v>0</v>
      </c>
      <c r="AF22" s="74">
        <f t="shared" si="2"/>
        <v>0</v>
      </c>
      <c r="AG22" s="74"/>
      <c r="AH22" s="74">
        <f>SUM(J22:AG22)</f>
        <v>1211</v>
      </c>
    </row>
    <row r="23" spans="1:39" s="75" customFormat="1" x14ac:dyDescent="0.15">
      <c r="A23" s="74" t="s">
        <v>32</v>
      </c>
      <c r="B23" s="74"/>
      <c r="C23" s="74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>
        <v>12000</v>
      </c>
      <c r="O23" s="76">
        <v>6200</v>
      </c>
      <c r="P23" s="76">
        <v>0</v>
      </c>
      <c r="Q23" s="76">
        <v>-6200</v>
      </c>
      <c r="R23" s="76">
        <v>-12400</v>
      </c>
      <c r="S23" s="76">
        <v>-13500</v>
      </c>
      <c r="T23" s="76">
        <v>-18600</v>
      </c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>
        <f>SUM(M23:AG23)</f>
        <v>-32500</v>
      </c>
    </row>
    <row r="24" spans="1:39" s="65" customFormat="1" x14ac:dyDescent="0.15">
      <c r="A24" s="64" t="s">
        <v>34</v>
      </c>
      <c r="B24" s="64"/>
      <c r="C24" s="64"/>
      <c r="D24" s="64"/>
      <c r="E24" s="64"/>
      <c r="F24" s="64"/>
      <c r="G24" s="64"/>
      <c r="H24" s="64"/>
      <c r="I24" s="64"/>
      <c r="J24" s="64">
        <f>'SPEC DETAILS'!C100</f>
        <v>0</v>
      </c>
      <c r="K24" s="64">
        <f>'SPEC DETAILS'!D100</f>
        <v>0</v>
      </c>
      <c r="L24" s="64">
        <f>'SPEC DETAILS'!E100</f>
        <v>0</v>
      </c>
      <c r="M24" s="64">
        <f>'SPEC DETAILS'!F100</f>
        <v>0</v>
      </c>
      <c r="N24" s="64">
        <f>'SPEC DETAILS'!G100</f>
        <v>11838</v>
      </c>
      <c r="O24" s="64">
        <f>'SPEC DETAILS'!H100</f>
        <v>6097</v>
      </c>
      <c r="P24" s="64">
        <f>'SPEC DETAILS'!I100</f>
        <v>0</v>
      </c>
      <c r="Q24" s="64">
        <f>'SPEC DETAILS'!J100</f>
        <v>-6057</v>
      </c>
      <c r="R24" s="64">
        <f>'SPEC DETAILS'!K100</f>
        <v>-12075</v>
      </c>
      <c r="S24" s="64">
        <f>'SPEC DETAILS'!L100</f>
        <v>-13102</v>
      </c>
      <c r="T24" s="64">
        <f>'SPEC DETAILS'!M100</f>
        <v>-17990</v>
      </c>
      <c r="U24" s="64">
        <f>'SPEC DETAILS'!N100</f>
        <v>0</v>
      </c>
      <c r="V24" s="64">
        <f>'SPEC DETAILS'!O100</f>
        <v>0</v>
      </c>
      <c r="W24" s="64">
        <f>'SPEC DETAILS'!P100</f>
        <v>0</v>
      </c>
      <c r="X24" s="64">
        <f>'SPEC DETAILS'!Q100</f>
        <v>0</v>
      </c>
      <c r="Y24" s="64">
        <f>'SPEC DETAILS'!R100</f>
        <v>0</v>
      </c>
      <c r="Z24" s="64">
        <f>'SPEC DETAILS'!S100</f>
        <v>0</v>
      </c>
      <c r="AA24" s="64">
        <f>'SPEC DETAILS'!T100</f>
        <v>0</v>
      </c>
      <c r="AB24" s="64">
        <f>'SPEC DETAILS'!U100</f>
        <v>0</v>
      </c>
      <c r="AC24" s="64">
        <f>'SPEC DETAILS'!V100</f>
        <v>0</v>
      </c>
      <c r="AD24" s="64">
        <f>'SPEC DETAILS'!W100</f>
        <v>0</v>
      </c>
      <c r="AE24" s="64">
        <f>'SPEC DETAILS'!X100</f>
        <v>0</v>
      </c>
      <c r="AF24" s="64">
        <f>'SPEC DETAILS'!Y100</f>
        <v>0</v>
      </c>
      <c r="AG24" s="64">
        <f>'SPEC DETAILS'!Z100</f>
        <v>0</v>
      </c>
      <c r="AH24" s="64">
        <f>SUM(AH22:AH23)</f>
        <v>-31289</v>
      </c>
    </row>
    <row r="25" spans="1:39" s="65" customFormat="1" x14ac:dyDescent="0.15"/>
    <row r="26" spans="1:39" x14ac:dyDescent="0.15">
      <c r="A26" s="119" t="s">
        <v>5</v>
      </c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70"/>
      <c r="AJ26" s="70"/>
      <c r="AK26" s="70"/>
      <c r="AL26" s="70"/>
      <c r="AM26" s="70"/>
    </row>
    <row r="27" spans="1:39" x14ac:dyDescent="0.15">
      <c r="A27" s="120" t="s">
        <v>6</v>
      </c>
      <c r="D27" s="85"/>
      <c r="E27" s="85"/>
      <c r="F27" s="85"/>
      <c r="G27" s="85"/>
      <c r="H27" s="85"/>
      <c r="I27" s="85"/>
      <c r="J27" s="121">
        <f>'SPEC DETAILS'!C94</f>
        <v>0</v>
      </c>
      <c r="K27" s="121">
        <f>'SPEC DETAILS'!D94</f>
        <v>0</v>
      </c>
      <c r="L27" s="121">
        <f>'SPEC DETAILS'!E94</f>
        <v>0</v>
      </c>
      <c r="M27" s="121">
        <f>'SPEC DETAILS'!F94</f>
        <v>0</v>
      </c>
      <c r="N27" s="121">
        <f>'SPEC DETAILS'!G94</f>
        <v>0</v>
      </c>
      <c r="O27" s="121">
        <f>'SPEC DETAILS'!H94</f>
        <v>0</v>
      </c>
      <c r="P27" s="121">
        <f>'SPEC DETAILS'!I94</f>
        <v>0</v>
      </c>
      <c r="Q27" s="121">
        <f>'SPEC DETAILS'!J94</f>
        <v>0</v>
      </c>
      <c r="R27" s="121">
        <f>'SPEC DETAILS'!K94</f>
        <v>0</v>
      </c>
      <c r="S27" s="121">
        <f>'SPEC DETAILS'!L94</f>
        <v>0</v>
      </c>
      <c r="T27" s="121">
        <f>'SPEC DETAILS'!M94</f>
        <v>0</v>
      </c>
      <c r="U27" s="121">
        <f>'SPEC DETAILS'!N94</f>
        <v>0</v>
      </c>
      <c r="V27" s="121">
        <f>'SPEC DETAILS'!O94</f>
        <v>0</v>
      </c>
      <c r="W27" s="121">
        <f>'SPEC DETAILS'!P94</f>
        <v>0</v>
      </c>
      <c r="X27" s="121">
        <f>'SPEC DETAILS'!Q94</f>
        <v>0</v>
      </c>
      <c r="Y27" s="121">
        <f>'SPEC DETAILS'!R94</f>
        <v>0</v>
      </c>
      <c r="Z27" s="121">
        <f>'SPEC DETAILS'!S94</f>
        <v>0</v>
      </c>
      <c r="AA27" s="121">
        <f>'SPEC DETAILS'!T94</f>
        <v>0</v>
      </c>
      <c r="AB27" s="121">
        <f>'SPEC DETAILS'!U94</f>
        <v>0</v>
      </c>
      <c r="AC27" s="121">
        <f>'SPEC DETAILS'!V94</f>
        <v>0</v>
      </c>
      <c r="AD27" s="121">
        <f>'SPEC DETAILS'!W94</f>
        <v>0</v>
      </c>
      <c r="AE27" s="121">
        <f>'SPEC DETAILS'!X94</f>
        <v>0</v>
      </c>
      <c r="AF27" s="121">
        <f>'SPEC DETAILS'!Y94</f>
        <v>0</v>
      </c>
      <c r="AG27" s="121">
        <f>'SPEC DETAILS'!Z94</f>
        <v>0</v>
      </c>
      <c r="AH27" s="85"/>
      <c r="AI27" s="70"/>
      <c r="AJ27" s="70"/>
      <c r="AK27" s="70"/>
      <c r="AL27" s="70"/>
      <c r="AM27" s="70"/>
    </row>
    <row r="28" spans="1:39" x14ac:dyDescent="0.15">
      <c r="A28" s="120" t="s">
        <v>7</v>
      </c>
      <c r="D28" s="85"/>
      <c r="E28" s="85"/>
      <c r="F28" s="85"/>
      <c r="G28" s="85"/>
      <c r="H28" s="85"/>
      <c r="I28" s="85"/>
      <c r="J28" s="121">
        <f>'SPEC DETAILS'!C95</f>
        <v>0</v>
      </c>
      <c r="K28" s="121">
        <f>'SPEC DETAILS'!D95</f>
        <v>0</v>
      </c>
      <c r="L28" s="121">
        <f>'SPEC DETAILS'!E95</f>
        <v>0</v>
      </c>
      <c r="M28" s="121">
        <f>'SPEC DETAILS'!F95</f>
        <v>0</v>
      </c>
      <c r="N28" s="121">
        <f>'SPEC DETAILS'!G95</f>
        <v>2.5</v>
      </c>
      <c r="O28" s="121">
        <f>'SPEC DETAILS'!H95</f>
        <v>2.5</v>
      </c>
      <c r="P28" s="121">
        <f>'SPEC DETAILS'!I95</f>
        <v>2.5</v>
      </c>
      <c r="Q28" s="121">
        <f>'SPEC DETAILS'!J95</f>
        <v>2.5</v>
      </c>
      <c r="R28" s="121">
        <f>'SPEC DETAILS'!K95</f>
        <v>2.5</v>
      </c>
      <c r="S28" s="121">
        <f>'SPEC DETAILS'!L95</f>
        <v>2.5</v>
      </c>
      <c r="T28" s="121">
        <f>'SPEC DETAILS'!M95</f>
        <v>2.5</v>
      </c>
      <c r="U28" s="121">
        <f>'SPEC DETAILS'!N95</f>
        <v>0</v>
      </c>
      <c r="V28" s="121">
        <f>'SPEC DETAILS'!O95</f>
        <v>0</v>
      </c>
      <c r="W28" s="121">
        <f>'SPEC DETAILS'!P95</f>
        <v>0</v>
      </c>
      <c r="X28" s="121">
        <f>'SPEC DETAILS'!Q95</f>
        <v>0</v>
      </c>
      <c r="Y28" s="121">
        <f>'SPEC DETAILS'!R95</f>
        <v>0</v>
      </c>
      <c r="Z28" s="121">
        <f>'SPEC DETAILS'!S95</f>
        <v>0</v>
      </c>
      <c r="AA28" s="121">
        <f>'SPEC DETAILS'!T95</f>
        <v>0</v>
      </c>
      <c r="AB28" s="121">
        <f>'SPEC DETAILS'!U95</f>
        <v>0</v>
      </c>
      <c r="AC28" s="121">
        <f>'SPEC DETAILS'!V95</f>
        <v>0</v>
      </c>
      <c r="AD28" s="121">
        <f>'SPEC DETAILS'!W95</f>
        <v>0</v>
      </c>
      <c r="AE28" s="121">
        <f>'SPEC DETAILS'!X95</f>
        <v>0</v>
      </c>
      <c r="AF28" s="121">
        <f>'SPEC DETAILS'!Y95</f>
        <v>0</v>
      </c>
      <c r="AG28" s="121">
        <f>'SPEC DETAILS'!Z95</f>
        <v>0</v>
      </c>
      <c r="AH28" s="85"/>
      <c r="AI28" s="70"/>
      <c r="AJ28" s="70"/>
      <c r="AK28" s="70"/>
      <c r="AL28" s="70"/>
      <c r="AM28" s="70"/>
    </row>
    <row r="29" spans="1:39" x14ac:dyDescent="0.15"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70"/>
      <c r="AJ29" s="70"/>
      <c r="AK29" s="70"/>
      <c r="AL29" s="70"/>
      <c r="AM29" s="70"/>
    </row>
    <row r="30" spans="1:39" x14ac:dyDescent="0.15"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70"/>
      <c r="AJ30" s="70"/>
      <c r="AK30" s="70"/>
      <c r="AL30" s="70"/>
      <c r="AM30" s="70"/>
    </row>
    <row r="31" spans="1:39" x14ac:dyDescent="0.15">
      <c r="A31" s="118" t="s">
        <v>9</v>
      </c>
      <c r="B31" s="84"/>
      <c r="D31" s="85"/>
      <c r="E31" s="85"/>
      <c r="F31" s="85"/>
      <c r="G31" s="85"/>
      <c r="H31" s="85"/>
      <c r="I31" s="83"/>
      <c r="J31" s="83">
        <f>J19</f>
        <v>37226</v>
      </c>
      <c r="K31" s="83">
        <f t="shared" ref="K31:AG31" si="3">K19</f>
        <v>37257</v>
      </c>
      <c r="L31" s="83">
        <f t="shared" si="3"/>
        <v>37288</v>
      </c>
      <c r="M31" s="83">
        <f t="shared" si="3"/>
        <v>37316</v>
      </c>
      <c r="N31" s="83">
        <f t="shared" si="3"/>
        <v>37347</v>
      </c>
      <c r="O31" s="83">
        <f t="shared" si="3"/>
        <v>37377</v>
      </c>
      <c r="P31" s="83">
        <f t="shared" si="3"/>
        <v>37408</v>
      </c>
      <c r="Q31" s="83">
        <f t="shared" si="3"/>
        <v>37438</v>
      </c>
      <c r="R31" s="83">
        <f t="shared" si="3"/>
        <v>37469</v>
      </c>
      <c r="S31" s="83">
        <f t="shared" si="3"/>
        <v>37500</v>
      </c>
      <c r="T31" s="83">
        <f t="shared" si="3"/>
        <v>37530</v>
      </c>
      <c r="U31" s="83">
        <f t="shared" si="3"/>
        <v>37561</v>
      </c>
      <c r="V31" s="83">
        <f t="shared" si="3"/>
        <v>37591</v>
      </c>
      <c r="W31" s="83">
        <f t="shared" si="3"/>
        <v>37622</v>
      </c>
      <c r="X31" s="83">
        <f t="shared" si="3"/>
        <v>37653</v>
      </c>
      <c r="Y31" s="83">
        <f t="shared" si="3"/>
        <v>37681</v>
      </c>
      <c r="Z31" s="83">
        <f t="shared" si="3"/>
        <v>37712</v>
      </c>
      <c r="AA31" s="83">
        <f t="shared" si="3"/>
        <v>37742</v>
      </c>
      <c r="AB31" s="83">
        <f t="shared" si="3"/>
        <v>37773</v>
      </c>
      <c r="AC31" s="83">
        <f t="shared" si="3"/>
        <v>37803</v>
      </c>
      <c r="AD31" s="83">
        <f t="shared" si="3"/>
        <v>37834</v>
      </c>
      <c r="AE31" s="83">
        <f t="shared" si="3"/>
        <v>37865</v>
      </c>
      <c r="AF31" s="83">
        <f t="shared" si="3"/>
        <v>37895</v>
      </c>
      <c r="AG31" s="83">
        <f t="shared" si="3"/>
        <v>37926</v>
      </c>
      <c r="AH31" s="69" t="s">
        <v>20</v>
      </c>
      <c r="AI31" s="70"/>
      <c r="AJ31" s="70"/>
      <c r="AK31" s="70"/>
      <c r="AL31" s="70"/>
      <c r="AM31" s="70"/>
    </row>
    <row r="32" spans="1:39" s="84" customFormat="1" x14ac:dyDescent="0.15">
      <c r="A32" s="71" t="s">
        <v>25</v>
      </c>
      <c r="B32" s="71"/>
      <c r="C32" s="71"/>
      <c r="D32" s="72"/>
      <c r="E32" s="72"/>
      <c r="F32" s="72"/>
      <c r="G32" s="72"/>
      <c r="H32" s="72"/>
      <c r="I32" s="72"/>
      <c r="J32" s="72">
        <f>'SPEC DETAILS'!C114</f>
        <v>0</v>
      </c>
      <c r="K32" s="72">
        <f>'SPEC DETAILS'!D114</f>
        <v>0</v>
      </c>
      <c r="L32" s="72">
        <f>'SPEC DETAILS'!E114</f>
        <v>0</v>
      </c>
      <c r="M32" s="72">
        <f>'SPEC DETAILS'!F114</f>
        <v>0</v>
      </c>
      <c r="N32" s="72">
        <f>'SPEC DETAILS'!G114</f>
        <v>0</v>
      </c>
      <c r="O32" s="72">
        <f>'SPEC DETAILS'!H114</f>
        <v>0</v>
      </c>
      <c r="P32" s="72">
        <f>'SPEC DETAILS'!I114</f>
        <v>0</v>
      </c>
      <c r="Q32" s="72">
        <f>'SPEC DETAILS'!J114</f>
        <v>0</v>
      </c>
      <c r="R32" s="72">
        <f>'SPEC DETAILS'!K114</f>
        <v>0</v>
      </c>
      <c r="S32" s="72">
        <f>'SPEC DETAILS'!L114</f>
        <v>0</v>
      </c>
      <c r="T32" s="72">
        <f>'SPEC DETAILS'!M114</f>
        <v>0</v>
      </c>
      <c r="U32" s="72">
        <f>'SPEC DETAILS'!N114</f>
        <v>0</v>
      </c>
      <c r="V32" s="72">
        <f>'SPEC DETAILS'!O114</f>
        <v>0</v>
      </c>
      <c r="W32" s="72">
        <f>'SPEC DETAILS'!P114</f>
        <v>0</v>
      </c>
      <c r="X32" s="72">
        <f>'SPEC DETAILS'!Q114</f>
        <v>0</v>
      </c>
      <c r="Y32" s="72">
        <f>'SPEC DETAILS'!R114</f>
        <v>0</v>
      </c>
      <c r="Z32" s="72">
        <f>'SPEC DETAILS'!S114</f>
        <v>0</v>
      </c>
      <c r="AA32" s="72">
        <f>'SPEC DETAILS'!T114</f>
        <v>0</v>
      </c>
      <c r="AB32" s="72">
        <f>'SPEC DETAILS'!U114</f>
        <v>0</v>
      </c>
      <c r="AC32" s="72">
        <f>'SPEC DETAILS'!V114</f>
        <v>0</v>
      </c>
      <c r="AD32" s="72">
        <f>'SPEC DETAILS'!W114</f>
        <v>0</v>
      </c>
      <c r="AE32" s="72">
        <f>'SPEC DETAILS'!X114</f>
        <v>0</v>
      </c>
      <c r="AF32" s="72">
        <f>'SPEC DETAILS'!Y114</f>
        <v>0</v>
      </c>
      <c r="AG32" s="72">
        <f>'SPEC DETAILS'!Z114</f>
        <v>0</v>
      </c>
      <c r="AH32" s="73"/>
      <c r="AI32" s="73"/>
      <c r="AJ32" s="73"/>
      <c r="AK32" s="73"/>
      <c r="AL32" s="73"/>
      <c r="AM32" s="73"/>
    </row>
    <row r="33" spans="1:39" x14ac:dyDescent="0.15">
      <c r="A33" s="80" t="s">
        <v>30</v>
      </c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70"/>
      <c r="AJ33" s="70"/>
      <c r="AK33" s="70"/>
      <c r="AL33" s="70"/>
      <c r="AM33" s="70"/>
    </row>
    <row r="34" spans="1:39" s="75" customFormat="1" x14ac:dyDescent="0.15">
      <c r="A34" s="74" t="s">
        <v>31</v>
      </c>
      <c r="B34" s="74"/>
      <c r="C34" s="74"/>
      <c r="D34" s="74"/>
      <c r="E34" s="74"/>
      <c r="F34" s="74"/>
      <c r="G34" s="74"/>
      <c r="H34" s="74"/>
      <c r="I34" s="74"/>
      <c r="J34" s="74">
        <f t="shared" ref="J34:AF34" si="4">J36-J35</f>
        <v>155442</v>
      </c>
      <c r="K34" s="74">
        <f t="shared" si="4"/>
        <v>154950</v>
      </c>
      <c r="L34" s="74">
        <f t="shared" si="4"/>
        <v>139506</v>
      </c>
      <c r="M34" s="74">
        <f t="shared" si="4"/>
        <v>154026</v>
      </c>
      <c r="N34" s="74">
        <f t="shared" si="4"/>
        <v>25156</v>
      </c>
      <c r="O34" s="74">
        <f t="shared" si="4"/>
        <v>25912</v>
      </c>
      <c r="P34" s="74">
        <f t="shared" si="4"/>
        <v>24994</v>
      </c>
      <c r="Q34" s="74">
        <f t="shared" si="4"/>
        <v>25744</v>
      </c>
      <c r="R34" s="62">
        <f t="shared" si="4"/>
        <v>25658</v>
      </c>
      <c r="S34" s="62">
        <f t="shared" si="4"/>
        <v>24748</v>
      </c>
      <c r="T34" s="62">
        <f t="shared" si="4"/>
        <v>25486</v>
      </c>
      <c r="U34" s="62">
        <f t="shared" si="4"/>
        <v>0</v>
      </c>
      <c r="V34" s="62">
        <f t="shared" si="4"/>
        <v>0</v>
      </c>
      <c r="W34" s="62">
        <f t="shared" si="4"/>
        <v>0</v>
      </c>
      <c r="X34" s="62">
        <f t="shared" si="4"/>
        <v>0</v>
      </c>
      <c r="Y34" s="62">
        <f t="shared" si="4"/>
        <v>0</v>
      </c>
      <c r="Z34" s="62">
        <f t="shared" si="4"/>
        <v>0</v>
      </c>
      <c r="AA34" s="62">
        <f t="shared" si="4"/>
        <v>0</v>
      </c>
      <c r="AB34" s="62">
        <f t="shared" si="4"/>
        <v>0</v>
      </c>
      <c r="AC34" s="62">
        <f t="shared" si="4"/>
        <v>0</v>
      </c>
      <c r="AD34" s="62">
        <f t="shared" si="4"/>
        <v>0</v>
      </c>
      <c r="AE34" s="62">
        <f t="shared" si="4"/>
        <v>0</v>
      </c>
      <c r="AF34" s="62">
        <f t="shared" si="4"/>
        <v>0</v>
      </c>
      <c r="AG34" s="62"/>
      <c r="AH34" s="62">
        <f>SUM(J34:AG34)</f>
        <v>781622</v>
      </c>
    </row>
    <row r="35" spans="1:39" s="75" customFormat="1" x14ac:dyDescent="0.15">
      <c r="A35" s="74" t="s">
        <v>32</v>
      </c>
      <c r="B35" s="74"/>
      <c r="C35" s="74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AH35" s="75">
        <f>SUM(J35:AG35)</f>
        <v>0</v>
      </c>
    </row>
    <row r="36" spans="1:39" s="65" customFormat="1" x14ac:dyDescent="0.15">
      <c r="A36" s="64" t="s">
        <v>35</v>
      </c>
      <c r="B36" s="64"/>
      <c r="C36" s="64"/>
      <c r="D36" s="64"/>
      <c r="E36" s="64"/>
      <c r="F36" s="64"/>
      <c r="G36" s="64"/>
      <c r="H36" s="64"/>
      <c r="I36" s="64"/>
      <c r="J36" s="64">
        <f>'SPEC DETAILS'!C140</f>
        <v>155442</v>
      </c>
      <c r="K36" s="64">
        <f>'SPEC DETAILS'!D140</f>
        <v>154950</v>
      </c>
      <c r="L36" s="64">
        <f>'SPEC DETAILS'!E140</f>
        <v>139506</v>
      </c>
      <c r="M36" s="64">
        <f>'SPEC DETAILS'!F140</f>
        <v>154026</v>
      </c>
      <c r="N36" s="64">
        <f>'SPEC DETAILS'!G140</f>
        <v>25156</v>
      </c>
      <c r="O36" s="64">
        <f>'SPEC DETAILS'!H140</f>
        <v>25912</v>
      </c>
      <c r="P36" s="64">
        <f>'SPEC DETAILS'!I140</f>
        <v>24994</v>
      </c>
      <c r="Q36" s="64">
        <f>'SPEC DETAILS'!J140</f>
        <v>25744</v>
      </c>
      <c r="R36" s="64">
        <f>'SPEC DETAILS'!K140</f>
        <v>25658</v>
      </c>
      <c r="S36" s="64">
        <f>'SPEC DETAILS'!L140</f>
        <v>24748</v>
      </c>
      <c r="T36" s="64">
        <f>'SPEC DETAILS'!M140</f>
        <v>25486</v>
      </c>
      <c r="U36" s="64">
        <f>'SPEC DETAILS'!N140</f>
        <v>0</v>
      </c>
      <c r="V36" s="64">
        <f>'SPEC DETAILS'!O140</f>
        <v>0</v>
      </c>
      <c r="W36" s="64">
        <f>'SPEC DETAILS'!P140</f>
        <v>0</v>
      </c>
      <c r="X36" s="64">
        <f>'SPEC DETAILS'!Q140</f>
        <v>0</v>
      </c>
      <c r="Y36" s="64">
        <f>'SPEC DETAILS'!R140</f>
        <v>0</v>
      </c>
      <c r="Z36" s="64">
        <f>'SPEC DETAILS'!S140</f>
        <v>0</v>
      </c>
      <c r="AA36" s="64">
        <f>'SPEC DETAILS'!T140</f>
        <v>0</v>
      </c>
      <c r="AB36" s="64">
        <f>'SPEC DETAILS'!U140</f>
        <v>0</v>
      </c>
      <c r="AC36" s="64">
        <f>'SPEC DETAILS'!V140</f>
        <v>0</v>
      </c>
      <c r="AD36" s="64">
        <f>'SPEC DETAILS'!W140</f>
        <v>0</v>
      </c>
      <c r="AE36" s="64">
        <f>'SPEC DETAILS'!X140</f>
        <v>0</v>
      </c>
      <c r="AF36" s="64">
        <f>'SPEC DETAILS'!Y140</f>
        <v>0</v>
      </c>
      <c r="AG36" s="64">
        <f>'SPEC DETAILS'!Z140</f>
        <v>0</v>
      </c>
      <c r="AH36" s="64">
        <f>SUM(AH34:AH35)</f>
        <v>781622</v>
      </c>
    </row>
    <row r="37" spans="1:39" s="65" customFormat="1" x14ac:dyDescent="0.15"/>
    <row r="38" spans="1:39" s="65" customFormat="1" x14ac:dyDescent="0.15">
      <c r="A38" s="119" t="s">
        <v>5</v>
      </c>
    </row>
    <row r="39" spans="1:39" s="65" customFormat="1" x14ac:dyDescent="0.15">
      <c r="A39" s="120" t="s">
        <v>6</v>
      </c>
      <c r="J39" s="121">
        <f>'SPEC DETAILS'!C134</f>
        <v>4.7</v>
      </c>
      <c r="K39" s="121">
        <f>'SPEC DETAILS'!D134</f>
        <v>4.7</v>
      </c>
      <c r="L39" s="121">
        <f>'SPEC DETAILS'!E134</f>
        <v>4.7</v>
      </c>
      <c r="M39" s="121">
        <f>'SPEC DETAILS'!F134</f>
        <v>4.7</v>
      </c>
      <c r="N39" s="121">
        <f>'SPEC DETAILS'!G134</f>
        <v>3.2256</v>
      </c>
      <c r="O39" s="121">
        <f>'SPEC DETAILS'!H134</f>
        <v>3.2256</v>
      </c>
      <c r="P39" s="121">
        <f>'SPEC DETAILS'!I134</f>
        <v>3.2256</v>
      </c>
      <c r="Q39" s="121">
        <f>'SPEC DETAILS'!J134</f>
        <v>3.2256</v>
      </c>
      <c r="R39" s="121">
        <f>'SPEC DETAILS'!K134</f>
        <v>3.2256</v>
      </c>
      <c r="S39" s="121">
        <f>'SPEC DETAILS'!L134</f>
        <v>3.2256</v>
      </c>
      <c r="T39" s="121">
        <f>'SPEC DETAILS'!M134</f>
        <v>3.2256</v>
      </c>
      <c r="U39" s="121">
        <f>'SPEC DETAILS'!N134</f>
        <v>0</v>
      </c>
      <c r="V39" s="121">
        <f>'SPEC DETAILS'!O134</f>
        <v>0</v>
      </c>
      <c r="W39" s="121">
        <f>'SPEC DETAILS'!P134</f>
        <v>0</v>
      </c>
      <c r="X39" s="121">
        <f>'SPEC DETAILS'!Q134</f>
        <v>0</v>
      </c>
      <c r="Y39" s="121">
        <f>'SPEC DETAILS'!R134</f>
        <v>0</v>
      </c>
      <c r="Z39" s="121">
        <f>'SPEC DETAILS'!S134</f>
        <v>0</v>
      </c>
      <c r="AA39" s="121">
        <f>'SPEC DETAILS'!T134</f>
        <v>0</v>
      </c>
      <c r="AB39" s="121">
        <f>'SPEC DETAILS'!U134</f>
        <v>0</v>
      </c>
      <c r="AC39" s="121">
        <f>'SPEC DETAILS'!V134</f>
        <v>0</v>
      </c>
      <c r="AD39" s="121">
        <f>'SPEC DETAILS'!W134</f>
        <v>0</v>
      </c>
      <c r="AE39" s="121">
        <f>'SPEC DETAILS'!X134</f>
        <v>0</v>
      </c>
      <c r="AF39" s="121">
        <f>'SPEC DETAILS'!Y134</f>
        <v>0</v>
      </c>
      <c r="AG39" s="121">
        <f>'SPEC DETAILS'!Z134</f>
        <v>0</v>
      </c>
    </row>
    <row r="40" spans="1:39" s="65" customFormat="1" x14ac:dyDescent="0.15">
      <c r="A40" s="120" t="s">
        <v>7</v>
      </c>
      <c r="J40" s="121">
        <f>'SPEC DETAILS'!C135</f>
        <v>4.8436000000000003</v>
      </c>
      <c r="K40" s="121">
        <f>'SPEC DETAILS'!D135</f>
        <v>4.8436000000000003</v>
      </c>
      <c r="L40" s="121">
        <f>'SPEC DETAILS'!E135</f>
        <v>4.8436000000000003</v>
      </c>
      <c r="M40" s="121">
        <f>'SPEC DETAILS'!F135</f>
        <v>4.8436000000000003</v>
      </c>
      <c r="N40" s="121">
        <f>'SPEC DETAILS'!G135</f>
        <v>3.2469000000000001</v>
      </c>
      <c r="O40" s="121">
        <f>'SPEC DETAILS'!H135</f>
        <v>3.2469000000000001</v>
      </c>
      <c r="P40" s="121">
        <f>'SPEC DETAILS'!I135</f>
        <v>3.2469000000000001</v>
      </c>
      <c r="Q40" s="121">
        <f>'SPEC DETAILS'!J135</f>
        <v>3.2469000000000001</v>
      </c>
      <c r="R40" s="121">
        <f>'SPEC DETAILS'!K135</f>
        <v>3.2469000000000001</v>
      </c>
      <c r="S40" s="121">
        <f>'SPEC DETAILS'!L135</f>
        <v>3.2469000000000001</v>
      </c>
      <c r="T40" s="121">
        <f>'SPEC DETAILS'!M135</f>
        <v>3.2469000000000001</v>
      </c>
      <c r="U40" s="121">
        <f>'SPEC DETAILS'!N135</f>
        <v>0</v>
      </c>
      <c r="V40" s="121">
        <f>'SPEC DETAILS'!O135</f>
        <v>0</v>
      </c>
      <c r="W40" s="121">
        <f>'SPEC DETAILS'!P135</f>
        <v>0</v>
      </c>
      <c r="X40" s="121">
        <f>'SPEC DETAILS'!Q135</f>
        <v>0</v>
      </c>
      <c r="Y40" s="121">
        <f>'SPEC DETAILS'!R135</f>
        <v>0</v>
      </c>
      <c r="Z40" s="121">
        <f>'SPEC DETAILS'!S135</f>
        <v>0</v>
      </c>
      <c r="AA40" s="121">
        <f>'SPEC DETAILS'!T135</f>
        <v>0</v>
      </c>
      <c r="AB40" s="121">
        <f>'SPEC DETAILS'!U135</f>
        <v>0</v>
      </c>
      <c r="AC40" s="121">
        <f>'SPEC DETAILS'!V135</f>
        <v>0</v>
      </c>
      <c r="AD40" s="121">
        <f>'SPEC DETAILS'!W135</f>
        <v>0</v>
      </c>
      <c r="AE40" s="121">
        <f>'SPEC DETAILS'!X135</f>
        <v>0</v>
      </c>
      <c r="AF40" s="121">
        <f>'SPEC DETAILS'!Y135</f>
        <v>0</v>
      </c>
      <c r="AG40" s="121">
        <f>'SPEC DETAILS'!Z135</f>
        <v>0</v>
      </c>
    </row>
    <row r="41" spans="1:39" s="65" customFormat="1" x14ac:dyDescent="0.15">
      <c r="A41" s="120"/>
    </row>
    <row r="42" spans="1:39" s="65" customFormat="1" x14ac:dyDescent="0.15">
      <c r="A42" s="120"/>
    </row>
    <row r="43" spans="1:39" x14ac:dyDescent="0.15">
      <c r="A43" s="118" t="s">
        <v>3</v>
      </c>
      <c r="B43" s="84"/>
      <c r="D43" s="85"/>
      <c r="E43" s="85"/>
      <c r="F43" s="85"/>
      <c r="G43" s="85"/>
      <c r="H43" s="85"/>
      <c r="I43" s="83"/>
      <c r="J43" s="83">
        <f>J31</f>
        <v>37226</v>
      </c>
      <c r="K43" s="83">
        <f t="shared" ref="K43:AG43" si="5">K31</f>
        <v>37257</v>
      </c>
      <c r="L43" s="83">
        <f t="shared" si="5"/>
        <v>37288</v>
      </c>
      <c r="M43" s="83">
        <f t="shared" si="5"/>
        <v>37316</v>
      </c>
      <c r="N43" s="83">
        <f t="shared" si="5"/>
        <v>37347</v>
      </c>
      <c r="O43" s="83">
        <f t="shared" si="5"/>
        <v>37377</v>
      </c>
      <c r="P43" s="83">
        <f t="shared" si="5"/>
        <v>37408</v>
      </c>
      <c r="Q43" s="83">
        <f t="shared" si="5"/>
        <v>37438</v>
      </c>
      <c r="R43" s="83">
        <f t="shared" si="5"/>
        <v>37469</v>
      </c>
      <c r="S43" s="83">
        <f t="shared" si="5"/>
        <v>37500</v>
      </c>
      <c r="T43" s="83">
        <f t="shared" si="5"/>
        <v>37530</v>
      </c>
      <c r="U43" s="83">
        <f t="shared" si="5"/>
        <v>37561</v>
      </c>
      <c r="V43" s="83">
        <f t="shared" si="5"/>
        <v>37591</v>
      </c>
      <c r="W43" s="83">
        <f t="shared" si="5"/>
        <v>37622</v>
      </c>
      <c r="X43" s="83">
        <f t="shared" si="5"/>
        <v>37653</v>
      </c>
      <c r="Y43" s="83">
        <f t="shared" si="5"/>
        <v>37681</v>
      </c>
      <c r="Z43" s="83">
        <f t="shared" si="5"/>
        <v>37712</v>
      </c>
      <c r="AA43" s="83">
        <f t="shared" si="5"/>
        <v>37742</v>
      </c>
      <c r="AB43" s="83">
        <f t="shared" si="5"/>
        <v>37773</v>
      </c>
      <c r="AC43" s="83">
        <f t="shared" si="5"/>
        <v>37803</v>
      </c>
      <c r="AD43" s="83">
        <f t="shared" si="5"/>
        <v>37834</v>
      </c>
      <c r="AE43" s="83">
        <f t="shared" si="5"/>
        <v>37865</v>
      </c>
      <c r="AF43" s="83">
        <f t="shared" si="5"/>
        <v>37895</v>
      </c>
      <c r="AG43" s="83">
        <f t="shared" si="5"/>
        <v>37926</v>
      </c>
      <c r="AH43" s="69" t="s">
        <v>20</v>
      </c>
      <c r="AI43" s="70"/>
      <c r="AJ43" s="70"/>
      <c r="AK43" s="70"/>
      <c r="AL43" s="70"/>
      <c r="AM43" s="70"/>
    </row>
    <row r="44" spans="1:39" s="84" customFormat="1" x14ac:dyDescent="0.15">
      <c r="A44" s="71" t="s">
        <v>25</v>
      </c>
      <c r="B44" s="71"/>
      <c r="C44" s="71"/>
      <c r="D44" s="72"/>
      <c r="E44" s="72"/>
      <c r="F44" s="72"/>
      <c r="G44" s="72"/>
      <c r="H44" s="72"/>
      <c r="I44" s="72"/>
      <c r="J44" s="72">
        <f>'SPEC DETAILS'!C10</f>
        <v>-6451.6129000000001</v>
      </c>
      <c r="K44" s="72">
        <f>'SPEC DETAILS'!D10</f>
        <v>-6451.6129000000001</v>
      </c>
      <c r="L44" s="72">
        <f>'SPEC DETAILS'!E10</f>
        <v>0</v>
      </c>
      <c r="M44" s="72">
        <f>'SPEC DETAILS'!F10</f>
        <v>0</v>
      </c>
      <c r="N44" s="72">
        <f>'SPEC DETAILS'!G10</f>
        <v>0</v>
      </c>
      <c r="O44" s="72">
        <f>'SPEC DETAILS'!H10</f>
        <v>0</v>
      </c>
      <c r="P44" s="72">
        <f>'SPEC DETAILS'!I10</f>
        <v>0</v>
      </c>
      <c r="Q44" s="72">
        <f>'SPEC DETAILS'!J10</f>
        <v>0</v>
      </c>
      <c r="R44" s="72">
        <f>'SPEC DETAILS'!K10</f>
        <v>0</v>
      </c>
      <c r="S44" s="72">
        <f>'SPEC DETAILS'!L10</f>
        <v>0</v>
      </c>
      <c r="T44" s="72">
        <f>'SPEC DETAILS'!M10</f>
        <v>0</v>
      </c>
      <c r="U44" s="72">
        <f>'SPEC DETAILS'!N10</f>
        <v>0</v>
      </c>
      <c r="V44" s="72">
        <f>'SPEC DETAILS'!O10</f>
        <v>0</v>
      </c>
      <c r="W44" s="72">
        <f>'SPEC DETAILS'!P10</f>
        <v>0</v>
      </c>
      <c r="X44" s="72">
        <f>'SPEC DETAILS'!Q10</f>
        <v>0</v>
      </c>
      <c r="Y44" s="72">
        <f>'SPEC DETAILS'!R10</f>
        <v>0</v>
      </c>
      <c r="Z44" s="72">
        <f>'SPEC DETAILS'!S10</f>
        <v>0</v>
      </c>
      <c r="AA44" s="72">
        <f>'SPEC DETAILS'!T10</f>
        <v>0</v>
      </c>
      <c r="AB44" s="72">
        <f>'SPEC DETAILS'!U10</f>
        <v>0</v>
      </c>
      <c r="AC44" s="72">
        <f>'SPEC DETAILS'!V10</f>
        <v>0</v>
      </c>
      <c r="AD44" s="72">
        <f>'SPEC DETAILS'!W10</f>
        <v>0</v>
      </c>
      <c r="AE44" s="72">
        <f>'SPEC DETAILS'!X10</f>
        <v>0</v>
      </c>
      <c r="AF44" s="72">
        <f>'SPEC DETAILS'!Y10</f>
        <v>0</v>
      </c>
      <c r="AG44" s="72">
        <f>'SPEC DETAILS'!Z10</f>
        <v>0</v>
      </c>
      <c r="AH44" s="73"/>
      <c r="AI44" s="73"/>
      <c r="AJ44" s="73"/>
      <c r="AK44" s="73"/>
      <c r="AL44" s="73"/>
      <c r="AM44" s="73"/>
    </row>
    <row r="45" spans="1:39" x14ac:dyDescent="0.15">
      <c r="A45" s="80" t="s">
        <v>30</v>
      </c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70"/>
      <c r="AJ45" s="70"/>
      <c r="AK45" s="70"/>
      <c r="AL45" s="70"/>
      <c r="AM45" s="70"/>
    </row>
    <row r="46" spans="1:39" s="75" customFormat="1" x14ac:dyDescent="0.15">
      <c r="A46" s="74" t="s">
        <v>31</v>
      </c>
      <c r="B46" s="74"/>
      <c r="C46" s="74"/>
      <c r="D46" s="74"/>
      <c r="E46" s="74"/>
      <c r="F46" s="74"/>
      <c r="G46" s="74"/>
      <c r="H46" s="74"/>
      <c r="I46" s="74"/>
      <c r="J46" s="74">
        <f t="shared" ref="J46:AF46" si="6">J48-J47</f>
        <v>-50556</v>
      </c>
      <c r="K46" s="74">
        <f t="shared" si="6"/>
        <v>29253</v>
      </c>
      <c r="L46" s="74">
        <f t="shared" si="6"/>
        <v>14887</v>
      </c>
      <c r="M46" s="74">
        <f t="shared" si="6"/>
        <v>10392</v>
      </c>
      <c r="N46" s="74">
        <f t="shared" si="6"/>
        <v>0</v>
      </c>
      <c r="O46" s="74">
        <f t="shared" si="6"/>
        <v>0</v>
      </c>
      <c r="P46" s="74">
        <f t="shared" si="6"/>
        <v>0</v>
      </c>
      <c r="Q46" s="74">
        <f t="shared" si="6"/>
        <v>0</v>
      </c>
      <c r="R46" s="74">
        <f t="shared" si="6"/>
        <v>0</v>
      </c>
      <c r="S46" s="74">
        <f t="shared" si="6"/>
        <v>0</v>
      </c>
      <c r="T46" s="74">
        <f t="shared" si="6"/>
        <v>0</v>
      </c>
      <c r="U46" s="74">
        <f t="shared" si="6"/>
        <v>0</v>
      </c>
      <c r="V46" s="74">
        <f t="shared" si="6"/>
        <v>0</v>
      </c>
      <c r="W46" s="74">
        <f t="shared" si="6"/>
        <v>0</v>
      </c>
      <c r="X46" s="74">
        <f t="shared" si="6"/>
        <v>0</v>
      </c>
      <c r="Y46" s="74">
        <f t="shared" si="6"/>
        <v>0</v>
      </c>
      <c r="Z46" s="74">
        <f t="shared" si="6"/>
        <v>0</v>
      </c>
      <c r="AA46" s="74">
        <f t="shared" si="6"/>
        <v>0</v>
      </c>
      <c r="AB46" s="74">
        <f t="shared" si="6"/>
        <v>0</v>
      </c>
      <c r="AC46" s="74">
        <f t="shared" si="6"/>
        <v>0</v>
      </c>
      <c r="AD46" s="74">
        <f t="shared" si="6"/>
        <v>0</v>
      </c>
      <c r="AE46" s="74">
        <f t="shared" si="6"/>
        <v>0</v>
      </c>
      <c r="AF46" s="74">
        <f t="shared" si="6"/>
        <v>0</v>
      </c>
      <c r="AG46" s="74"/>
      <c r="AH46" s="74">
        <f>SUM(J46:AG46)</f>
        <v>3976</v>
      </c>
    </row>
    <row r="47" spans="1:39" s="75" customFormat="1" x14ac:dyDescent="0.15">
      <c r="A47" s="74" t="s">
        <v>32</v>
      </c>
      <c r="B47" s="74"/>
      <c r="C47" s="74"/>
      <c r="D47" s="76"/>
      <c r="E47" s="76"/>
      <c r="F47" s="76"/>
      <c r="G47" s="76"/>
      <c r="H47" s="76"/>
      <c r="I47" s="76"/>
      <c r="J47" s="76">
        <v>-32000</v>
      </c>
      <c r="K47" s="76">
        <v>-30000</v>
      </c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>
        <f>SUM(P47:AG47)</f>
        <v>0</v>
      </c>
    </row>
    <row r="48" spans="1:39" s="65" customFormat="1" x14ac:dyDescent="0.15">
      <c r="A48" s="64" t="s">
        <v>36</v>
      </c>
      <c r="B48" s="64"/>
      <c r="C48" s="64"/>
      <c r="D48" s="64"/>
      <c r="E48" s="64"/>
      <c r="F48" s="64"/>
      <c r="G48" s="64"/>
      <c r="H48" s="64"/>
      <c r="I48" s="64"/>
      <c r="J48" s="64">
        <f>'SPEC DETAILS'!C20</f>
        <v>-82556</v>
      </c>
      <c r="K48" s="64">
        <f>'SPEC DETAILS'!D20</f>
        <v>-747</v>
      </c>
      <c r="L48" s="64">
        <f>'SPEC DETAILS'!E20</f>
        <v>14887</v>
      </c>
      <c r="M48" s="64">
        <f>'SPEC DETAILS'!F20</f>
        <v>10392</v>
      </c>
      <c r="N48" s="64">
        <f>'SPEC DETAILS'!G20</f>
        <v>0</v>
      </c>
      <c r="O48" s="64">
        <f>'SPEC DETAILS'!H20</f>
        <v>0</v>
      </c>
      <c r="P48" s="64">
        <f>'SPEC DETAILS'!I20</f>
        <v>0</v>
      </c>
      <c r="Q48" s="64">
        <f>'SPEC DETAILS'!J20</f>
        <v>0</v>
      </c>
      <c r="R48" s="64">
        <f>'SPEC DETAILS'!K20</f>
        <v>0</v>
      </c>
      <c r="S48" s="64">
        <f>'SPEC DETAILS'!L20</f>
        <v>0</v>
      </c>
      <c r="T48" s="64">
        <f>'SPEC DETAILS'!M20</f>
        <v>0</v>
      </c>
      <c r="U48" s="64">
        <f>'SPEC DETAILS'!N20</f>
        <v>0</v>
      </c>
      <c r="V48" s="64">
        <f>'SPEC DETAILS'!O20</f>
        <v>0</v>
      </c>
      <c r="W48" s="64">
        <f>'SPEC DETAILS'!P20</f>
        <v>0</v>
      </c>
      <c r="X48" s="64">
        <f>'SPEC DETAILS'!Q20</f>
        <v>0</v>
      </c>
      <c r="Y48" s="64">
        <f>'SPEC DETAILS'!R20</f>
        <v>0</v>
      </c>
      <c r="Z48" s="64">
        <f>'SPEC DETAILS'!S20</f>
        <v>0</v>
      </c>
      <c r="AA48" s="64">
        <f>'SPEC DETAILS'!T20</f>
        <v>0</v>
      </c>
      <c r="AB48" s="64">
        <f>'SPEC DETAILS'!U20</f>
        <v>0</v>
      </c>
      <c r="AC48" s="64">
        <f>'SPEC DETAILS'!V20</f>
        <v>0</v>
      </c>
      <c r="AD48" s="64">
        <f>'SPEC DETAILS'!W20</f>
        <v>0</v>
      </c>
      <c r="AE48" s="64">
        <f>'SPEC DETAILS'!X20</f>
        <v>0</v>
      </c>
      <c r="AF48" s="64">
        <f>'SPEC DETAILS'!Y20</f>
        <v>0</v>
      </c>
      <c r="AG48" s="64">
        <f>'SPEC DETAILS'!Z20</f>
        <v>0</v>
      </c>
      <c r="AH48" s="64">
        <f>SUM(AH46:AH47)</f>
        <v>3976</v>
      </c>
    </row>
    <row r="49" spans="1:39" x14ac:dyDescent="0.15"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70"/>
      <c r="AJ49" s="70"/>
      <c r="AK49" s="70"/>
      <c r="AL49" s="70"/>
      <c r="AM49" s="70"/>
    </row>
    <row r="50" spans="1:39" x14ac:dyDescent="0.15">
      <c r="A50" s="119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70"/>
      <c r="AJ50" s="70"/>
      <c r="AK50" s="70"/>
      <c r="AL50" s="70"/>
      <c r="AM50" s="70"/>
    </row>
    <row r="51" spans="1:39" x14ac:dyDescent="0.15">
      <c r="A51" s="120"/>
      <c r="B51" s="84"/>
      <c r="C51" s="81"/>
      <c r="D51" s="70"/>
      <c r="E51" s="70"/>
      <c r="F51" s="70"/>
      <c r="G51" s="70"/>
      <c r="H51" s="70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7"/>
      <c r="AI51" s="70"/>
      <c r="AJ51" s="70"/>
      <c r="AK51" s="70"/>
      <c r="AL51" s="70"/>
      <c r="AM51" s="70"/>
    </row>
    <row r="52" spans="1:39" x14ac:dyDescent="0.15">
      <c r="A52" s="120"/>
      <c r="B52" s="84"/>
      <c r="C52" s="81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</row>
    <row r="53" spans="1:39" s="84" customFormat="1" x14ac:dyDescent="0.15"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</row>
    <row r="54" spans="1:39" x14ac:dyDescent="0.15">
      <c r="A54" s="81"/>
      <c r="B54" s="81"/>
      <c r="C54" s="81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</row>
    <row r="55" spans="1:39" s="75" customFormat="1" x14ac:dyDescent="0.15"/>
    <row r="56" spans="1:39" s="75" customFormat="1" x14ac:dyDescent="0.15"/>
    <row r="57" spans="1:39" s="65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activeCell="C2" sqref="C2"/>
      <selection pane="bottomLeft" activeCell="C2" sqref="C2"/>
    </sheetView>
  </sheetViews>
  <sheetFormatPr defaultRowHeight="10.199999999999999" x14ac:dyDescent="0.2"/>
  <cols>
    <col min="1" max="1" width="10.1640625" bestFit="1" customWidth="1"/>
    <col min="2" max="2" width="13.1640625" style="136" customWidth="1"/>
    <col min="3" max="3" width="11.6640625" style="136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53" t="s">
        <v>59</v>
      </c>
      <c r="B1" s="135"/>
      <c r="C1" s="111">
        <f>SUM(B112:B65536)</f>
        <v>-243620</v>
      </c>
      <c r="E1" s="108" t="s">
        <v>100</v>
      </c>
    </row>
    <row r="2" spans="1:6" x14ac:dyDescent="0.2">
      <c r="A2" s="108" t="s">
        <v>60</v>
      </c>
      <c r="B2" s="110"/>
      <c r="C2" s="111">
        <f>SUM(C112:C65536)</f>
        <v>209051</v>
      </c>
      <c r="E2" s="108" t="s">
        <v>140</v>
      </c>
      <c r="F2" s="111">
        <f>SUM(C103:C122)</f>
        <v>-32307.060000000056</v>
      </c>
    </row>
    <row r="3" spans="1:6" x14ac:dyDescent="0.2">
      <c r="B3" s="110"/>
      <c r="C3"/>
    </row>
    <row r="4" spans="1:6" ht="13.5" customHeight="1" x14ac:dyDescent="0.2">
      <c r="A4" t="s">
        <v>37</v>
      </c>
      <c r="B4" s="136" t="s">
        <v>58</v>
      </c>
      <c r="C4" s="136" t="s">
        <v>57</v>
      </c>
    </row>
    <row r="5" spans="1:6" x14ac:dyDescent="0.2">
      <c r="A5" s="109">
        <v>37049</v>
      </c>
      <c r="B5" s="136">
        <v>910686</v>
      </c>
      <c r="C5" s="136">
        <v>-96407</v>
      </c>
    </row>
    <row r="6" spans="1:6" x14ac:dyDescent="0.2">
      <c r="A6" s="109">
        <v>37050</v>
      </c>
      <c r="B6" s="136">
        <v>-3726232</v>
      </c>
      <c r="C6" s="136">
        <v>-41209</v>
      </c>
    </row>
    <row r="7" spans="1:6" x14ac:dyDescent="0.2">
      <c r="A7" s="109">
        <v>37053</v>
      </c>
      <c r="B7" s="136">
        <v>-4747160</v>
      </c>
      <c r="C7" s="136">
        <v>-679473</v>
      </c>
    </row>
    <row r="8" spans="1:6" x14ac:dyDescent="0.2">
      <c r="A8" s="109">
        <v>37054</v>
      </c>
      <c r="B8" s="136">
        <v>-3504225</v>
      </c>
      <c r="C8" s="136">
        <v>-242540</v>
      </c>
    </row>
    <row r="9" spans="1:6" x14ac:dyDescent="0.2">
      <c r="A9" s="109">
        <v>37055</v>
      </c>
      <c r="B9" s="136">
        <v>6075442</v>
      </c>
      <c r="C9" s="136">
        <v>415218</v>
      </c>
    </row>
    <row r="10" spans="1:6" x14ac:dyDescent="0.2">
      <c r="A10" s="109">
        <v>37056</v>
      </c>
      <c r="B10" s="136">
        <v>3150686</v>
      </c>
      <c r="C10" s="136">
        <v>269179</v>
      </c>
    </row>
    <row r="11" spans="1:6" x14ac:dyDescent="0.2">
      <c r="A11" s="109">
        <v>37057</v>
      </c>
      <c r="B11" s="136">
        <v>1245395</v>
      </c>
      <c r="C11" s="136">
        <v>237068</v>
      </c>
    </row>
    <row r="12" spans="1:6" x14ac:dyDescent="0.2">
      <c r="A12" s="109">
        <v>37060</v>
      </c>
      <c r="B12" s="136">
        <v>2290543</v>
      </c>
      <c r="C12" s="136">
        <v>172538</v>
      </c>
    </row>
    <row r="13" spans="1:6" x14ac:dyDescent="0.2">
      <c r="A13" s="109">
        <v>37061</v>
      </c>
      <c r="B13" s="136">
        <v>1268341</v>
      </c>
      <c r="C13" s="136">
        <v>0</v>
      </c>
    </row>
    <row r="14" spans="1:6" x14ac:dyDescent="0.2">
      <c r="A14" s="109">
        <v>37062</v>
      </c>
      <c r="B14" s="136">
        <v>3165392</v>
      </c>
      <c r="C14" s="136">
        <v>3503</v>
      </c>
    </row>
    <row r="15" spans="1:6" x14ac:dyDescent="0.2">
      <c r="A15" s="109">
        <v>37063</v>
      </c>
      <c r="B15" s="136">
        <v>1378094</v>
      </c>
      <c r="C15" s="136">
        <v>-943</v>
      </c>
    </row>
    <row r="16" spans="1:6" x14ac:dyDescent="0.2">
      <c r="A16" s="109">
        <v>37064</v>
      </c>
      <c r="B16" s="136">
        <v>739237</v>
      </c>
      <c r="C16" s="136">
        <v>175098</v>
      </c>
    </row>
    <row r="17" spans="1:3" x14ac:dyDescent="0.2">
      <c r="A17" s="109">
        <v>37067</v>
      </c>
      <c r="B17" s="136">
        <v>6043683</v>
      </c>
      <c r="C17" s="136">
        <v>328112</v>
      </c>
    </row>
    <row r="18" spans="1:3" x14ac:dyDescent="0.2">
      <c r="A18" s="109">
        <v>37068</v>
      </c>
      <c r="B18" s="136">
        <v>-710085</v>
      </c>
      <c r="C18" s="136">
        <v>151607</v>
      </c>
    </row>
    <row r="19" spans="1:3" x14ac:dyDescent="0.2">
      <c r="A19" s="109">
        <v>37069</v>
      </c>
      <c r="B19" s="136">
        <v>-2411126</v>
      </c>
      <c r="C19" s="136">
        <v>209253</v>
      </c>
    </row>
    <row r="20" spans="1:3" x14ac:dyDescent="0.2">
      <c r="A20" s="109">
        <v>37070</v>
      </c>
      <c r="B20" s="136">
        <v>1344183</v>
      </c>
      <c r="C20" s="136">
        <v>-52150</v>
      </c>
    </row>
    <row r="21" spans="1:3" x14ac:dyDescent="0.2">
      <c r="A21" s="109">
        <v>37078</v>
      </c>
      <c r="B21" s="136">
        <v>-3552958</v>
      </c>
      <c r="C21" s="136">
        <v>-41118</v>
      </c>
    </row>
    <row r="22" spans="1:3" x14ac:dyDescent="0.2">
      <c r="A22" s="109">
        <v>37081</v>
      </c>
      <c r="B22" s="136">
        <v>2496573</v>
      </c>
      <c r="C22" s="136">
        <v>257546</v>
      </c>
    </row>
    <row r="23" spans="1:3" x14ac:dyDescent="0.2">
      <c r="A23" s="109">
        <v>37082</v>
      </c>
      <c r="B23" s="136">
        <v>2391506</v>
      </c>
      <c r="C23" s="136">
        <v>-54154</v>
      </c>
    </row>
    <row r="24" spans="1:3" x14ac:dyDescent="0.2">
      <c r="A24" s="109">
        <v>37083</v>
      </c>
      <c r="B24" s="136">
        <v>1290930</v>
      </c>
      <c r="C24" s="136">
        <v>-47741</v>
      </c>
    </row>
    <row r="25" spans="1:3" x14ac:dyDescent="0.2">
      <c r="A25" s="109">
        <v>37084</v>
      </c>
      <c r="B25" s="136">
        <v>-163646</v>
      </c>
      <c r="C25" s="136">
        <v>-127438</v>
      </c>
    </row>
    <row r="26" spans="1:3" x14ac:dyDescent="0.2">
      <c r="A26" s="109">
        <v>37085</v>
      </c>
      <c r="B26" s="136">
        <v>3948581</v>
      </c>
      <c r="C26" s="136">
        <v>347297</v>
      </c>
    </row>
    <row r="27" spans="1:3" x14ac:dyDescent="0.2">
      <c r="A27" s="109">
        <v>37088</v>
      </c>
      <c r="B27" s="136">
        <v>-1226974</v>
      </c>
      <c r="C27" s="136">
        <v>376095</v>
      </c>
    </row>
    <row r="28" spans="1:3" x14ac:dyDescent="0.2">
      <c r="A28" s="109">
        <v>37089</v>
      </c>
      <c r="B28" s="136">
        <v>-601084</v>
      </c>
      <c r="C28" s="136">
        <v>-110326</v>
      </c>
    </row>
    <row r="29" spans="1:3" x14ac:dyDescent="0.2">
      <c r="A29" s="109">
        <v>37090</v>
      </c>
      <c r="B29" s="136">
        <v>-143260</v>
      </c>
      <c r="C29" s="136">
        <v>1477</v>
      </c>
    </row>
    <row r="30" spans="1:3" x14ac:dyDescent="0.2">
      <c r="A30" s="109">
        <v>37091</v>
      </c>
      <c r="B30" s="136">
        <v>2150621</v>
      </c>
      <c r="C30" s="137">
        <v>-7512</v>
      </c>
    </row>
    <row r="31" spans="1:3" x14ac:dyDescent="0.2">
      <c r="A31" s="109">
        <v>37092</v>
      </c>
      <c r="B31" s="136">
        <v>-3255965</v>
      </c>
      <c r="C31" s="136">
        <v>-5018</v>
      </c>
    </row>
    <row r="32" spans="1:3" x14ac:dyDescent="0.2">
      <c r="A32" s="109">
        <v>37095</v>
      </c>
      <c r="B32" s="136">
        <v>-7068505</v>
      </c>
      <c r="C32" s="136">
        <v>-28682</v>
      </c>
    </row>
    <row r="33" spans="1:3" x14ac:dyDescent="0.2">
      <c r="A33" s="109">
        <v>37096</v>
      </c>
      <c r="B33" s="136">
        <v>-325783</v>
      </c>
      <c r="C33" s="136">
        <v>-13906</v>
      </c>
    </row>
    <row r="34" spans="1:3" x14ac:dyDescent="0.2">
      <c r="A34" s="109">
        <v>37097</v>
      </c>
      <c r="B34" s="136">
        <v>-3204</v>
      </c>
      <c r="C34" s="136">
        <v>87</v>
      </c>
    </row>
    <row r="35" spans="1:3" x14ac:dyDescent="0.2">
      <c r="A35" s="109">
        <v>37098</v>
      </c>
      <c r="B35" s="136">
        <v>833046</v>
      </c>
      <c r="C35" s="136">
        <v>-13227</v>
      </c>
    </row>
    <row r="36" spans="1:3" x14ac:dyDescent="0.2">
      <c r="A36" s="109">
        <v>37099</v>
      </c>
      <c r="B36" s="136">
        <v>1024060</v>
      </c>
      <c r="C36" s="136">
        <v>-48236</v>
      </c>
    </row>
    <row r="37" spans="1:3" x14ac:dyDescent="0.2">
      <c r="A37" s="109">
        <v>37102</v>
      </c>
      <c r="B37" s="136">
        <v>-1129456</v>
      </c>
      <c r="C37" s="136">
        <v>-174632</v>
      </c>
    </row>
    <row r="38" spans="1:3" x14ac:dyDescent="0.2">
      <c r="A38" s="109">
        <v>37103</v>
      </c>
      <c r="B38" s="136">
        <v>-92215</v>
      </c>
      <c r="C38" s="136">
        <v>56114</v>
      </c>
    </row>
    <row r="39" spans="1:3" x14ac:dyDescent="0.2">
      <c r="A39" s="109">
        <v>37104</v>
      </c>
      <c r="B39" s="136">
        <v>3258408</v>
      </c>
      <c r="C39" s="136">
        <v>238295</v>
      </c>
    </row>
    <row r="40" spans="1:3" x14ac:dyDescent="0.2">
      <c r="A40" s="109">
        <v>37105</v>
      </c>
      <c r="B40" s="136">
        <v>-1196089</v>
      </c>
      <c r="C40" s="136">
        <v>-6030</v>
      </c>
    </row>
    <row r="41" spans="1:3" x14ac:dyDescent="0.2">
      <c r="A41" s="109">
        <v>37106</v>
      </c>
      <c r="B41" s="136">
        <v>1275855</v>
      </c>
      <c r="C41" s="136">
        <v>-13673</v>
      </c>
    </row>
    <row r="42" spans="1:3" x14ac:dyDescent="0.2">
      <c r="A42" s="109">
        <v>37109</v>
      </c>
      <c r="B42" s="136">
        <v>-2323857</v>
      </c>
      <c r="C42" s="136">
        <v>-15105</v>
      </c>
    </row>
    <row r="43" spans="1:3" x14ac:dyDescent="0.2">
      <c r="A43" s="109">
        <v>37110</v>
      </c>
      <c r="B43" s="136">
        <v>308448</v>
      </c>
      <c r="C43" s="136">
        <v>21</v>
      </c>
    </row>
    <row r="44" spans="1:3" x14ac:dyDescent="0.2">
      <c r="A44" s="109">
        <v>37111</v>
      </c>
      <c r="B44" s="136">
        <v>1183435</v>
      </c>
      <c r="C44" s="136">
        <v>-3037</v>
      </c>
    </row>
    <row r="45" spans="1:3" x14ac:dyDescent="0.2">
      <c r="A45" s="109">
        <v>37112</v>
      </c>
      <c r="B45" s="136">
        <v>1159535</v>
      </c>
      <c r="C45" s="136">
        <v>36281</v>
      </c>
    </row>
    <row r="46" spans="1:3" x14ac:dyDescent="0.2">
      <c r="A46" s="109">
        <v>37113</v>
      </c>
      <c r="B46" s="136">
        <v>-595706</v>
      </c>
      <c r="C46" s="136">
        <v>-67795</v>
      </c>
    </row>
    <row r="47" spans="1:3" x14ac:dyDescent="0.2">
      <c r="A47" s="109">
        <v>37116</v>
      </c>
      <c r="B47" s="136">
        <v>-6281869</v>
      </c>
      <c r="C47" s="136">
        <v>-31454</v>
      </c>
    </row>
    <row r="48" spans="1:3" x14ac:dyDescent="0.2">
      <c r="A48" s="109">
        <v>37117</v>
      </c>
      <c r="B48" s="136">
        <v>-44611</v>
      </c>
      <c r="C48" s="136">
        <v>-141926</v>
      </c>
    </row>
    <row r="49" spans="1:3" x14ac:dyDescent="0.2">
      <c r="A49" s="109">
        <v>37118</v>
      </c>
      <c r="B49" s="136">
        <v>-1707207</v>
      </c>
      <c r="C49" s="136">
        <v>-581874</v>
      </c>
    </row>
    <row r="50" spans="1:3" x14ac:dyDescent="0.2">
      <c r="A50" s="109">
        <v>37119</v>
      </c>
      <c r="B50" s="136">
        <v>27549</v>
      </c>
      <c r="C50" s="136">
        <v>180452</v>
      </c>
    </row>
    <row r="51" spans="1:3" x14ac:dyDescent="0.2">
      <c r="A51" s="109">
        <v>37120</v>
      </c>
      <c r="B51" s="136">
        <v>634746</v>
      </c>
      <c r="C51" s="136">
        <v>61751</v>
      </c>
    </row>
    <row r="52" spans="1:3" x14ac:dyDescent="0.2">
      <c r="A52" s="109">
        <v>37123</v>
      </c>
      <c r="B52" s="136">
        <v>1044671</v>
      </c>
      <c r="C52" s="136">
        <v>195339</v>
      </c>
    </row>
    <row r="53" spans="1:3" x14ac:dyDescent="0.2">
      <c r="A53" s="109">
        <v>37124</v>
      </c>
      <c r="B53" s="136">
        <v>-546792</v>
      </c>
      <c r="C53" s="136">
        <v>131992</v>
      </c>
    </row>
    <row r="54" spans="1:3" x14ac:dyDescent="0.2">
      <c r="A54" s="109">
        <v>37125</v>
      </c>
      <c r="B54" s="136">
        <v>1777844</v>
      </c>
      <c r="C54" s="136">
        <v>325935</v>
      </c>
    </row>
    <row r="55" spans="1:3" x14ac:dyDescent="0.2">
      <c r="A55" s="109">
        <v>37126</v>
      </c>
      <c r="B55" s="136">
        <v>-343241</v>
      </c>
      <c r="C55" s="136">
        <v>-55436</v>
      </c>
    </row>
    <row r="56" spans="1:3" x14ac:dyDescent="0.2">
      <c r="A56" s="109">
        <v>37127</v>
      </c>
      <c r="B56" s="136">
        <v>918192</v>
      </c>
      <c r="C56" s="136">
        <v>106781</v>
      </c>
    </row>
    <row r="57" spans="1:3" x14ac:dyDescent="0.2">
      <c r="A57" s="109">
        <v>37130</v>
      </c>
      <c r="B57" s="136">
        <v>1529049</v>
      </c>
      <c r="C57" s="136">
        <v>118184</v>
      </c>
    </row>
    <row r="58" spans="1:3" x14ac:dyDescent="0.2">
      <c r="A58" s="109">
        <v>37131</v>
      </c>
      <c r="B58" s="136">
        <v>198209</v>
      </c>
      <c r="C58" s="136">
        <v>-38815</v>
      </c>
    </row>
    <row r="59" spans="1:3" x14ac:dyDescent="0.2">
      <c r="A59" s="109">
        <v>37132</v>
      </c>
      <c r="B59" s="136">
        <v>1578880</v>
      </c>
      <c r="C59" s="136">
        <v>-15565</v>
      </c>
    </row>
    <row r="60" spans="1:3" x14ac:dyDescent="0.2">
      <c r="A60" s="109">
        <v>37133</v>
      </c>
      <c r="B60" s="136">
        <v>-262400</v>
      </c>
      <c r="C60" s="136">
        <v>79444</v>
      </c>
    </row>
    <row r="61" spans="1:3" s="175" customFormat="1" ht="10.8" thickBot="1" x14ac:dyDescent="0.25">
      <c r="A61" s="173">
        <v>37134</v>
      </c>
      <c r="B61" s="174">
        <v>404653</v>
      </c>
      <c r="C61" s="174">
        <v>46715</v>
      </c>
    </row>
    <row r="62" spans="1:3" ht="10.8" thickTop="1" x14ac:dyDescent="0.2">
      <c r="A62" s="109">
        <v>37138</v>
      </c>
      <c r="B62" s="136">
        <v>2030401</v>
      </c>
      <c r="C62" s="136">
        <v>112705</v>
      </c>
    </row>
    <row r="63" spans="1:3" x14ac:dyDescent="0.2">
      <c r="A63" s="109">
        <v>37139</v>
      </c>
      <c r="B63" s="136">
        <v>-267932</v>
      </c>
      <c r="C63" s="136">
        <v>-34426</v>
      </c>
    </row>
    <row r="64" spans="1:3" x14ac:dyDescent="0.2">
      <c r="A64" s="109">
        <v>37140</v>
      </c>
      <c r="B64" s="136">
        <v>-174272</v>
      </c>
      <c r="C64" s="136">
        <v>-52637</v>
      </c>
    </row>
    <row r="65" spans="1:3" x14ac:dyDescent="0.2">
      <c r="A65" s="109">
        <v>37141</v>
      </c>
      <c r="B65" s="136">
        <v>-259290</v>
      </c>
      <c r="C65" s="136">
        <v>-24800</v>
      </c>
    </row>
    <row r="66" spans="1:3" x14ac:dyDescent="0.2">
      <c r="A66" s="109">
        <v>37144</v>
      </c>
      <c r="B66" s="136">
        <v>155904</v>
      </c>
      <c r="C66" s="136">
        <v>130658</v>
      </c>
    </row>
    <row r="67" spans="1:3" x14ac:dyDescent="0.2">
      <c r="A67" s="109">
        <v>37146</v>
      </c>
      <c r="B67" s="136">
        <v>10329</v>
      </c>
      <c r="C67" s="136">
        <v>184</v>
      </c>
    </row>
    <row r="68" spans="1:3" x14ac:dyDescent="0.2">
      <c r="A68" s="109">
        <v>37147</v>
      </c>
      <c r="B68" s="136">
        <v>-1035151</v>
      </c>
      <c r="C68" s="136">
        <v>-237553</v>
      </c>
    </row>
    <row r="69" spans="1:3" x14ac:dyDescent="0.2">
      <c r="A69" s="109">
        <v>37148</v>
      </c>
      <c r="B69" s="136">
        <v>131955</v>
      </c>
      <c r="C69" s="136">
        <v>-83968</v>
      </c>
    </row>
    <row r="70" spans="1:3" x14ac:dyDescent="0.2">
      <c r="A70" s="109">
        <v>37151</v>
      </c>
      <c r="B70" s="136">
        <v>-519455</v>
      </c>
      <c r="C70" s="136">
        <v>208462</v>
      </c>
    </row>
    <row r="71" spans="1:3" x14ac:dyDescent="0.2">
      <c r="A71" s="109">
        <v>37152</v>
      </c>
      <c r="B71" s="136">
        <v>927493</v>
      </c>
      <c r="C71" s="136">
        <v>186962</v>
      </c>
    </row>
    <row r="72" spans="1:3" x14ac:dyDescent="0.2">
      <c r="A72" s="109">
        <v>37153</v>
      </c>
      <c r="B72" s="136">
        <v>278897</v>
      </c>
      <c r="C72" s="136">
        <v>24355</v>
      </c>
    </row>
    <row r="73" spans="1:3" x14ac:dyDescent="0.2">
      <c r="A73" s="109">
        <v>37154</v>
      </c>
      <c r="B73" s="136">
        <v>-324249</v>
      </c>
      <c r="C73" s="136">
        <v>-41376</v>
      </c>
    </row>
    <row r="74" spans="1:3" x14ac:dyDescent="0.2">
      <c r="A74" s="109">
        <v>37155</v>
      </c>
      <c r="B74" s="136">
        <v>131147</v>
      </c>
      <c r="C74" s="136">
        <v>23229</v>
      </c>
    </row>
    <row r="75" spans="1:3" x14ac:dyDescent="0.2">
      <c r="A75" s="109">
        <v>37158</v>
      </c>
      <c r="B75" s="136">
        <v>649428</v>
      </c>
      <c r="C75" s="136">
        <v>432388</v>
      </c>
    </row>
    <row r="76" spans="1:3" x14ac:dyDescent="0.2">
      <c r="A76" s="109">
        <v>37159</v>
      </c>
      <c r="B76" s="136">
        <v>-1177383</v>
      </c>
      <c r="C76" s="136">
        <v>-320385</v>
      </c>
    </row>
    <row r="77" spans="1:3" x14ac:dyDescent="0.2">
      <c r="A77" s="109">
        <v>37160</v>
      </c>
      <c r="B77" s="136">
        <v>330499</v>
      </c>
      <c r="C77" s="136">
        <v>1003</v>
      </c>
    </row>
    <row r="78" spans="1:3" x14ac:dyDescent="0.2">
      <c r="A78" s="109">
        <v>37161</v>
      </c>
      <c r="B78" s="136">
        <v>237216</v>
      </c>
      <c r="C78" s="136">
        <v>65472</v>
      </c>
    </row>
    <row r="79" spans="1:3" s="175" customFormat="1" ht="10.8" thickBot="1" x14ac:dyDescent="0.25">
      <c r="A79" s="173">
        <v>37162</v>
      </c>
      <c r="B79" s="174">
        <v>-413713</v>
      </c>
      <c r="C79" s="174">
        <f>54299-4503</f>
        <v>49796</v>
      </c>
    </row>
    <row r="80" spans="1:3" ht="10.8" thickTop="1" x14ac:dyDescent="0.2">
      <c r="A80" s="109">
        <v>37165</v>
      </c>
      <c r="B80" s="136">
        <v>-398024</v>
      </c>
      <c r="C80" s="136">
        <v>126107</v>
      </c>
    </row>
    <row r="81" spans="1:3" x14ac:dyDescent="0.2">
      <c r="A81" s="109">
        <v>37166</v>
      </c>
      <c r="B81" s="136">
        <v>-39333</v>
      </c>
      <c r="C81" s="136">
        <v>-11017</v>
      </c>
    </row>
    <row r="82" spans="1:3" x14ac:dyDescent="0.2">
      <c r="A82" s="109">
        <v>37167</v>
      </c>
      <c r="B82" s="136">
        <v>312679</v>
      </c>
      <c r="C82" s="136">
        <v>11605</v>
      </c>
    </row>
    <row r="83" spans="1:3" x14ac:dyDescent="0.2">
      <c r="A83" s="109">
        <v>37168</v>
      </c>
      <c r="B83" s="136">
        <v>209436</v>
      </c>
      <c r="C83" s="136">
        <v>-150906</v>
      </c>
    </row>
    <row r="84" spans="1:3" x14ac:dyDescent="0.2">
      <c r="A84" s="109">
        <v>37169</v>
      </c>
      <c r="B84" s="136">
        <v>-301617</v>
      </c>
      <c r="C84" s="136">
        <v>192637</v>
      </c>
    </row>
    <row r="85" spans="1:3" x14ac:dyDescent="0.2">
      <c r="A85" s="109">
        <v>37172</v>
      </c>
      <c r="B85" s="136">
        <v>111378</v>
      </c>
      <c r="C85" s="136">
        <v>88301</v>
      </c>
    </row>
    <row r="86" spans="1:3" x14ac:dyDescent="0.2">
      <c r="A86" s="109">
        <v>37173</v>
      </c>
      <c r="B86" s="136">
        <v>349385</v>
      </c>
      <c r="C86" s="136">
        <v>-65303</v>
      </c>
    </row>
    <row r="87" spans="1:3" x14ac:dyDescent="0.2">
      <c r="A87" s="109">
        <v>37174</v>
      </c>
      <c r="B87" s="136">
        <v>51354</v>
      </c>
      <c r="C87" s="136">
        <v>-242299</v>
      </c>
    </row>
    <row r="88" spans="1:3" x14ac:dyDescent="0.2">
      <c r="A88" s="109">
        <v>37175</v>
      </c>
      <c r="B88" s="136">
        <v>32035</v>
      </c>
      <c r="C88" s="136">
        <v>-43187</v>
      </c>
    </row>
    <row r="89" spans="1:3" x14ac:dyDescent="0.2">
      <c r="A89" s="109">
        <v>37176</v>
      </c>
      <c r="B89" s="136">
        <v>-49485</v>
      </c>
      <c r="C89" s="136">
        <v>136891</v>
      </c>
    </row>
    <row r="90" spans="1:3" x14ac:dyDescent="0.2">
      <c r="A90" s="109">
        <v>37179</v>
      </c>
      <c r="B90" s="136">
        <v>34540</v>
      </c>
      <c r="C90" s="136">
        <v>36038</v>
      </c>
    </row>
    <row r="91" spans="1:3" x14ac:dyDescent="0.2">
      <c r="A91" s="109">
        <v>37180</v>
      </c>
      <c r="B91" s="136">
        <v>-444586</v>
      </c>
      <c r="C91" s="136">
        <v>-141051</v>
      </c>
    </row>
    <row r="92" spans="1:3" x14ac:dyDescent="0.2">
      <c r="A92" s="109">
        <v>37181</v>
      </c>
      <c r="B92" s="136">
        <v>-269704</v>
      </c>
      <c r="C92" s="136">
        <v>110306</v>
      </c>
    </row>
    <row r="93" spans="1:3" x14ac:dyDescent="0.2">
      <c r="A93" s="109">
        <v>37182</v>
      </c>
      <c r="B93" s="136">
        <v>-416871</v>
      </c>
      <c r="C93" s="136">
        <v>-179355</v>
      </c>
    </row>
    <row r="94" spans="1:3" x14ac:dyDescent="0.2">
      <c r="A94" s="109">
        <v>37183</v>
      </c>
      <c r="B94" s="136">
        <v>-1174327</v>
      </c>
      <c r="C94" s="136">
        <v>-283033</v>
      </c>
    </row>
    <row r="95" spans="1:3" x14ac:dyDescent="0.2">
      <c r="A95" s="109">
        <v>37186</v>
      </c>
      <c r="B95" s="136">
        <v>393687</v>
      </c>
      <c r="C95" s="136">
        <v>-217384</v>
      </c>
    </row>
    <row r="96" spans="1:3" x14ac:dyDescent="0.2">
      <c r="A96" s="109">
        <v>37187</v>
      </c>
      <c r="B96" s="136">
        <v>-166299</v>
      </c>
      <c r="C96" s="136">
        <v>202661</v>
      </c>
    </row>
    <row r="97" spans="1:5" x14ac:dyDescent="0.2">
      <c r="A97" s="109">
        <v>37188</v>
      </c>
      <c r="B97" s="136">
        <v>181651</v>
      </c>
      <c r="C97" s="136">
        <v>-256952</v>
      </c>
    </row>
    <row r="98" spans="1:5" x14ac:dyDescent="0.2">
      <c r="A98" s="109">
        <v>37189</v>
      </c>
      <c r="B98" s="136">
        <v>-140019</v>
      </c>
      <c r="C98" s="136">
        <v>-42208</v>
      </c>
    </row>
    <row r="99" spans="1:5" x14ac:dyDescent="0.2">
      <c r="A99" s="109">
        <v>37190</v>
      </c>
      <c r="B99" s="136">
        <v>277883</v>
      </c>
      <c r="C99" s="136">
        <v>-30893</v>
      </c>
    </row>
    <row r="100" spans="1:5" x14ac:dyDescent="0.2">
      <c r="A100" s="109">
        <v>37193</v>
      </c>
      <c r="B100" s="136">
        <v>-313999</v>
      </c>
      <c r="C100" s="136">
        <v>37550</v>
      </c>
    </row>
    <row r="101" spans="1:5" x14ac:dyDescent="0.2">
      <c r="A101" s="109">
        <v>37194</v>
      </c>
      <c r="B101" s="136">
        <v>-276743</v>
      </c>
      <c r="C101" s="136">
        <v>-105916</v>
      </c>
    </row>
    <row r="102" spans="1:5" s="175" customFormat="1" ht="10.8" thickBot="1" x14ac:dyDescent="0.25">
      <c r="A102" s="173">
        <v>37195</v>
      </c>
      <c r="B102" s="174">
        <v>-419461</v>
      </c>
      <c r="C102" s="174">
        <v>94742</v>
      </c>
      <c r="E102" s="174">
        <v>94742</v>
      </c>
    </row>
    <row r="103" spans="1:5" ht="10.8" thickTop="1" x14ac:dyDescent="0.2">
      <c r="A103" s="109">
        <v>37196</v>
      </c>
      <c r="B103" s="136">
        <v>245388</v>
      </c>
      <c r="C103" s="136">
        <v>267</v>
      </c>
      <c r="E103" s="211">
        <v>267</v>
      </c>
    </row>
    <row r="104" spans="1:5" x14ac:dyDescent="0.2">
      <c r="A104" s="109">
        <v>37197</v>
      </c>
      <c r="B104" s="136">
        <v>-152120</v>
      </c>
      <c r="C104" s="136">
        <v>12235.939999999944</v>
      </c>
      <c r="E104" s="211">
        <f>C104+9050</f>
        <v>21285.939999999944</v>
      </c>
    </row>
    <row r="105" spans="1:5" x14ac:dyDescent="0.2">
      <c r="A105" s="109">
        <v>37200</v>
      </c>
      <c r="B105" s="136">
        <v>-265527</v>
      </c>
      <c r="C105" s="136">
        <v>-110696</v>
      </c>
      <c r="E105" s="211">
        <v>-110696</v>
      </c>
    </row>
    <row r="106" spans="1:5" x14ac:dyDescent="0.2">
      <c r="A106" s="109">
        <v>37201</v>
      </c>
      <c r="B106" s="136">
        <v>-492586</v>
      </c>
      <c r="C106" s="136">
        <v>9411</v>
      </c>
      <c r="E106" s="211">
        <f>9411-9050</f>
        <v>361</v>
      </c>
    </row>
    <row r="107" spans="1:5" x14ac:dyDescent="0.2">
      <c r="A107" s="109">
        <v>37202</v>
      </c>
      <c r="B107" s="136">
        <v>19552</v>
      </c>
      <c r="C107" s="136">
        <v>-10531</v>
      </c>
      <c r="E107" s="212">
        <v>-10531</v>
      </c>
    </row>
    <row r="108" spans="1:5" x14ac:dyDescent="0.2">
      <c r="A108" s="109">
        <v>37203</v>
      </c>
      <c r="B108" s="136">
        <v>-402571</v>
      </c>
      <c r="C108" s="136">
        <v>-185055</v>
      </c>
      <c r="E108">
        <v>-185055</v>
      </c>
    </row>
    <row r="109" spans="1:5" x14ac:dyDescent="0.2">
      <c r="A109" s="109">
        <v>37204</v>
      </c>
      <c r="B109" s="136">
        <v>-217343</v>
      </c>
      <c r="C109" s="136">
        <v>48972</v>
      </c>
      <c r="E109">
        <v>48972</v>
      </c>
    </row>
    <row r="110" spans="1:5" x14ac:dyDescent="0.2">
      <c r="A110" s="109">
        <v>37207</v>
      </c>
      <c r="B110" s="136">
        <v>151613</v>
      </c>
      <c r="C110" s="136">
        <v>93607</v>
      </c>
      <c r="E110">
        <v>93607</v>
      </c>
    </row>
    <row r="111" spans="1:5" x14ac:dyDescent="0.2">
      <c r="A111" s="109">
        <v>37208</v>
      </c>
      <c r="B111" s="136">
        <v>170042</v>
      </c>
      <c r="C111" s="136">
        <v>-99569</v>
      </c>
      <c r="E111">
        <v>-99569</v>
      </c>
    </row>
    <row r="112" spans="1:5" x14ac:dyDescent="0.2">
      <c r="A112" s="109">
        <v>37209</v>
      </c>
      <c r="B112" s="136">
        <v>176655</v>
      </c>
      <c r="C112" s="136">
        <v>121148</v>
      </c>
      <c r="E112">
        <v>121148</v>
      </c>
    </row>
    <row r="113" spans="1:5" x14ac:dyDescent="0.2">
      <c r="A113" s="109">
        <v>37210</v>
      </c>
      <c r="B113" s="136">
        <v>450645</v>
      </c>
      <c r="C113" s="136">
        <v>181968</v>
      </c>
      <c r="E113">
        <v>181968</v>
      </c>
    </row>
    <row r="114" spans="1:5" x14ac:dyDescent="0.2">
      <c r="A114" s="109">
        <v>37211</v>
      </c>
      <c r="B114" s="136">
        <v>-414707</v>
      </c>
      <c r="C114" s="136">
        <v>-44698</v>
      </c>
      <c r="E114">
        <v>-44698</v>
      </c>
    </row>
    <row r="115" spans="1:5" x14ac:dyDescent="0.2">
      <c r="A115" s="109">
        <v>37214</v>
      </c>
      <c r="B115" s="136">
        <v>-493700</v>
      </c>
      <c r="C115" s="136">
        <v>9821</v>
      </c>
      <c r="E115">
        <v>9821</v>
      </c>
    </row>
    <row r="116" spans="1:5" x14ac:dyDescent="0.2">
      <c r="A116" s="109">
        <v>37215</v>
      </c>
      <c r="B116" s="136">
        <v>37487</v>
      </c>
      <c r="C116" s="136">
        <v>-59188</v>
      </c>
      <c r="E116">
        <v>-59188</v>
      </c>
    </row>
    <row r="117" spans="1:5" x14ac:dyDescent="0.2">
      <c r="A117" s="109">
        <v>37216</v>
      </c>
    </row>
    <row r="118" spans="1:5" x14ac:dyDescent="0.2">
      <c r="A118" s="109">
        <v>37221</v>
      </c>
    </row>
    <row r="119" spans="1:5" x14ac:dyDescent="0.2">
      <c r="A119" s="109">
        <v>37222</v>
      </c>
    </row>
    <row r="120" spans="1:5" x14ac:dyDescent="0.2">
      <c r="A120" s="109">
        <v>37223</v>
      </c>
    </row>
    <row r="121" spans="1:5" x14ac:dyDescent="0.2">
      <c r="A121" s="109">
        <v>37224</v>
      </c>
    </row>
    <row r="122" spans="1:5" s="175" customFormat="1" ht="10.8" thickBot="1" x14ac:dyDescent="0.25">
      <c r="A122" s="173">
        <v>37225</v>
      </c>
      <c r="B122" s="174"/>
      <c r="C122" s="174"/>
    </row>
    <row r="123" spans="1:5" ht="10.8" thickTop="1" x14ac:dyDescent="0.2"/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56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0.199999999999999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108" t="s">
        <v>61</v>
      </c>
    </row>
    <row r="3" spans="1:5" x14ac:dyDescent="0.2">
      <c r="A3" t="s">
        <v>37</v>
      </c>
      <c r="B3" s="54" t="s">
        <v>58</v>
      </c>
      <c r="C3" s="54" t="s">
        <v>57</v>
      </c>
      <c r="D3" s="54" t="s">
        <v>40</v>
      </c>
    </row>
    <row r="4" spans="1:5" x14ac:dyDescent="0.2">
      <c r="A4" s="109">
        <v>37105</v>
      </c>
      <c r="B4" s="110">
        <v>2346369</v>
      </c>
      <c r="C4" s="110">
        <v>0</v>
      </c>
      <c r="D4" s="110">
        <v>2346369</v>
      </c>
      <c r="E4" s="109"/>
    </row>
    <row r="5" spans="1:5" x14ac:dyDescent="0.2">
      <c r="A5" s="109">
        <v>37106</v>
      </c>
      <c r="B5" s="110">
        <v>2188870</v>
      </c>
      <c r="C5" s="110">
        <v>0</v>
      </c>
      <c r="D5" s="110">
        <v>2188870</v>
      </c>
      <c r="E5" s="109"/>
    </row>
    <row r="6" spans="1:5" x14ac:dyDescent="0.2">
      <c r="A6" s="109">
        <v>37109</v>
      </c>
      <c r="B6" s="110">
        <v>2225325</v>
      </c>
      <c r="C6" s="110">
        <v>0</v>
      </c>
      <c r="D6" s="110">
        <v>2225325</v>
      </c>
      <c r="E6" s="109"/>
    </row>
    <row r="7" spans="1:5" x14ac:dyDescent="0.2">
      <c r="A7" s="109">
        <v>37110</v>
      </c>
      <c r="B7" s="110">
        <v>2124985</v>
      </c>
      <c r="C7" s="110">
        <v>0</v>
      </c>
      <c r="D7" s="110">
        <v>2124985</v>
      </c>
      <c r="E7" s="109"/>
    </row>
    <row r="8" spans="1:5" x14ac:dyDescent="0.2">
      <c r="A8" s="109">
        <v>37111</v>
      </c>
      <c r="B8" s="110">
        <v>2145674</v>
      </c>
      <c r="C8" s="110">
        <v>0</v>
      </c>
      <c r="D8" s="110">
        <v>2145674</v>
      </c>
      <c r="E8" s="109"/>
    </row>
    <row r="9" spans="1:5" x14ac:dyDescent="0.2">
      <c r="A9" s="109">
        <v>37112</v>
      </c>
      <c r="B9" s="110">
        <v>2094985</v>
      </c>
      <c r="C9" s="110">
        <v>89125</v>
      </c>
      <c r="D9" s="110">
        <v>2122819</v>
      </c>
      <c r="E9" s="109"/>
    </row>
    <row r="10" spans="1:5" x14ac:dyDescent="0.2">
      <c r="A10" s="109">
        <v>37113</v>
      </c>
      <c r="B10" s="110">
        <v>2079287</v>
      </c>
      <c r="C10" s="110">
        <v>93406</v>
      </c>
      <c r="D10" s="110">
        <v>2124676</v>
      </c>
      <c r="E10" s="109"/>
    </row>
    <row r="11" spans="1:5" x14ac:dyDescent="0.2">
      <c r="A11" s="109">
        <v>37116</v>
      </c>
      <c r="B11" s="110">
        <v>1611819</v>
      </c>
      <c r="C11" s="110">
        <v>91114</v>
      </c>
      <c r="D11" s="110">
        <v>1624772</v>
      </c>
      <c r="E11" s="109"/>
    </row>
    <row r="12" spans="1:5" x14ac:dyDescent="0.2">
      <c r="A12" s="109">
        <v>37117</v>
      </c>
      <c r="B12" s="110">
        <v>1644596</v>
      </c>
      <c r="C12" s="110">
        <v>199856</v>
      </c>
      <c r="D12" s="110">
        <v>1671632</v>
      </c>
      <c r="E12" s="109"/>
    </row>
    <row r="13" spans="1:5" x14ac:dyDescent="0.2">
      <c r="A13" s="109">
        <v>37118</v>
      </c>
      <c r="B13" s="110">
        <v>1777097</v>
      </c>
      <c r="C13" s="110">
        <v>235752</v>
      </c>
      <c r="D13" s="110">
        <v>1807253</v>
      </c>
      <c r="E13" s="109"/>
    </row>
    <row r="14" spans="1:5" x14ac:dyDescent="0.2">
      <c r="A14" s="109">
        <v>37119</v>
      </c>
      <c r="B14" s="110">
        <v>1743795</v>
      </c>
      <c r="C14" s="110">
        <v>230380</v>
      </c>
      <c r="D14" s="110">
        <v>1779408</v>
      </c>
      <c r="E14" s="109"/>
    </row>
    <row r="15" spans="1:5" x14ac:dyDescent="0.2">
      <c r="A15" s="109">
        <v>37120</v>
      </c>
      <c r="B15" s="110">
        <v>1716027</v>
      </c>
      <c r="C15" s="110">
        <v>227200</v>
      </c>
      <c r="D15" s="110">
        <v>1753635</v>
      </c>
      <c r="E15" s="109"/>
    </row>
    <row r="16" spans="1:5" x14ac:dyDescent="0.2">
      <c r="A16" s="109">
        <v>37123</v>
      </c>
      <c r="B16" s="110">
        <v>1664305</v>
      </c>
      <c r="C16" s="110">
        <v>218625</v>
      </c>
      <c r="D16" s="110">
        <v>1701884</v>
      </c>
      <c r="E16" s="109"/>
    </row>
    <row r="17" spans="1:5" x14ac:dyDescent="0.2">
      <c r="A17" s="109">
        <v>37124</v>
      </c>
      <c r="B17" s="110">
        <v>1874522</v>
      </c>
      <c r="C17" s="110">
        <v>217562</v>
      </c>
      <c r="D17" s="110">
        <v>1904918</v>
      </c>
      <c r="E17" s="109"/>
    </row>
    <row r="18" spans="1:5" x14ac:dyDescent="0.2">
      <c r="A18" s="109">
        <v>37125</v>
      </c>
      <c r="B18" s="110">
        <v>1748801</v>
      </c>
      <c r="C18" s="110">
        <v>15436</v>
      </c>
      <c r="D18" s="110">
        <v>1752036</v>
      </c>
      <c r="E18" s="109"/>
    </row>
    <row r="19" spans="1:5" x14ac:dyDescent="0.2">
      <c r="A19" s="109">
        <v>37126</v>
      </c>
      <c r="B19" s="110">
        <v>1821611</v>
      </c>
      <c r="C19" s="110">
        <v>181116</v>
      </c>
      <c r="D19" s="110">
        <v>1934968</v>
      </c>
      <c r="E19" s="109"/>
    </row>
    <row r="20" spans="1:5" x14ac:dyDescent="0.2">
      <c r="A20" s="109">
        <v>37127</v>
      </c>
      <c r="B20" s="110">
        <v>1776291</v>
      </c>
      <c r="C20" s="110">
        <v>175056</v>
      </c>
      <c r="D20" s="110">
        <v>1889856</v>
      </c>
      <c r="E20" s="109"/>
    </row>
    <row r="21" spans="1:5" x14ac:dyDescent="0.2">
      <c r="A21" s="109">
        <v>37130</v>
      </c>
      <c r="B21" s="110">
        <v>1688411</v>
      </c>
      <c r="C21" s="110">
        <v>18470</v>
      </c>
      <c r="D21" s="110">
        <v>1695783</v>
      </c>
      <c r="E21" s="109"/>
    </row>
    <row r="22" spans="1:5" x14ac:dyDescent="0.2">
      <c r="A22" s="109">
        <v>37131</v>
      </c>
      <c r="B22" s="110">
        <v>1648123</v>
      </c>
      <c r="C22" s="110">
        <v>0</v>
      </c>
      <c r="D22" s="110">
        <v>1648123</v>
      </c>
      <c r="E22" s="109"/>
    </row>
    <row r="23" spans="1:5" x14ac:dyDescent="0.2">
      <c r="A23" s="109">
        <v>37132</v>
      </c>
      <c r="B23" s="110">
        <v>1788488</v>
      </c>
      <c r="C23" s="110">
        <v>11501</v>
      </c>
      <c r="D23" s="110">
        <v>1795643</v>
      </c>
      <c r="E23" s="109"/>
    </row>
    <row r="24" spans="1:5" x14ac:dyDescent="0.2">
      <c r="A24" s="109">
        <v>37133</v>
      </c>
      <c r="B24" s="110">
        <v>1894682</v>
      </c>
      <c r="C24" s="110">
        <v>208792</v>
      </c>
      <c r="D24" s="110">
        <v>2018097</v>
      </c>
      <c r="E24" s="109"/>
    </row>
    <row r="25" spans="1:5" x14ac:dyDescent="0.2">
      <c r="A25" s="109">
        <v>37134</v>
      </c>
      <c r="B25" s="110">
        <v>1955089</v>
      </c>
      <c r="C25" s="110">
        <v>11215</v>
      </c>
      <c r="D25" s="110">
        <v>1956700</v>
      </c>
      <c r="E25" s="109"/>
    </row>
    <row r="26" spans="1:5" x14ac:dyDescent="0.2">
      <c r="A26" s="109">
        <v>37138</v>
      </c>
      <c r="B26" s="110">
        <v>1973918</v>
      </c>
      <c r="C26" s="110">
        <v>87818</v>
      </c>
      <c r="D26" s="110">
        <v>2024788</v>
      </c>
      <c r="E26" s="109"/>
    </row>
    <row r="27" spans="1:5" x14ac:dyDescent="0.2">
      <c r="A27" s="109">
        <v>37139</v>
      </c>
      <c r="B27" s="110">
        <v>1973918</v>
      </c>
      <c r="C27" s="110">
        <v>175766</v>
      </c>
      <c r="D27" s="110">
        <v>2024788</v>
      </c>
      <c r="E27" s="109"/>
    </row>
    <row r="28" spans="1:5" x14ac:dyDescent="0.2">
      <c r="A28" s="109">
        <v>37140</v>
      </c>
      <c r="B28" s="110">
        <v>850299</v>
      </c>
      <c r="C28" s="110">
        <v>178332</v>
      </c>
      <c r="D28" s="110">
        <v>918272</v>
      </c>
      <c r="E28" s="109"/>
    </row>
    <row r="29" spans="1:5" x14ac:dyDescent="0.2">
      <c r="A29" s="109">
        <v>37141</v>
      </c>
      <c r="B29" s="110">
        <v>995491</v>
      </c>
      <c r="C29" s="110">
        <v>184335</v>
      </c>
      <c r="D29" s="110">
        <v>1095875</v>
      </c>
      <c r="E29" s="109"/>
    </row>
    <row r="30" spans="1:5" x14ac:dyDescent="0.2">
      <c r="A30" s="109">
        <v>37144</v>
      </c>
      <c r="B30" s="110">
        <v>1216305</v>
      </c>
      <c r="C30" s="110">
        <v>178635</v>
      </c>
      <c r="D30" s="110">
        <v>1305412</v>
      </c>
      <c r="E30" s="109"/>
    </row>
    <row r="31" spans="1:5" x14ac:dyDescent="0.2">
      <c r="A31" s="109">
        <v>37146</v>
      </c>
      <c r="B31" s="110">
        <v>1255926</v>
      </c>
      <c r="C31" s="110">
        <v>178635</v>
      </c>
      <c r="D31" s="110">
        <v>1343274</v>
      </c>
    </row>
    <row r="32" spans="1:5" x14ac:dyDescent="0.2">
      <c r="A32" s="109">
        <v>37147</v>
      </c>
      <c r="B32" s="110">
        <v>1323775</v>
      </c>
      <c r="C32" s="110">
        <v>188977</v>
      </c>
      <c r="D32" s="110">
        <v>1420686</v>
      </c>
    </row>
    <row r="33" spans="1:4" x14ac:dyDescent="0.2">
      <c r="A33" s="109">
        <v>37148</v>
      </c>
      <c r="B33" s="110">
        <v>1378447</v>
      </c>
      <c r="C33" s="110">
        <v>195228</v>
      </c>
      <c r="D33" s="110">
        <v>1471332</v>
      </c>
    </row>
    <row r="34" spans="1:4" x14ac:dyDescent="0.2">
      <c r="A34" s="109">
        <v>37151</v>
      </c>
      <c r="B34" s="110">
        <v>1308291</v>
      </c>
      <c r="C34" s="110">
        <v>162123</v>
      </c>
      <c r="D34" s="110">
        <v>1386316</v>
      </c>
    </row>
    <row r="35" spans="1:4" x14ac:dyDescent="0.2">
      <c r="A35" s="109">
        <v>37152</v>
      </c>
      <c r="B35" s="110">
        <v>1524084</v>
      </c>
      <c r="C35" s="110">
        <v>76340</v>
      </c>
      <c r="D35" s="110">
        <v>1559652</v>
      </c>
    </row>
    <row r="36" spans="1:4" x14ac:dyDescent="0.2">
      <c r="A36" s="109">
        <v>37153</v>
      </c>
      <c r="B36" s="110">
        <v>1336349</v>
      </c>
      <c r="C36" s="110">
        <v>177127</v>
      </c>
      <c r="D36" s="110">
        <v>1478968</v>
      </c>
    </row>
    <row r="37" spans="1:4" x14ac:dyDescent="0.2">
      <c r="A37" s="109">
        <v>37154</v>
      </c>
      <c r="B37" s="110">
        <v>1268363</v>
      </c>
      <c r="C37" s="110">
        <v>171181</v>
      </c>
      <c r="D37" s="110">
        <v>1399296</v>
      </c>
    </row>
    <row r="38" spans="1:4" x14ac:dyDescent="0.2">
      <c r="A38" s="109">
        <v>37155</v>
      </c>
      <c r="B38" s="110">
        <v>1211328</v>
      </c>
      <c r="C38" s="110">
        <v>171048</v>
      </c>
      <c r="D38" s="110">
        <v>1343675</v>
      </c>
    </row>
    <row r="39" spans="1:4" x14ac:dyDescent="0.2">
      <c r="A39" s="109">
        <v>37158</v>
      </c>
      <c r="B39" s="110">
        <v>1507055</v>
      </c>
      <c r="C39" s="110">
        <v>292917</v>
      </c>
      <c r="D39" s="110">
        <v>1773048</v>
      </c>
    </row>
    <row r="40" spans="1:4" x14ac:dyDescent="0.2">
      <c r="A40" s="109">
        <v>37159</v>
      </c>
      <c r="B40" s="110">
        <v>1350778</v>
      </c>
      <c r="C40" s="110">
        <v>66536</v>
      </c>
      <c r="D40" s="110">
        <v>1494675</v>
      </c>
    </row>
    <row r="41" spans="1:4" x14ac:dyDescent="0.2">
      <c r="A41" s="109">
        <v>37160</v>
      </c>
      <c r="B41" s="110">
        <v>1365565</v>
      </c>
      <c r="C41" s="110">
        <v>249445</v>
      </c>
      <c r="D41" s="110">
        <v>1585881</v>
      </c>
    </row>
    <row r="42" spans="1:4" x14ac:dyDescent="0.2">
      <c r="A42" s="109">
        <v>37161</v>
      </c>
      <c r="B42" s="110">
        <v>1406354</v>
      </c>
      <c r="C42" s="110">
        <v>256233</v>
      </c>
      <c r="D42" s="110">
        <v>1647277</v>
      </c>
    </row>
    <row r="43" spans="1:4" x14ac:dyDescent="0.2">
      <c r="A43" s="109">
        <v>37162</v>
      </c>
      <c r="B43" s="110">
        <v>1483992</v>
      </c>
      <c r="C43" s="110">
        <v>256028</v>
      </c>
      <c r="D43" s="110">
        <v>1711306</v>
      </c>
    </row>
    <row r="44" spans="1:4" x14ac:dyDescent="0.2">
      <c r="A44" s="109">
        <v>37165</v>
      </c>
      <c r="B44" s="110">
        <v>1438638</v>
      </c>
      <c r="C44" s="110">
        <v>13047</v>
      </c>
      <c r="D44" s="110">
        <v>1443693</v>
      </c>
    </row>
    <row r="45" spans="1:4" x14ac:dyDescent="0.2">
      <c r="A45" s="109">
        <v>37166</v>
      </c>
      <c r="B45" s="110">
        <v>1284451</v>
      </c>
      <c r="C45" s="110">
        <v>168294</v>
      </c>
      <c r="D45" s="110">
        <v>1399647</v>
      </c>
    </row>
    <row r="46" spans="1:4" x14ac:dyDescent="0.2">
      <c r="A46" s="109">
        <v>37167</v>
      </c>
      <c r="B46" s="110">
        <v>554984</v>
      </c>
      <c r="C46" s="110">
        <v>200018</v>
      </c>
      <c r="D46" s="110">
        <v>455999</v>
      </c>
    </row>
    <row r="47" spans="1:4" x14ac:dyDescent="0.2">
      <c r="A47" s="109">
        <v>37168</v>
      </c>
      <c r="B47" s="110">
        <v>632764</v>
      </c>
      <c r="C47" s="110">
        <v>207064</v>
      </c>
      <c r="D47" s="110">
        <v>513338</v>
      </c>
    </row>
    <row r="48" spans="1:4" x14ac:dyDescent="0.2">
      <c r="A48" s="109">
        <v>37169</v>
      </c>
      <c r="B48" s="110">
        <v>490476</v>
      </c>
      <c r="C48" s="110">
        <v>26644</v>
      </c>
      <c r="D48" s="110">
        <v>476734</v>
      </c>
    </row>
    <row r="49" spans="1:4" x14ac:dyDescent="0.2">
      <c r="A49" s="109">
        <v>37172</v>
      </c>
      <c r="B49" s="110">
        <v>559630</v>
      </c>
      <c r="C49" s="110">
        <v>84475</v>
      </c>
      <c r="D49" s="110">
        <v>580179</v>
      </c>
    </row>
    <row r="50" spans="1:4" x14ac:dyDescent="0.2">
      <c r="A50" s="109">
        <v>37173</v>
      </c>
      <c r="B50" s="110">
        <v>515339</v>
      </c>
      <c r="C50" s="110">
        <v>66890</v>
      </c>
      <c r="D50" s="110">
        <v>542774</v>
      </c>
    </row>
    <row r="51" spans="1:4" x14ac:dyDescent="0.2">
      <c r="A51" s="109">
        <v>37174</v>
      </c>
      <c r="B51" s="110">
        <v>495302</v>
      </c>
      <c r="C51" s="110">
        <v>206736</v>
      </c>
      <c r="D51" s="110">
        <v>551578</v>
      </c>
    </row>
    <row r="52" spans="1:4" x14ac:dyDescent="0.2">
      <c r="A52" s="109">
        <v>37175</v>
      </c>
      <c r="B52" s="110">
        <v>538061</v>
      </c>
      <c r="C52" s="110">
        <v>184786</v>
      </c>
      <c r="D52" s="110">
        <v>610523</v>
      </c>
    </row>
    <row r="53" spans="1:4" x14ac:dyDescent="0.2">
      <c r="A53" s="109">
        <v>37176</v>
      </c>
      <c r="B53" s="110">
        <v>602751</v>
      </c>
      <c r="C53" s="110">
        <v>169216</v>
      </c>
      <c r="D53" s="110">
        <v>683323</v>
      </c>
    </row>
    <row r="54" spans="1:4" x14ac:dyDescent="0.2">
      <c r="A54" s="109">
        <v>37179</v>
      </c>
      <c r="B54" s="110">
        <v>580128</v>
      </c>
      <c r="C54" s="110">
        <v>89178</v>
      </c>
      <c r="D54" s="110">
        <v>620210</v>
      </c>
    </row>
    <row r="55" spans="1:4" x14ac:dyDescent="0.2">
      <c r="A55" s="109">
        <v>37180</v>
      </c>
      <c r="B55" s="110">
        <v>513093</v>
      </c>
      <c r="C55" s="110">
        <v>118142</v>
      </c>
      <c r="D55" s="110">
        <v>508063</v>
      </c>
    </row>
    <row r="56" spans="1:4" x14ac:dyDescent="0.2">
      <c r="A56" s="109">
        <v>37181</v>
      </c>
      <c r="B56" s="110">
        <v>580584</v>
      </c>
      <c r="C56" s="110">
        <v>116719</v>
      </c>
      <c r="D56" s="110">
        <v>654376</v>
      </c>
    </row>
    <row r="57" spans="1:4" x14ac:dyDescent="0.2">
      <c r="A57" s="109">
        <v>37182</v>
      </c>
      <c r="B57" s="110">
        <v>548558</v>
      </c>
      <c r="C57" s="110">
        <v>193706</v>
      </c>
      <c r="D57" s="110">
        <v>641275</v>
      </c>
    </row>
    <row r="58" spans="1:4" x14ac:dyDescent="0.2">
      <c r="A58" s="109">
        <v>37183</v>
      </c>
      <c r="B58" s="110">
        <v>534120</v>
      </c>
      <c r="C58" s="110">
        <v>229094</v>
      </c>
      <c r="D58" s="110">
        <v>590621</v>
      </c>
    </row>
    <row r="59" spans="1:4" x14ac:dyDescent="0.2">
      <c r="A59" s="109">
        <v>37186</v>
      </c>
      <c r="B59" s="110">
        <v>596225</v>
      </c>
      <c r="C59" s="110">
        <v>250266</v>
      </c>
      <c r="D59" s="110">
        <v>552601</v>
      </c>
    </row>
    <row r="60" spans="1:4" x14ac:dyDescent="0.2">
      <c r="A60" s="109">
        <v>37187</v>
      </c>
      <c r="B60" s="110">
        <v>555530</v>
      </c>
      <c r="C60" s="110">
        <v>167130</v>
      </c>
      <c r="D60" s="110">
        <v>621551</v>
      </c>
    </row>
    <row r="61" spans="1:4" x14ac:dyDescent="0.2">
      <c r="A61" s="109">
        <v>37188</v>
      </c>
      <c r="B61" s="110">
        <v>578453</v>
      </c>
      <c r="C61" s="110">
        <v>109855</v>
      </c>
      <c r="D61" s="110">
        <v>580196</v>
      </c>
    </row>
    <row r="62" spans="1:4" x14ac:dyDescent="0.2">
      <c r="A62" s="109">
        <v>37189</v>
      </c>
      <c r="B62" s="110">
        <v>566703</v>
      </c>
      <c r="C62" s="110">
        <v>105129</v>
      </c>
      <c r="D62" s="110">
        <v>564393</v>
      </c>
    </row>
    <row r="63" spans="1:4" x14ac:dyDescent="0.2">
      <c r="A63" s="109">
        <v>37190</v>
      </c>
      <c r="B63" s="110">
        <v>580917</v>
      </c>
      <c r="C63" s="110">
        <v>0</v>
      </c>
      <c r="D63" s="110">
        <v>580917</v>
      </c>
    </row>
    <row r="64" spans="1:4" x14ac:dyDescent="0.2">
      <c r="A64" s="109">
        <v>37193</v>
      </c>
      <c r="B64" s="110">
        <v>595709</v>
      </c>
      <c r="C64" s="110">
        <v>161855</v>
      </c>
      <c r="D64" s="110">
        <v>609024</v>
      </c>
    </row>
    <row r="65" spans="1:4" x14ac:dyDescent="0.2">
      <c r="A65" s="109">
        <v>37194</v>
      </c>
      <c r="B65" s="110">
        <v>625084</v>
      </c>
      <c r="C65" s="110">
        <v>160900</v>
      </c>
      <c r="D65" s="110">
        <v>606918</v>
      </c>
    </row>
    <row r="66" spans="1:4" x14ac:dyDescent="0.2">
      <c r="A66" s="109">
        <v>37195</v>
      </c>
      <c r="B66" s="110">
        <v>625364</v>
      </c>
      <c r="C66" s="110">
        <v>21529</v>
      </c>
      <c r="D66" s="110">
        <v>625364</v>
      </c>
    </row>
    <row r="67" spans="1:4" x14ac:dyDescent="0.2">
      <c r="A67" s="109">
        <v>37196</v>
      </c>
      <c r="B67" s="110">
        <v>407821</v>
      </c>
      <c r="C67" s="110">
        <v>105873</v>
      </c>
      <c r="D67" s="110">
        <v>390990</v>
      </c>
    </row>
    <row r="68" spans="1:4" x14ac:dyDescent="0.2">
      <c r="A68" s="109">
        <v>37197</v>
      </c>
      <c r="B68" s="110">
        <v>409054</v>
      </c>
      <c r="C68" s="110">
        <v>49989</v>
      </c>
      <c r="D68" s="110">
        <v>413583</v>
      </c>
    </row>
    <row r="69" spans="1:4" x14ac:dyDescent="0.2">
      <c r="A69" s="109">
        <v>37200</v>
      </c>
      <c r="B69" s="110">
        <v>546870</v>
      </c>
      <c r="C69" s="110">
        <v>261305</v>
      </c>
      <c r="D69" s="110">
        <v>740934</v>
      </c>
    </row>
    <row r="70" spans="1:4" x14ac:dyDescent="0.2">
      <c r="A70" s="109">
        <v>37201</v>
      </c>
      <c r="B70" s="110">
        <v>618400</v>
      </c>
      <c r="C70" s="110">
        <v>283409</v>
      </c>
      <c r="D70" s="110">
        <v>855367</v>
      </c>
    </row>
    <row r="71" spans="1:4" x14ac:dyDescent="0.2">
      <c r="A71" s="109">
        <v>37202</v>
      </c>
      <c r="B71" s="110">
        <v>559293</v>
      </c>
      <c r="C71" s="110">
        <v>241141</v>
      </c>
      <c r="D71" s="110">
        <v>747592</v>
      </c>
    </row>
    <row r="72" spans="1:4" x14ac:dyDescent="0.2">
      <c r="A72" s="109">
        <v>37203</v>
      </c>
      <c r="B72" s="110">
        <v>566614</v>
      </c>
      <c r="C72" s="110">
        <v>248951</v>
      </c>
      <c r="D72" s="110">
        <v>759008</v>
      </c>
    </row>
    <row r="73" spans="1:4" x14ac:dyDescent="0.2">
      <c r="A73" s="109">
        <v>37204</v>
      </c>
      <c r="B73" s="110">
        <v>582274</v>
      </c>
      <c r="C73" s="110">
        <v>112543</v>
      </c>
      <c r="D73" s="110">
        <v>673397</v>
      </c>
    </row>
    <row r="74" spans="1:4" x14ac:dyDescent="0.2">
      <c r="A74" s="109">
        <v>37207</v>
      </c>
      <c r="B74" s="110">
        <v>728022</v>
      </c>
      <c r="C74" s="110">
        <v>238102</v>
      </c>
      <c r="D74" s="110">
        <v>953205</v>
      </c>
    </row>
    <row r="75" spans="1:4" x14ac:dyDescent="0.2">
      <c r="A75" s="109">
        <v>37208</v>
      </c>
      <c r="B75" s="110">
        <v>618940</v>
      </c>
      <c r="C75" s="110">
        <v>242383</v>
      </c>
      <c r="D75" s="110">
        <v>808640</v>
      </c>
    </row>
    <row r="76" spans="1:4" x14ac:dyDescent="0.2">
      <c r="A76" s="109">
        <v>37209</v>
      </c>
      <c r="B76" s="110">
        <v>690967</v>
      </c>
      <c r="C76" s="110">
        <v>371495</v>
      </c>
      <c r="D76" s="110">
        <v>1019463</v>
      </c>
    </row>
    <row r="77" spans="1:4" x14ac:dyDescent="0.2">
      <c r="A77" s="109">
        <v>37210</v>
      </c>
      <c r="B77" s="110">
        <v>728217</v>
      </c>
      <c r="C77" s="110">
        <v>89160</v>
      </c>
      <c r="D77" s="110">
        <v>794310</v>
      </c>
    </row>
    <row r="78" spans="1:4" x14ac:dyDescent="0.2">
      <c r="A78" s="109">
        <v>37211</v>
      </c>
      <c r="B78" s="110">
        <v>629777</v>
      </c>
      <c r="C78" s="110">
        <v>91761</v>
      </c>
      <c r="D78" s="110">
        <v>683206</v>
      </c>
    </row>
    <row r="79" spans="1:4" x14ac:dyDescent="0.2">
      <c r="A79" s="109">
        <v>37214</v>
      </c>
      <c r="B79" s="110">
        <v>450432</v>
      </c>
      <c r="C79" s="110">
        <v>73633</v>
      </c>
      <c r="D79" s="110">
        <v>463600</v>
      </c>
    </row>
    <row r="80" spans="1:4" x14ac:dyDescent="0.2">
      <c r="A80" s="109">
        <v>37215</v>
      </c>
      <c r="B80" s="110">
        <v>516967</v>
      </c>
      <c r="C80" s="110">
        <v>207174</v>
      </c>
      <c r="D80" s="110">
        <v>648405</v>
      </c>
    </row>
    <row r="81" spans="2:4" x14ac:dyDescent="0.2">
      <c r="B81" s="110"/>
      <c r="C81" s="110"/>
      <c r="D81" s="110"/>
    </row>
    <row r="82" spans="2:4" x14ac:dyDescent="0.2">
      <c r="B82" s="110"/>
      <c r="C82" s="110"/>
      <c r="D82" s="110"/>
    </row>
    <row r="83" spans="2:4" x14ac:dyDescent="0.2">
      <c r="B83" s="110"/>
      <c r="C83" s="110"/>
      <c r="D83" s="110"/>
    </row>
    <row r="84" spans="2:4" x14ac:dyDescent="0.2">
      <c r="B84" s="110"/>
      <c r="C84" s="110"/>
      <c r="D84" s="110"/>
    </row>
    <row r="85" spans="2:4" x14ac:dyDescent="0.2">
      <c r="B85" s="110"/>
      <c r="C85" s="110"/>
      <c r="D85" s="110"/>
    </row>
    <row r="86" spans="2:4" x14ac:dyDescent="0.2">
      <c r="B86" s="110"/>
      <c r="C86" s="110"/>
      <c r="D86" s="110"/>
    </row>
    <row r="87" spans="2:4" x14ac:dyDescent="0.2">
      <c r="B87" s="110"/>
      <c r="C87" s="110"/>
      <c r="D87" s="110"/>
    </row>
    <row r="88" spans="2:4" x14ac:dyDescent="0.2">
      <c r="B88" s="110"/>
      <c r="C88" s="110"/>
      <c r="D88" s="110"/>
    </row>
    <row r="89" spans="2:4" x14ac:dyDescent="0.2">
      <c r="B89" s="110"/>
      <c r="C89" s="110"/>
      <c r="D89" s="110"/>
    </row>
    <row r="90" spans="2:4" x14ac:dyDescent="0.2">
      <c r="B90" s="110"/>
      <c r="C90" s="110"/>
      <c r="D90" s="110"/>
    </row>
    <row r="91" spans="2:4" x14ac:dyDescent="0.2">
      <c r="B91" s="110"/>
      <c r="C91" s="110"/>
      <c r="D91" s="110"/>
    </row>
    <row r="92" spans="2:4" x14ac:dyDescent="0.2">
      <c r="B92" s="110"/>
      <c r="C92" s="110"/>
      <c r="D92" s="110"/>
    </row>
    <row r="93" spans="2:4" x14ac:dyDescent="0.2">
      <c r="B93" s="110"/>
      <c r="C93" s="110"/>
      <c r="D93" s="110"/>
    </row>
    <row r="94" spans="2:4" x14ac:dyDescent="0.2">
      <c r="B94" s="110"/>
      <c r="C94" s="110"/>
      <c r="D94" s="110"/>
    </row>
    <row r="95" spans="2:4" x14ac:dyDescent="0.2">
      <c r="B95" s="110"/>
      <c r="C95" s="110"/>
      <c r="D95" s="110"/>
    </row>
    <row r="96" spans="2:4" x14ac:dyDescent="0.2">
      <c r="B96" s="110"/>
      <c r="C96" s="110"/>
      <c r="D96" s="110"/>
    </row>
    <row r="97" spans="2:4" x14ac:dyDescent="0.2">
      <c r="B97" s="110"/>
      <c r="C97" s="110"/>
      <c r="D97" s="110"/>
    </row>
    <row r="98" spans="2:4" x14ac:dyDescent="0.2">
      <c r="B98" s="110"/>
      <c r="C98" s="110"/>
      <c r="D98" s="110"/>
    </row>
    <row r="99" spans="2:4" x14ac:dyDescent="0.2">
      <c r="B99" s="110"/>
      <c r="C99" s="110"/>
      <c r="D99" s="110"/>
    </row>
    <row r="100" spans="2:4" x14ac:dyDescent="0.2">
      <c r="B100" s="110"/>
      <c r="C100" s="110"/>
      <c r="D100" s="110"/>
    </row>
    <row r="101" spans="2:4" x14ac:dyDescent="0.2">
      <c r="B101" s="110"/>
      <c r="C101" s="110"/>
      <c r="D101" s="110"/>
    </row>
    <row r="102" spans="2:4" x14ac:dyDescent="0.2">
      <c r="B102" s="110"/>
      <c r="C102" s="110"/>
      <c r="D102" s="110"/>
    </row>
    <row r="103" spans="2:4" x14ac:dyDescent="0.2">
      <c r="B103" s="110"/>
      <c r="C103" s="110"/>
      <c r="D103" s="110"/>
    </row>
    <row r="104" spans="2:4" x14ac:dyDescent="0.2">
      <c r="B104" s="110"/>
      <c r="C104" s="110"/>
      <c r="D104" s="110"/>
    </row>
    <row r="105" spans="2:4" x14ac:dyDescent="0.2">
      <c r="B105" s="110"/>
      <c r="C105" s="110"/>
      <c r="D105" s="110"/>
    </row>
    <row r="106" spans="2:4" x14ac:dyDescent="0.2">
      <c r="B106" s="110"/>
      <c r="C106" s="110"/>
      <c r="D106" s="110"/>
    </row>
    <row r="107" spans="2:4" x14ac:dyDescent="0.2">
      <c r="B107" s="110"/>
      <c r="C107" s="110"/>
      <c r="D107" s="110"/>
    </row>
    <row r="108" spans="2:4" x14ac:dyDescent="0.2">
      <c r="B108" s="110"/>
      <c r="C108" s="110"/>
      <c r="D108" s="110"/>
    </row>
    <row r="109" spans="2:4" x14ac:dyDescent="0.2">
      <c r="B109" s="110"/>
      <c r="C109" s="110"/>
      <c r="D109" s="110"/>
    </row>
    <row r="110" spans="2:4" x14ac:dyDescent="0.2">
      <c r="B110" s="110"/>
      <c r="C110" s="110"/>
      <c r="D110" s="110"/>
    </row>
    <row r="111" spans="2:4" x14ac:dyDescent="0.2">
      <c r="B111" s="110"/>
      <c r="C111" s="110"/>
      <c r="D111" s="110"/>
    </row>
    <row r="112" spans="2:4" x14ac:dyDescent="0.2">
      <c r="B112" s="110"/>
      <c r="C112" s="110"/>
      <c r="D112" s="110"/>
    </row>
    <row r="113" spans="2:4" x14ac:dyDescent="0.2">
      <c r="B113" s="110"/>
      <c r="C113" s="110"/>
      <c r="D113" s="110"/>
    </row>
    <row r="114" spans="2:4" x14ac:dyDescent="0.2">
      <c r="B114" s="110"/>
      <c r="C114" s="110"/>
      <c r="D114" s="110"/>
    </row>
    <row r="115" spans="2:4" x14ac:dyDescent="0.2">
      <c r="B115" s="110"/>
      <c r="C115" s="110"/>
      <c r="D115" s="110"/>
    </row>
    <row r="116" spans="2:4" x14ac:dyDescent="0.2">
      <c r="B116" s="110"/>
      <c r="C116" s="110"/>
      <c r="D116" s="110"/>
    </row>
    <row r="117" spans="2:4" x14ac:dyDescent="0.2">
      <c r="B117" s="110"/>
      <c r="C117" s="110"/>
      <c r="D117" s="110"/>
    </row>
    <row r="118" spans="2:4" x14ac:dyDescent="0.2">
      <c r="B118" s="110"/>
      <c r="C118" s="110"/>
      <c r="D118" s="110"/>
    </row>
    <row r="119" spans="2:4" x14ac:dyDescent="0.2">
      <c r="B119" s="110"/>
      <c r="C119" s="110"/>
      <c r="D119" s="110"/>
    </row>
    <row r="120" spans="2:4" x14ac:dyDescent="0.2">
      <c r="B120" s="110"/>
      <c r="C120" s="110"/>
      <c r="D120" s="110"/>
    </row>
    <row r="121" spans="2:4" x14ac:dyDescent="0.2">
      <c r="B121" s="110"/>
      <c r="C121" s="110"/>
      <c r="D121" s="110"/>
    </row>
    <row r="122" spans="2:4" x14ac:dyDescent="0.2">
      <c r="B122" s="110"/>
      <c r="C122" s="110"/>
      <c r="D122" s="110"/>
    </row>
    <row r="123" spans="2:4" x14ac:dyDescent="0.2">
      <c r="B123" s="110"/>
      <c r="C123" s="110"/>
      <c r="D123" s="110"/>
    </row>
    <row r="124" spans="2:4" x14ac:dyDescent="0.2">
      <c r="B124" s="110"/>
      <c r="C124" s="110"/>
      <c r="D124" s="110"/>
    </row>
    <row r="125" spans="2:4" x14ac:dyDescent="0.2">
      <c r="B125" s="110"/>
      <c r="C125" s="110"/>
      <c r="D125" s="110"/>
    </row>
    <row r="126" spans="2:4" x14ac:dyDescent="0.2">
      <c r="B126" s="110"/>
      <c r="C126" s="110"/>
      <c r="D126" s="110"/>
    </row>
    <row r="127" spans="2:4" x14ac:dyDescent="0.2">
      <c r="B127" s="110"/>
      <c r="C127" s="110"/>
      <c r="D127" s="110"/>
    </row>
    <row r="128" spans="2:4" x14ac:dyDescent="0.2">
      <c r="B128" s="110"/>
      <c r="C128" s="110"/>
      <c r="D128" s="110"/>
    </row>
    <row r="129" spans="2:4" x14ac:dyDescent="0.2">
      <c r="B129" s="110"/>
      <c r="C129" s="110"/>
      <c r="D129" s="110"/>
    </row>
    <row r="130" spans="2:4" x14ac:dyDescent="0.2">
      <c r="B130" s="110"/>
      <c r="C130" s="110"/>
      <c r="D130" s="110"/>
    </row>
    <row r="131" spans="2:4" x14ac:dyDescent="0.2">
      <c r="B131" s="110"/>
      <c r="C131" s="110"/>
      <c r="D131" s="110"/>
    </row>
    <row r="132" spans="2:4" x14ac:dyDescent="0.2">
      <c r="B132" s="110"/>
      <c r="C132" s="110"/>
      <c r="D132" s="110"/>
    </row>
    <row r="133" spans="2:4" x14ac:dyDescent="0.2">
      <c r="B133" s="110"/>
      <c r="C133" s="110"/>
      <c r="D133" s="110"/>
    </row>
    <row r="134" spans="2:4" x14ac:dyDescent="0.2">
      <c r="B134" s="110"/>
      <c r="C134" s="110"/>
      <c r="D134" s="110"/>
    </row>
    <row r="135" spans="2:4" x14ac:dyDescent="0.2">
      <c r="B135" s="110"/>
      <c r="C135" s="110"/>
      <c r="D135" s="110"/>
    </row>
    <row r="136" spans="2:4" x14ac:dyDescent="0.2">
      <c r="B136" s="110"/>
      <c r="C136" s="110"/>
      <c r="D136" s="110"/>
    </row>
    <row r="137" spans="2:4" x14ac:dyDescent="0.2">
      <c r="B137" s="110"/>
      <c r="C137" s="110"/>
      <c r="D137" s="110"/>
    </row>
    <row r="138" spans="2:4" x14ac:dyDescent="0.2">
      <c r="B138" s="110"/>
      <c r="C138" s="110"/>
      <c r="D138" s="110"/>
    </row>
    <row r="139" spans="2:4" x14ac:dyDescent="0.2">
      <c r="B139" s="110"/>
      <c r="C139" s="110"/>
      <c r="D139" s="110"/>
    </row>
    <row r="140" spans="2:4" x14ac:dyDescent="0.2">
      <c r="B140" s="110"/>
      <c r="C140" s="110"/>
      <c r="D140" s="110"/>
    </row>
    <row r="141" spans="2:4" x14ac:dyDescent="0.2">
      <c r="B141" s="110"/>
      <c r="C141" s="110"/>
      <c r="D141" s="110"/>
    </row>
    <row r="142" spans="2:4" x14ac:dyDescent="0.2">
      <c r="B142" s="110"/>
      <c r="C142" s="110"/>
      <c r="D142" s="110"/>
    </row>
    <row r="143" spans="2:4" x14ac:dyDescent="0.2">
      <c r="B143" s="110"/>
      <c r="C143" s="110"/>
      <c r="D143" s="110"/>
    </row>
    <row r="144" spans="2:4" x14ac:dyDescent="0.2">
      <c r="B144" s="110"/>
      <c r="C144" s="110"/>
      <c r="D144" s="110"/>
    </row>
    <row r="145" spans="2:4" x14ac:dyDescent="0.2">
      <c r="B145" s="110"/>
      <c r="C145" s="110"/>
      <c r="D145" s="110"/>
    </row>
    <row r="146" spans="2:4" x14ac:dyDescent="0.2">
      <c r="B146" s="110"/>
      <c r="C146" s="110"/>
      <c r="D146" s="110"/>
    </row>
    <row r="147" spans="2:4" x14ac:dyDescent="0.2">
      <c r="B147" s="110"/>
      <c r="C147" s="110"/>
      <c r="D147" s="110"/>
    </row>
    <row r="148" spans="2:4" x14ac:dyDescent="0.2">
      <c r="B148" s="110"/>
      <c r="C148" s="110"/>
      <c r="D148" s="110"/>
    </row>
    <row r="149" spans="2:4" x14ac:dyDescent="0.2">
      <c r="B149" s="110"/>
      <c r="C149" s="110"/>
      <c r="D149" s="110"/>
    </row>
    <row r="150" spans="2:4" x14ac:dyDescent="0.2">
      <c r="B150" s="110"/>
      <c r="C150" s="110"/>
      <c r="D150" s="110"/>
    </row>
    <row r="151" spans="2:4" x14ac:dyDescent="0.2">
      <c r="B151" s="110"/>
      <c r="C151" s="110"/>
      <c r="D151" s="110"/>
    </row>
    <row r="152" spans="2:4" x14ac:dyDescent="0.2">
      <c r="B152" s="110"/>
      <c r="C152" s="110"/>
      <c r="D152" s="110"/>
    </row>
    <row r="153" spans="2:4" x14ac:dyDescent="0.2">
      <c r="B153" s="110"/>
      <c r="C153" s="110"/>
      <c r="D153" s="110"/>
    </row>
    <row r="154" spans="2:4" x14ac:dyDescent="0.2">
      <c r="B154" s="110"/>
      <c r="C154" s="110"/>
      <c r="D154" s="110"/>
    </row>
    <row r="155" spans="2:4" x14ac:dyDescent="0.2">
      <c r="B155" s="110"/>
      <c r="C155" s="110"/>
      <c r="D155" s="110"/>
    </row>
    <row r="156" spans="2:4" x14ac:dyDescent="0.2">
      <c r="B156" s="110"/>
      <c r="C156" s="110"/>
      <c r="D156" s="110"/>
    </row>
    <row r="157" spans="2:4" x14ac:dyDescent="0.2">
      <c r="B157" s="110"/>
      <c r="C157" s="110"/>
      <c r="D157" s="110"/>
    </row>
    <row r="158" spans="2:4" x14ac:dyDescent="0.2">
      <c r="B158" s="110"/>
      <c r="C158" s="110"/>
      <c r="D158" s="110"/>
    </row>
    <row r="159" spans="2:4" x14ac:dyDescent="0.2">
      <c r="B159" s="110"/>
      <c r="C159" s="110"/>
      <c r="D159" s="110"/>
    </row>
    <row r="160" spans="2:4" x14ac:dyDescent="0.2">
      <c r="B160" s="110"/>
      <c r="C160" s="110"/>
      <c r="D160" s="110"/>
    </row>
    <row r="161" spans="2:4" x14ac:dyDescent="0.2">
      <c r="B161" s="110"/>
      <c r="C161" s="110"/>
      <c r="D161" s="110"/>
    </row>
    <row r="162" spans="2:4" x14ac:dyDescent="0.2">
      <c r="B162" s="110"/>
      <c r="C162" s="110"/>
      <c r="D162" s="110"/>
    </row>
    <row r="163" spans="2:4" x14ac:dyDescent="0.2">
      <c r="B163" s="110"/>
      <c r="C163" s="110"/>
      <c r="D163" s="110"/>
    </row>
    <row r="164" spans="2:4" x14ac:dyDescent="0.2">
      <c r="B164" s="110"/>
      <c r="C164" s="110"/>
      <c r="D164" s="110"/>
    </row>
    <row r="165" spans="2:4" x14ac:dyDescent="0.2">
      <c r="B165" s="110"/>
      <c r="C165" s="110"/>
      <c r="D165" s="110"/>
    </row>
    <row r="166" spans="2:4" x14ac:dyDescent="0.2">
      <c r="B166" s="110"/>
      <c r="C166" s="110"/>
      <c r="D166" s="110"/>
    </row>
    <row r="167" spans="2:4" x14ac:dyDescent="0.2">
      <c r="B167" s="110"/>
      <c r="C167" s="110"/>
      <c r="D167" s="110"/>
    </row>
    <row r="168" spans="2:4" x14ac:dyDescent="0.2">
      <c r="B168" s="110"/>
      <c r="C168" s="110"/>
      <c r="D168" s="110"/>
    </row>
    <row r="169" spans="2:4" x14ac:dyDescent="0.2">
      <c r="B169" s="110"/>
      <c r="C169" s="110"/>
      <c r="D169" s="110"/>
    </row>
    <row r="170" spans="2:4" x14ac:dyDescent="0.2">
      <c r="B170" s="110"/>
      <c r="C170" s="110"/>
      <c r="D170" s="110"/>
    </row>
    <row r="171" spans="2:4" x14ac:dyDescent="0.2">
      <c r="B171" s="110"/>
      <c r="C171" s="110"/>
      <c r="D171" s="110"/>
    </row>
    <row r="172" spans="2:4" x14ac:dyDescent="0.2">
      <c r="B172" s="110"/>
      <c r="C172" s="110"/>
      <c r="D172" s="110"/>
    </row>
    <row r="173" spans="2:4" x14ac:dyDescent="0.2">
      <c r="B173" s="110"/>
      <c r="C173" s="110"/>
      <c r="D173" s="110"/>
    </row>
    <row r="174" spans="2:4" x14ac:dyDescent="0.2">
      <c r="B174" s="110"/>
      <c r="C174" s="110"/>
      <c r="D174" s="110"/>
    </row>
    <row r="175" spans="2:4" x14ac:dyDescent="0.2">
      <c r="B175" s="110"/>
      <c r="C175" s="110"/>
      <c r="D175" s="110"/>
    </row>
    <row r="176" spans="2:4" x14ac:dyDescent="0.2">
      <c r="B176" s="110"/>
      <c r="C176" s="110"/>
      <c r="D176" s="110"/>
    </row>
    <row r="177" spans="2:4" x14ac:dyDescent="0.2">
      <c r="B177" s="110"/>
      <c r="C177" s="110"/>
      <c r="D177" s="110"/>
    </row>
    <row r="178" spans="2:4" x14ac:dyDescent="0.2">
      <c r="B178" s="110"/>
      <c r="C178" s="110"/>
      <c r="D178" s="110"/>
    </row>
    <row r="179" spans="2:4" x14ac:dyDescent="0.2">
      <c r="B179" s="110"/>
      <c r="C179" s="110"/>
      <c r="D179" s="110"/>
    </row>
    <row r="180" spans="2:4" x14ac:dyDescent="0.2">
      <c r="B180" s="110"/>
      <c r="C180" s="110"/>
      <c r="D180" s="110"/>
    </row>
    <row r="181" spans="2:4" x14ac:dyDescent="0.2">
      <c r="B181" s="110"/>
      <c r="C181" s="110"/>
      <c r="D181" s="110"/>
    </row>
    <row r="182" spans="2:4" x14ac:dyDescent="0.2">
      <c r="B182" s="110"/>
      <c r="C182" s="110"/>
      <c r="D182" s="110"/>
    </row>
    <row r="183" spans="2:4" x14ac:dyDescent="0.2">
      <c r="B183" s="110"/>
      <c r="C183" s="110"/>
      <c r="D183" s="110"/>
    </row>
    <row r="184" spans="2:4" x14ac:dyDescent="0.2">
      <c r="B184" s="110"/>
      <c r="C184" s="110"/>
      <c r="D184" s="110"/>
    </row>
    <row r="185" spans="2:4" x14ac:dyDescent="0.2">
      <c r="B185" s="110"/>
      <c r="C185" s="110"/>
      <c r="D185" s="110"/>
    </row>
    <row r="186" spans="2:4" x14ac:dyDescent="0.2">
      <c r="B186" s="110"/>
      <c r="C186" s="110"/>
      <c r="D186" s="110"/>
    </row>
    <row r="187" spans="2:4" x14ac:dyDescent="0.2">
      <c r="B187" s="110"/>
      <c r="C187" s="110"/>
      <c r="D187" s="110"/>
    </row>
    <row r="188" spans="2:4" x14ac:dyDescent="0.2">
      <c r="B188" s="110"/>
      <c r="C188" s="110"/>
      <c r="D188" s="110"/>
    </row>
    <row r="189" spans="2:4" x14ac:dyDescent="0.2">
      <c r="B189" s="110"/>
      <c r="C189" s="110"/>
      <c r="D189" s="110"/>
    </row>
    <row r="190" spans="2:4" x14ac:dyDescent="0.2">
      <c r="B190" s="110"/>
      <c r="C190" s="110"/>
      <c r="D190" s="110"/>
    </row>
    <row r="191" spans="2:4" x14ac:dyDescent="0.2">
      <c r="B191" s="110"/>
      <c r="C191" s="110"/>
      <c r="D191" s="110"/>
    </row>
    <row r="192" spans="2:4" x14ac:dyDescent="0.2">
      <c r="B192" s="110"/>
      <c r="C192" s="110"/>
      <c r="D192" s="110"/>
    </row>
    <row r="193" spans="2:4" x14ac:dyDescent="0.2">
      <c r="B193" s="110"/>
      <c r="C193" s="110"/>
      <c r="D193" s="110"/>
    </row>
    <row r="194" spans="2:4" x14ac:dyDescent="0.2">
      <c r="B194" s="110"/>
      <c r="C194" s="110"/>
      <c r="D194" s="110"/>
    </row>
    <row r="195" spans="2:4" x14ac:dyDescent="0.2">
      <c r="B195" s="110"/>
      <c r="C195" s="110"/>
      <c r="D195" s="110"/>
    </row>
    <row r="196" spans="2:4" x14ac:dyDescent="0.2">
      <c r="B196" s="110"/>
      <c r="C196" s="110"/>
      <c r="D196" s="110"/>
    </row>
    <row r="197" spans="2:4" x14ac:dyDescent="0.2">
      <c r="B197" s="110"/>
      <c r="C197" s="110"/>
      <c r="D197" s="110"/>
    </row>
    <row r="198" spans="2:4" x14ac:dyDescent="0.2">
      <c r="B198" s="110"/>
      <c r="C198" s="110"/>
      <c r="D198" s="110"/>
    </row>
    <row r="199" spans="2:4" x14ac:dyDescent="0.2">
      <c r="B199" s="110"/>
      <c r="C199" s="110"/>
      <c r="D199" s="110"/>
    </row>
    <row r="200" spans="2:4" x14ac:dyDescent="0.2">
      <c r="B200" s="110"/>
      <c r="C200" s="110"/>
      <c r="D200" s="110"/>
    </row>
    <row r="201" spans="2:4" x14ac:dyDescent="0.2">
      <c r="B201" s="110"/>
      <c r="C201" s="110"/>
      <c r="D201" s="110"/>
    </row>
    <row r="202" spans="2:4" x14ac:dyDescent="0.2">
      <c r="B202" s="110"/>
      <c r="C202" s="110"/>
      <c r="D202" s="110"/>
    </row>
    <row r="203" spans="2:4" x14ac:dyDescent="0.2">
      <c r="B203" s="110"/>
      <c r="C203" s="110"/>
      <c r="D203" s="110"/>
    </row>
    <row r="204" spans="2:4" x14ac:dyDescent="0.2">
      <c r="B204" s="110"/>
      <c r="C204" s="110"/>
      <c r="D204" s="110"/>
    </row>
    <row r="205" spans="2:4" x14ac:dyDescent="0.2">
      <c r="B205" s="110"/>
      <c r="C205" s="110"/>
      <c r="D205" s="110"/>
    </row>
    <row r="206" spans="2:4" x14ac:dyDescent="0.2">
      <c r="B206" s="110"/>
      <c r="C206" s="110"/>
      <c r="D206" s="110"/>
    </row>
    <row r="207" spans="2:4" x14ac:dyDescent="0.2">
      <c r="B207" s="110"/>
      <c r="C207" s="110"/>
      <c r="D207" s="110"/>
    </row>
    <row r="208" spans="2:4" x14ac:dyDescent="0.2">
      <c r="B208" s="110"/>
      <c r="C208" s="110"/>
      <c r="D208" s="110"/>
    </row>
    <row r="209" spans="2:4" x14ac:dyDescent="0.2">
      <c r="B209" s="110"/>
      <c r="C209" s="110"/>
      <c r="D209" s="110"/>
    </row>
    <row r="210" spans="2:4" x14ac:dyDescent="0.2">
      <c r="B210" s="110"/>
      <c r="C210" s="110"/>
      <c r="D210" s="110"/>
    </row>
    <row r="211" spans="2:4" x14ac:dyDescent="0.2">
      <c r="B211" s="110"/>
      <c r="C211" s="110"/>
      <c r="D211" s="110"/>
    </row>
    <row r="212" spans="2:4" x14ac:dyDescent="0.2">
      <c r="B212" s="110"/>
      <c r="C212" s="110"/>
      <c r="D212" s="110"/>
    </row>
    <row r="213" spans="2:4" x14ac:dyDescent="0.2">
      <c r="B213" s="110"/>
      <c r="C213" s="110"/>
      <c r="D213" s="110"/>
    </row>
    <row r="214" spans="2:4" x14ac:dyDescent="0.2">
      <c r="B214" s="110"/>
      <c r="C214" s="110"/>
      <c r="D214" s="110"/>
    </row>
    <row r="215" spans="2:4" x14ac:dyDescent="0.2">
      <c r="B215" s="110"/>
      <c r="C215" s="110"/>
      <c r="D215" s="110"/>
    </row>
    <row r="216" spans="2:4" x14ac:dyDescent="0.2">
      <c r="B216" s="110"/>
      <c r="C216" s="110"/>
      <c r="D216" s="110"/>
    </row>
    <row r="217" spans="2:4" x14ac:dyDescent="0.2">
      <c r="B217" s="110"/>
      <c r="C217" s="110"/>
      <c r="D217" s="110"/>
    </row>
    <row r="218" spans="2:4" x14ac:dyDescent="0.2">
      <c r="B218" s="110"/>
      <c r="C218" s="110"/>
      <c r="D218" s="110"/>
    </row>
    <row r="219" spans="2:4" x14ac:dyDescent="0.2">
      <c r="B219" s="110"/>
      <c r="C219" s="110"/>
      <c r="D219" s="110"/>
    </row>
    <row r="220" spans="2:4" x14ac:dyDescent="0.2">
      <c r="B220" s="110"/>
      <c r="C220" s="110"/>
      <c r="D220" s="110"/>
    </row>
    <row r="221" spans="2:4" x14ac:dyDescent="0.2">
      <c r="B221" s="110"/>
      <c r="C221" s="110"/>
      <c r="D221" s="110"/>
    </row>
    <row r="222" spans="2:4" x14ac:dyDescent="0.2">
      <c r="B222" s="110"/>
      <c r="C222" s="110"/>
      <c r="D222" s="110"/>
    </row>
    <row r="223" spans="2:4" x14ac:dyDescent="0.2">
      <c r="B223" s="110"/>
      <c r="C223" s="110"/>
      <c r="D223" s="110"/>
    </row>
    <row r="224" spans="2:4" x14ac:dyDescent="0.2">
      <c r="B224" s="110"/>
      <c r="C224" s="110"/>
      <c r="D224" s="110"/>
    </row>
    <row r="225" spans="2:4" x14ac:dyDescent="0.2">
      <c r="B225" s="110"/>
      <c r="C225" s="110"/>
      <c r="D225" s="110"/>
    </row>
    <row r="226" spans="2:4" x14ac:dyDescent="0.2">
      <c r="B226" s="110"/>
      <c r="C226" s="110"/>
      <c r="D226" s="110"/>
    </row>
    <row r="227" spans="2:4" x14ac:dyDescent="0.2">
      <c r="B227" s="110"/>
      <c r="C227" s="110"/>
      <c r="D227" s="110"/>
    </row>
    <row r="228" spans="2:4" x14ac:dyDescent="0.2">
      <c r="B228" s="110"/>
      <c r="C228" s="110"/>
      <c r="D228" s="110"/>
    </row>
    <row r="229" spans="2:4" x14ac:dyDescent="0.2">
      <c r="B229" s="110"/>
      <c r="C229" s="110"/>
      <c r="D229" s="110"/>
    </row>
    <row r="230" spans="2:4" x14ac:dyDescent="0.2">
      <c r="B230" s="110"/>
      <c r="C230" s="110"/>
      <c r="D230" s="110"/>
    </row>
    <row r="231" spans="2:4" x14ac:dyDescent="0.2">
      <c r="B231" s="110"/>
      <c r="C231" s="110"/>
      <c r="D231" s="110"/>
    </row>
    <row r="232" spans="2:4" x14ac:dyDescent="0.2">
      <c r="B232" s="110"/>
      <c r="C232" s="110"/>
      <c r="D232" s="110"/>
    </row>
    <row r="233" spans="2:4" x14ac:dyDescent="0.2">
      <c r="B233" s="110"/>
      <c r="C233" s="110"/>
      <c r="D233" s="110"/>
    </row>
    <row r="234" spans="2:4" x14ac:dyDescent="0.2">
      <c r="B234" s="110"/>
      <c r="C234" s="110"/>
      <c r="D234" s="110"/>
    </row>
    <row r="235" spans="2:4" x14ac:dyDescent="0.2">
      <c r="B235" s="110"/>
      <c r="C235" s="110"/>
      <c r="D235" s="110"/>
    </row>
    <row r="236" spans="2:4" x14ac:dyDescent="0.2">
      <c r="B236" s="110"/>
      <c r="C236" s="110"/>
      <c r="D236" s="110"/>
    </row>
    <row r="237" spans="2:4" x14ac:dyDescent="0.2">
      <c r="B237" s="110"/>
      <c r="C237" s="110"/>
      <c r="D237" s="110"/>
    </row>
    <row r="238" spans="2:4" x14ac:dyDescent="0.2">
      <c r="B238" s="110"/>
      <c r="C238" s="110"/>
      <c r="D238" s="110"/>
    </row>
    <row r="239" spans="2:4" x14ac:dyDescent="0.2">
      <c r="B239" s="110"/>
      <c r="C239" s="110"/>
      <c r="D239" s="110"/>
    </row>
    <row r="240" spans="2:4" x14ac:dyDescent="0.2">
      <c r="B240" s="110"/>
      <c r="C240" s="110"/>
      <c r="D240" s="110"/>
    </row>
    <row r="241" spans="2:4" x14ac:dyDescent="0.2">
      <c r="B241" s="110"/>
      <c r="C241" s="110"/>
      <c r="D241" s="110"/>
    </row>
    <row r="242" spans="2:4" x14ac:dyDescent="0.2">
      <c r="B242" s="110"/>
      <c r="C242" s="110"/>
      <c r="D242" s="110"/>
    </row>
    <row r="243" spans="2:4" x14ac:dyDescent="0.2">
      <c r="B243" s="110"/>
      <c r="C243" s="110"/>
      <c r="D243" s="110"/>
    </row>
    <row r="244" spans="2:4" x14ac:dyDescent="0.2">
      <c r="B244" s="110"/>
      <c r="C244" s="110"/>
      <c r="D244" s="110"/>
    </row>
    <row r="245" spans="2:4" x14ac:dyDescent="0.2">
      <c r="B245" s="110"/>
      <c r="C245" s="110"/>
      <c r="D245" s="110"/>
    </row>
    <row r="246" spans="2:4" x14ac:dyDescent="0.2">
      <c r="B246" s="110"/>
      <c r="C246" s="110"/>
      <c r="D246" s="110"/>
    </row>
    <row r="247" spans="2:4" x14ac:dyDescent="0.2">
      <c r="B247" s="110"/>
      <c r="C247" s="110"/>
      <c r="D247" s="110"/>
    </row>
    <row r="248" spans="2:4" x14ac:dyDescent="0.2">
      <c r="B248" s="110"/>
      <c r="C248" s="110"/>
      <c r="D248" s="110"/>
    </row>
    <row r="249" spans="2:4" x14ac:dyDescent="0.2">
      <c r="B249" s="110"/>
      <c r="C249" s="110"/>
      <c r="D249" s="110"/>
    </row>
    <row r="250" spans="2:4" x14ac:dyDescent="0.2">
      <c r="B250" s="110"/>
      <c r="C250" s="110"/>
      <c r="D250" s="110"/>
    </row>
    <row r="251" spans="2:4" x14ac:dyDescent="0.2">
      <c r="B251" s="110"/>
      <c r="C251" s="110"/>
      <c r="D251" s="110"/>
    </row>
    <row r="252" spans="2:4" x14ac:dyDescent="0.2">
      <c r="B252" s="110"/>
      <c r="C252" s="110"/>
      <c r="D252" s="110"/>
    </row>
    <row r="253" spans="2:4" x14ac:dyDescent="0.2">
      <c r="B253" s="110"/>
      <c r="C253" s="110"/>
      <c r="D253" s="110"/>
    </row>
    <row r="254" spans="2:4" x14ac:dyDescent="0.2">
      <c r="B254" s="110"/>
      <c r="C254" s="110"/>
      <c r="D254" s="110"/>
    </row>
    <row r="255" spans="2:4" x14ac:dyDescent="0.2">
      <c r="B255" s="110"/>
      <c r="C255" s="110"/>
      <c r="D255" s="110"/>
    </row>
    <row r="256" spans="2:4" x14ac:dyDescent="0.2">
      <c r="B256" s="110"/>
      <c r="C256" s="110"/>
      <c r="D256" s="110"/>
    </row>
    <row r="257" spans="2:4" x14ac:dyDescent="0.2">
      <c r="B257" s="110"/>
      <c r="C257" s="110"/>
      <c r="D257" s="110"/>
    </row>
    <row r="258" spans="2:4" x14ac:dyDescent="0.2">
      <c r="B258" s="110"/>
      <c r="C258" s="110"/>
      <c r="D258" s="110"/>
    </row>
    <row r="259" spans="2:4" x14ac:dyDescent="0.2">
      <c r="B259" s="110"/>
      <c r="C259" s="110"/>
      <c r="D259" s="110"/>
    </row>
    <row r="260" spans="2:4" x14ac:dyDescent="0.2">
      <c r="B260" s="110"/>
      <c r="C260" s="110"/>
      <c r="D260" s="110"/>
    </row>
    <row r="261" spans="2:4" x14ac:dyDescent="0.2">
      <c r="B261" s="110"/>
      <c r="C261" s="110"/>
      <c r="D261" s="110"/>
    </row>
    <row r="262" spans="2:4" x14ac:dyDescent="0.2">
      <c r="B262" s="110"/>
      <c r="C262" s="110"/>
      <c r="D262" s="110"/>
    </row>
    <row r="263" spans="2:4" x14ac:dyDescent="0.2">
      <c r="B263" s="110"/>
      <c r="C263" s="110"/>
      <c r="D263" s="110"/>
    </row>
    <row r="264" spans="2:4" x14ac:dyDescent="0.2">
      <c r="B264" s="110"/>
      <c r="C264" s="110"/>
      <c r="D264" s="110"/>
    </row>
    <row r="265" spans="2:4" x14ac:dyDescent="0.2">
      <c r="B265" s="110"/>
      <c r="C265" s="110"/>
      <c r="D265" s="110"/>
    </row>
    <row r="266" spans="2:4" x14ac:dyDescent="0.2">
      <c r="B266" s="110"/>
      <c r="C266" s="110"/>
      <c r="D266" s="110"/>
    </row>
    <row r="267" spans="2:4" x14ac:dyDescent="0.2">
      <c r="B267" s="110"/>
      <c r="C267" s="110"/>
      <c r="D267" s="110"/>
    </row>
    <row r="268" spans="2:4" x14ac:dyDescent="0.2">
      <c r="B268" s="110"/>
      <c r="C268" s="110"/>
      <c r="D268" s="110"/>
    </row>
    <row r="269" spans="2:4" x14ac:dyDescent="0.2">
      <c r="B269" s="110"/>
      <c r="C269" s="110"/>
      <c r="D269" s="110"/>
    </row>
    <row r="270" spans="2:4" x14ac:dyDescent="0.2">
      <c r="B270" s="110"/>
      <c r="C270" s="110"/>
      <c r="D270" s="110"/>
    </row>
    <row r="271" spans="2:4" x14ac:dyDescent="0.2">
      <c r="B271" s="110"/>
      <c r="C271" s="110"/>
      <c r="D271" s="110"/>
    </row>
    <row r="272" spans="2:4" x14ac:dyDescent="0.2">
      <c r="B272" s="110"/>
      <c r="C272" s="110"/>
      <c r="D272" s="110"/>
    </row>
    <row r="273" spans="2:4" x14ac:dyDescent="0.2">
      <c r="B273" s="110"/>
      <c r="C273" s="110"/>
      <c r="D273" s="110"/>
    </row>
    <row r="274" spans="2:4" x14ac:dyDescent="0.2">
      <c r="B274" s="110"/>
      <c r="C274" s="110"/>
      <c r="D274" s="110"/>
    </row>
    <row r="275" spans="2:4" x14ac:dyDescent="0.2">
      <c r="B275" s="110"/>
      <c r="C275" s="110"/>
      <c r="D275" s="110"/>
    </row>
    <row r="276" spans="2:4" x14ac:dyDescent="0.2">
      <c r="B276" s="110"/>
      <c r="C276" s="110"/>
      <c r="D276" s="110"/>
    </row>
    <row r="277" spans="2:4" x14ac:dyDescent="0.2">
      <c r="B277" s="110"/>
      <c r="C277" s="110"/>
      <c r="D277" s="110"/>
    </row>
    <row r="278" spans="2:4" x14ac:dyDescent="0.2">
      <c r="B278" s="110"/>
      <c r="C278" s="110"/>
      <c r="D278" s="110"/>
    </row>
    <row r="279" spans="2:4" x14ac:dyDescent="0.2">
      <c r="B279" s="110"/>
      <c r="C279" s="110"/>
      <c r="D279" s="110"/>
    </row>
    <row r="280" spans="2:4" x14ac:dyDescent="0.2">
      <c r="B280" s="110"/>
      <c r="C280" s="110"/>
      <c r="D280" s="110"/>
    </row>
    <row r="281" spans="2:4" x14ac:dyDescent="0.2">
      <c r="B281" s="110"/>
      <c r="C281" s="110"/>
      <c r="D281" s="110"/>
    </row>
    <row r="282" spans="2:4" x14ac:dyDescent="0.2">
      <c r="B282" s="110"/>
      <c r="C282" s="110"/>
      <c r="D282" s="110"/>
    </row>
    <row r="283" spans="2:4" x14ac:dyDescent="0.2">
      <c r="B283" s="110"/>
      <c r="C283" s="110"/>
      <c r="D283" s="110"/>
    </row>
    <row r="284" spans="2:4" x14ac:dyDescent="0.2">
      <c r="B284" s="110"/>
      <c r="C284" s="110"/>
      <c r="D284" s="110"/>
    </row>
    <row r="285" spans="2:4" x14ac:dyDescent="0.2">
      <c r="B285" s="110"/>
      <c r="C285" s="110"/>
      <c r="D285" s="110"/>
    </row>
    <row r="286" spans="2:4" x14ac:dyDescent="0.2">
      <c r="B286" s="110"/>
      <c r="C286" s="110"/>
      <c r="D286" s="110"/>
    </row>
    <row r="287" spans="2:4" x14ac:dyDescent="0.2">
      <c r="B287" s="110"/>
      <c r="C287" s="110"/>
      <c r="D287" s="110"/>
    </row>
    <row r="288" spans="2:4" x14ac:dyDescent="0.2">
      <c r="B288" s="110"/>
      <c r="C288" s="110"/>
      <c r="D288" s="110"/>
    </row>
    <row r="289" spans="2:4" x14ac:dyDescent="0.2">
      <c r="B289" s="110"/>
      <c r="C289" s="110"/>
      <c r="D289" s="110"/>
    </row>
    <row r="290" spans="2:4" x14ac:dyDescent="0.2">
      <c r="B290" s="110"/>
      <c r="C290" s="110"/>
      <c r="D290" s="110"/>
    </row>
    <row r="291" spans="2:4" x14ac:dyDescent="0.2">
      <c r="B291" s="110"/>
      <c r="C291" s="110"/>
      <c r="D291" s="110"/>
    </row>
    <row r="292" spans="2:4" x14ac:dyDescent="0.2">
      <c r="B292" s="110"/>
      <c r="C292" s="110"/>
      <c r="D292" s="110"/>
    </row>
    <row r="293" spans="2:4" x14ac:dyDescent="0.2">
      <c r="B293" s="110"/>
      <c r="C293" s="110"/>
      <c r="D293" s="110"/>
    </row>
    <row r="294" spans="2:4" x14ac:dyDescent="0.2">
      <c r="B294" s="110"/>
      <c r="C294" s="110"/>
      <c r="D294" s="110"/>
    </row>
    <row r="295" spans="2:4" x14ac:dyDescent="0.2">
      <c r="B295" s="110"/>
      <c r="C295" s="110"/>
      <c r="D295" s="110"/>
    </row>
    <row r="296" spans="2:4" x14ac:dyDescent="0.2">
      <c r="B296" s="110"/>
      <c r="C296" s="110"/>
      <c r="D296" s="110"/>
    </row>
    <row r="297" spans="2:4" x14ac:dyDescent="0.2">
      <c r="B297" s="110"/>
      <c r="C297" s="110"/>
      <c r="D297" s="110"/>
    </row>
    <row r="298" spans="2:4" x14ac:dyDescent="0.2">
      <c r="B298" s="110"/>
      <c r="C298" s="110"/>
      <c r="D298" s="110"/>
    </row>
    <row r="299" spans="2:4" x14ac:dyDescent="0.2">
      <c r="B299" s="110"/>
      <c r="C299" s="110"/>
      <c r="D299" s="110"/>
    </row>
    <row r="300" spans="2:4" x14ac:dyDescent="0.2">
      <c r="B300" s="110"/>
      <c r="C300" s="110"/>
      <c r="D300" s="110"/>
    </row>
    <row r="301" spans="2:4" x14ac:dyDescent="0.2">
      <c r="B301" s="110"/>
      <c r="C301" s="110"/>
      <c r="D301" s="110"/>
    </row>
    <row r="302" spans="2:4" x14ac:dyDescent="0.2">
      <c r="B302" s="110"/>
      <c r="C302" s="110"/>
      <c r="D302" s="110"/>
    </row>
    <row r="303" spans="2:4" x14ac:dyDescent="0.2">
      <c r="B303" s="110"/>
      <c r="C303" s="110"/>
      <c r="D303" s="110"/>
    </row>
    <row r="304" spans="2:4" x14ac:dyDescent="0.2">
      <c r="B304" s="110"/>
      <c r="C304" s="110"/>
      <c r="D304" s="110"/>
    </row>
    <row r="305" spans="2:4" x14ac:dyDescent="0.2">
      <c r="B305" s="110"/>
      <c r="C305" s="110"/>
      <c r="D305" s="110"/>
    </row>
    <row r="306" spans="2:4" x14ac:dyDescent="0.2">
      <c r="B306" s="110"/>
      <c r="C306" s="110"/>
      <c r="D306" s="110"/>
    </row>
    <row r="307" spans="2:4" x14ac:dyDescent="0.2">
      <c r="B307" s="110"/>
      <c r="C307" s="110"/>
      <c r="D307" s="110"/>
    </row>
    <row r="308" spans="2:4" x14ac:dyDescent="0.2">
      <c r="B308" s="110"/>
      <c r="C308" s="110"/>
      <c r="D308" s="110"/>
    </row>
    <row r="309" spans="2:4" x14ac:dyDescent="0.2">
      <c r="B309" s="110"/>
      <c r="C309" s="110"/>
      <c r="D309" s="110"/>
    </row>
    <row r="310" spans="2:4" x14ac:dyDescent="0.2">
      <c r="B310" s="110"/>
      <c r="C310" s="110"/>
      <c r="D310" s="110"/>
    </row>
    <row r="311" spans="2:4" x14ac:dyDescent="0.2">
      <c r="B311" s="110"/>
      <c r="C311" s="110"/>
      <c r="D311" s="110"/>
    </row>
    <row r="312" spans="2:4" x14ac:dyDescent="0.2">
      <c r="B312" s="110"/>
      <c r="C312" s="110"/>
      <c r="D312" s="110"/>
    </row>
    <row r="313" spans="2:4" x14ac:dyDescent="0.2">
      <c r="B313" s="110"/>
      <c r="C313" s="110"/>
      <c r="D313" s="110"/>
    </row>
    <row r="314" spans="2:4" x14ac:dyDescent="0.2">
      <c r="B314" s="110"/>
      <c r="C314" s="110"/>
      <c r="D314" s="110"/>
    </row>
    <row r="315" spans="2:4" x14ac:dyDescent="0.2">
      <c r="B315" s="110"/>
      <c r="C315" s="110"/>
      <c r="D315" s="110"/>
    </row>
    <row r="316" spans="2:4" x14ac:dyDescent="0.2">
      <c r="B316" s="110"/>
      <c r="C316" s="110"/>
      <c r="D316" s="110"/>
    </row>
    <row r="317" spans="2:4" x14ac:dyDescent="0.2">
      <c r="B317" s="110"/>
      <c r="C317" s="110"/>
      <c r="D317" s="110"/>
    </row>
    <row r="318" spans="2:4" x14ac:dyDescent="0.2">
      <c r="B318" s="110"/>
      <c r="C318" s="110"/>
      <c r="D318" s="110"/>
    </row>
    <row r="319" spans="2:4" x14ac:dyDescent="0.2">
      <c r="B319" s="110"/>
      <c r="C319" s="110"/>
      <c r="D319" s="110"/>
    </row>
    <row r="320" spans="2:4" x14ac:dyDescent="0.2">
      <c r="B320" s="110"/>
      <c r="C320" s="110"/>
      <c r="D320" s="110"/>
    </row>
    <row r="321" spans="2:4" x14ac:dyDescent="0.2">
      <c r="B321" s="110"/>
      <c r="C321" s="110"/>
      <c r="D321" s="110"/>
    </row>
    <row r="322" spans="2:4" x14ac:dyDescent="0.2">
      <c r="B322" s="110"/>
      <c r="C322" s="110"/>
      <c r="D322" s="110"/>
    </row>
    <row r="323" spans="2:4" x14ac:dyDescent="0.2">
      <c r="B323" s="110"/>
      <c r="C323" s="110"/>
      <c r="D323" s="110"/>
    </row>
    <row r="324" spans="2:4" x14ac:dyDescent="0.2">
      <c r="B324" s="110"/>
      <c r="C324" s="110"/>
      <c r="D324" s="110"/>
    </row>
    <row r="325" spans="2:4" x14ac:dyDescent="0.2">
      <c r="B325" s="110"/>
      <c r="C325" s="110"/>
      <c r="D325" s="110"/>
    </row>
    <row r="326" spans="2:4" x14ac:dyDescent="0.2">
      <c r="B326" s="110"/>
      <c r="C326" s="110"/>
      <c r="D326" s="110"/>
    </row>
    <row r="327" spans="2:4" x14ac:dyDescent="0.2">
      <c r="B327" s="110"/>
      <c r="C327" s="110"/>
      <c r="D327" s="110"/>
    </row>
    <row r="328" spans="2:4" x14ac:dyDescent="0.2">
      <c r="B328" s="110"/>
      <c r="C328" s="110"/>
      <c r="D328" s="110"/>
    </row>
    <row r="329" spans="2:4" x14ac:dyDescent="0.2">
      <c r="B329" s="110"/>
      <c r="C329" s="110"/>
      <c r="D329" s="110"/>
    </row>
    <row r="330" spans="2:4" x14ac:dyDescent="0.2">
      <c r="B330" s="110"/>
      <c r="C330" s="110"/>
      <c r="D330" s="110"/>
    </row>
    <row r="331" spans="2:4" x14ac:dyDescent="0.2">
      <c r="B331" s="110"/>
      <c r="C331" s="110"/>
      <c r="D331" s="110"/>
    </row>
    <row r="332" spans="2:4" x14ac:dyDescent="0.2">
      <c r="B332" s="110"/>
      <c r="C332" s="110"/>
      <c r="D332" s="110"/>
    </row>
    <row r="333" spans="2:4" x14ac:dyDescent="0.2">
      <c r="B333" s="110"/>
      <c r="C333" s="110"/>
      <c r="D333" s="110"/>
    </row>
    <row r="334" spans="2:4" x14ac:dyDescent="0.2">
      <c r="B334" s="110"/>
      <c r="C334" s="110"/>
      <c r="D334" s="110"/>
    </row>
    <row r="335" spans="2:4" x14ac:dyDescent="0.2">
      <c r="B335" s="110"/>
      <c r="C335" s="110"/>
      <c r="D335" s="110"/>
    </row>
    <row r="336" spans="2:4" x14ac:dyDescent="0.2">
      <c r="B336" s="110"/>
      <c r="C336" s="110"/>
      <c r="D336" s="110"/>
    </row>
    <row r="337" spans="2:4" x14ac:dyDescent="0.2">
      <c r="B337" s="110"/>
      <c r="C337" s="110"/>
      <c r="D337" s="110"/>
    </row>
    <row r="338" spans="2:4" x14ac:dyDescent="0.2">
      <c r="B338" s="110"/>
      <c r="C338" s="110"/>
      <c r="D338" s="110"/>
    </row>
    <row r="339" spans="2:4" x14ac:dyDescent="0.2">
      <c r="B339" s="110"/>
      <c r="C339" s="110"/>
      <c r="D339" s="110"/>
    </row>
    <row r="340" spans="2:4" x14ac:dyDescent="0.2">
      <c r="B340" s="110"/>
      <c r="C340" s="110"/>
      <c r="D340" s="110"/>
    </row>
    <row r="341" spans="2:4" x14ac:dyDescent="0.2">
      <c r="B341" s="110"/>
      <c r="C341" s="110"/>
      <c r="D341" s="110"/>
    </row>
    <row r="342" spans="2:4" x14ac:dyDescent="0.2">
      <c r="B342" s="110"/>
      <c r="C342" s="110"/>
      <c r="D342" s="110"/>
    </row>
    <row r="343" spans="2:4" x14ac:dyDescent="0.2">
      <c r="B343" s="110"/>
      <c r="C343" s="110"/>
      <c r="D343" s="110"/>
    </row>
    <row r="344" spans="2:4" x14ac:dyDescent="0.2">
      <c r="B344" s="110"/>
      <c r="C344" s="110"/>
      <c r="D344" s="110"/>
    </row>
    <row r="345" spans="2:4" x14ac:dyDescent="0.2">
      <c r="B345" s="110"/>
      <c r="C345" s="110"/>
      <c r="D345" s="110"/>
    </row>
    <row r="346" spans="2:4" x14ac:dyDescent="0.2">
      <c r="B346" s="110"/>
      <c r="C346" s="110"/>
      <c r="D346" s="110"/>
    </row>
    <row r="347" spans="2:4" x14ac:dyDescent="0.2">
      <c r="B347" s="110"/>
      <c r="C347" s="110"/>
      <c r="D347" s="110"/>
    </row>
    <row r="348" spans="2:4" x14ac:dyDescent="0.2">
      <c r="B348" s="110"/>
      <c r="C348" s="110"/>
      <c r="D348" s="110"/>
    </row>
    <row r="349" spans="2:4" x14ac:dyDescent="0.2">
      <c r="B349" s="110"/>
      <c r="C349" s="110"/>
      <c r="D349" s="110"/>
    </row>
    <row r="350" spans="2:4" x14ac:dyDescent="0.2">
      <c r="B350" s="110"/>
      <c r="C350" s="110"/>
      <c r="D350" s="110"/>
    </row>
    <row r="351" spans="2:4" x14ac:dyDescent="0.2">
      <c r="B351" s="110"/>
      <c r="C351" s="110"/>
      <c r="D351" s="110"/>
    </row>
    <row r="352" spans="2:4" x14ac:dyDescent="0.2">
      <c r="B352" s="110"/>
      <c r="C352" s="110"/>
      <c r="D352" s="110"/>
    </row>
    <row r="353" spans="2:4" x14ac:dyDescent="0.2">
      <c r="B353" s="110"/>
      <c r="C353" s="110"/>
      <c r="D353" s="110"/>
    </row>
    <row r="354" spans="2:4" x14ac:dyDescent="0.2">
      <c r="B354" s="110"/>
      <c r="C354" s="110"/>
      <c r="D354" s="110"/>
    </row>
    <row r="355" spans="2:4" x14ac:dyDescent="0.2">
      <c r="B355" s="110"/>
      <c r="C355" s="110"/>
      <c r="D355" s="110"/>
    </row>
    <row r="356" spans="2:4" x14ac:dyDescent="0.2">
      <c r="B356" s="110"/>
      <c r="C356" s="110"/>
      <c r="D356" s="110"/>
    </row>
    <row r="357" spans="2:4" x14ac:dyDescent="0.2">
      <c r="B357" s="110"/>
      <c r="C357" s="110"/>
      <c r="D357" s="110"/>
    </row>
    <row r="358" spans="2:4" x14ac:dyDescent="0.2">
      <c r="B358" s="110"/>
      <c r="C358" s="110"/>
      <c r="D358" s="110"/>
    </row>
    <row r="359" spans="2:4" x14ac:dyDescent="0.2">
      <c r="B359" s="110"/>
      <c r="C359" s="110"/>
      <c r="D359" s="110"/>
    </row>
    <row r="360" spans="2:4" x14ac:dyDescent="0.2">
      <c r="B360" s="110"/>
      <c r="C360" s="110"/>
      <c r="D360" s="110"/>
    </row>
    <row r="361" spans="2:4" x14ac:dyDescent="0.2">
      <c r="B361" s="110"/>
      <c r="C361" s="110"/>
      <c r="D361" s="110"/>
    </row>
    <row r="362" spans="2:4" x14ac:dyDescent="0.2">
      <c r="B362" s="110"/>
      <c r="C362" s="110"/>
      <c r="D362" s="110"/>
    </row>
    <row r="363" spans="2:4" x14ac:dyDescent="0.2">
      <c r="B363" s="110"/>
      <c r="C363" s="110"/>
      <c r="D363" s="110"/>
    </row>
    <row r="364" spans="2:4" x14ac:dyDescent="0.2">
      <c r="B364" s="110"/>
      <c r="C364" s="110"/>
      <c r="D364" s="110"/>
    </row>
    <row r="365" spans="2:4" x14ac:dyDescent="0.2">
      <c r="B365" s="110"/>
      <c r="C365" s="110"/>
      <c r="D365" s="110"/>
    </row>
    <row r="366" spans="2:4" x14ac:dyDescent="0.2">
      <c r="B366" s="110"/>
      <c r="C366" s="110"/>
      <c r="D366" s="110"/>
    </row>
    <row r="367" spans="2:4" x14ac:dyDescent="0.2">
      <c r="B367" s="110"/>
      <c r="C367" s="110"/>
      <c r="D367" s="110"/>
    </row>
    <row r="368" spans="2:4" x14ac:dyDescent="0.2">
      <c r="B368" s="110"/>
      <c r="C368" s="110"/>
      <c r="D368" s="110"/>
    </row>
    <row r="369" spans="2:4" x14ac:dyDescent="0.2">
      <c r="B369" s="110"/>
      <c r="C369" s="110"/>
      <c r="D369" s="110"/>
    </row>
    <row r="370" spans="2:4" x14ac:dyDescent="0.2">
      <c r="B370" s="110"/>
      <c r="C370" s="110"/>
      <c r="D370" s="110"/>
    </row>
    <row r="371" spans="2:4" x14ac:dyDescent="0.2">
      <c r="B371" s="110"/>
      <c r="C371" s="110"/>
      <c r="D371" s="110"/>
    </row>
    <row r="372" spans="2:4" x14ac:dyDescent="0.2">
      <c r="B372" s="110"/>
      <c r="C372" s="110"/>
      <c r="D372" s="110"/>
    </row>
    <row r="373" spans="2:4" x14ac:dyDescent="0.2">
      <c r="B373" s="110"/>
      <c r="C373" s="110"/>
      <c r="D373" s="110"/>
    </row>
    <row r="374" spans="2:4" x14ac:dyDescent="0.2">
      <c r="B374" s="110"/>
      <c r="C374" s="110"/>
      <c r="D374" s="110"/>
    </row>
    <row r="375" spans="2:4" x14ac:dyDescent="0.2">
      <c r="B375" s="110"/>
      <c r="C375" s="110"/>
      <c r="D375" s="110"/>
    </row>
    <row r="376" spans="2:4" x14ac:dyDescent="0.2">
      <c r="B376" s="110"/>
      <c r="C376" s="110"/>
      <c r="D376" s="110"/>
    </row>
    <row r="377" spans="2:4" x14ac:dyDescent="0.2">
      <c r="B377" s="110"/>
      <c r="C377" s="110"/>
      <c r="D377" s="110"/>
    </row>
    <row r="378" spans="2:4" x14ac:dyDescent="0.2">
      <c r="B378" s="110"/>
      <c r="C378" s="110"/>
      <c r="D378" s="110"/>
    </row>
    <row r="379" spans="2:4" x14ac:dyDescent="0.2">
      <c r="B379" s="110"/>
      <c r="C379" s="110"/>
      <c r="D379" s="110"/>
    </row>
    <row r="380" spans="2:4" x14ac:dyDescent="0.2">
      <c r="B380" s="110"/>
      <c r="C380" s="110"/>
      <c r="D380" s="110"/>
    </row>
    <row r="381" spans="2:4" x14ac:dyDescent="0.2">
      <c r="B381" s="110"/>
      <c r="C381" s="110"/>
      <c r="D381" s="110"/>
    </row>
    <row r="382" spans="2:4" x14ac:dyDescent="0.2">
      <c r="B382" s="110"/>
      <c r="C382" s="110"/>
      <c r="D382" s="110"/>
    </row>
    <row r="383" spans="2:4" x14ac:dyDescent="0.2">
      <c r="B383" s="110"/>
      <c r="C383" s="110"/>
      <c r="D383" s="110"/>
    </row>
    <row r="384" spans="2:4" x14ac:dyDescent="0.2">
      <c r="B384" s="110"/>
      <c r="C384" s="110"/>
      <c r="D384" s="110"/>
    </row>
    <row r="385" spans="2:4" x14ac:dyDescent="0.2">
      <c r="B385" s="110"/>
      <c r="C385" s="110"/>
      <c r="D385" s="110"/>
    </row>
    <row r="386" spans="2:4" x14ac:dyDescent="0.2">
      <c r="B386" s="110"/>
      <c r="C386" s="110"/>
      <c r="D386" s="110"/>
    </row>
    <row r="387" spans="2:4" x14ac:dyDescent="0.2">
      <c r="B387" s="110"/>
      <c r="C387" s="110"/>
      <c r="D387" s="110"/>
    </row>
    <row r="388" spans="2:4" x14ac:dyDescent="0.2">
      <c r="B388" s="110"/>
      <c r="C388" s="110"/>
      <c r="D388" s="110"/>
    </row>
    <row r="389" spans="2:4" x14ac:dyDescent="0.2">
      <c r="B389" s="110"/>
      <c r="C389" s="110"/>
      <c r="D389" s="110"/>
    </row>
    <row r="390" spans="2:4" x14ac:dyDescent="0.2">
      <c r="B390" s="110"/>
      <c r="C390" s="110"/>
      <c r="D390" s="110"/>
    </row>
    <row r="391" spans="2:4" x14ac:dyDescent="0.2">
      <c r="B391" s="110"/>
      <c r="C391" s="110"/>
      <c r="D391" s="110"/>
    </row>
    <row r="392" spans="2:4" x14ac:dyDescent="0.2">
      <c r="B392" s="110"/>
      <c r="C392" s="110"/>
      <c r="D392" s="110"/>
    </row>
    <row r="393" spans="2:4" x14ac:dyDescent="0.2">
      <c r="B393" s="110"/>
      <c r="C393" s="110"/>
      <c r="D393" s="110"/>
    </row>
    <row r="394" spans="2:4" x14ac:dyDescent="0.2">
      <c r="B394" s="110"/>
      <c r="C394" s="110"/>
      <c r="D394" s="110"/>
    </row>
    <row r="395" spans="2:4" x14ac:dyDescent="0.2">
      <c r="B395" s="110"/>
      <c r="C395" s="110"/>
      <c r="D395" s="110"/>
    </row>
    <row r="396" spans="2:4" x14ac:dyDescent="0.2">
      <c r="B396" s="110"/>
      <c r="C396" s="110"/>
      <c r="D396" s="110"/>
    </row>
    <row r="397" spans="2:4" x14ac:dyDescent="0.2">
      <c r="B397" s="110"/>
      <c r="C397" s="110"/>
      <c r="D397" s="110"/>
    </row>
    <row r="398" spans="2:4" x14ac:dyDescent="0.2">
      <c r="B398" s="110"/>
      <c r="C398" s="110"/>
      <c r="D398" s="110"/>
    </row>
    <row r="399" spans="2:4" x14ac:dyDescent="0.2">
      <c r="B399" s="110"/>
      <c r="C399" s="110"/>
      <c r="D399" s="110"/>
    </row>
    <row r="400" spans="2:4" x14ac:dyDescent="0.2">
      <c r="B400" s="110"/>
      <c r="C400" s="110"/>
      <c r="D400" s="110"/>
    </row>
    <row r="401" spans="2:4" x14ac:dyDescent="0.2">
      <c r="B401" s="110"/>
      <c r="C401" s="110"/>
      <c r="D401" s="110"/>
    </row>
    <row r="402" spans="2:4" x14ac:dyDescent="0.2">
      <c r="B402" s="110"/>
      <c r="C402" s="110"/>
      <c r="D402" s="110"/>
    </row>
    <row r="403" spans="2:4" x14ac:dyDescent="0.2">
      <c r="B403" s="110"/>
      <c r="C403" s="110"/>
      <c r="D403" s="110"/>
    </row>
    <row r="404" spans="2:4" x14ac:dyDescent="0.2">
      <c r="B404" s="110"/>
      <c r="C404" s="110"/>
      <c r="D404" s="110"/>
    </row>
    <row r="405" spans="2:4" x14ac:dyDescent="0.2">
      <c r="B405" s="110"/>
      <c r="C405" s="110"/>
      <c r="D405" s="110"/>
    </row>
    <row r="406" spans="2:4" x14ac:dyDescent="0.2">
      <c r="B406" s="110"/>
      <c r="C406" s="110"/>
      <c r="D406" s="110"/>
    </row>
    <row r="407" spans="2:4" x14ac:dyDescent="0.2">
      <c r="B407" s="110"/>
      <c r="C407" s="110"/>
      <c r="D407" s="110"/>
    </row>
    <row r="408" spans="2:4" x14ac:dyDescent="0.2">
      <c r="B408" s="110"/>
      <c r="C408" s="110"/>
      <c r="D408" s="110"/>
    </row>
    <row r="409" spans="2:4" x14ac:dyDescent="0.2">
      <c r="B409" s="110"/>
      <c r="C409" s="110"/>
      <c r="D409" s="110"/>
    </row>
    <row r="410" spans="2:4" x14ac:dyDescent="0.2">
      <c r="B410" s="110"/>
      <c r="C410" s="110"/>
      <c r="D410" s="110"/>
    </row>
    <row r="411" spans="2:4" x14ac:dyDescent="0.2">
      <c r="B411" s="110"/>
      <c r="C411" s="110"/>
      <c r="D411" s="110"/>
    </row>
    <row r="412" spans="2:4" x14ac:dyDescent="0.2">
      <c r="B412" s="110"/>
      <c r="C412" s="110"/>
      <c r="D412" s="110"/>
    </row>
    <row r="413" spans="2:4" x14ac:dyDescent="0.2">
      <c r="B413" s="110"/>
      <c r="C413" s="110"/>
      <c r="D413" s="110"/>
    </row>
    <row r="414" spans="2:4" x14ac:dyDescent="0.2">
      <c r="B414" s="110"/>
      <c r="C414" s="110"/>
      <c r="D414" s="110"/>
    </row>
    <row r="415" spans="2:4" x14ac:dyDescent="0.2">
      <c r="B415" s="110"/>
      <c r="C415" s="110"/>
      <c r="D415" s="110"/>
    </row>
    <row r="416" spans="2:4" x14ac:dyDescent="0.2">
      <c r="B416" s="110"/>
      <c r="C416" s="110"/>
      <c r="D416" s="110"/>
    </row>
    <row r="417" spans="2:4" x14ac:dyDescent="0.2">
      <c r="B417" s="110"/>
      <c r="C417" s="110"/>
      <c r="D417" s="110"/>
    </row>
    <row r="418" spans="2:4" x14ac:dyDescent="0.2">
      <c r="B418" s="110"/>
      <c r="C418" s="110"/>
      <c r="D418" s="110"/>
    </row>
    <row r="419" spans="2:4" x14ac:dyDescent="0.2">
      <c r="B419" s="110"/>
      <c r="C419" s="110"/>
      <c r="D419" s="110"/>
    </row>
    <row r="420" spans="2:4" x14ac:dyDescent="0.2">
      <c r="B420" s="110"/>
      <c r="C420" s="110"/>
      <c r="D420" s="110"/>
    </row>
    <row r="421" spans="2:4" x14ac:dyDescent="0.2">
      <c r="B421" s="110"/>
      <c r="C421" s="110"/>
      <c r="D421" s="110"/>
    </row>
    <row r="422" spans="2:4" x14ac:dyDescent="0.2">
      <c r="B422" s="110"/>
      <c r="C422" s="110"/>
      <c r="D422" s="110"/>
    </row>
    <row r="423" spans="2:4" x14ac:dyDescent="0.2">
      <c r="B423" s="110"/>
      <c r="C423" s="110"/>
      <c r="D423" s="110"/>
    </row>
    <row r="424" spans="2:4" x14ac:dyDescent="0.2">
      <c r="B424" s="110"/>
      <c r="C424" s="110"/>
      <c r="D424" s="110"/>
    </row>
    <row r="425" spans="2:4" x14ac:dyDescent="0.2">
      <c r="B425" s="110"/>
      <c r="C425" s="110"/>
      <c r="D425" s="110"/>
    </row>
    <row r="426" spans="2:4" x14ac:dyDescent="0.2">
      <c r="B426" s="110"/>
      <c r="C426" s="110"/>
      <c r="D426" s="110"/>
    </row>
    <row r="427" spans="2:4" x14ac:dyDescent="0.2">
      <c r="B427" s="110"/>
      <c r="C427" s="110"/>
      <c r="D427" s="110"/>
    </row>
    <row r="428" spans="2:4" x14ac:dyDescent="0.2">
      <c r="B428" s="110"/>
      <c r="C428" s="110"/>
      <c r="D428" s="110"/>
    </row>
    <row r="429" spans="2:4" x14ac:dyDescent="0.2">
      <c r="B429" s="110"/>
      <c r="C429" s="110"/>
      <c r="D429" s="110"/>
    </row>
    <row r="430" spans="2:4" x14ac:dyDescent="0.2">
      <c r="B430" s="110"/>
      <c r="C430" s="110"/>
      <c r="D430" s="110"/>
    </row>
    <row r="431" spans="2:4" x14ac:dyDescent="0.2">
      <c r="B431" s="110"/>
      <c r="C431" s="110"/>
      <c r="D431" s="110"/>
    </row>
    <row r="432" spans="2:4" x14ac:dyDescent="0.2">
      <c r="B432" s="110"/>
      <c r="C432" s="110"/>
      <c r="D432" s="110"/>
    </row>
    <row r="433" spans="2:4" x14ac:dyDescent="0.2">
      <c r="B433" s="110"/>
      <c r="C433" s="110"/>
      <c r="D433" s="110"/>
    </row>
    <row r="434" spans="2:4" x14ac:dyDescent="0.2">
      <c r="B434" s="110"/>
      <c r="C434" s="110"/>
      <c r="D434" s="110"/>
    </row>
    <row r="435" spans="2:4" x14ac:dyDescent="0.2">
      <c r="B435" s="110"/>
      <c r="C435" s="110"/>
      <c r="D435" s="110"/>
    </row>
    <row r="436" spans="2:4" x14ac:dyDescent="0.2">
      <c r="B436" s="110"/>
      <c r="C436" s="110"/>
      <c r="D436" s="110"/>
    </row>
    <row r="437" spans="2:4" x14ac:dyDescent="0.2">
      <c r="B437" s="110"/>
      <c r="C437" s="110"/>
      <c r="D437" s="110"/>
    </row>
    <row r="438" spans="2:4" x14ac:dyDescent="0.2">
      <c r="B438" s="110"/>
      <c r="C438" s="110"/>
      <c r="D438" s="110"/>
    </row>
    <row r="439" spans="2:4" x14ac:dyDescent="0.2">
      <c r="B439" s="110"/>
      <c r="C439" s="110"/>
      <c r="D439" s="110"/>
    </row>
    <row r="440" spans="2:4" x14ac:dyDescent="0.2">
      <c r="B440" s="110"/>
      <c r="C440" s="110"/>
      <c r="D440" s="110"/>
    </row>
    <row r="441" spans="2:4" x14ac:dyDescent="0.2">
      <c r="B441" s="110"/>
      <c r="C441" s="110"/>
      <c r="D441" s="110"/>
    </row>
    <row r="442" spans="2:4" x14ac:dyDescent="0.2">
      <c r="B442" s="110"/>
      <c r="C442" s="110"/>
      <c r="D442" s="110"/>
    </row>
    <row r="443" spans="2:4" x14ac:dyDescent="0.2">
      <c r="B443" s="110"/>
      <c r="C443" s="110"/>
      <c r="D443" s="110"/>
    </row>
    <row r="444" spans="2:4" x14ac:dyDescent="0.2">
      <c r="B444" s="110"/>
      <c r="C444" s="110"/>
      <c r="D444" s="110"/>
    </row>
    <row r="445" spans="2:4" x14ac:dyDescent="0.2">
      <c r="B445" s="110"/>
      <c r="C445" s="110"/>
      <c r="D445" s="110"/>
    </row>
    <row r="446" spans="2:4" x14ac:dyDescent="0.2">
      <c r="B446" s="110"/>
      <c r="C446" s="110"/>
      <c r="D446" s="110"/>
    </row>
    <row r="447" spans="2:4" x14ac:dyDescent="0.2">
      <c r="B447" s="110"/>
      <c r="C447" s="110"/>
      <c r="D447" s="110"/>
    </row>
    <row r="448" spans="2:4" x14ac:dyDescent="0.2">
      <c r="B448" s="110"/>
      <c r="C448" s="110"/>
      <c r="D448" s="110"/>
    </row>
    <row r="449" spans="2:4" x14ac:dyDescent="0.2">
      <c r="B449" s="110"/>
      <c r="C449" s="110"/>
      <c r="D449" s="110"/>
    </row>
    <row r="450" spans="2:4" x14ac:dyDescent="0.2">
      <c r="B450" s="110"/>
      <c r="C450" s="110"/>
      <c r="D450" s="110"/>
    </row>
    <row r="451" spans="2:4" x14ac:dyDescent="0.2">
      <c r="B451" s="110"/>
      <c r="C451" s="110"/>
      <c r="D451" s="110"/>
    </row>
    <row r="452" spans="2:4" x14ac:dyDescent="0.2">
      <c r="B452" s="110"/>
      <c r="C452" s="110"/>
      <c r="D452" s="110"/>
    </row>
    <row r="453" spans="2:4" x14ac:dyDescent="0.2">
      <c r="B453" s="110"/>
      <c r="C453" s="110"/>
      <c r="D453" s="110"/>
    </row>
    <row r="454" spans="2:4" x14ac:dyDescent="0.2">
      <c r="B454" s="110"/>
      <c r="C454" s="110"/>
      <c r="D454" s="110"/>
    </row>
    <row r="455" spans="2:4" x14ac:dyDescent="0.2">
      <c r="B455" s="110"/>
      <c r="C455" s="110"/>
      <c r="D455" s="110"/>
    </row>
    <row r="456" spans="2:4" x14ac:dyDescent="0.2">
      <c r="B456" s="110"/>
      <c r="C456" s="110"/>
      <c r="D456" s="110"/>
    </row>
    <row r="457" spans="2:4" x14ac:dyDescent="0.2">
      <c r="B457" s="110"/>
      <c r="C457" s="110"/>
      <c r="D457" s="110"/>
    </row>
    <row r="458" spans="2:4" x14ac:dyDescent="0.2">
      <c r="B458" s="110"/>
      <c r="C458" s="110"/>
      <c r="D458" s="110"/>
    </row>
    <row r="459" spans="2:4" x14ac:dyDescent="0.2">
      <c r="B459" s="110"/>
      <c r="C459" s="110"/>
      <c r="D459" s="110"/>
    </row>
    <row r="460" spans="2:4" x14ac:dyDescent="0.2">
      <c r="B460" s="110"/>
      <c r="C460" s="110"/>
      <c r="D460" s="110"/>
    </row>
    <row r="461" spans="2:4" x14ac:dyDescent="0.2">
      <c r="B461" s="110"/>
      <c r="C461" s="110"/>
      <c r="D461" s="110"/>
    </row>
    <row r="462" spans="2:4" x14ac:dyDescent="0.2">
      <c r="B462" s="110"/>
      <c r="C462" s="110"/>
      <c r="D462" s="110"/>
    </row>
    <row r="463" spans="2:4" x14ac:dyDescent="0.2">
      <c r="B463" s="110"/>
      <c r="C463" s="110"/>
      <c r="D463" s="110"/>
    </row>
    <row r="464" spans="2:4" x14ac:dyDescent="0.2">
      <c r="B464" s="110"/>
      <c r="C464" s="110"/>
      <c r="D464" s="110"/>
    </row>
    <row r="465" spans="2:4" x14ac:dyDescent="0.2">
      <c r="B465" s="110"/>
      <c r="C465" s="110"/>
      <c r="D465" s="110"/>
    </row>
    <row r="466" spans="2:4" x14ac:dyDescent="0.2">
      <c r="B466" s="110"/>
      <c r="C466" s="110"/>
      <c r="D466" s="110"/>
    </row>
    <row r="467" spans="2:4" x14ac:dyDescent="0.2">
      <c r="B467" s="110"/>
      <c r="C467" s="110"/>
      <c r="D467" s="110"/>
    </row>
    <row r="468" spans="2:4" x14ac:dyDescent="0.2">
      <c r="B468" s="110"/>
      <c r="C468" s="110"/>
      <c r="D468" s="110"/>
    </row>
    <row r="469" spans="2:4" x14ac:dyDescent="0.2">
      <c r="B469" s="110"/>
      <c r="C469" s="110"/>
      <c r="D469" s="110"/>
    </row>
    <row r="470" spans="2:4" x14ac:dyDescent="0.2">
      <c r="B470" s="110"/>
      <c r="C470" s="110"/>
      <c r="D470" s="110"/>
    </row>
    <row r="471" spans="2:4" x14ac:dyDescent="0.2">
      <c r="B471" s="110"/>
      <c r="C471" s="110"/>
      <c r="D471" s="110"/>
    </row>
    <row r="472" spans="2:4" x14ac:dyDescent="0.2">
      <c r="B472" s="110"/>
      <c r="C472" s="110"/>
      <c r="D472" s="110"/>
    </row>
    <row r="473" spans="2:4" x14ac:dyDescent="0.2">
      <c r="B473" s="110"/>
      <c r="C473" s="110"/>
      <c r="D473" s="110"/>
    </row>
    <row r="474" spans="2:4" x14ac:dyDescent="0.2">
      <c r="B474" s="110"/>
      <c r="C474" s="110"/>
      <c r="D474" s="110"/>
    </row>
    <row r="475" spans="2:4" x14ac:dyDescent="0.2">
      <c r="B475" s="110"/>
      <c r="C475" s="110"/>
      <c r="D475" s="110"/>
    </row>
    <row r="476" spans="2:4" x14ac:dyDescent="0.2">
      <c r="B476" s="110"/>
      <c r="C476" s="110"/>
      <c r="D476" s="110"/>
    </row>
    <row r="477" spans="2:4" x14ac:dyDescent="0.2">
      <c r="B477" s="110"/>
      <c r="C477" s="110"/>
      <c r="D477" s="110"/>
    </row>
    <row r="478" spans="2:4" x14ac:dyDescent="0.2">
      <c r="B478" s="110"/>
      <c r="C478" s="110"/>
      <c r="D478" s="110"/>
    </row>
    <row r="479" spans="2:4" x14ac:dyDescent="0.2">
      <c r="B479" s="110"/>
      <c r="C479" s="110"/>
      <c r="D479" s="110"/>
    </row>
    <row r="480" spans="2:4" x14ac:dyDescent="0.2">
      <c r="B480" s="110"/>
      <c r="C480" s="110"/>
      <c r="D480" s="110"/>
    </row>
    <row r="481" spans="2:4" x14ac:dyDescent="0.2">
      <c r="B481" s="110"/>
      <c r="C481" s="110"/>
      <c r="D481" s="110"/>
    </row>
    <row r="482" spans="2:4" x14ac:dyDescent="0.2">
      <c r="B482" s="110"/>
      <c r="C482" s="110"/>
      <c r="D482" s="110"/>
    </row>
    <row r="483" spans="2:4" x14ac:dyDescent="0.2">
      <c r="B483" s="110"/>
      <c r="C483" s="110"/>
      <c r="D483" s="110"/>
    </row>
    <row r="484" spans="2:4" x14ac:dyDescent="0.2">
      <c r="B484" s="110"/>
      <c r="C484" s="110"/>
      <c r="D484" s="110"/>
    </row>
    <row r="485" spans="2:4" x14ac:dyDescent="0.2">
      <c r="B485" s="110"/>
      <c r="C485" s="110"/>
      <c r="D485" s="110"/>
    </row>
    <row r="486" spans="2:4" x14ac:dyDescent="0.2">
      <c r="B486" s="110"/>
      <c r="C486" s="110"/>
      <c r="D486" s="110"/>
    </row>
    <row r="487" spans="2:4" x14ac:dyDescent="0.2">
      <c r="B487" s="110"/>
      <c r="C487" s="110"/>
      <c r="D487" s="110"/>
    </row>
    <row r="488" spans="2:4" x14ac:dyDescent="0.2">
      <c r="B488" s="110"/>
      <c r="C488" s="110"/>
      <c r="D488" s="110"/>
    </row>
    <row r="489" spans="2:4" x14ac:dyDescent="0.2">
      <c r="B489" s="110"/>
      <c r="C489" s="110"/>
      <c r="D489" s="110"/>
    </row>
    <row r="490" spans="2:4" x14ac:dyDescent="0.2">
      <c r="B490" s="110"/>
      <c r="C490" s="110"/>
      <c r="D490" s="110"/>
    </row>
    <row r="491" spans="2:4" x14ac:dyDescent="0.2">
      <c r="B491" s="110"/>
      <c r="C491" s="110"/>
      <c r="D491" s="110"/>
    </row>
    <row r="492" spans="2:4" x14ac:dyDescent="0.2">
      <c r="B492" s="110"/>
      <c r="C492" s="110"/>
      <c r="D492" s="110"/>
    </row>
    <row r="493" spans="2:4" x14ac:dyDescent="0.2">
      <c r="B493" s="110"/>
      <c r="C493" s="110"/>
      <c r="D493" s="110"/>
    </row>
    <row r="494" spans="2:4" x14ac:dyDescent="0.2">
      <c r="B494" s="110"/>
      <c r="C494" s="110"/>
      <c r="D494" s="110"/>
    </row>
    <row r="495" spans="2:4" x14ac:dyDescent="0.2">
      <c r="B495" s="110"/>
      <c r="C495" s="110"/>
      <c r="D495" s="110"/>
    </row>
    <row r="496" spans="2:4" x14ac:dyDescent="0.2">
      <c r="B496" s="110"/>
      <c r="C496" s="110"/>
      <c r="D496" s="110"/>
    </row>
    <row r="497" spans="2:4" x14ac:dyDescent="0.2">
      <c r="B497" s="110"/>
      <c r="C497" s="110"/>
      <c r="D497" s="110"/>
    </row>
    <row r="498" spans="2:4" x14ac:dyDescent="0.2">
      <c r="B498" s="110"/>
      <c r="C498" s="110"/>
      <c r="D498" s="110"/>
    </row>
    <row r="499" spans="2:4" x14ac:dyDescent="0.2">
      <c r="B499" s="110"/>
      <c r="C499" s="110"/>
      <c r="D499" s="110"/>
    </row>
    <row r="500" spans="2:4" x14ac:dyDescent="0.2">
      <c r="B500" s="110"/>
      <c r="C500" s="110"/>
      <c r="D500" s="110"/>
    </row>
    <row r="501" spans="2:4" x14ac:dyDescent="0.2">
      <c r="B501" s="110"/>
      <c r="C501" s="110"/>
      <c r="D501" s="110"/>
    </row>
    <row r="502" spans="2:4" x14ac:dyDescent="0.2">
      <c r="B502" s="110"/>
      <c r="C502" s="110"/>
      <c r="D502" s="110"/>
    </row>
    <row r="503" spans="2:4" x14ac:dyDescent="0.2">
      <c r="B503" s="110"/>
      <c r="C503" s="110"/>
      <c r="D503" s="110"/>
    </row>
    <row r="504" spans="2:4" x14ac:dyDescent="0.2">
      <c r="B504" s="110"/>
      <c r="C504" s="110"/>
      <c r="D504" s="110"/>
    </row>
    <row r="505" spans="2:4" x14ac:dyDescent="0.2">
      <c r="B505" s="110"/>
      <c r="C505" s="110"/>
      <c r="D505" s="110"/>
    </row>
    <row r="506" spans="2:4" x14ac:dyDescent="0.2">
      <c r="B506" s="110"/>
      <c r="C506" s="110"/>
      <c r="D506" s="110"/>
    </row>
    <row r="507" spans="2:4" x14ac:dyDescent="0.2">
      <c r="B507" s="110"/>
      <c r="C507" s="110"/>
      <c r="D507" s="110"/>
    </row>
    <row r="508" spans="2:4" x14ac:dyDescent="0.2">
      <c r="B508" s="110"/>
      <c r="C508" s="110"/>
      <c r="D508" s="110"/>
    </row>
    <row r="509" spans="2:4" x14ac:dyDescent="0.2">
      <c r="B509" s="110"/>
      <c r="C509" s="110"/>
      <c r="D509" s="110"/>
    </row>
    <row r="510" spans="2:4" x14ac:dyDescent="0.2">
      <c r="B510" s="110"/>
      <c r="C510" s="110"/>
      <c r="D510" s="110"/>
    </row>
    <row r="511" spans="2:4" x14ac:dyDescent="0.2">
      <c r="B511" s="110"/>
      <c r="C511" s="110"/>
      <c r="D511" s="110"/>
    </row>
    <row r="512" spans="2:4" x14ac:dyDescent="0.2">
      <c r="B512" s="110"/>
      <c r="C512" s="110"/>
      <c r="D512" s="110"/>
    </row>
    <row r="513" spans="2:4" x14ac:dyDescent="0.2">
      <c r="B513" s="110"/>
      <c r="C513" s="110"/>
      <c r="D513" s="110"/>
    </row>
    <row r="514" spans="2:4" x14ac:dyDescent="0.2">
      <c r="B514" s="110"/>
      <c r="C514" s="110"/>
      <c r="D514" s="110"/>
    </row>
    <row r="515" spans="2:4" x14ac:dyDescent="0.2">
      <c r="B515" s="110"/>
      <c r="C515" s="110"/>
      <c r="D515" s="110"/>
    </row>
    <row r="516" spans="2:4" x14ac:dyDescent="0.2">
      <c r="B516" s="110"/>
      <c r="C516" s="110"/>
      <c r="D516" s="110"/>
    </row>
    <row r="517" spans="2:4" x14ac:dyDescent="0.2">
      <c r="B517" s="110"/>
      <c r="C517" s="110"/>
      <c r="D517" s="110"/>
    </row>
    <row r="518" spans="2:4" x14ac:dyDescent="0.2">
      <c r="B518" s="110"/>
      <c r="C518" s="110"/>
      <c r="D518" s="110"/>
    </row>
    <row r="519" spans="2:4" x14ac:dyDescent="0.2">
      <c r="B519" s="110"/>
      <c r="C519" s="110"/>
      <c r="D519" s="110"/>
    </row>
    <row r="520" spans="2:4" x14ac:dyDescent="0.2">
      <c r="B520" s="110"/>
      <c r="C520" s="110"/>
      <c r="D520" s="110"/>
    </row>
    <row r="521" spans="2:4" x14ac:dyDescent="0.2">
      <c r="B521" s="110"/>
      <c r="C521" s="110"/>
      <c r="D521" s="110"/>
    </row>
    <row r="522" spans="2:4" x14ac:dyDescent="0.2">
      <c r="B522" s="110"/>
      <c r="C522" s="110"/>
      <c r="D522" s="110"/>
    </row>
    <row r="523" spans="2:4" x14ac:dyDescent="0.2">
      <c r="B523" s="110"/>
      <c r="C523" s="110"/>
      <c r="D523" s="110"/>
    </row>
    <row r="524" spans="2:4" x14ac:dyDescent="0.2">
      <c r="B524" s="110"/>
      <c r="C524" s="110"/>
      <c r="D524" s="110"/>
    </row>
    <row r="525" spans="2:4" x14ac:dyDescent="0.2">
      <c r="B525" s="110"/>
      <c r="C525" s="110"/>
      <c r="D525" s="110"/>
    </row>
    <row r="526" spans="2:4" x14ac:dyDescent="0.2">
      <c r="B526" s="110"/>
      <c r="C526" s="110"/>
      <c r="D526" s="110"/>
    </row>
    <row r="527" spans="2:4" x14ac:dyDescent="0.2">
      <c r="B527" s="110"/>
      <c r="C527" s="110"/>
      <c r="D527" s="110"/>
    </row>
    <row r="528" spans="2:4" x14ac:dyDescent="0.2">
      <c r="B528" s="110"/>
      <c r="C528" s="110"/>
      <c r="D528" s="110"/>
    </row>
    <row r="529" spans="2:4" x14ac:dyDescent="0.2">
      <c r="B529" s="110"/>
      <c r="C529" s="110"/>
      <c r="D529" s="110"/>
    </row>
    <row r="530" spans="2:4" x14ac:dyDescent="0.2">
      <c r="B530" s="110"/>
      <c r="C530" s="110"/>
      <c r="D530" s="110"/>
    </row>
    <row r="531" spans="2:4" x14ac:dyDescent="0.2">
      <c r="B531" s="110"/>
      <c r="C531" s="110"/>
      <c r="D531" s="110"/>
    </row>
    <row r="532" spans="2:4" x14ac:dyDescent="0.2">
      <c r="B532" s="110"/>
      <c r="C532" s="110"/>
      <c r="D532" s="110"/>
    </row>
    <row r="533" spans="2:4" x14ac:dyDescent="0.2">
      <c r="B533" s="110"/>
      <c r="C533" s="110"/>
      <c r="D533" s="110"/>
    </row>
    <row r="534" spans="2:4" x14ac:dyDescent="0.2">
      <c r="B534" s="110"/>
      <c r="C534" s="110"/>
      <c r="D534" s="110"/>
    </row>
    <row r="535" spans="2:4" x14ac:dyDescent="0.2">
      <c r="B535" s="110"/>
      <c r="C535" s="110"/>
      <c r="D535" s="110"/>
    </row>
    <row r="536" spans="2:4" x14ac:dyDescent="0.2">
      <c r="B536" s="110"/>
      <c r="C536" s="110"/>
      <c r="D536" s="110"/>
    </row>
    <row r="537" spans="2:4" x14ac:dyDescent="0.2">
      <c r="B537" s="110"/>
      <c r="C537" s="110"/>
      <c r="D537" s="110"/>
    </row>
    <row r="538" spans="2:4" x14ac:dyDescent="0.2">
      <c r="B538" s="110"/>
      <c r="C538" s="110"/>
      <c r="D538" s="110"/>
    </row>
    <row r="539" spans="2:4" x14ac:dyDescent="0.2">
      <c r="B539" s="110"/>
      <c r="C539" s="110"/>
      <c r="D539" s="110"/>
    </row>
    <row r="540" spans="2:4" x14ac:dyDescent="0.2">
      <c r="B540" s="110"/>
      <c r="C540" s="110"/>
      <c r="D540" s="110"/>
    </row>
    <row r="541" spans="2:4" x14ac:dyDescent="0.2">
      <c r="B541" s="110"/>
      <c r="C541" s="110"/>
      <c r="D541" s="110"/>
    </row>
    <row r="542" spans="2:4" x14ac:dyDescent="0.2">
      <c r="B542" s="110"/>
      <c r="C542" s="110"/>
      <c r="D542" s="110"/>
    </row>
    <row r="543" spans="2:4" x14ac:dyDescent="0.2">
      <c r="B543" s="110"/>
      <c r="C543" s="110"/>
      <c r="D543" s="110"/>
    </row>
    <row r="544" spans="2:4" x14ac:dyDescent="0.2">
      <c r="B544" s="110"/>
      <c r="C544" s="110"/>
      <c r="D544" s="110"/>
    </row>
    <row r="545" spans="2:4" x14ac:dyDescent="0.2">
      <c r="B545" s="110"/>
      <c r="C545" s="110"/>
      <c r="D545" s="110"/>
    </row>
    <row r="546" spans="2:4" x14ac:dyDescent="0.2">
      <c r="B546" s="110"/>
      <c r="C546" s="110"/>
      <c r="D546" s="110"/>
    </row>
    <row r="547" spans="2:4" x14ac:dyDescent="0.2">
      <c r="B547" s="110"/>
      <c r="C547" s="110"/>
      <c r="D547" s="110"/>
    </row>
    <row r="548" spans="2:4" x14ac:dyDescent="0.2">
      <c r="B548" s="110"/>
      <c r="C548" s="110"/>
      <c r="D548" s="110"/>
    </row>
    <row r="549" spans="2:4" x14ac:dyDescent="0.2">
      <c r="B549" s="110"/>
      <c r="C549" s="110"/>
      <c r="D549" s="110"/>
    </row>
    <row r="550" spans="2:4" x14ac:dyDescent="0.2">
      <c r="B550" s="110"/>
      <c r="C550" s="110"/>
      <c r="D550" s="110"/>
    </row>
    <row r="551" spans="2:4" x14ac:dyDescent="0.2">
      <c r="B551" s="110"/>
      <c r="C551" s="110"/>
      <c r="D551" s="110"/>
    </row>
    <row r="552" spans="2:4" x14ac:dyDescent="0.2">
      <c r="B552" s="110"/>
      <c r="C552" s="110"/>
      <c r="D552" s="110"/>
    </row>
    <row r="553" spans="2:4" x14ac:dyDescent="0.2">
      <c r="B553" s="110"/>
      <c r="C553" s="110"/>
      <c r="D553" s="110"/>
    </row>
    <row r="554" spans="2:4" x14ac:dyDescent="0.2">
      <c r="B554" s="110"/>
      <c r="C554" s="110"/>
      <c r="D554" s="110"/>
    </row>
    <row r="555" spans="2:4" x14ac:dyDescent="0.2">
      <c r="B555" s="110"/>
      <c r="C555" s="110"/>
      <c r="D555" s="110"/>
    </row>
    <row r="556" spans="2:4" x14ac:dyDescent="0.2">
      <c r="B556" s="110"/>
      <c r="C556" s="110"/>
      <c r="D556" s="110"/>
    </row>
    <row r="557" spans="2:4" x14ac:dyDescent="0.2">
      <c r="B557" s="110"/>
      <c r="C557" s="110"/>
      <c r="D557" s="110"/>
    </row>
    <row r="558" spans="2:4" x14ac:dyDescent="0.2">
      <c r="B558" s="110"/>
      <c r="C558" s="110"/>
      <c r="D558" s="110"/>
    </row>
    <row r="559" spans="2:4" x14ac:dyDescent="0.2">
      <c r="B559" s="110"/>
      <c r="C559" s="110"/>
      <c r="D559" s="110"/>
    </row>
    <row r="560" spans="2:4" x14ac:dyDescent="0.2">
      <c r="B560" s="110"/>
      <c r="C560" s="110"/>
      <c r="D560" s="110"/>
    </row>
    <row r="561" spans="2:4" x14ac:dyDescent="0.2">
      <c r="B561" s="110"/>
      <c r="C561" s="110"/>
      <c r="D561" s="110"/>
    </row>
    <row r="562" spans="2:4" x14ac:dyDescent="0.2">
      <c r="B562" s="110"/>
      <c r="C562" s="110"/>
      <c r="D562" s="110"/>
    </row>
    <row r="563" spans="2:4" x14ac:dyDescent="0.2">
      <c r="B563" s="110"/>
      <c r="C563" s="110"/>
      <c r="D563" s="110"/>
    </row>
    <row r="564" spans="2:4" x14ac:dyDescent="0.2">
      <c r="B564" s="110"/>
      <c r="C564" s="110"/>
      <c r="D564" s="110"/>
    </row>
    <row r="565" spans="2:4" x14ac:dyDescent="0.2">
      <c r="B565" s="110"/>
      <c r="C565" s="110"/>
      <c r="D565" s="110"/>
    </row>
    <row r="566" spans="2:4" x14ac:dyDescent="0.2">
      <c r="B566" s="110"/>
      <c r="C566" s="110"/>
      <c r="D566" s="110"/>
    </row>
    <row r="567" spans="2:4" x14ac:dyDescent="0.2">
      <c r="B567" s="110"/>
      <c r="C567" s="110"/>
      <c r="D567" s="110"/>
    </row>
    <row r="568" spans="2:4" x14ac:dyDescent="0.2">
      <c r="B568" s="110"/>
      <c r="C568" s="110"/>
      <c r="D568" s="110"/>
    </row>
    <row r="569" spans="2:4" x14ac:dyDescent="0.2">
      <c r="B569" s="110"/>
      <c r="C569" s="110"/>
      <c r="D569" s="110"/>
    </row>
    <row r="570" spans="2:4" x14ac:dyDescent="0.2">
      <c r="B570" s="110"/>
      <c r="C570" s="110"/>
      <c r="D570" s="110"/>
    </row>
    <row r="571" spans="2:4" x14ac:dyDescent="0.2">
      <c r="B571" s="110"/>
      <c r="C571" s="110"/>
      <c r="D571" s="110"/>
    </row>
    <row r="572" spans="2:4" x14ac:dyDescent="0.2">
      <c r="B572" s="110"/>
      <c r="C572" s="110"/>
      <c r="D572" s="110"/>
    </row>
    <row r="573" spans="2:4" x14ac:dyDescent="0.2">
      <c r="B573" s="110"/>
      <c r="C573" s="110"/>
      <c r="D573" s="110"/>
    </row>
    <row r="574" spans="2:4" x14ac:dyDescent="0.2">
      <c r="B574" s="110"/>
      <c r="C574" s="110"/>
      <c r="D574" s="110"/>
    </row>
    <row r="575" spans="2:4" x14ac:dyDescent="0.2">
      <c r="B575" s="110"/>
      <c r="C575" s="110"/>
      <c r="D575" s="110"/>
    </row>
    <row r="576" spans="2:4" x14ac:dyDescent="0.2">
      <c r="B576" s="110"/>
      <c r="C576" s="110"/>
      <c r="D576" s="110"/>
    </row>
    <row r="577" spans="2:4" x14ac:dyDescent="0.2">
      <c r="B577" s="110"/>
      <c r="C577" s="110"/>
      <c r="D577" s="110"/>
    </row>
    <row r="578" spans="2:4" x14ac:dyDescent="0.2">
      <c r="B578" s="110"/>
      <c r="C578" s="110"/>
      <c r="D578" s="110"/>
    </row>
    <row r="579" spans="2:4" x14ac:dyDescent="0.2">
      <c r="B579" s="110"/>
      <c r="C579" s="110"/>
      <c r="D579" s="110"/>
    </row>
    <row r="580" spans="2:4" x14ac:dyDescent="0.2">
      <c r="B580" s="110"/>
      <c r="C580" s="110"/>
      <c r="D580" s="110"/>
    </row>
    <row r="581" spans="2:4" x14ac:dyDescent="0.2">
      <c r="B581" s="110"/>
      <c r="C581" s="110"/>
      <c r="D581" s="110"/>
    </row>
    <row r="582" spans="2:4" x14ac:dyDescent="0.2">
      <c r="B582" s="110"/>
      <c r="C582" s="110"/>
      <c r="D582" s="110"/>
    </row>
    <row r="583" spans="2:4" x14ac:dyDescent="0.2">
      <c r="B583" s="110"/>
      <c r="C583" s="110"/>
      <c r="D583" s="110"/>
    </row>
    <row r="584" spans="2:4" x14ac:dyDescent="0.2">
      <c r="B584" s="110"/>
      <c r="C584" s="110"/>
      <c r="D584" s="110"/>
    </row>
    <row r="585" spans="2:4" x14ac:dyDescent="0.2">
      <c r="B585" s="110"/>
      <c r="C585" s="110"/>
      <c r="D585" s="110"/>
    </row>
    <row r="586" spans="2:4" x14ac:dyDescent="0.2">
      <c r="B586" s="110"/>
      <c r="C586" s="110"/>
      <c r="D586" s="110"/>
    </row>
    <row r="587" spans="2:4" x14ac:dyDescent="0.2">
      <c r="B587" s="110"/>
      <c r="C587" s="110"/>
      <c r="D587" s="110"/>
    </row>
    <row r="588" spans="2:4" x14ac:dyDescent="0.2">
      <c r="B588" s="110"/>
      <c r="C588" s="110"/>
      <c r="D588" s="110"/>
    </row>
    <row r="589" spans="2:4" x14ac:dyDescent="0.2">
      <c r="B589" s="110"/>
      <c r="C589" s="110"/>
      <c r="D589" s="110"/>
    </row>
    <row r="590" spans="2:4" x14ac:dyDescent="0.2">
      <c r="B590" s="110"/>
      <c r="C590" s="110"/>
      <c r="D590" s="110"/>
    </row>
    <row r="591" spans="2:4" x14ac:dyDescent="0.2">
      <c r="B591" s="110"/>
      <c r="C591" s="110"/>
      <c r="D591" s="110"/>
    </row>
    <row r="592" spans="2:4" x14ac:dyDescent="0.2">
      <c r="B592" s="110"/>
      <c r="C592" s="110"/>
      <c r="D592" s="110"/>
    </row>
    <row r="593" spans="2:4" x14ac:dyDescent="0.2">
      <c r="B593" s="110"/>
      <c r="C593" s="110"/>
      <c r="D593" s="110"/>
    </row>
    <row r="594" spans="2:4" x14ac:dyDescent="0.2">
      <c r="B594" s="110"/>
      <c r="C594" s="110"/>
      <c r="D594" s="110"/>
    </row>
    <row r="595" spans="2:4" x14ac:dyDescent="0.2">
      <c r="B595" s="110"/>
      <c r="C595" s="110"/>
      <c r="D595" s="110"/>
    </row>
    <row r="596" spans="2:4" x14ac:dyDescent="0.2">
      <c r="B596" s="110"/>
      <c r="C596" s="110"/>
      <c r="D596" s="110"/>
    </row>
    <row r="597" spans="2:4" x14ac:dyDescent="0.2">
      <c r="B597" s="110"/>
      <c r="C597" s="110"/>
      <c r="D597" s="110"/>
    </row>
    <row r="598" spans="2:4" x14ac:dyDescent="0.2">
      <c r="B598" s="110"/>
      <c r="C598" s="110"/>
      <c r="D598" s="110"/>
    </row>
    <row r="599" spans="2:4" x14ac:dyDescent="0.2">
      <c r="B599" s="110"/>
      <c r="C599" s="110"/>
      <c r="D599" s="110"/>
    </row>
    <row r="600" spans="2:4" x14ac:dyDescent="0.2">
      <c r="B600" s="110"/>
      <c r="C600" s="110"/>
      <c r="D600" s="110"/>
    </row>
    <row r="601" spans="2:4" x14ac:dyDescent="0.2">
      <c r="B601" s="110"/>
      <c r="C601" s="110"/>
      <c r="D601" s="110"/>
    </row>
    <row r="602" spans="2:4" x14ac:dyDescent="0.2">
      <c r="B602" s="110"/>
      <c r="C602" s="110"/>
      <c r="D602" s="110"/>
    </row>
    <row r="603" spans="2:4" x14ac:dyDescent="0.2">
      <c r="B603" s="110"/>
      <c r="C603" s="110"/>
      <c r="D603" s="110"/>
    </row>
    <row r="604" spans="2:4" x14ac:dyDescent="0.2">
      <c r="B604" s="110"/>
      <c r="C604" s="110"/>
      <c r="D604" s="110"/>
    </row>
    <row r="605" spans="2:4" x14ac:dyDescent="0.2">
      <c r="B605" s="110"/>
      <c r="C605" s="110"/>
      <c r="D605" s="110"/>
    </row>
    <row r="606" spans="2:4" x14ac:dyDescent="0.2">
      <c r="B606" s="110"/>
      <c r="C606" s="110"/>
      <c r="D606" s="110"/>
    </row>
    <row r="607" spans="2:4" x14ac:dyDescent="0.2">
      <c r="B607" s="110"/>
      <c r="C607" s="110"/>
      <c r="D607" s="110"/>
    </row>
    <row r="608" spans="2:4" x14ac:dyDescent="0.2">
      <c r="B608" s="110"/>
      <c r="C608" s="110"/>
      <c r="D608" s="110"/>
    </row>
    <row r="609" spans="2:4" x14ac:dyDescent="0.2">
      <c r="B609" s="110"/>
      <c r="C609" s="110"/>
      <c r="D609" s="110"/>
    </row>
    <row r="610" spans="2:4" x14ac:dyDescent="0.2">
      <c r="B610" s="110"/>
      <c r="C610" s="110"/>
      <c r="D610" s="110"/>
    </row>
    <row r="611" spans="2:4" x14ac:dyDescent="0.2">
      <c r="B611" s="110"/>
      <c r="C611" s="110"/>
      <c r="D611" s="110"/>
    </row>
    <row r="612" spans="2:4" x14ac:dyDescent="0.2">
      <c r="B612" s="110"/>
      <c r="C612" s="110"/>
      <c r="D612" s="110"/>
    </row>
    <row r="613" spans="2:4" x14ac:dyDescent="0.2">
      <c r="B613" s="110"/>
      <c r="C613" s="110"/>
      <c r="D613" s="110"/>
    </row>
    <row r="614" spans="2:4" x14ac:dyDescent="0.2">
      <c r="B614" s="110"/>
      <c r="C614" s="110"/>
      <c r="D614" s="110"/>
    </row>
    <row r="615" spans="2:4" x14ac:dyDescent="0.2">
      <c r="B615" s="110"/>
      <c r="C615" s="110"/>
      <c r="D615" s="110"/>
    </row>
    <row r="616" spans="2:4" x14ac:dyDescent="0.2">
      <c r="B616" s="110"/>
      <c r="C616" s="110"/>
      <c r="D616" s="110"/>
    </row>
    <row r="617" spans="2:4" x14ac:dyDescent="0.2">
      <c r="B617" s="110"/>
      <c r="C617" s="110"/>
      <c r="D617" s="110"/>
    </row>
    <row r="618" spans="2:4" x14ac:dyDescent="0.2">
      <c r="B618" s="110"/>
      <c r="C618" s="110"/>
      <c r="D618" s="110"/>
    </row>
    <row r="619" spans="2:4" x14ac:dyDescent="0.2">
      <c r="B619" s="110"/>
      <c r="C619" s="110"/>
      <c r="D619" s="110"/>
    </row>
    <row r="620" spans="2:4" x14ac:dyDescent="0.2">
      <c r="B620" s="110"/>
      <c r="C620" s="110"/>
      <c r="D620" s="110"/>
    </row>
    <row r="621" spans="2:4" x14ac:dyDescent="0.2">
      <c r="B621" s="110"/>
      <c r="C621" s="110"/>
      <c r="D621" s="110"/>
    </row>
    <row r="622" spans="2:4" x14ac:dyDescent="0.2">
      <c r="B622" s="110"/>
      <c r="C622" s="110"/>
      <c r="D622" s="110"/>
    </row>
    <row r="623" spans="2:4" x14ac:dyDescent="0.2">
      <c r="B623" s="110"/>
      <c r="C623" s="110"/>
      <c r="D623" s="110"/>
    </row>
    <row r="624" spans="2:4" x14ac:dyDescent="0.2">
      <c r="B624" s="110"/>
      <c r="C624" s="110"/>
      <c r="D624" s="110"/>
    </row>
    <row r="625" spans="2:4" x14ac:dyDescent="0.2">
      <c r="B625" s="110"/>
      <c r="C625" s="110"/>
      <c r="D625" s="110"/>
    </row>
    <row r="626" spans="2:4" x14ac:dyDescent="0.2">
      <c r="B626" s="110"/>
      <c r="C626" s="110"/>
      <c r="D626" s="110"/>
    </row>
    <row r="627" spans="2:4" x14ac:dyDescent="0.2">
      <c r="B627" s="110"/>
      <c r="C627" s="110"/>
      <c r="D627" s="110"/>
    </row>
    <row r="628" spans="2:4" x14ac:dyDescent="0.2">
      <c r="B628" s="110"/>
      <c r="C628" s="110"/>
      <c r="D628" s="110"/>
    </row>
    <row r="629" spans="2:4" x14ac:dyDescent="0.2">
      <c r="B629" s="110"/>
      <c r="C629" s="110"/>
      <c r="D629" s="110"/>
    </row>
    <row r="630" spans="2:4" x14ac:dyDescent="0.2">
      <c r="B630" s="110"/>
      <c r="C630" s="110"/>
      <c r="D630" s="110"/>
    </row>
    <row r="631" spans="2:4" x14ac:dyDescent="0.2">
      <c r="B631" s="110"/>
      <c r="C631" s="110"/>
      <c r="D631" s="110"/>
    </row>
    <row r="632" spans="2:4" x14ac:dyDescent="0.2">
      <c r="B632" s="110"/>
      <c r="C632" s="110"/>
      <c r="D632" s="110"/>
    </row>
    <row r="633" spans="2:4" x14ac:dyDescent="0.2">
      <c r="B633" s="110"/>
      <c r="C633" s="110"/>
      <c r="D633" s="110"/>
    </row>
    <row r="634" spans="2:4" x14ac:dyDescent="0.2">
      <c r="B634" s="110"/>
      <c r="C634" s="110"/>
      <c r="D634" s="110"/>
    </row>
    <row r="635" spans="2:4" x14ac:dyDescent="0.2">
      <c r="B635" s="110"/>
      <c r="C635" s="110"/>
      <c r="D635" s="110"/>
    </row>
    <row r="636" spans="2:4" x14ac:dyDescent="0.2">
      <c r="B636" s="110"/>
      <c r="C636" s="110"/>
      <c r="D636" s="110"/>
    </row>
    <row r="637" spans="2:4" x14ac:dyDescent="0.2">
      <c r="B637" s="110"/>
      <c r="C637" s="110"/>
      <c r="D637" s="110"/>
    </row>
    <row r="638" spans="2:4" x14ac:dyDescent="0.2">
      <c r="B638" s="110"/>
      <c r="C638" s="110"/>
      <c r="D638" s="110"/>
    </row>
    <row r="639" spans="2:4" x14ac:dyDescent="0.2">
      <c r="B639" s="110"/>
      <c r="C639" s="110"/>
      <c r="D639" s="110"/>
    </row>
    <row r="640" spans="2:4" x14ac:dyDescent="0.2">
      <c r="B640" s="110"/>
      <c r="C640" s="110"/>
      <c r="D640" s="110"/>
    </row>
    <row r="641" spans="2:4" x14ac:dyDescent="0.2">
      <c r="B641" s="110"/>
      <c r="C641" s="110"/>
      <c r="D641" s="110"/>
    </row>
    <row r="642" spans="2:4" x14ac:dyDescent="0.2">
      <c r="B642" s="110"/>
      <c r="C642" s="110"/>
      <c r="D642" s="110"/>
    </row>
    <row r="643" spans="2:4" x14ac:dyDescent="0.2">
      <c r="B643" s="110"/>
      <c r="C643" s="110"/>
      <c r="D643" s="110"/>
    </row>
    <row r="644" spans="2:4" x14ac:dyDescent="0.2">
      <c r="B644" s="110"/>
      <c r="C644" s="110"/>
      <c r="D644" s="110"/>
    </row>
    <row r="645" spans="2:4" x14ac:dyDescent="0.2">
      <c r="B645" s="110"/>
      <c r="C645" s="110"/>
      <c r="D645" s="110"/>
    </row>
    <row r="646" spans="2:4" x14ac:dyDescent="0.2">
      <c r="B646" s="110"/>
      <c r="C646" s="110"/>
      <c r="D646" s="110"/>
    </row>
    <row r="647" spans="2:4" x14ac:dyDescent="0.2">
      <c r="B647" s="110"/>
      <c r="C647" s="110"/>
      <c r="D647" s="110"/>
    </row>
    <row r="648" spans="2:4" x14ac:dyDescent="0.2">
      <c r="B648" s="110"/>
      <c r="C648" s="110"/>
      <c r="D648" s="110"/>
    </row>
    <row r="649" spans="2:4" x14ac:dyDescent="0.2">
      <c r="B649" s="110"/>
      <c r="C649" s="110"/>
      <c r="D649" s="110"/>
    </row>
    <row r="650" spans="2:4" x14ac:dyDescent="0.2">
      <c r="B650" s="110"/>
      <c r="C650" s="110"/>
      <c r="D650" s="110"/>
    </row>
    <row r="651" spans="2:4" x14ac:dyDescent="0.2">
      <c r="B651" s="110"/>
      <c r="C651" s="110"/>
      <c r="D651" s="110"/>
    </row>
    <row r="652" spans="2:4" x14ac:dyDescent="0.2">
      <c r="B652" s="110"/>
      <c r="C652" s="110"/>
      <c r="D652" s="110"/>
    </row>
    <row r="653" spans="2:4" x14ac:dyDescent="0.2">
      <c r="B653" s="110"/>
      <c r="C653" s="110"/>
      <c r="D653" s="110"/>
    </row>
    <row r="654" spans="2:4" x14ac:dyDescent="0.2">
      <c r="B654" s="110"/>
      <c r="C654" s="110"/>
      <c r="D654" s="110"/>
    </row>
    <row r="655" spans="2:4" x14ac:dyDescent="0.2">
      <c r="B655" s="110"/>
      <c r="C655" s="110"/>
      <c r="D655" s="110"/>
    </row>
    <row r="656" spans="2:4" x14ac:dyDescent="0.2">
      <c r="B656" s="110"/>
      <c r="C656" s="110"/>
      <c r="D656" s="110"/>
    </row>
    <row r="657" spans="2:4" x14ac:dyDescent="0.2">
      <c r="B657" s="110"/>
      <c r="C657" s="110"/>
      <c r="D657" s="110"/>
    </row>
    <row r="658" spans="2:4" x14ac:dyDescent="0.2">
      <c r="B658" s="110"/>
      <c r="C658" s="110"/>
      <c r="D658" s="110"/>
    </row>
    <row r="659" spans="2:4" x14ac:dyDescent="0.2">
      <c r="B659" s="110"/>
      <c r="C659" s="110"/>
      <c r="D659" s="110"/>
    </row>
    <row r="660" spans="2:4" x14ac:dyDescent="0.2">
      <c r="B660" s="110"/>
      <c r="C660" s="110"/>
      <c r="D660" s="110"/>
    </row>
    <row r="661" spans="2:4" x14ac:dyDescent="0.2">
      <c r="B661" s="110"/>
      <c r="C661" s="110"/>
      <c r="D661" s="110"/>
    </row>
    <row r="662" spans="2:4" x14ac:dyDescent="0.2">
      <c r="B662" s="110"/>
      <c r="C662" s="110"/>
      <c r="D662" s="110"/>
    </row>
    <row r="663" spans="2:4" x14ac:dyDescent="0.2">
      <c r="B663" s="110"/>
      <c r="C663" s="110"/>
      <c r="D663" s="110"/>
    </row>
    <row r="664" spans="2:4" x14ac:dyDescent="0.2">
      <c r="B664" s="110"/>
      <c r="C664" s="110"/>
      <c r="D664" s="110"/>
    </row>
    <row r="665" spans="2:4" x14ac:dyDescent="0.2">
      <c r="B665" s="110"/>
      <c r="C665" s="110"/>
      <c r="D665" s="110"/>
    </row>
    <row r="666" spans="2:4" x14ac:dyDescent="0.2">
      <c r="B666" s="110"/>
      <c r="C666" s="110"/>
      <c r="D666" s="110"/>
    </row>
    <row r="667" spans="2:4" x14ac:dyDescent="0.2">
      <c r="B667" s="110"/>
      <c r="C667" s="110"/>
      <c r="D667" s="110"/>
    </row>
    <row r="668" spans="2:4" x14ac:dyDescent="0.2">
      <c r="B668" s="110"/>
      <c r="C668" s="110"/>
      <c r="D668" s="110"/>
    </row>
    <row r="669" spans="2:4" x14ac:dyDescent="0.2">
      <c r="B669" s="110"/>
      <c r="C669" s="110"/>
      <c r="D669" s="110"/>
    </row>
    <row r="670" spans="2:4" x14ac:dyDescent="0.2">
      <c r="B670" s="110"/>
      <c r="C670" s="110"/>
      <c r="D670" s="110"/>
    </row>
    <row r="671" spans="2:4" x14ac:dyDescent="0.2">
      <c r="B671" s="110"/>
      <c r="C671" s="110"/>
      <c r="D671" s="110"/>
    </row>
    <row r="672" spans="2:4" x14ac:dyDescent="0.2">
      <c r="B672" s="110"/>
      <c r="C672" s="110"/>
      <c r="D672" s="110"/>
    </row>
    <row r="673" spans="2:4" x14ac:dyDescent="0.2">
      <c r="B673" s="110"/>
      <c r="C673" s="110"/>
      <c r="D673" s="110"/>
    </row>
    <row r="674" spans="2:4" x14ac:dyDescent="0.2">
      <c r="B674" s="110"/>
      <c r="C674" s="110"/>
      <c r="D674" s="110"/>
    </row>
    <row r="675" spans="2:4" x14ac:dyDescent="0.2">
      <c r="B675" s="110"/>
      <c r="C675" s="110"/>
      <c r="D675" s="110"/>
    </row>
    <row r="676" spans="2:4" x14ac:dyDescent="0.2">
      <c r="B676" s="110"/>
      <c r="C676" s="110"/>
      <c r="D676" s="110"/>
    </row>
    <row r="677" spans="2:4" x14ac:dyDescent="0.2">
      <c r="B677" s="110"/>
      <c r="C677" s="110"/>
      <c r="D677" s="110"/>
    </row>
    <row r="678" spans="2:4" x14ac:dyDescent="0.2">
      <c r="B678" s="110"/>
      <c r="C678" s="110"/>
      <c r="D678" s="110"/>
    </row>
    <row r="679" spans="2:4" x14ac:dyDescent="0.2">
      <c r="B679" s="110"/>
      <c r="C679" s="110"/>
      <c r="D679" s="110"/>
    </row>
    <row r="680" spans="2:4" x14ac:dyDescent="0.2">
      <c r="B680" s="110"/>
      <c r="C680" s="110"/>
      <c r="D680" s="110"/>
    </row>
    <row r="681" spans="2:4" x14ac:dyDescent="0.2">
      <c r="B681" s="110"/>
      <c r="C681" s="110"/>
      <c r="D681" s="110"/>
    </row>
    <row r="682" spans="2:4" x14ac:dyDescent="0.2">
      <c r="B682" s="110"/>
      <c r="C682" s="110"/>
      <c r="D682" s="110"/>
    </row>
    <row r="683" spans="2:4" x14ac:dyDescent="0.2">
      <c r="B683" s="110"/>
      <c r="C683" s="110"/>
      <c r="D683" s="110"/>
    </row>
    <row r="684" spans="2:4" x14ac:dyDescent="0.2">
      <c r="B684" s="110"/>
      <c r="C684" s="110"/>
      <c r="D684" s="110"/>
    </row>
    <row r="685" spans="2:4" x14ac:dyDescent="0.2">
      <c r="B685" s="110"/>
      <c r="C685" s="110"/>
      <c r="D685" s="110"/>
    </row>
    <row r="686" spans="2:4" x14ac:dyDescent="0.2">
      <c r="B686" s="110"/>
      <c r="C686" s="110"/>
      <c r="D686" s="110"/>
    </row>
    <row r="687" spans="2:4" x14ac:dyDescent="0.2">
      <c r="B687" s="110"/>
      <c r="C687" s="110"/>
      <c r="D687" s="110"/>
    </row>
    <row r="688" spans="2:4" x14ac:dyDescent="0.2">
      <c r="B688" s="110"/>
      <c r="C688" s="110"/>
      <c r="D688" s="110"/>
    </row>
    <row r="689" spans="2:4" x14ac:dyDescent="0.2">
      <c r="B689" s="110"/>
      <c r="C689" s="110"/>
      <c r="D689" s="110"/>
    </row>
    <row r="690" spans="2:4" x14ac:dyDescent="0.2">
      <c r="B690" s="110"/>
      <c r="C690" s="110"/>
      <c r="D690" s="110"/>
    </row>
    <row r="691" spans="2:4" x14ac:dyDescent="0.2">
      <c r="B691" s="110"/>
      <c r="C691" s="110"/>
      <c r="D691" s="110"/>
    </row>
    <row r="692" spans="2:4" x14ac:dyDescent="0.2">
      <c r="B692" s="110"/>
      <c r="C692" s="110"/>
      <c r="D692" s="110"/>
    </row>
    <row r="693" spans="2:4" x14ac:dyDescent="0.2">
      <c r="B693" s="110"/>
      <c r="C693" s="110"/>
      <c r="D693" s="110"/>
    </row>
    <row r="694" spans="2:4" x14ac:dyDescent="0.2">
      <c r="B694" s="110"/>
      <c r="C694" s="110"/>
      <c r="D694" s="110"/>
    </row>
    <row r="695" spans="2:4" x14ac:dyDescent="0.2">
      <c r="B695" s="110"/>
      <c r="C695" s="110"/>
      <c r="D695" s="110"/>
    </row>
    <row r="696" spans="2:4" x14ac:dyDescent="0.2">
      <c r="B696" s="110"/>
      <c r="C696" s="110"/>
      <c r="D696" s="110"/>
    </row>
    <row r="697" spans="2:4" x14ac:dyDescent="0.2">
      <c r="B697" s="110"/>
      <c r="C697" s="110"/>
      <c r="D697" s="110"/>
    </row>
    <row r="698" spans="2:4" x14ac:dyDescent="0.2">
      <c r="B698" s="110"/>
      <c r="C698" s="110"/>
      <c r="D698" s="110"/>
    </row>
    <row r="699" spans="2:4" x14ac:dyDescent="0.2">
      <c r="B699" s="110"/>
      <c r="C699" s="110"/>
      <c r="D699" s="110"/>
    </row>
    <row r="700" spans="2:4" x14ac:dyDescent="0.2">
      <c r="B700" s="110"/>
      <c r="C700" s="110"/>
      <c r="D700" s="110"/>
    </row>
    <row r="701" spans="2:4" x14ac:dyDescent="0.2">
      <c r="B701" s="110"/>
      <c r="C701" s="110"/>
      <c r="D701" s="110"/>
    </row>
    <row r="702" spans="2:4" x14ac:dyDescent="0.2">
      <c r="B702" s="110"/>
      <c r="C702" s="110"/>
      <c r="D702" s="110"/>
    </row>
    <row r="703" spans="2:4" x14ac:dyDescent="0.2">
      <c r="B703" s="110"/>
      <c r="C703" s="110"/>
      <c r="D703" s="110"/>
    </row>
    <row r="704" spans="2:4" x14ac:dyDescent="0.2">
      <c r="B704" s="110"/>
      <c r="C704" s="110"/>
      <c r="D704" s="110"/>
    </row>
    <row r="705" spans="2:4" x14ac:dyDescent="0.2">
      <c r="B705" s="110"/>
      <c r="C705" s="110"/>
      <c r="D705" s="110"/>
    </row>
    <row r="706" spans="2:4" x14ac:dyDescent="0.2">
      <c r="B706" s="110"/>
      <c r="C706" s="110"/>
      <c r="D706" s="110"/>
    </row>
    <row r="707" spans="2:4" x14ac:dyDescent="0.2">
      <c r="B707" s="110"/>
      <c r="C707" s="110"/>
      <c r="D707" s="110"/>
    </row>
    <row r="708" spans="2:4" x14ac:dyDescent="0.2">
      <c r="B708" s="110"/>
      <c r="C708" s="110"/>
      <c r="D708" s="110"/>
    </row>
    <row r="709" spans="2:4" x14ac:dyDescent="0.2">
      <c r="B709" s="110"/>
      <c r="C709" s="110"/>
      <c r="D709" s="110"/>
    </row>
    <row r="710" spans="2:4" x14ac:dyDescent="0.2">
      <c r="B710" s="110"/>
      <c r="C710" s="110"/>
      <c r="D710" s="110"/>
    </row>
    <row r="711" spans="2:4" x14ac:dyDescent="0.2">
      <c r="B711" s="110"/>
      <c r="C711" s="110"/>
      <c r="D711" s="110"/>
    </row>
    <row r="712" spans="2:4" x14ac:dyDescent="0.2">
      <c r="B712" s="110"/>
      <c r="C712" s="110"/>
      <c r="D712" s="110"/>
    </row>
    <row r="713" spans="2:4" x14ac:dyDescent="0.2">
      <c r="B713" s="110"/>
      <c r="C713" s="110"/>
      <c r="D713" s="110"/>
    </row>
    <row r="714" spans="2:4" x14ac:dyDescent="0.2">
      <c r="B714" s="110"/>
      <c r="C714" s="110"/>
      <c r="D714" s="110"/>
    </row>
    <row r="715" spans="2:4" x14ac:dyDescent="0.2">
      <c r="B715" s="110"/>
      <c r="C715" s="110"/>
      <c r="D715" s="110"/>
    </row>
    <row r="716" spans="2:4" x14ac:dyDescent="0.2">
      <c r="B716" s="110"/>
      <c r="C716" s="110"/>
      <c r="D716" s="110"/>
    </row>
    <row r="717" spans="2:4" x14ac:dyDescent="0.2">
      <c r="B717" s="110"/>
      <c r="C717" s="110"/>
      <c r="D717" s="110"/>
    </row>
    <row r="718" spans="2:4" x14ac:dyDescent="0.2">
      <c r="B718" s="110"/>
      <c r="C718" s="110"/>
      <c r="D718" s="110"/>
    </row>
    <row r="719" spans="2:4" x14ac:dyDescent="0.2">
      <c r="B719" s="110"/>
      <c r="C719" s="110"/>
      <c r="D719" s="110"/>
    </row>
    <row r="720" spans="2:4" x14ac:dyDescent="0.2">
      <c r="B720" s="110"/>
      <c r="C720" s="110"/>
      <c r="D720" s="110"/>
    </row>
    <row r="721" spans="2:4" x14ac:dyDescent="0.2">
      <c r="B721" s="110"/>
      <c r="C721" s="110"/>
      <c r="D721" s="110"/>
    </row>
    <row r="722" spans="2:4" x14ac:dyDescent="0.2">
      <c r="B722" s="110"/>
      <c r="C722" s="110"/>
      <c r="D722" s="110"/>
    </row>
    <row r="723" spans="2:4" x14ac:dyDescent="0.2">
      <c r="B723" s="110"/>
      <c r="C723" s="110"/>
      <c r="D723" s="110"/>
    </row>
    <row r="724" spans="2:4" x14ac:dyDescent="0.2">
      <c r="B724" s="110"/>
      <c r="C724" s="110"/>
      <c r="D724" s="110"/>
    </row>
    <row r="725" spans="2:4" x14ac:dyDescent="0.2">
      <c r="B725" s="110"/>
      <c r="C725" s="110"/>
      <c r="D725" s="110"/>
    </row>
    <row r="726" spans="2:4" x14ac:dyDescent="0.2">
      <c r="B726" s="110"/>
      <c r="C726" s="110"/>
      <c r="D726" s="110"/>
    </row>
    <row r="727" spans="2:4" x14ac:dyDescent="0.2">
      <c r="B727" s="110"/>
      <c r="C727" s="110"/>
      <c r="D727" s="110"/>
    </row>
    <row r="728" spans="2:4" x14ac:dyDescent="0.2">
      <c r="B728" s="110"/>
      <c r="C728" s="110"/>
      <c r="D728" s="110"/>
    </row>
    <row r="729" spans="2:4" x14ac:dyDescent="0.2">
      <c r="B729" s="110"/>
      <c r="C729" s="110"/>
      <c r="D729" s="110"/>
    </row>
    <row r="730" spans="2:4" x14ac:dyDescent="0.2">
      <c r="B730" s="110"/>
      <c r="C730" s="110"/>
      <c r="D730" s="110"/>
    </row>
    <row r="731" spans="2:4" x14ac:dyDescent="0.2">
      <c r="B731" s="110"/>
      <c r="C731" s="110"/>
      <c r="D731" s="110"/>
    </row>
    <row r="732" spans="2:4" x14ac:dyDescent="0.2">
      <c r="B732" s="110"/>
      <c r="C732" s="110"/>
      <c r="D732" s="110"/>
    </row>
    <row r="733" spans="2:4" x14ac:dyDescent="0.2">
      <c r="B733" s="110"/>
      <c r="C733" s="110"/>
      <c r="D733" s="110"/>
    </row>
    <row r="734" spans="2:4" x14ac:dyDescent="0.2">
      <c r="B734" s="110"/>
      <c r="C734" s="110"/>
      <c r="D734" s="110"/>
    </row>
    <row r="735" spans="2:4" x14ac:dyDescent="0.2">
      <c r="B735" s="110"/>
      <c r="C735" s="110"/>
      <c r="D735" s="110"/>
    </row>
    <row r="736" spans="2:4" x14ac:dyDescent="0.2">
      <c r="B736" s="110"/>
      <c r="C736" s="110"/>
      <c r="D736" s="110"/>
    </row>
    <row r="737" spans="2:4" x14ac:dyDescent="0.2">
      <c r="B737" s="110"/>
      <c r="C737" s="110"/>
      <c r="D737" s="110"/>
    </row>
    <row r="738" spans="2:4" x14ac:dyDescent="0.2">
      <c r="B738" s="110"/>
      <c r="C738" s="110"/>
      <c r="D738" s="110"/>
    </row>
    <row r="739" spans="2:4" x14ac:dyDescent="0.2">
      <c r="B739" s="110"/>
      <c r="C739" s="110"/>
      <c r="D739" s="110"/>
    </row>
    <row r="740" spans="2:4" x14ac:dyDescent="0.2">
      <c r="B740" s="110"/>
      <c r="C740" s="110"/>
      <c r="D740" s="110"/>
    </row>
    <row r="741" spans="2:4" x14ac:dyDescent="0.2">
      <c r="B741" s="110"/>
      <c r="C741" s="110"/>
      <c r="D741" s="110"/>
    </row>
    <row r="742" spans="2:4" x14ac:dyDescent="0.2">
      <c r="B742" s="110"/>
      <c r="C742" s="110"/>
      <c r="D742" s="110"/>
    </row>
    <row r="743" spans="2:4" x14ac:dyDescent="0.2">
      <c r="B743" s="110"/>
      <c r="C743" s="110"/>
      <c r="D743" s="110"/>
    </row>
    <row r="744" spans="2:4" x14ac:dyDescent="0.2">
      <c r="B744" s="110"/>
      <c r="C744" s="110"/>
      <c r="D744" s="110"/>
    </row>
    <row r="745" spans="2:4" x14ac:dyDescent="0.2">
      <c r="B745" s="110"/>
      <c r="C745" s="110"/>
      <c r="D745" s="110"/>
    </row>
    <row r="746" spans="2:4" x14ac:dyDescent="0.2">
      <c r="B746" s="110"/>
      <c r="C746" s="110"/>
      <c r="D746" s="110"/>
    </row>
    <row r="747" spans="2:4" x14ac:dyDescent="0.2">
      <c r="B747" s="110"/>
      <c r="C747" s="110"/>
      <c r="D747" s="110"/>
    </row>
    <row r="748" spans="2:4" x14ac:dyDescent="0.2">
      <c r="B748" s="110"/>
      <c r="C748" s="110"/>
      <c r="D748" s="110"/>
    </row>
    <row r="749" spans="2:4" x14ac:dyDescent="0.2">
      <c r="B749" s="110"/>
      <c r="C749" s="110"/>
      <c r="D749" s="110"/>
    </row>
    <row r="750" spans="2:4" x14ac:dyDescent="0.2">
      <c r="B750" s="110"/>
      <c r="C750" s="110"/>
      <c r="D750" s="110"/>
    </row>
    <row r="751" spans="2:4" x14ac:dyDescent="0.2">
      <c r="B751" s="110"/>
      <c r="C751" s="110"/>
      <c r="D751" s="110"/>
    </row>
    <row r="752" spans="2:4" x14ac:dyDescent="0.2">
      <c r="B752" s="110"/>
      <c r="C752" s="110"/>
      <c r="D752" s="110"/>
    </row>
    <row r="753" spans="2:4" x14ac:dyDescent="0.2">
      <c r="B753" s="110"/>
      <c r="C753" s="110"/>
      <c r="D753" s="110"/>
    </row>
    <row r="754" spans="2:4" x14ac:dyDescent="0.2">
      <c r="B754" s="110"/>
      <c r="C754" s="110"/>
      <c r="D754" s="110"/>
    </row>
    <row r="755" spans="2:4" x14ac:dyDescent="0.2">
      <c r="B755" s="110"/>
      <c r="C755" s="110"/>
      <c r="D755" s="110"/>
    </row>
    <row r="756" spans="2:4" x14ac:dyDescent="0.2">
      <c r="B756" s="110"/>
      <c r="C756" s="110"/>
      <c r="D756" s="110"/>
    </row>
    <row r="757" spans="2:4" x14ac:dyDescent="0.2">
      <c r="B757" s="110"/>
      <c r="C757" s="110"/>
      <c r="D757" s="110"/>
    </row>
    <row r="758" spans="2:4" x14ac:dyDescent="0.2">
      <c r="B758" s="110"/>
      <c r="C758" s="110"/>
      <c r="D758" s="110"/>
    </row>
    <row r="759" spans="2:4" x14ac:dyDescent="0.2">
      <c r="B759" s="110"/>
      <c r="C759" s="110"/>
      <c r="D759" s="110"/>
    </row>
    <row r="760" spans="2:4" x14ac:dyDescent="0.2">
      <c r="B760" s="110"/>
      <c r="C760" s="110"/>
      <c r="D760" s="110"/>
    </row>
    <row r="761" spans="2:4" x14ac:dyDescent="0.2">
      <c r="B761" s="110"/>
      <c r="C761" s="110"/>
      <c r="D761" s="110"/>
    </row>
    <row r="762" spans="2:4" x14ac:dyDescent="0.2">
      <c r="B762" s="110"/>
      <c r="C762" s="110"/>
      <c r="D762" s="110"/>
    </row>
    <row r="763" spans="2:4" x14ac:dyDescent="0.2">
      <c r="B763" s="110"/>
      <c r="C763" s="110"/>
      <c r="D763" s="110"/>
    </row>
    <row r="764" spans="2:4" x14ac:dyDescent="0.2">
      <c r="B764" s="110"/>
      <c r="C764" s="110"/>
      <c r="D764" s="110"/>
    </row>
    <row r="765" spans="2:4" x14ac:dyDescent="0.2">
      <c r="B765" s="110"/>
      <c r="C765" s="110"/>
      <c r="D765" s="110"/>
    </row>
    <row r="766" spans="2:4" x14ac:dyDescent="0.2">
      <c r="B766" s="110"/>
      <c r="C766" s="110"/>
      <c r="D766" s="110"/>
    </row>
    <row r="767" spans="2:4" x14ac:dyDescent="0.2">
      <c r="B767" s="110"/>
      <c r="C767" s="110"/>
      <c r="D767" s="110"/>
    </row>
    <row r="768" spans="2:4" x14ac:dyDescent="0.2">
      <c r="B768" s="110"/>
      <c r="C768" s="110"/>
      <c r="D768" s="110"/>
    </row>
    <row r="769" spans="2:4" x14ac:dyDescent="0.2">
      <c r="B769" s="110"/>
      <c r="C769" s="110"/>
      <c r="D769" s="110"/>
    </row>
    <row r="770" spans="2:4" x14ac:dyDescent="0.2">
      <c r="B770" s="110"/>
      <c r="C770" s="110"/>
      <c r="D770" s="110"/>
    </row>
    <row r="771" spans="2:4" x14ac:dyDescent="0.2">
      <c r="B771" s="110"/>
      <c r="C771" s="110"/>
      <c r="D771" s="110"/>
    </row>
    <row r="772" spans="2:4" x14ac:dyDescent="0.2">
      <c r="B772" s="110"/>
      <c r="C772" s="110"/>
      <c r="D772" s="110"/>
    </row>
    <row r="773" spans="2:4" x14ac:dyDescent="0.2">
      <c r="B773" s="110"/>
      <c r="C773" s="110"/>
      <c r="D773" s="110"/>
    </row>
    <row r="774" spans="2:4" x14ac:dyDescent="0.2">
      <c r="B774" s="110"/>
      <c r="C774" s="110"/>
      <c r="D774" s="110"/>
    </row>
    <row r="775" spans="2:4" x14ac:dyDescent="0.2">
      <c r="B775" s="110"/>
      <c r="C775" s="110"/>
      <c r="D775" s="110"/>
    </row>
    <row r="776" spans="2:4" x14ac:dyDescent="0.2">
      <c r="B776" s="110"/>
      <c r="C776" s="110"/>
      <c r="D776" s="110"/>
    </row>
    <row r="777" spans="2:4" x14ac:dyDescent="0.2">
      <c r="B777" s="110"/>
      <c r="C777" s="110"/>
      <c r="D777" s="110"/>
    </row>
    <row r="778" spans="2:4" x14ac:dyDescent="0.2">
      <c r="B778" s="110"/>
      <c r="C778" s="110"/>
      <c r="D778" s="110"/>
    </row>
    <row r="779" spans="2:4" x14ac:dyDescent="0.2">
      <c r="B779" s="110"/>
      <c r="C779" s="110"/>
      <c r="D779" s="110"/>
    </row>
    <row r="780" spans="2:4" x14ac:dyDescent="0.2">
      <c r="B780" s="110"/>
      <c r="C780" s="110"/>
      <c r="D780" s="110"/>
    </row>
    <row r="781" spans="2:4" x14ac:dyDescent="0.2">
      <c r="B781" s="110"/>
      <c r="C781" s="110"/>
      <c r="D781" s="110"/>
    </row>
    <row r="782" spans="2:4" x14ac:dyDescent="0.2">
      <c r="B782" s="110"/>
      <c r="C782" s="110"/>
      <c r="D782" s="110"/>
    </row>
    <row r="783" spans="2:4" x14ac:dyDescent="0.2">
      <c r="B783" s="110"/>
      <c r="C783" s="110"/>
      <c r="D783" s="110"/>
    </row>
    <row r="784" spans="2:4" x14ac:dyDescent="0.2">
      <c r="B784" s="110"/>
      <c r="C784" s="110"/>
      <c r="D784" s="110"/>
    </row>
    <row r="785" spans="2:4" x14ac:dyDescent="0.2">
      <c r="B785" s="110"/>
      <c r="C785" s="110"/>
      <c r="D785" s="110"/>
    </row>
    <row r="786" spans="2:4" x14ac:dyDescent="0.2">
      <c r="B786" s="110"/>
      <c r="C786" s="110"/>
      <c r="D786" s="110"/>
    </row>
    <row r="787" spans="2:4" x14ac:dyDescent="0.2">
      <c r="B787" s="110"/>
      <c r="C787" s="110"/>
      <c r="D787" s="110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94"/>
  <sheetViews>
    <sheetView workbookViewId="0">
      <selection activeCell="C2" sqref="C2"/>
      <pivotSelection pane="bottomRight" extendable="1" activeRow="3" activeCol="1" previousRow="3" previousCol="7" click="1" r:id="rId1">
        <pivotArea outline="0" fieldPosition="0">
          <references count="1">
            <reference field="9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Selection>
    </sheetView>
  </sheetViews>
  <sheetFormatPr defaultRowHeight="10.5" customHeight="1" x14ac:dyDescent="0.15"/>
  <cols>
    <col min="1" max="1" width="10.83203125" style="132" customWidth="1"/>
    <col min="2" max="4" width="10.1640625" style="132" customWidth="1"/>
    <col min="5" max="6" width="10.1640625" style="133" customWidth="1"/>
    <col min="7" max="8" width="10.1640625" style="132" customWidth="1"/>
    <col min="9" max="9" width="10.1640625" style="133" customWidth="1"/>
    <col min="10" max="10" width="10.5" style="133" customWidth="1"/>
    <col min="11" max="15" width="12.83203125" style="132" customWidth="1"/>
    <col min="16" max="18" width="9.33203125" style="132"/>
    <col min="19" max="19" width="11.1640625" style="132" bestFit="1" customWidth="1"/>
    <col min="20" max="16384" width="9.33203125" style="132"/>
  </cols>
  <sheetData>
    <row r="2" spans="1:21" ht="10.5" customHeight="1" x14ac:dyDescent="0.2">
      <c r="A2" s="214" t="s">
        <v>85</v>
      </c>
      <c r="B2" s="152" t="s">
        <v>71</v>
      </c>
      <c r="C2" s="4"/>
      <c r="D2" s="4"/>
      <c r="E2" s="4"/>
      <c r="F2" s="4"/>
      <c r="G2" s="4"/>
      <c r="H2" s="4"/>
      <c r="I2" s="4"/>
      <c r="J2" s="153"/>
      <c r="K2"/>
      <c r="L2"/>
      <c r="M2"/>
      <c r="N2"/>
      <c r="O2"/>
      <c r="P2" s="171"/>
      <c r="Q2" s="171"/>
    </row>
    <row r="3" spans="1:21" ht="10.5" customHeight="1" x14ac:dyDescent="0.2">
      <c r="A3" s="154"/>
      <c r="B3" s="5">
        <v>37347</v>
      </c>
      <c r="C3" s="6">
        <v>37377</v>
      </c>
      <c r="D3" s="6">
        <v>37408</v>
      </c>
      <c r="E3" s="6">
        <v>37438</v>
      </c>
      <c r="F3" s="6">
        <v>37469</v>
      </c>
      <c r="G3" s="6">
        <v>37500</v>
      </c>
      <c r="H3" s="6">
        <v>37530</v>
      </c>
      <c r="I3" s="4" t="s">
        <v>83</v>
      </c>
      <c r="J3" s="155" t="s">
        <v>84</v>
      </c>
      <c r="K3"/>
      <c r="L3"/>
      <c r="M3"/>
      <c r="N3"/>
      <c r="O3"/>
      <c r="P3" s="171"/>
      <c r="Q3" s="171"/>
    </row>
    <row r="4" spans="1:21" ht="10.5" customHeight="1" x14ac:dyDescent="0.2">
      <c r="A4" s="156" t="s">
        <v>20</v>
      </c>
      <c r="B4" s="157">
        <v>12000</v>
      </c>
      <c r="C4" s="7">
        <v>6200</v>
      </c>
      <c r="D4" s="7">
        <v>0</v>
      </c>
      <c r="E4" s="7">
        <v>-6200</v>
      </c>
      <c r="F4" s="7">
        <v>-12400</v>
      </c>
      <c r="G4" s="7">
        <v>-13500</v>
      </c>
      <c r="H4" s="7">
        <v>-18600</v>
      </c>
      <c r="I4" s="7"/>
      <c r="J4" s="158">
        <v>-32500</v>
      </c>
      <c r="K4"/>
      <c r="L4"/>
      <c r="M4"/>
      <c r="N4"/>
      <c r="O4"/>
      <c r="P4" s="171"/>
      <c r="Q4" s="171"/>
    </row>
    <row r="5" spans="1:21" ht="10.5" customHeight="1" x14ac:dyDescent="0.15">
      <c r="A5" s="171"/>
      <c r="B5" s="8"/>
      <c r="C5" s="8"/>
      <c r="D5" s="8"/>
      <c r="E5" s="8"/>
      <c r="F5" s="8"/>
      <c r="G5" s="8"/>
      <c r="H5" s="8"/>
      <c r="I5" s="172"/>
      <c r="J5" s="172"/>
      <c r="K5" s="171"/>
      <c r="L5" s="171"/>
      <c r="M5" s="171"/>
      <c r="N5" s="171"/>
      <c r="O5" s="171"/>
      <c r="P5" s="171"/>
      <c r="Q5" s="171"/>
    </row>
    <row r="6" spans="1:21" ht="10.5" customHeight="1" x14ac:dyDescent="0.15">
      <c r="B6" s="38"/>
      <c r="C6" s="38"/>
      <c r="D6" s="38"/>
      <c r="E6" s="38"/>
      <c r="F6" s="38"/>
      <c r="G6" s="38"/>
      <c r="H6" s="38"/>
    </row>
    <row r="8" spans="1:21" s="141" customFormat="1" ht="24" customHeight="1" x14ac:dyDescent="0.2">
      <c r="A8" s="141" t="s">
        <v>62</v>
      </c>
      <c r="B8" s="141" t="s">
        <v>63</v>
      </c>
      <c r="C8" s="141" t="s">
        <v>64</v>
      </c>
      <c r="D8" s="141" t="s">
        <v>65</v>
      </c>
      <c r="E8" s="141" t="s">
        <v>66</v>
      </c>
      <c r="F8" s="141" t="s">
        <v>67</v>
      </c>
      <c r="G8" s="141" t="s">
        <v>68</v>
      </c>
      <c r="H8" s="141" t="s">
        <v>69</v>
      </c>
      <c r="I8" s="141" t="s">
        <v>70</v>
      </c>
      <c r="J8" s="141" t="s">
        <v>71</v>
      </c>
      <c r="K8" s="141" t="s">
        <v>72</v>
      </c>
      <c r="L8" s="141" t="s">
        <v>73</v>
      </c>
      <c r="M8" s="141" t="s">
        <v>74</v>
      </c>
      <c r="N8" s="141" t="s">
        <v>75</v>
      </c>
      <c r="O8" s="141" t="s">
        <v>76</v>
      </c>
      <c r="P8" s="141" t="s">
        <v>77</v>
      </c>
      <c r="Q8" s="141" t="s">
        <v>78</v>
      </c>
      <c r="R8" s="141" t="s">
        <v>79</v>
      </c>
      <c r="S8" s="141" t="s">
        <v>80</v>
      </c>
      <c r="T8" s="141" t="s">
        <v>81</v>
      </c>
      <c r="U8" s="141" t="s">
        <v>82</v>
      </c>
    </row>
    <row r="9" spans="1:21" customFormat="1" ht="10.199999999999999" x14ac:dyDescent="0.2">
      <c r="A9">
        <v>7544</v>
      </c>
      <c r="B9" t="s">
        <v>203</v>
      </c>
      <c r="C9" t="s">
        <v>57</v>
      </c>
      <c r="D9" t="s">
        <v>7</v>
      </c>
      <c r="E9" t="s">
        <v>204</v>
      </c>
      <c r="F9" s="109">
        <v>37215</v>
      </c>
      <c r="G9" t="s">
        <v>214</v>
      </c>
      <c r="H9" t="s">
        <v>211</v>
      </c>
      <c r="I9" t="s">
        <v>215</v>
      </c>
      <c r="J9" s="109">
        <v>37347</v>
      </c>
      <c r="K9">
        <v>5000</v>
      </c>
      <c r="L9">
        <v>150000</v>
      </c>
      <c r="M9" t="s">
        <v>208</v>
      </c>
      <c r="N9">
        <v>0</v>
      </c>
      <c r="O9" t="s">
        <v>8</v>
      </c>
      <c r="P9">
        <v>2.5</v>
      </c>
      <c r="Q9" t="s">
        <v>209</v>
      </c>
      <c r="R9">
        <v>2.42</v>
      </c>
      <c r="S9">
        <v>2.5</v>
      </c>
      <c r="T9">
        <v>12000</v>
      </c>
      <c r="U9" t="s">
        <v>209</v>
      </c>
    </row>
    <row r="10" spans="1:21" customFormat="1" ht="10.199999999999999" x14ac:dyDescent="0.2">
      <c r="A10">
        <v>7544</v>
      </c>
      <c r="B10" t="s">
        <v>203</v>
      </c>
      <c r="C10" t="s">
        <v>57</v>
      </c>
      <c r="D10" t="s">
        <v>7</v>
      </c>
      <c r="E10" t="s">
        <v>204</v>
      </c>
      <c r="F10" s="109">
        <v>37215</v>
      </c>
      <c r="G10" t="s">
        <v>214</v>
      </c>
      <c r="H10" t="s">
        <v>211</v>
      </c>
      <c r="I10" t="s">
        <v>215</v>
      </c>
      <c r="J10" s="109">
        <v>37530</v>
      </c>
      <c r="K10">
        <v>5000</v>
      </c>
      <c r="L10">
        <v>155000</v>
      </c>
      <c r="M10" t="s">
        <v>208</v>
      </c>
      <c r="N10">
        <v>0</v>
      </c>
      <c r="O10" t="s">
        <v>8</v>
      </c>
      <c r="P10">
        <v>2.5</v>
      </c>
      <c r="Q10" t="s">
        <v>209</v>
      </c>
      <c r="R10">
        <v>2.62</v>
      </c>
      <c r="S10">
        <v>2.5</v>
      </c>
      <c r="T10">
        <v>-18600</v>
      </c>
      <c r="U10" t="s">
        <v>209</v>
      </c>
    </row>
    <row r="11" spans="1:21" customFormat="1" ht="10.199999999999999" x14ac:dyDescent="0.2">
      <c r="A11">
        <v>7544</v>
      </c>
      <c r="B11" t="s">
        <v>203</v>
      </c>
      <c r="C11" t="s">
        <v>57</v>
      </c>
      <c r="D11" t="s">
        <v>7</v>
      </c>
      <c r="E11" t="s">
        <v>204</v>
      </c>
      <c r="F11" s="109">
        <v>37215</v>
      </c>
      <c r="G11" t="s">
        <v>214</v>
      </c>
      <c r="H11" t="s">
        <v>211</v>
      </c>
      <c r="I11" t="s">
        <v>215</v>
      </c>
      <c r="J11" s="109">
        <v>37500</v>
      </c>
      <c r="K11">
        <v>5000</v>
      </c>
      <c r="L11">
        <v>150000</v>
      </c>
      <c r="M11" t="s">
        <v>208</v>
      </c>
      <c r="N11">
        <v>0</v>
      </c>
      <c r="O11" t="s">
        <v>8</v>
      </c>
      <c r="P11">
        <v>2.5</v>
      </c>
      <c r="Q11" t="s">
        <v>209</v>
      </c>
      <c r="R11">
        <v>2.59</v>
      </c>
      <c r="S11">
        <v>2.5</v>
      </c>
      <c r="T11">
        <v>-13500</v>
      </c>
      <c r="U11" t="s">
        <v>209</v>
      </c>
    </row>
    <row r="12" spans="1:21" customFormat="1" ht="10.199999999999999" x14ac:dyDescent="0.2">
      <c r="A12">
        <v>7544</v>
      </c>
      <c r="B12" t="s">
        <v>203</v>
      </c>
      <c r="C12" t="s">
        <v>57</v>
      </c>
      <c r="D12" t="s">
        <v>7</v>
      </c>
      <c r="E12" t="s">
        <v>204</v>
      </c>
      <c r="F12" s="109">
        <v>37215</v>
      </c>
      <c r="G12" t="s">
        <v>214</v>
      </c>
      <c r="H12" t="s">
        <v>211</v>
      </c>
      <c r="I12" t="s">
        <v>215</v>
      </c>
      <c r="J12" s="109">
        <v>37469</v>
      </c>
      <c r="K12">
        <v>5000</v>
      </c>
      <c r="L12">
        <v>155000</v>
      </c>
      <c r="M12" t="s">
        <v>208</v>
      </c>
      <c r="N12">
        <v>0</v>
      </c>
      <c r="O12" t="s">
        <v>8</v>
      </c>
      <c r="P12">
        <v>2.5</v>
      </c>
      <c r="Q12" t="s">
        <v>209</v>
      </c>
      <c r="R12">
        <v>2.58</v>
      </c>
      <c r="S12">
        <v>2.5</v>
      </c>
      <c r="T12">
        <v>-12400</v>
      </c>
      <c r="U12" t="s">
        <v>209</v>
      </c>
    </row>
    <row r="13" spans="1:21" ht="10.5" customHeight="1" x14ac:dyDescent="0.2">
      <c r="A13">
        <v>7544</v>
      </c>
      <c r="B13" t="s">
        <v>203</v>
      </c>
      <c r="C13" t="s">
        <v>57</v>
      </c>
      <c r="D13" t="s">
        <v>7</v>
      </c>
      <c r="E13" t="s">
        <v>204</v>
      </c>
      <c r="F13" s="109">
        <v>37215</v>
      </c>
      <c r="G13" t="s">
        <v>214</v>
      </c>
      <c r="H13" t="s">
        <v>211</v>
      </c>
      <c r="I13" t="s">
        <v>215</v>
      </c>
      <c r="J13" s="109">
        <v>37377</v>
      </c>
      <c r="K13">
        <v>5000</v>
      </c>
      <c r="L13">
        <v>155000</v>
      </c>
      <c r="M13" t="s">
        <v>208</v>
      </c>
      <c r="N13">
        <v>0</v>
      </c>
      <c r="O13" t="s">
        <v>8</v>
      </c>
      <c r="P13">
        <v>2.5</v>
      </c>
      <c r="Q13" t="s">
        <v>209</v>
      </c>
      <c r="R13">
        <v>2.46</v>
      </c>
      <c r="S13">
        <v>2.5</v>
      </c>
      <c r="T13">
        <v>6200</v>
      </c>
      <c r="U13" t="s">
        <v>209</v>
      </c>
    </row>
    <row r="14" spans="1:21" ht="10.5" customHeight="1" x14ac:dyDescent="0.2">
      <c r="A14">
        <v>7544</v>
      </c>
      <c r="B14" t="s">
        <v>203</v>
      </c>
      <c r="C14" t="s">
        <v>57</v>
      </c>
      <c r="D14" t="s">
        <v>7</v>
      </c>
      <c r="E14" t="s">
        <v>204</v>
      </c>
      <c r="F14" s="109">
        <v>37215</v>
      </c>
      <c r="G14" t="s">
        <v>214</v>
      </c>
      <c r="H14" t="s">
        <v>211</v>
      </c>
      <c r="I14" t="s">
        <v>215</v>
      </c>
      <c r="J14" s="109">
        <v>37438</v>
      </c>
      <c r="K14">
        <v>5000</v>
      </c>
      <c r="L14">
        <v>155000</v>
      </c>
      <c r="M14" t="s">
        <v>208</v>
      </c>
      <c r="N14">
        <v>0</v>
      </c>
      <c r="O14" t="s">
        <v>8</v>
      </c>
      <c r="P14">
        <v>2.5</v>
      </c>
      <c r="Q14" t="s">
        <v>209</v>
      </c>
      <c r="R14">
        <v>2.54</v>
      </c>
      <c r="S14">
        <v>2.5</v>
      </c>
      <c r="T14">
        <v>-6200</v>
      </c>
      <c r="U14" t="s">
        <v>209</v>
      </c>
    </row>
    <row r="15" spans="1:21" ht="10.5" customHeight="1" x14ac:dyDescent="0.2">
      <c r="A15">
        <v>7544</v>
      </c>
      <c r="B15" t="s">
        <v>203</v>
      </c>
      <c r="C15" t="s">
        <v>57</v>
      </c>
      <c r="D15" t="s">
        <v>7</v>
      </c>
      <c r="E15" t="s">
        <v>204</v>
      </c>
      <c r="F15" s="109">
        <v>37215</v>
      </c>
      <c r="G15" t="s">
        <v>214</v>
      </c>
      <c r="H15" t="s">
        <v>211</v>
      </c>
      <c r="I15" t="s">
        <v>215</v>
      </c>
      <c r="J15" s="109">
        <v>37408</v>
      </c>
      <c r="K15">
        <v>5000</v>
      </c>
      <c r="L15">
        <v>150000</v>
      </c>
      <c r="M15" t="s">
        <v>208</v>
      </c>
      <c r="N15">
        <v>0</v>
      </c>
      <c r="O15" t="s">
        <v>8</v>
      </c>
      <c r="P15">
        <v>2.5</v>
      </c>
      <c r="Q15" t="s">
        <v>209</v>
      </c>
      <c r="R15">
        <v>2.5</v>
      </c>
      <c r="S15">
        <v>2.5</v>
      </c>
      <c r="T15">
        <v>0</v>
      </c>
      <c r="U15" t="s">
        <v>209</v>
      </c>
    </row>
    <row r="16" spans="1:21" customFormat="1" ht="10.199999999999999" x14ac:dyDescent="0.2">
      <c r="F16" s="109"/>
      <c r="J16" s="109"/>
    </row>
    <row r="17" spans="6:10" customFormat="1" ht="10.199999999999999" x14ac:dyDescent="0.2">
      <c r="F17" s="109"/>
      <c r="J17" s="109"/>
    </row>
    <row r="18" spans="6:10" customFormat="1" ht="10.199999999999999" x14ac:dyDescent="0.2">
      <c r="F18" s="109"/>
      <c r="J18" s="109"/>
    </row>
    <row r="19" spans="6:10" customFormat="1" ht="10.199999999999999" x14ac:dyDescent="0.2">
      <c r="F19" s="109"/>
      <c r="J19" s="109"/>
    </row>
    <row r="20" spans="6:10" customFormat="1" ht="10.199999999999999" x14ac:dyDescent="0.2">
      <c r="F20" s="109"/>
      <c r="J20" s="109"/>
    </row>
    <row r="21" spans="6:10" customFormat="1" ht="10.199999999999999" x14ac:dyDescent="0.2">
      <c r="F21" s="109"/>
      <c r="J21" s="109"/>
    </row>
    <row r="22" spans="6:10" customFormat="1" ht="12" customHeight="1" x14ac:dyDescent="0.2">
      <c r="F22" s="109"/>
      <c r="J22" s="109"/>
    </row>
    <row r="23" spans="6:10" customFormat="1" ht="10.199999999999999" x14ac:dyDescent="0.2">
      <c r="F23" s="109"/>
      <c r="J23" s="109"/>
    </row>
    <row r="24" spans="6:10" customFormat="1" ht="10.199999999999999" x14ac:dyDescent="0.2">
      <c r="F24" s="109"/>
      <c r="J24" s="109"/>
    </row>
    <row r="25" spans="6:10" customFormat="1" ht="10.199999999999999" x14ac:dyDescent="0.2">
      <c r="F25" s="109"/>
      <c r="J25" s="109"/>
    </row>
    <row r="26" spans="6:10" customFormat="1" ht="10.199999999999999" x14ac:dyDescent="0.2">
      <c r="F26" s="109"/>
      <c r="J26" s="109"/>
    </row>
    <row r="27" spans="6:10" customFormat="1" ht="10.199999999999999" x14ac:dyDescent="0.2">
      <c r="F27" s="109"/>
      <c r="J27" s="109"/>
    </row>
    <row r="28" spans="6:10" customFormat="1" ht="10.199999999999999" x14ac:dyDescent="0.2">
      <c r="F28" s="109"/>
      <c r="J28" s="109"/>
    </row>
    <row r="29" spans="6:10" customFormat="1" ht="10.199999999999999" x14ac:dyDescent="0.2">
      <c r="F29" s="109"/>
      <c r="J29" s="109"/>
    </row>
    <row r="30" spans="6:10" customFormat="1" ht="10.199999999999999" x14ac:dyDescent="0.2">
      <c r="F30" s="109"/>
      <c r="J30" s="109"/>
    </row>
    <row r="31" spans="6:10" customFormat="1" ht="10.199999999999999" x14ac:dyDescent="0.2">
      <c r="F31" s="109"/>
      <c r="J31" s="109"/>
    </row>
    <row r="32" spans="6:10" customFormat="1" ht="10.199999999999999" x14ac:dyDescent="0.2">
      <c r="F32" s="109"/>
      <c r="J32" s="109"/>
    </row>
    <row r="33" spans="6:10" customFormat="1" ht="10.199999999999999" x14ac:dyDescent="0.2">
      <c r="F33" s="109"/>
      <c r="J33" s="109"/>
    </row>
    <row r="34" spans="6:10" customFormat="1" ht="10.199999999999999" x14ac:dyDescent="0.2">
      <c r="F34" s="109"/>
      <c r="J34" s="109"/>
    </row>
    <row r="35" spans="6:10" customFormat="1" ht="10.199999999999999" x14ac:dyDescent="0.2">
      <c r="F35" s="109"/>
      <c r="J35" s="109"/>
    </row>
    <row r="36" spans="6:10" customFormat="1" ht="10.199999999999999" x14ac:dyDescent="0.2">
      <c r="F36" s="109"/>
      <c r="J36" s="109"/>
    </row>
    <row r="37" spans="6:10" customFormat="1" ht="10.199999999999999" x14ac:dyDescent="0.2">
      <c r="F37" s="109"/>
      <c r="J37" s="109"/>
    </row>
    <row r="38" spans="6:10" customFormat="1" ht="10.199999999999999" x14ac:dyDescent="0.2">
      <c r="F38" s="109"/>
      <c r="J38" s="109"/>
    </row>
    <row r="39" spans="6:10" customFormat="1" ht="10.199999999999999" x14ac:dyDescent="0.2">
      <c r="F39" s="109"/>
      <c r="J39" s="109"/>
    </row>
    <row r="40" spans="6:10" ht="10.5" customHeight="1" x14ac:dyDescent="0.15">
      <c r="J40" s="170"/>
    </row>
    <row r="41" spans="6:10" ht="10.5" customHeight="1" x14ac:dyDescent="0.15">
      <c r="J41" s="170"/>
    </row>
    <row r="42" spans="6:10" ht="10.5" customHeight="1" x14ac:dyDescent="0.15">
      <c r="J42" s="170"/>
    </row>
    <row r="43" spans="6:10" ht="10.5" customHeight="1" x14ac:dyDescent="0.15">
      <c r="J43" s="170"/>
    </row>
    <row r="44" spans="6:10" ht="10.5" customHeight="1" x14ac:dyDescent="0.15">
      <c r="J44" s="170"/>
    </row>
    <row r="45" spans="6:10" ht="10.5" customHeight="1" x14ac:dyDescent="0.15">
      <c r="J45" s="170"/>
    </row>
    <row r="46" spans="6:10" ht="10.5" customHeight="1" x14ac:dyDescent="0.15">
      <c r="J46" s="170"/>
    </row>
    <row r="47" spans="6:10" ht="10.5" customHeight="1" x14ac:dyDescent="0.15">
      <c r="J47" s="170"/>
    </row>
    <row r="48" spans="6:10" ht="10.5" customHeight="1" x14ac:dyDescent="0.15">
      <c r="J48" s="170"/>
    </row>
    <row r="49" spans="10:10" ht="10.5" customHeight="1" x14ac:dyDescent="0.15">
      <c r="J49" s="170"/>
    </row>
    <row r="50" spans="10:10" ht="10.5" customHeight="1" x14ac:dyDescent="0.15">
      <c r="J50" s="170"/>
    </row>
    <row r="51" spans="10:10" ht="10.5" customHeight="1" x14ac:dyDescent="0.15">
      <c r="J51" s="170"/>
    </row>
    <row r="52" spans="10:10" ht="10.5" customHeight="1" x14ac:dyDescent="0.15">
      <c r="J52" s="170"/>
    </row>
    <row r="53" spans="10:10" ht="10.5" customHeight="1" x14ac:dyDescent="0.15">
      <c r="J53" s="170"/>
    </row>
    <row r="54" spans="10:10" ht="10.5" customHeight="1" x14ac:dyDescent="0.15">
      <c r="J54" s="170"/>
    </row>
    <row r="55" spans="10:10" ht="10.5" customHeight="1" x14ac:dyDescent="0.15">
      <c r="J55" s="170"/>
    </row>
    <row r="56" spans="10:10" ht="10.5" customHeight="1" x14ac:dyDescent="0.15">
      <c r="J56" s="170"/>
    </row>
    <row r="57" spans="10:10" ht="10.5" customHeight="1" x14ac:dyDescent="0.15">
      <c r="J57" s="170"/>
    </row>
    <row r="58" spans="10:10" ht="10.5" customHeight="1" x14ac:dyDescent="0.15">
      <c r="J58" s="170"/>
    </row>
    <row r="59" spans="10:10" ht="10.5" customHeight="1" x14ac:dyDescent="0.15">
      <c r="J59" s="170"/>
    </row>
    <row r="60" spans="10:10" ht="10.5" customHeight="1" x14ac:dyDescent="0.15">
      <c r="J60" s="170"/>
    </row>
    <row r="61" spans="10:10" ht="10.5" customHeight="1" x14ac:dyDescent="0.15">
      <c r="J61" s="170"/>
    </row>
    <row r="62" spans="10:10" ht="10.5" customHeight="1" x14ac:dyDescent="0.15">
      <c r="J62" s="170"/>
    </row>
    <row r="63" spans="10:10" ht="10.5" customHeight="1" x14ac:dyDescent="0.15">
      <c r="J63" s="170"/>
    </row>
    <row r="64" spans="10:10" ht="10.5" customHeight="1" x14ac:dyDescent="0.15">
      <c r="J64" s="170"/>
    </row>
    <row r="65" spans="10:10" ht="10.5" customHeight="1" x14ac:dyDescent="0.15">
      <c r="J65" s="170"/>
    </row>
    <row r="66" spans="10:10" ht="10.5" customHeight="1" x14ac:dyDescent="0.15">
      <c r="J66" s="170"/>
    </row>
    <row r="67" spans="10:10" ht="10.5" customHeight="1" x14ac:dyDescent="0.15">
      <c r="J67" s="170"/>
    </row>
    <row r="68" spans="10:10" ht="10.5" customHeight="1" x14ac:dyDescent="0.15">
      <c r="J68" s="170"/>
    </row>
    <row r="69" spans="10:10" ht="10.5" customHeight="1" x14ac:dyDescent="0.15">
      <c r="J69" s="170"/>
    </row>
    <row r="70" spans="10:10" ht="10.5" customHeight="1" x14ac:dyDescent="0.15">
      <c r="J70" s="170"/>
    </row>
    <row r="71" spans="10:10" ht="10.5" customHeight="1" x14ac:dyDescent="0.15">
      <c r="J71" s="170"/>
    </row>
    <row r="72" spans="10:10" ht="10.5" customHeight="1" x14ac:dyDescent="0.15">
      <c r="J72" s="170"/>
    </row>
    <row r="73" spans="10:10" ht="10.5" customHeight="1" x14ac:dyDescent="0.15">
      <c r="J73" s="170"/>
    </row>
    <row r="74" spans="10:10" ht="10.5" customHeight="1" x14ac:dyDescent="0.15">
      <c r="J74" s="170"/>
    </row>
    <row r="75" spans="10:10" ht="10.5" customHeight="1" x14ac:dyDescent="0.15">
      <c r="J75" s="170"/>
    </row>
    <row r="76" spans="10:10" ht="10.5" customHeight="1" x14ac:dyDescent="0.15">
      <c r="J76" s="170"/>
    </row>
    <row r="77" spans="10:10" ht="10.5" customHeight="1" x14ac:dyDescent="0.15">
      <c r="J77" s="170"/>
    </row>
    <row r="78" spans="10:10" ht="10.5" customHeight="1" x14ac:dyDescent="0.15">
      <c r="J78" s="170"/>
    </row>
    <row r="79" spans="10:10" ht="10.5" customHeight="1" x14ac:dyDescent="0.15">
      <c r="J79" s="170"/>
    </row>
    <row r="80" spans="10:10" ht="10.5" customHeight="1" x14ac:dyDescent="0.15">
      <c r="J80" s="170"/>
    </row>
    <row r="81" spans="10:10" ht="10.5" customHeight="1" x14ac:dyDescent="0.15">
      <c r="J81" s="170"/>
    </row>
    <row r="82" spans="10:10" ht="10.5" customHeight="1" x14ac:dyDescent="0.15">
      <c r="J82" s="170"/>
    </row>
    <row r="83" spans="10:10" ht="10.5" customHeight="1" x14ac:dyDescent="0.15">
      <c r="J83" s="170"/>
    </row>
    <row r="84" spans="10:10" ht="10.5" customHeight="1" x14ac:dyDescent="0.15">
      <c r="J84" s="170"/>
    </row>
    <row r="85" spans="10:10" ht="10.5" customHeight="1" x14ac:dyDescent="0.15">
      <c r="J85" s="170"/>
    </row>
    <row r="86" spans="10:10" ht="10.5" customHeight="1" x14ac:dyDescent="0.15">
      <c r="J86" s="170"/>
    </row>
    <row r="87" spans="10:10" ht="10.5" customHeight="1" x14ac:dyDescent="0.15">
      <c r="J87" s="170"/>
    </row>
    <row r="88" spans="10:10" ht="10.5" customHeight="1" x14ac:dyDescent="0.15">
      <c r="J88" s="170"/>
    </row>
    <row r="89" spans="10:10" ht="10.5" customHeight="1" x14ac:dyDescent="0.15">
      <c r="J89" s="170"/>
    </row>
    <row r="90" spans="10:10" ht="10.5" customHeight="1" x14ac:dyDescent="0.15">
      <c r="J90" s="170"/>
    </row>
    <row r="91" spans="10:10" ht="10.5" customHeight="1" x14ac:dyDescent="0.15">
      <c r="J91" s="170"/>
    </row>
    <row r="92" spans="10:10" ht="10.5" customHeight="1" x14ac:dyDescent="0.15">
      <c r="J92" s="170"/>
    </row>
    <row r="93" spans="10:10" ht="10.5" customHeight="1" x14ac:dyDescent="0.15">
      <c r="J93" s="170"/>
    </row>
    <row r="94" spans="10:10" ht="10.5" customHeight="1" x14ac:dyDescent="0.15">
      <c r="J94" s="170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>
      <selection activeCell="C2" sqref="C2"/>
    </sheetView>
  </sheetViews>
  <sheetFormatPr defaultRowHeight="10.199999999999999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30"/>
    </row>
    <row r="2" spans="1:42" x14ac:dyDescent="0.2"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</row>
    <row r="3" spans="1:42" x14ac:dyDescent="0.2">
      <c r="A3" t="s">
        <v>50</v>
      </c>
      <c r="B3" s="176" t="str">
        <f>Dth_Day!C6</f>
        <v>Dec-01</v>
      </c>
      <c r="C3" s="176" t="str">
        <f>Dth_Day!D6</f>
        <v>Jan-02</v>
      </c>
      <c r="D3" s="176" t="str">
        <f>Dth_Day!E6</f>
        <v>Feb-02</v>
      </c>
      <c r="E3" s="176" t="str">
        <f>Dth_Day!F6</f>
        <v>Mar-02</v>
      </c>
      <c r="F3" s="176" t="str">
        <f>Dth_Day!G6</f>
        <v>Apr-02</v>
      </c>
      <c r="G3" s="176" t="str">
        <f>Dth_Day!H6</f>
        <v>May-02</v>
      </c>
      <c r="H3" s="176" t="str">
        <f>Dth_Day!I6</f>
        <v>Jun-02</v>
      </c>
      <c r="I3" s="176" t="str">
        <f>Dth_Day!J6</f>
        <v>Jul-02</v>
      </c>
      <c r="J3" s="176" t="str">
        <f>Dth_Day!K6</f>
        <v>Aug-02</v>
      </c>
      <c r="K3" s="176" t="str">
        <f>Dth_Day!L6</f>
        <v>Sep-02</v>
      </c>
      <c r="L3" s="176" t="str">
        <f>Dth_Day!M6</f>
        <v>Oct-02</v>
      </c>
      <c r="M3" s="176" t="str">
        <f>Dth_Day!N6</f>
        <v>Nov-02</v>
      </c>
      <c r="N3" s="176" t="str">
        <f>Dth_Day!O6</f>
        <v>Dec-02</v>
      </c>
      <c r="O3" s="176" t="str">
        <f>Dth_Day!P6</f>
        <v>Jan-03</v>
      </c>
      <c r="P3" s="176" t="str">
        <f>Dth_Day!Q6</f>
        <v>Feb-03</v>
      </c>
      <c r="Q3" s="176" t="str">
        <f>Dth_Day!R6</f>
        <v>Mar-03</v>
      </c>
      <c r="R3" s="176" t="str">
        <f>Dth_Day!S6</f>
        <v>Apr-03</v>
      </c>
      <c r="S3" s="176" t="str">
        <f>Dth_Day!T6</f>
        <v>May-03</v>
      </c>
      <c r="T3" s="176" t="str">
        <f>Dth_Day!U6</f>
        <v>Jun-03</v>
      </c>
      <c r="U3" s="176" t="str">
        <f>Dth_Day!V6</f>
        <v>Jul-03</v>
      </c>
      <c r="V3" s="176" t="str">
        <f>Dth_Day!W6</f>
        <v>Aug-03</v>
      </c>
      <c r="W3" s="176" t="str">
        <f>Dth_Day!X6</f>
        <v>Sep-03</v>
      </c>
      <c r="X3" s="176" t="str">
        <f>Dth_Day!Y6</f>
        <v>Oct-03</v>
      </c>
      <c r="Y3" s="176" t="str">
        <f>Dth_Day!Z6</f>
        <v>Nov-03</v>
      </c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</row>
    <row r="4" spans="1:42" x14ac:dyDescent="0.2">
      <c r="A4" s="130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30" t="s">
        <v>118</v>
      </c>
      <c r="B5" s="130">
        <f>'SPEC REPORT'!C30*B4</f>
        <v>-199999.9999</v>
      </c>
      <c r="C5" s="130">
        <f>'SPEC REPORT'!D30*C4</f>
        <v>-199999.9999</v>
      </c>
      <c r="D5" s="130">
        <f>'SPEC REPORT'!E30*D4</f>
        <v>0</v>
      </c>
      <c r="E5" s="130">
        <f>'SPEC REPORT'!F30*E4</f>
        <v>0</v>
      </c>
      <c r="F5" s="130">
        <f>'SPEC REPORT'!G30*F4</f>
        <v>-150000</v>
      </c>
      <c r="G5" s="130">
        <f>'SPEC REPORT'!H30*G4</f>
        <v>-155000</v>
      </c>
      <c r="H5" s="130">
        <f>'SPEC REPORT'!I30*H4</f>
        <v>-150000</v>
      </c>
      <c r="I5" s="130">
        <f>'SPEC REPORT'!J30*I4</f>
        <v>-155000</v>
      </c>
      <c r="J5" s="130">
        <f>'SPEC REPORT'!K30*J4</f>
        <v>-155000</v>
      </c>
      <c r="K5" s="130">
        <f>'SPEC REPORT'!L30*K4</f>
        <v>-150000</v>
      </c>
      <c r="L5" s="130">
        <f>'SPEC REPORT'!M30*L4</f>
        <v>-155000</v>
      </c>
      <c r="M5" s="130">
        <f>'SPEC REPORT'!N30*M4</f>
        <v>0</v>
      </c>
      <c r="N5" s="130">
        <f>'SPEC REPORT'!C44*N4</f>
        <v>0</v>
      </c>
      <c r="O5" s="130">
        <f>'SPEC REPORT'!D44*O4</f>
        <v>0</v>
      </c>
      <c r="P5" s="130">
        <f>'SPEC REPORT'!E44*P4</f>
        <v>0</v>
      </c>
      <c r="Q5" s="130">
        <f>'SPEC REPORT'!F44*Q4</f>
        <v>0</v>
      </c>
      <c r="R5" s="130">
        <f>'SPEC REPORT'!G44*R4</f>
        <v>0</v>
      </c>
      <c r="S5" s="130">
        <f>'SPEC REPORT'!H44*S4</f>
        <v>0</v>
      </c>
      <c r="T5" s="130">
        <f>'SPEC REPORT'!I44*T4</f>
        <v>0</v>
      </c>
      <c r="U5" s="130">
        <f>'SPEC REPORT'!J44*U4</f>
        <v>0</v>
      </c>
      <c r="V5" s="130">
        <f>'SPEC REPORT'!K44*V4</f>
        <v>0</v>
      </c>
      <c r="W5" s="130">
        <f>'SPEC REPORT'!L44*W4</f>
        <v>0</v>
      </c>
      <c r="X5" s="130">
        <f>'SPEC REPORT'!M44*X4</f>
        <v>0</v>
      </c>
      <c r="Y5" s="130">
        <f>'SPEC REPORT'!N44*Y4</f>
        <v>0</v>
      </c>
      <c r="Z5" s="130"/>
    </row>
    <row r="6" spans="1:42" x14ac:dyDescent="0.2">
      <c r="A6" s="130"/>
      <c r="C6" s="129"/>
    </row>
    <row r="7" spans="1:42" x14ac:dyDescent="0.2">
      <c r="A7" s="130" t="s">
        <v>109</v>
      </c>
      <c r="B7" s="130">
        <f>MAX(M7:Y7)</f>
        <v>0</v>
      </c>
      <c r="C7" s="130">
        <f>MIN(M7:Y7)</f>
        <v>-1469999.9997999999</v>
      </c>
      <c r="M7" s="130">
        <f>SUM(B5:M5)</f>
        <v>-1469999.9997999999</v>
      </c>
      <c r="N7" s="130">
        <f t="shared" ref="N7:Y7" si="0">SUM(C5:N5)</f>
        <v>-1269999.9998999999</v>
      </c>
      <c r="O7" s="130">
        <f t="shared" si="0"/>
        <v>-1070000</v>
      </c>
      <c r="P7" s="130">
        <f t="shared" si="0"/>
        <v>-1070000</v>
      </c>
      <c r="Q7" s="130">
        <f t="shared" si="0"/>
        <v>-1070000</v>
      </c>
      <c r="R7" s="130">
        <f t="shared" si="0"/>
        <v>-920000</v>
      </c>
      <c r="S7" s="130">
        <f t="shared" si="0"/>
        <v>-765000</v>
      </c>
      <c r="T7" s="130">
        <f t="shared" si="0"/>
        <v>-615000</v>
      </c>
      <c r="U7" s="130">
        <f t="shared" si="0"/>
        <v>-460000</v>
      </c>
      <c r="V7" s="130">
        <f t="shared" si="0"/>
        <v>-305000</v>
      </c>
      <c r="W7" s="130">
        <f t="shared" si="0"/>
        <v>-155000</v>
      </c>
      <c r="X7" s="130">
        <f t="shared" si="0"/>
        <v>0</v>
      </c>
      <c r="Y7" s="130">
        <f t="shared" si="0"/>
        <v>0</v>
      </c>
    </row>
    <row r="8" spans="1:42" x14ac:dyDescent="0.2">
      <c r="A8" s="130"/>
      <c r="B8" s="40">
        <f>IF(ABS(C7)&gt;ABS(B7),C7,B7)</f>
        <v>-1469999.9997999999</v>
      </c>
      <c r="C8" s="129"/>
    </row>
    <row r="9" spans="1:42" x14ac:dyDescent="0.2">
      <c r="A9" s="130"/>
      <c r="C9" s="129"/>
    </row>
    <row r="10" spans="1:42" x14ac:dyDescent="0.2">
      <c r="A10" s="130"/>
      <c r="C10" s="129"/>
    </row>
    <row r="11" spans="1:42" x14ac:dyDescent="0.2">
      <c r="A11" s="130" t="s">
        <v>51</v>
      </c>
      <c r="B11" s="176" t="str">
        <f>B3</f>
        <v>Dec-01</v>
      </c>
      <c r="C11" s="176" t="str">
        <f t="shared" ref="C11:Y11" si="1">C3</f>
        <v>Jan-02</v>
      </c>
      <c r="D11" s="176" t="str">
        <f t="shared" si="1"/>
        <v>Feb-02</v>
      </c>
      <c r="E11" s="176" t="str">
        <f t="shared" si="1"/>
        <v>Mar-02</v>
      </c>
      <c r="F11" s="176" t="str">
        <f t="shared" si="1"/>
        <v>Apr-02</v>
      </c>
      <c r="G11" s="176" t="str">
        <f t="shared" si="1"/>
        <v>May-02</v>
      </c>
      <c r="H11" s="176" t="str">
        <f t="shared" si="1"/>
        <v>Jun-02</v>
      </c>
      <c r="I11" s="176" t="str">
        <f t="shared" si="1"/>
        <v>Jul-02</v>
      </c>
      <c r="J11" s="176" t="str">
        <f t="shared" si="1"/>
        <v>Aug-02</v>
      </c>
      <c r="K11" s="176" t="str">
        <f t="shared" si="1"/>
        <v>Sep-02</v>
      </c>
      <c r="L11" s="176" t="str">
        <f t="shared" si="1"/>
        <v>Oct-02</v>
      </c>
      <c r="M11" s="176" t="str">
        <f t="shared" si="1"/>
        <v>Nov-02</v>
      </c>
      <c r="N11" s="176" t="str">
        <f t="shared" si="1"/>
        <v>Dec-02</v>
      </c>
      <c r="O11" s="176" t="str">
        <f t="shared" si="1"/>
        <v>Jan-03</v>
      </c>
      <c r="P11" s="176" t="str">
        <f t="shared" si="1"/>
        <v>Feb-03</v>
      </c>
      <c r="Q11" s="176" t="str">
        <f t="shared" si="1"/>
        <v>Mar-03</v>
      </c>
      <c r="R11" s="176" t="str">
        <f t="shared" si="1"/>
        <v>Apr-03</v>
      </c>
      <c r="S11" s="176" t="str">
        <f t="shared" si="1"/>
        <v>May-03</v>
      </c>
      <c r="T11" s="176" t="str">
        <f t="shared" si="1"/>
        <v>Jun-03</v>
      </c>
      <c r="U11" s="176" t="str">
        <f t="shared" si="1"/>
        <v>Jul-03</v>
      </c>
      <c r="V11" s="176" t="str">
        <f t="shared" si="1"/>
        <v>Aug-03</v>
      </c>
      <c r="W11" s="176" t="str">
        <f t="shared" si="1"/>
        <v>Sep-03</v>
      </c>
      <c r="X11" s="176" t="str">
        <f t="shared" si="1"/>
        <v>Oct-03</v>
      </c>
      <c r="Y11" s="176" t="str">
        <f t="shared" si="1"/>
        <v>Nov-03</v>
      </c>
      <c r="Z11" s="129"/>
    </row>
    <row r="12" spans="1:42" x14ac:dyDescent="0.2">
      <c r="A12" s="130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30" t="s">
        <v>108</v>
      </c>
      <c r="B13" s="130">
        <f>Dth_Day!C32*B12</f>
        <v>670381.43249999988</v>
      </c>
      <c r="C13" s="130">
        <f>Dth_Day!D32*C12</f>
        <v>731470.80129999993</v>
      </c>
      <c r="D13" s="130">
        <f>Dth_Day!E32*D12</f>
        <v>471167.27</v>
      </c>
      <c r="E13" s="130">
        <f>Dth_Day!F32*E12</f>
        <v>40470.797599999984</v>
      </c>
      <c r="F13" s="130">
        <f>Dth_Day!G32*F12</f>
        <v>-215654.90400000004</v>
      </c>
      <c r="G13" s="130">
        <f>Dth_Day!H32*G12</f>
        <v>359823.26819999999</v>
      </c>
      <c r="H13" s="130">
        <f>Dth_Day!I32*H12</f>
        <v>541518.64500000002</v>
      </c>
      <c r="I13" s="130">
        <f>Dth_Day!J32*I12</f>
        <v>-127264.10159999991</v>
      </c>
      <c r="J13" s="130">
        <f>Dth_Day!K32*J12</f>
        <v>-234264.09839999999</v>
      </c>
      <c r="K13" s="130">
        <f>Dth_Day!L32*K12</f>
        <v>310517.64300000004</v>
      </c>
      <c r="L13" s="130">
        <f>Dth_Day!M32*L12</f>
        <v>753734.89899999998</v>
      </c>
      <c r="M13" s="130">
        <f>Dth_Day!N32*M12</f>
        <v>402692.19299999997</v>
      </c>
      <c r="N13" s="130">
        <f>Dth_Day!O32*N12</f>
        <v>233647.53319999995</v>
      </c>
      <c r="O13" s="130">
        <f>Dth_Day!P32*O12</f>
        <v>207645.53300000005</v>
      </c>
      <c r="P13" s="130">
        <f>Dth_Day!Q32*P12</f>
        <v>274778.51240000001</v>
      </c>
      <c r="Q13" s="130">
        <f>Dth_Day!R32*Q12</f>
        <v>685645.5318</v>
      </c>
      <c r="R13" s="130">
        <f>Dth_Day!S32*R12</f>
        <v>-671654.90399999998</v>
      </c>
      <c r="S13" s="130">
        <f>Dth_Day!T32*S12</f>
        <v>-462175.73259999999</v>
      </c>
      <c r="T13" s="130">
        <f>Dth_Day!U32*T12</f>
        <v>-481653.90300000005</v>
      </c>
      <c r="U13" s="130">
        <f>Dth_Day!V32*U12</f>
        <v>-1634179.7342999999</v>
      </c>
      <c r="V13" s="130">
        <f>Dth_Day!W32*V12</f>
        <v>-1999177.7333000002</v>
      </c>
      <c r="W13" s="130">
        <f>Dth_Day!X32*W12</f>
        <v>-1645654.902</v>
      </c>
      <c r="X13" s="130">
        <f>Dth_Day!Y32*X12</f>
        <v>-1186177.7318</v>
      </c>
      <c r="Y13" s="130">
        <f>Dth_Day!Z32*Y12</f>
        <v>-1614999.9989999998</v>
      </c>
      <c r="Z13" s="130"/>
    </row>
    <row r="14" spans="1:42" x14ac:dyDescent="0.2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42" x14ac:dyDescent="0.2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42" x14ac:dyDescent="0.2">
      <c r="A16" s="130" t="s">
        <v>109</v>
      </c>
      <c r="B16" s="130">
        <f>MAX(M16:Y16)</f>
        <v>3704593.8455999997</v>
      </c>
      <c r="C16" s="130">
        <f>MIN(M16:Y16)</f>
        <v>-8293957.5296</v>
      </c>
      <c r="M16" s="130">
        <f>SUM(B13:M13)</f>
        <v>3704593.8455999997</v>
      </c>
      <c r="N16" s="130">
        <f t="shared" ref="N16:Y16" si="3">SUM(C13:N13)</f>
        <v>3267859.9462999995</v>
      </c>
      <c r="O16" s="130">
        <f t="shared" si="3"/>
        <v>2744034.6780000003</v>
      </c>
      <c r="P16" s="130">
        <f t="shared" si="3"/>
        <v>2547645.9203999997</v>
      </c>
      <c r="Q16" s="130">
        <f t="shared" si="3"/>
        <v>3192820.6545999995</v>
      </c>
      <c r="R16" s="130">
        <f t="shared" si="3"/>
        <v>2736820.6545999995</v>
      </c>
      <c r="S16" s="130">
        <f t="shared" si="3"/>
        <v>1914821.6538000002</v>
      </c>
      <c r="T16" s="130">
        <f t="shared" si="3"/>
        <v>891649.10580000014</v>
      </c>
      <c r="U16" s="130">
        <f t="shared" si="3"/>
        <v>-615266.52690000006</v>
      </c>
      <c r="V16" s="130">
        <f t="shared" si="3"/>
        <v>-2380180.1618000004</v>
      </c>
      <c r="W16" s="130">
        <f t="shared" si="3"/>
        <v>-4336352.7068000007</v>
      </c>
      <c r="X16" s="130">
        <f t="shared" si="3"/>
        <v>-6276265.3376000002</v>
      </c>
      <c r="Y16" s="130">
        <f t="shared" si="3"/>
        <v>-8293957.5296</v>
      </c>
    </row>
    <row r="17" spans="1:25" x14ac:dyDescent="0.2">
      <c r="A17" s="130"/>
      <c r="B17" s="40">
        <f>IF(ABS(C16)&gt;ABS(B16),C16,B16)</f>
        <v>-8293957.5296</v>
      </c>
      <c r="C17" s="129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</row>
    <row r="18" spans="1:25" x14ac:dyDescent="0.2">
      <c r="A18" s="130"/>
      <c r="C18" s="129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spans="1:25" x14ac:dyDescent="0.2">
      <c r="A19" s="130"/>
      <c r="C19" s="12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spans="1:25" x14ac:dyDescent="0.2">
      <c r="A20" s="130"/>
      <c r="C20" s="12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</row>
    <row r="21" spans="1:25" x14ac:dyDescent="0.2">
      <c r="A21" s="130"/>
      <c r="C21" s="12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 spans="1:25" x14ac:dyDescent="0.2">
      <c r="A22" s="130"/>
      <c r="C22" s="12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spans="1:25" x14ac:dyDescent="0.2">
      <c r="A23" s="134" t="s">
        <v>51</v>
      </c>
      <c r="C23" s="129"/>
    </row>
    <row r="24" spans="1:25" x14ac:dyDescent="0.2">
      <c r="A24" s="130" t="s">
        <v>52</v>
      </c>
      <c r="B24" s="130">
        <f>SUM(B13:M13)</f>
        <v>3704593.8455999997</v>
      </c>
      <c r="C24" s="129"/>
    </row>
    <row r="25" spans="1:25" x14ac:dyDescent="0.2">
      <c r="A25" s="130" t="s">
        <v>53</v>
      </c>
      <c r="B25" s="130">
        <f>SUM(N13:Y13)</f>
        <v>-8293957.5296</v>
      </c>
      <c r="C25" s="129"/>
    </row>
    <row r="26" spans="1:25" x14ac:dyDescent="0.2">
      <c r="A26" s="134" t="s">
        <v>101</v>
      </c>
      <c r="B26" s="134">
        <f>SUM(B24:B25)</f>
        <v>-4589363.6840000004</v>
      </c>
      <c r="C26" s="129"/>
    </row>
    <row r="27" spans="1:25" x14ac:dyDescent="0.2">
      <c r="C27" s="129"/>
      <c r="H27" s="176"/>
    </row>
    <row r="28" spans="1:25" x14ac:dyDescent="0.2">
      <c r="A28" s="108" t="s">
        <v>50</v>
      </c>
    </row>
    <row r="29" spans="1:25" x14ac:dyDescent="0.2">
      <c r="A29" s="179" t="s">
        <v>102</v>
      </c>
      <c r="B29" s="134">
        <f>SUM(B5:Y5)</f>
        <v>-1469999.9997999999</v>
      </c>
      <c r="C29" s="129"/>
    </row>
    <row r="30" spans="1:25" x14ac:dyDescent="0.2">
      <c r="C30" s="129"/>
    </row>
    <row r="31" spans="1:25" x14ac:dyDescent="0.2">
      <c r="C31" s="129"/>
    </row>
    <row r="32" spans="1:25" x14ac:dyDescent="0.2">
      <c r="C32" s="129"/>
    </row>
    <row r="33" spans="3:3" x14ac:dyDescent="0.2">
      <c r="C33" s="129"/>
    </row>
    <row r="34" spans="3:3" x14ac:dyDescent="0.2">
      <c r="C34" s="129"/>
    </row>
    <row r="35" spans="3:3" x14ac:dyDescent="0.2">
      <c r="C35" s="129"/>
    </row>
    <row r="36" spans="3:3" x14ac:dyDescent="0.2">
      <c r="C36" s="129"/>
    </row>
    <row r="37" spans="3:3" x14ac:dyDescent="0.2">
      <c r="C37" s="129"/>
    </row>
    <row r="38" spans="3:3" x14ac:dyDescent="0.2">
      <c r="C38" s="129"/>
    </row>
    <row r="39" spans="3:3" x14ac:dyDescent="0.2">
      <c r="C39" s="129"/>
    </row>
    <row r="40" spans="3:3" x14ac:dyDescent="0.2">
      <c r="C40" s="129"/>
    </row>
    <row r="41" spans="3:3" x14ac:dyDescent="0.2">
      <c r="C41" s="129"/>
    </row>
    <row r="42" spans="3:3" x14ac:dyDescent="0.2">
      <c r="C42" s="129"/>
    </row>
    <row r="43" spans="3:3" x14ac:dyDescent="0.2">
      <c r="C43" s="129"/>
    </row>
    <row r="44" spans="3:3" x14ac:dyDescent="0.2">
      <c r="C44" s="129"/>
    </row>
    <row r="45" spans="3:3" x14ac:dyDescent="0.2">
      <c r="C45" s="129"/>
    </row>
    <row r="46" spans="3:3" x14ac:dyDescent="0.2">
      <c r="C46" s="129"/>
    </row>
    <row r="47" spans="3:3" x14ac:dyDescent="0.2">
      <c r="C47" s="129"/>
    </row>
    <row r="48" spans="3:3" x14ac:dyDescent="0.2">
      <c r="C48" s="129"/>
    </row>
    <row r="49" spans="3:3" x14ac:dyDescent="0.2">
      <c r="C49" s="129"/>
    </row>
    <row r="50" spans="3:3" x14ac:dyDescent="0.2">
      <c r="C50" s="129"/>
    </row>
    <row r="51" spans="3:3" x14ac:dyDescent="0.2">
      <c r="C51" s="129"/>
    </row>
    <row r="52" spans="3:3" x14ac:dyDescent="0.2">
      <c r="C52" s="129"/>
    </row>
    <row r="53" spans="3:3" x14ac:dyDescent="0.2">
      <c r="C53" s="129"/>
    </row>
    <row r="54" spans="3:3" x14ac:dyDescent="0.2">
      <c r="C54" s="129"/>
    </row>
    <row r="55" spans="3:3" x14ac:dyDescent="0.2">
      <c r="C55" s="129"/>
    </row>
  </sheetData>
  <pageMargins left="0.75" right="0.75" top="1" bottom="1" header="0.5" footer="0.5"/>
  <pageSetup orientation="portrait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selection activeCell="C2" sqref="C2"/>
      <pivotSelection pane="bottomRight" extendable="1" activeRow="4" activeCol="1" previousRow="4" previousCol="11" click="1" r:id="rId1">
        <pivotArea outline="0" fieldPosition="0">
          <references count="1">
            <reference field="9" count="11" selected="0"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Selection>
    </sheetView>
  </sheetViews>
  <sheetFormatPr defaultRowHeight="7.8" x14ac:dyDescent="0.15"/>
  <cols>
    <col min="1" max="1" width="10.83203125" style="132" customWidth="1"/>
    <col min="2" max="13" width="10.1640625" style="132" customWidth="1"/>
    <col min="14" max="16" width="10.5" style="132" customWidth="1"/>
    <col min="17" max="17" width="10.5" style="132" bestFit="1" customWidth="1"/>
    <col min="18" max="18" width="6.33203125" style="132" bestFit="1" customWidth="1"/>
    <col min="19" max="19" width="9.33203125" style="132"/>
    <col min="20" max="20" width="7.1640625" style="132" bestFit="1" customWidth="1"/>
    <col min="21" max="21" width="10.6640625" style="132" bestFit="1" customWidth="1"/>
    <col min="22" max="16384" width="9.33203125" style="132"/>
  </cols>
  <sheetData>
    <row r="1" spans="1:21" ht="15.6" x14ac:dyDescent="0.3">
      <c r="A1" s="189" t="s">
        <v>139</v>
      </c>
      <c r="B1" s="190"/>
      <c r="C1" s="190"/>
      <c r="D1" s="190"/>
      <c r="E1" s="190"/>
      <c r="F1" s="190"/>
      <c r="G1" s="190"/>
    </row>
    <row r="3" spans="1:21" ht="10.199999999999999" x14ac:dyDescent="0.2">
      <c r="A3" s="214" t="s">
        <v>85</v>
      </c>
      <c r="B3" s="152" t="s">
        <v>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53"/>
      <c r="O3"/>
      <c r="P3"/>
      <c r="Q3" s="153"/>
    </row>
    <row r="4" spans="1:21" ht="10.199999999999999" x14ac:dyDescent="0.2">
      <c r="A4" s="154"/>
      <c r="B4" s="5">
        <v>37226</v>
      </c>
      <c r="C4" s="6">
        <v>37257</v>
      </c>
      <c r="D4" s="6">
        <v>37288</v>
      </c>
      <c r="E4" s="6">
        <v>37316</v>
      </c>
      <c r="F4" s="6">
        <v>37347</v>
      </c>
      <c r="G4" s="6">
        <v>37377</v>
      </c>
      <c r="H4" s="6">
        <v>37408</v>
      </c>
      <c r="I4" s="6">
        <v>37438</v>
      </c>
      <c r="J4" s="6">
        <v>37469</v>
      </c>
      <c r="K4" s="6">
        <v>37500</v>
      </c>
      <c r="L4" s="6">
        <v>37530</v>
      </c>
      <c r="M4" s="4" t="s">
        <v>83</v>
      </c>
      <c r="N4" s="155" t="s">
        <v>84</v>
      </c>
      <c r="O4"/>
      <c r="P4"/>
      <c r="Q4" s="155"/>
    </row>
    <row r="5" spans="1:21" ht="10.199999999999999" x14ac:dyDescent="0.2">
      <c r="A5" s="156" t="s">
        <v>20</v>
      </c>
      <c r="B5" s="157">
        <v>-15500</v>
      </c>
      <c r="C5" s="7">
        <v>-15500</v>
      </c>
      <c r="D5" s="7">
        <v>-14000</v>
      </c>
      <c r="E5" s="7">
        <v>-15500</v>
      </c>
      <c r="F5" s="7">
        <v>9750</v>
      </c>
      <c r="G5" s="7">
        <v>10075</v>
      </c>
      <c r="H5" s="7">
        <v>9750</v>
      </c>
      <c r="I5" s="7">
        <v>10075</v>
      </c>
      <c r="J5" s="7">
        <v>10075</v>
      </c>
      <c r="K5" s="7">
        <v>9750</v>
      </c>
      <c r="L5" s="7">
        <v>10075</v>
      </c>
      <c r="M5" s="7"/>
      <c r="N5" s="158">
        <v>9050</v>
      </c>
      <c r="O5"/>
      <c r="P5"/>
      <c r="Q5" s="158"/>
    </row>
    <row r="6" spans="1:21" ht="10.199999999999999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88" customFormat="1" ht="15.75" customHeight="1" x14ac:dyDescent="0.15">
      <c r="A8" s="188" t="s">
        <v>62</v>
      </c>
      <c r="B8" s="188" t="s">
        <v>63</v>
      </c>
      <c r="C8" s="188" t="s">
        <v>64</v>
      </c>
      <c r="D8" s="188" t="s">
        <v>65</v>
      </c>
      <c r="E8" s="188" t="s">
        <v>66</v>
      </c>
      <c r="F8" s="188" t="s">
        <v>67</v>
      </c>
      <c r="G8" s="188" t="s">
        <v>68</v>
      </c>
      <c r="H8" s="188" t="s">
        <v>69</v>
      </c>
      <c r="I8" s="188" t="s">
        <v>70</v>
      </c>
      <c r="J8" s="188" t="s">
        <v>71</v>
      </c>
      <c r="K8" s="188" t="s">
        <v>72</v>
      </c>
      <c r="L8" s="188" t="s">
        <v>73</v>
      </c>
      <c r="M8" s="188" t="s">
        <v>74</v>
      </c>
      <c r="N8" s="188" t="s">
        <v>75</v>
      </c>
      <c r="O8" s="188" t="s">
        <v>76</v>
      </c>
      <c r="P8" s="188" t="s">
        <v>77</v>
      </c>
      <c r="Q8" s="188" t="s">
        <v>78</v>
      </c>
      <c r="R8" s="188" t="s">
        <v>79</v>
      </c>
      <c r="S8" s="188" t="s">
        <v>80</v>
      </c>
      <c r="T8" s="188" t="s">
        <v>81</v>
      </c>
      <c r="U8" s="188" t="s">
        <v>134</v>
      </c>
    </row>
    <row r="9" spans="1:21" ht="10.199999999999999" x14ac:dyDescent="0.2">
      <c r="A9">
        <v>4415</v>
      </c>
      <c r="B9" t="s">
        <v>203</v>
      </c>
      <c r="C9" t="s">
        <v>57</v>
      </c>
      <c r="D9" t="s">
        <v>6</v>
      </c>
      <c r="E9" t="s">
        <v>204</v>
      </c>
      <c r="F9" s="109">
        <v>37167</v>
      </c>
      <c r="G9" t="s">
        <v>205</v>
      </c>
      <c r="H9" t="s">
        <v>206</v>
      </c>
      <c r="I9" t="s">
        <v>207</v>
      </c>
      <c r="J9" s="109">
        <v>37347</v>
      </c>
      <c r="K9">
        <v>5000</v>
      </c>
      <c r="L9">
        <v>150000</v>
      </c>
      <c r="M9" t="s">
        <v>208</v>
      </c>
      <c r="N9">
        <v>0</v>
      </c>
      <c r="O9" t="s">
        <v>9</v>
      </c>
      <c r="P9" t="s">
        <v>3</v>
      </c>
      <c r="Q9" t="s">
        <v>209</v>
      </c>
      <c r="R9">
        <v>2.69</v>
      </c>
      <c r="S9">
        <v>2.6509999999999998</v>
      </c>
      <c r="T9">
        <v>-5850</v>
      </c>
      <c r="U9" t="s">
        <v>209</v>
      </c>
    </row>
    <row r="10" spans="1:21" ht="10.199999999999999" x14ac:dyDescent="0.2">
      <c r="A10">
        <v>4415</v>
      </c>
      <c r="B10" t="s">
        <v>203</v>
      </c>
      <c r="C10" t="s">
        <v>57</v>
      </c>
      <c r="D10" t="s">
        <v>6</v>
      </c>
      <c r="E10" t="s">
        <v>204</v>
      </c>
      <c r="F10" s="109">
        <v>37167</v>
      </c>
      <c r="G10" t="s">
        <v>205</v>
      </c>
      <c r="H10" t="s">
        <v>206</v>
      </c>
      <c r="I10" t="s">
        <v>207</v>
      </c>
      <c r="J10" s="109">
        <v>37438</v>
      </c>
      <c r="K10">
        <v>5000</v>
      </c>
      <c r="L10">
        <v>155000</v>
      </c>
      <c r="M10" t="s">
        <v>208</v>
      </c>
      <c r="N10">
        <v>0</v>
      </c>
      <c r="O10" t="s">
        <v>9</v>
      </c>
      <c r="P10" t="s">
        <v>3</v>
      </c>
      <c r="Q10" t="s">
        <v>209</v>
      </c>
      <c r="R10">
        <v>2.81</v>
      </c>
      <c r="S10">
        <v>2.7709999999999999</v>
      </c>
      <c r="T10">
        <v>-6045</v>
      </c>
      <c r="U10" t="s">
        <v>209</v>
      </c>
    </row>
    <row r="11" spans="1:21" ht="10.199999999999999" x14ac:dyDescent="0.2">
      <c r="A11">
        <v>4415</v>
      </c>
      <c r="B11" t="s">
        <v>203</v>
      </c>
      <c r="C11" t="s">
        <v>57</v>
      </c>
      <c r="D11" t="s">
        <v>6</v>
      </c>
      <c r="E11" t="s">
        <v>204</v>
      </c>
      <c r="F11" s="109">
        <v>37167</v>
      </c>
      <c r="G11" t="s">
        <v>205</v>
      </c>
      <c r="H11" t="s">
        <v>206</v>
      </c>
      <c r="I11" t="s">
        <v>207</v>
      </c>
      <c r="J11" s="109">
        <v>37500</v>
      </c>
      <c r="K11">
        <v>5000</v>
      </c>
      <c r="L11">
        <v>150000</v>
      </c>
      <c r="M11" t="s">
        <v>208</v>
      </c>
      <c r="N11">
        <v>0</v>
      </c>
      <c r="O11" t="s">
        <v>9</v>
      </c>
      <c r="P11" t="s">
        <v>3</v>
      </c>
      <c r="Q11" t="s">
        <v>209</v>
      </c>
      <c r="R11">
        <v>2.85</v>
      </c>
      <c r="S11">
        <v>2.819</v>
      </c>
      <c r="T11">
        <v>-4650</v>
      </c>
      <c r="U11" t="s">
        <v>209</v>
      </c>
    </row>
    <row r="12" spans="1:21" ht="10.199999999999999" x14ac:dyDescent="0.2">
      <c r="A12">
        <v>4415</v>
      </c>
      <c r="B12" t="s">
        <v>203</v>
      </c>
      <c r="C12" t="s">
        <v>57</v>
      </c>
      <c r="D12" t="s">
        <v>6</v>
      </c>
      <c r="E12" t="s">
        <v>204</v>
      </c>
      <c r="F12" s="109">
        <v>37167</v>
      </c>
      <c r="G12" t="s">
        <v>205</v>
      </c>
      <c r="H12" t="s">
        <v>206</v>
      </c>
      <c r="I12" t="s">
        <v>207</v>
      </c>
      <c r="J12" s="109">
        <v>37530</v>
      </c>
      <c r="K12">
        <v>5000</v>
      </c>
      <c r="L12">
        <v>155000</v>
      </c>
      <c r="M12" t="s">
        <v>208</v>
      </c>
      <c r="N12">
        <v>0</v>
      </c>
      <c r="O12" t="s">
        <v>9</v>
      </c>
      <c r="P12" t="s">
        <v>3</v>
      </c>
      <c r="Q12" t="s">
        <v>209</v>
      </c>
      <c r="R12">
        <v>2.88</v>
      </c>
      <c r="S12">
        <v>2.8460000000000001</v>
      </c>
      <c r="T12">
        <v>-5270</v>
      </c>
      <c r="U12" t="s">
        <v>209</v>
      </c>
    </row>
    <row r="13" spans="1:21" ht="10.199999999999999" x14ac:dyDescent="0.2">
      <c r="A13">
        <v>4415</v>
      </c>
      <c r="B13" t="s">
        <v>203</v>
      </c>
      <c r="C13" t="s">
        <v>57</v>
      </c>
      <c r="D13" t="s">
        <v>6</v>
      </c>
      <c r="E13" t="s">
        <v>204</v>
      </c>
      <c r="F13" s="109">
        <v>37167</v>
      </c>
      <c r="G13" t="s">
        <v>205</v>
      </c>
      <c r="H13" t="s">
        <v>206</v>
      </c>
      <c r="I13" t="s">
        <v>207</v>
      </c>
      <c r="J13" s="109">
        <v>37469</v>
      </c>
      <c r="K13">
        <v>5000</v>
      </c>
      <c r="L13">
        <v>155000</v>
      </c>
      <c r="M13" t="s">
        <v>208</v>
      </c>
      <c r="N13">
        <v>0</v>
      </c>
      <c r="O13" t="s">
        <v>9</v>
      </c>
      <c r="P13" t="s">
        <v>3</v>
      </c>
      <c r="Q13" t="s">
        <v>209</v>
      </c>
      <c r="R13">
        <v>2.84</v>
      </c>
      <c r="S13">
        <v>2.8069999999999999</v>
      </c>
      <c r="T13">
        <v>-5115</v>
      </c>
      <c r="U13" t="s">
        <v>209</v>
      </c>
    </row>
    <row r="14" spans="1:21" ht="10.199999999999999" x14ac:dyDescent="0.2">
      <c r="A14">
        <v>4415</v>
      </c>
      <c r="B14" t="s">
        <v>203</v>
      </c>
      <c r="C14" t="s">
        <v>57</v>
      </c>
      <c r="D14" t="s">
        <v>6</v>
      </c>
      <c r="E14" t="s">
        <v>204</v>
      </c>
      <c r="F14" s="109">
        <v>37167</v>
      </c>
      <c r="G14" t="s">
        <v>205</v>
      </c>
      <c r="H14" t="s">
        <v>206</v>
      </c>
      <c r="I14" t="s">
        <v>207</v>
      </c>
      <c r="J14" s="109">
        <v>37408</v>
      </c>
      <c r="K14">
        <v>5000</v>
      </c>
      <c r="L14">
        <v>150000</v>
      </c>
      <c r="M14" t="s">
        <v>208</v>
      </c>
      <c r="N14">
        <v>0</v>
      </c>
      <c r="O14" t="s">
        <v>9</v>
      </c>
      <c r="P14" t="s">
        <v>3</v>
      </c>
      <c r="Q14" t="s">
        <v>209</v>
      </c>
      <c r="R14">
        <v>2.77</v>
      </c>
      <c r="S14">
        <v>2.7330000000000001</v>
      </c>
      <c r="T14">
        <v>-5550</v>
      </c>
      <c r="U14" t="s">
        <v>209</v>
      </c>
    </row>
    <row r="15" spans="1:21" ht="10.199999999999999" x14ac:dyDescent="0.2">
      <c r="A15">
        <v>4415</v>
      </c>
      <c r="B15" t="s">
        <v>203</v>
      </c>
      <c r="C15" t="s">
        <v>57</v>
      </c>
      <c r="D15" t="s">
        <v>6</v>
      </c>
      <c r="E15" t="s">
        <v>204</v>
      </c>
      <c r="F15" s="109">
        <v>37167</v>
      </c>
      <c r="G15" t="s">
        <v>205</v>
      </c>
      <c r="H15" t="s">
        <v>206</v>
      </c>
      <c r="I15" t="s">
        <v>207</v>
      </c>
      <c r="J15" s="109">
        <v>37377</v>
      </c>
      <c r="K15">
        <v>5000</v>
      </c>
      <c r="L15">
        <v>155000</v>
      </c>
      <c r="M15" t="s">
        <v>208</v>
      </c>
      <c r="N15">
        <v>0</v>
      </c>
      <c r="O15" t="s">
        <v>9</v>
      </c>
      <c r="P15" t="s">
        <v>3</v>
      </c>
      <c r="Q15" t="s">
        <v>209</v>
      </c>
      <c r="R15">
        <v>2.73</v>
      </c>
      <c r="S15">
        <v>2.6930000000000001</v>
      </c>
      <c r="T15">
        <v>-5735</v>
      </c>
      <c r="U15" t="s">
        <v>209</v>
      </c>
    </row>
    <row r="16" spans="1:21" ht="10.199999999999999" x14ac:dyDescent="0.2">
      <c r="A16">
        <v>3519</v>
      </c>
      <c r="B16" t="s">
        <v>203</v>
      </c>
      <c r="C16" t="s">
        <v>57</v>
      </c>
      <c r="D16" t="s">
        <v>6</v>
      </c>
      <c r="E16" t="s">
        <v>204</v>
      </c>
      <c r="F16" s="109">
        <v>37112</v>
      </c>
      <c r="G16" t="s">
        <v>205</v>
      </c>
      <c r="H16" t="s">
        <v>206</v>
      </c>
      <c r="I16" t="s">
        <v>210</v>
      </c>
      <c r="J16" s="109">
        <v>37226</v>
      </c>
      <c r="K16">
        <v>5000</v>
      </c>
      <c r="L16">
        <v>155000</v>
      </c>
      <c r="M16" t="s">
        <v>208</v>
      </c>
      <c r="N16">
        <v>0</v>
      </c>
      <c r="O16" t="s">
        <v>9</v>
      </c>
      <c r="P16" t="s">
        <v>3</v>
      </c>
      <c r="Q16" t="s">
        <v>209</v>
      </c>
      <c r="R16">
        <v>3.2450000000000001</v>
      </c>
      <c r="S16">
        <v>2.6949999999999998</v>
      </c>
      <c r="T16">
        <v>-85250</v>
      </c>
      <c r="U16" t="s">
        <v>209</v>
      </c>
    </row>
    <row r="17" spans="1:21" ht="10.199999999999999" x14ac:dyDescent="0.2">
      <c r="A17">
        <v>3519</v>
      </c>
      <c r="B17" t="s">
        <v>203</v>
      </c>
      <c r="C17" t="s">
        <v>57</v>
      </c>
      <c r="D17" t="s">
        <v>6</v>
      </c>
      <c r="E17" t="s">
        <v>204</v>
      </c>
      <c r="F17" s="109">
        <v>37112</v>
      </c>
      <c r="G17" t="s">
        <v>205</v>
      </c>
      <c r="H17" t="s">
        <v>206</v>
      </c>
      <c r="I17" t="s">
        <v>210</v>
      </c>
      <c r="J17" s="109">
        <v>37316</v>
      </c>
      <c r="K17">
        <v>5000</v>
      </c>
      <c r="L17">
        <v>155000</v>
      </c>
      <c r="M17" t="s">
        <v>208</v>
      </c>
      <c r="N17">
        <v>0</v>
      </c>
      <c r="O17" t="s">
        <v>9</v>
      </c>
      <c r="P17" t="s">
        <v>3</v>
      </c>
      <c r="Q17" t="s">
        <v>209</v>
      </c>
      <c r="R17">
        <v>3.4350000000000001</v>
      </c>
      <c r="S17">
        <v>2.77</v>
      </c>
      <c r="T17">
        <v>-103075</v>
      </c>
      <c r="U17" t="s">
        <v>209</v>
      </c>
    </row>
    <row r="18" spans="1:21" ht="10.199999999999999" x14ac:dyDescent="0.2">
      <c r="A18">
        <v>3519</v>
      </c>
      <c r="B18" t="s">
        <v>203</v>
      </c>
      <c r="C18" t="s">
        <v>57</v>
      </c>
      <c r="D18" t="s">
        <v>6</v>
      </c>
      <c r="E18" t="s">
        <v>204</v>
      </c>
      <c r="F18" s="109">
        <v>37112</v>
      </c>
      <c r="G18" t="s">
        <v>205</v>
      </c>
      <c r="H18" t="s">
        <v>206</v>
      </c>
      <c r="I18" t="s">
        <v>210</v>
      </c>
      <c r="J18" s="109">
        <v>37288</v>
      </c>
      <c r="K18">
        <v>5000</v>
      </c>
      <c r="L18">
        <v>140000</v>
      </c>
      <c r="M18" t="s">
        <v>208</v>
      </c>
      <c r="N18">
        <v>0</v>
      </c>
      <c r="O18" t="s">
        <v>9</v>
      </c>
      <c r="P18" t="s">
        <v>3</v>
      </c>
      <c r="Q18" t="s">
        <v>209</v>
      </c>
      <c r="R18">
        <v>3.4750000000000001</v>
      </c>
      <c r="S18">
        <v>2.8279999999999998</v>
      </c>
      <c r="T18">
        <v>-90580</v>
      </c>
      <c r="U18" t="s">
        <v>209</v>
      </c>
    </row>
    <row r="19" spans="1:21" ht="10.199999999999999" x14ac:dyDescent="0.2">
      <c r="A19">
        <v>3519</v>
      </c>
      <c r="B19" t="s">
        <v>203</v>
      </c>
      <c r="C19" t="s">
        <v>57</v>
      </c>
      <c r="D19" t="s">
        <v>6</v>
      </c>
      <c r="E19" t="s">
        <v>204</v>
      </c>
      <c r="F19" s="109">
        <v>37112</v>
      </c>
      <c r="G19" t="s">
        <v>205</v>
      </c>
      <c r="H19" t="s">
        <v>206</v>
      </c>
      <c r="I19" t="s">
        <v>210</v>
      </c>
      <c r="J19" s="109">
        <v>37257</v>
      </c>
      <c r="K19">
        <v>5000</v>
      </c>
      <c r="L19">
        <v>155000</v>
      </c>
      <c r="M19" t="s">
        <v>208</v>
      </c>
      <c r="N19">
        <v>0</v>
      </c>
      <c r="O19" t="s">
        <v>9</v>
      </c>
      <c r="P19" t="s">
        <v>3</v>
      </c>
      <c r="Q19" t="s">
        <v>209</v>
      </c>
      <c r="R19">
        <v>3.4350000000000001</v>
      </c>
      <c r="S19">
        <v>2.9849999999999999</v>
      </c>
      <c r="T19">
        <v>-69750</v>
      </c>
      <c r="U19" t="s">
        <v>209</v>
      </c>
    </row>
    <row r="20" spans="1:21" ht="10.199999999999999" x14ac:dyDescent="0.2">
      <c r="A20">
        <v>4559</v>
      </c>
      <c r="B20" t="s">
        <v>203</v>
      </c>
      <c r="C20" t="s">
        <v>57</v>
      </c>
      <c r="D20" t="s">
        <v>7</v>
      </c>
      <c r="E20" t="s">
        <v>204</v>
      </c>
      <c r="F20" s="109">
        <v>37174</v>
      </c>
      <c r="G20" t="s">
        <v>205</v>
      </c>
      <c r="H20" t="s">
        <v>211</v>
      </c>
      <c r="I20" t="s">
        <v>212</v>
      </c>
      <c r="J20" s="109">
        <v>37226</v>
      </c>
      <c r="K20">
        <v>5000</v>
      </c>
      <c r="L20">
        <v>155000</v>
      </c>
      <c r="M20" t="s">
        <v>208</v>
      </c>
      <c r="N20">
        <v>0.01</v>
      </c>
      <c r="O20" t="s">
        <v>9</v>
      </c>
      <c r="P20" t="s">
        <v>3</v>
      </c>
      <c r="Q20" t="s">
        <v>209</v>
      </c>
      <c r="R20">
        <v>2.6949999999999998</v>
      </c>
      <c r="S20">
        <v>2.7949999999999999</v>
      </c>
      <c r="T20">
        <v>15500</v>
      </c>
      <c r="U20" t="s">
        <v>209</v>
      </c>
    </row>
    <row r="21" spans="1:21" ht="10.199999999999999" x14ac:dyDescent="0.2">
      <c r="A21">
        <v>4559</v>
      </c>
      <c r="B21" t="s">
        <v>203</v>
      </c>
      <c r="C21" t="s">
        <v>57</v>
      </c>
      <c r="D21" t="s">
        <v>7</v>
      </c>
      <c r="E21" t="s">
        <v>204</v>
      </c>
      <c r="F21" s="109">
        <v>37174</v>
      </c>
      <c r="G21" t="s">
        <v>205</v>
      </c>
      <c r="H21" t="s">
        <v>211</v>
      </c>
      <c r="I21" t="s">
        <v>212</v>
      </c>
      <c r="J21" s="109">
        <v>37288</v>
      </c>
      <c r="K21">
        <v>5000</v>
      </c>
      <c r="L21">
        <v>140000</v>
      </c>
      <c r="M21" t="s">
        <v>208</v>
      </c>
      <c r="N21">
        <v>0.01</v>
      </c>
      <c r="O21" t="s">
        <v>9</v>
      </c>
      <c r="P21" t="s">
        <v>3</v>
      </c>
      <c r="Q21" t="s">
        <v>209</v>
      </c>
      <c r="R21">
        <v>2.8279999999999998</v>
      </c>
      <c r="S21">
        <v>3.0249999999999999</v>
      </c>
      <c r="T21">
        <v>27580</v>
      </c>
      <c r="U21" t="s">
        <v>209</v>
      </c>
    </row>
    <row r="22" spans="1:21" ht="10.199999999999999" x14ac:dyDescent="0.2">
      <c r="A22">
        <v>4559</v>
      </c>
      <c r="B22" t="s">
        <v>203</v>
      </c>
      <c r="C22" t="s">
        <v>57</v>
      </c>
      <c r="D22" t="s">
        <v>7</v>
      </c>
      <c r="E22" t="s">
        <v>204</v>
      </c>
      <c r="F22" s="109">
        <v>37174</v>
      </c>
      <c r="G22" t="s">
        <v>205</v>
      </c>
      <c r="H22" t="s">
        <v>211</v>
      </c>
      <c r="I22" t="s">
        <v>212</v>
      </c>
      <c r="J22" s="109">
        <v>37316</v>
      </c>
      <c r="K22">
        <v>5000</v>
      </c>
      <c r="L22">
        <v>155000</v>
      </c>
      <c r="M22" t="s">
        <v>208</v>
      </c>
      <c r="N22">
        <v>0.01</v>
      </c>
      <c r="O22" t="s">
        <v>9</v>
      </c>
      <c r="P22" t="s">
        <v>3</v>
      </c>
      <c r="Q22" t="s">
        <v>209</v>
      </c>
      <c r="R22">
        <v>2.77</v>
      </c>
      <c r="S22">
        <v>2.9849999999999999</v>
      </c>
      <c r="T22">
        <v>33325</v>
      </c>
      <c r="U22" t="s">
        <v>209</v>
      </c>
    </row>
    <row r="23" spans="1:21" ht="10.199999999999999" x14ac:dyDescent="0.2">
      <c r="A23">
        <v>4559</v>
      </c>
      <c r="B23" t="s">
        <v>203</v>
      </c>
      <c r="C23" t="s">
        <v>57</v>
      </c>
      <c r="D23" t="s">
        <v>7</v>
      </c>
      <c r="E23" t="s">
        <v>204</v>
      </c>
      <c r="F23" s="109">
        <v>37174</v>
      </c>
      <c r="G23" t="s">
        <v>205</v>
      </c>
      <c r="H23" t="s">
        <v>211</v>
      </c>
      <c r="I23" t="s">
        <v>212</v>
      </c>
      <c r="J23" s="109">
        <v>37257</v>
      </c>
      <c r="K23">
        <v>5000</v>
      </c>
      <c r="L23">
        <v>155000</v>
      </c>
      <c r="M23" t="s">
        <v>208</v>
      </c>
      <c r="N23">
        <v>0.01</v>
      </c>
      <c r="O23" t="s">
        <v>9</v>
      </c>
      <c r="P23" t="s">
        <v>3</v>
      </c>
      <c r="Q23" t="s">
        <v>209</v>
      </c>
      <c r="R23">
        <v>2.9849999999999999</v>
      </c>
      <c r="S23">
        <v>2.9849999999999999</v>
      </c>
      <c r="T23">
        <v>0</v>
      </c>
      <c r="U23" t="s">
        <v>209</v>
      </c>
    </row>
    <row r="24" spans="1:21" ht="10.199999999999999" x14ac:dyDescent="0.2">
      <c r="A24">
        <v>2858</v>
      </c>
      <c r="B24" t="s">
        <v>203</v>
      </c>
      <c r="C24" t="s">
        <v>57</v>
      </c>
      <c r="D24" t="s">
        <v>7</v>
      </c>
      <c r="E24" t="s">
        <v>204</v>
      </c>
      <c r="F24" s="109">
        <v>37062</v>
      </c>
      <c r="G24" t="s">
        <v>205</v>
      </c>
      <c r="H24" t="s">
        <v>206</v>
      </c>
      <c r="I24" t="s">
        <v>213</v>
      </c>
      <c r="J24" s="109">
        <v>37347</v>
      </c>
      <c r="K24">
        <v>5000</v>
      </c>
      <c r="L24">
        <v>150000</v>
      </c>
      <c r="M24" t="s">
        <v>208</v>
      </c>
      <c r="N24">
        <v>0</v>
      </c>
      <c r="O24" t="s">
        <v>9</v>
      </c>
      <c r="P24" t="s">
        <v>3</v>
      </c>
      <c r="Q24" t="s">
        <v>209</v>
      </c>
      <c r="R24">
        <v>2.6509999999999998</v>
      </c>
      <c r="S24">
        <v>2.7549999999999999</v>
      </c>
      <c r="T24">
        <v>15600</v>
      </c>
      <c r="U24" t="s">
        <v>209</v>
      </c>
    </row>
    <row r="25" spans="1:21" ht="10.199999999999999" x14ac:dyDescent="0.2">
      <c r="A25">
        <v>2858</v>
      </c>
      <c r="B25" t="s">
        <v>203</v>
      </c>
      <c r="C25" t="s">
        <v>57</v>
      </c>
      <c r="D25" t="s">
        <v>7</v>
      </c>
      <c r="E25" t="s">
        <v>204</v>
      </c>
      <c r="F25" s="109">
        <v>37062</v>
      </c>
      <c r="G25" t="s">
        <v>205</v>
      </c>
      <c r="H25" t="s">
        <v>206</v>
      </c>
      <c r="I25" t="s">
        <v>213</v>
      </c>
      <c r="J25" s="109">
        <v>37377</v>
      </c>
      <c r="K25">
        <v>5000</v>
      </c>
      <c r="L25">
        <v>155000</v>
      </c>
      <c r="M25" t="s">
        <v>208</v>
      </c>
      <c r="N25">
        <v>0</v>
      </c>
      <c r="O25" t="s">
        <v>9</v>
      </c>
      <c r="P25" t="s">
        <v>3</v>
      </c>
      <c r="Q25" t="s">
        <v>209</v>
      </c>
      <c r="R25">
        <v>2.6930000000000001</v>
      </c>
      <c r="S25">
        <v>2.7949999999999999</v>
      </c>
      <c r="T25">
        <v>15810</v>
      </c>
      <c r="U25" t="s">
        <v>209</v>
      </c>
    </row>
    <row r="26" spans="1:21" ht="10.199999999999999" x14ac:dyDescent="0.2">
      <c r="A26">
        <v>2858</v>
      </c>
      <c r="B26" t="s">
        <v>203</v>
      </c>
      <c r="C26" t="s">
        <v>57</v>
      </c>
      <c r="D26" t="s">
        <v>7</v>
      </c>
      <c r="E26" t="s">
        <v>204</v>
      </c>
      <c r="F26" s="109">
        <v>37062</v>
      </c>
      <c r="G26" t="s">
        <v>205</v>
      </c>
      <c r="H26" t="s">
        <v>206</v>
      </c>
      <c r="I26" t="s">
        <v>213</v>
      </c>
      <c r="J26" s="109">
        <v>37408</v>
      </c>
      <c r="K26">
        <v>5000</v>
      </c>
      <c r="L26">
        <v>150000</v>
      </c>
      <c r="M26" t="s">
        <v>208</v>
      </c>
      <c r="N26">
        <v>0</v>
      </c>
      <c r="O26" t="s">
        <v>9</v>
      </c>
      <c r="P26" t="s">
        <v>3</v>
      </c>
      <c r="Q26" t="s">
        <v>209</v>
      </c>
      <c r="R26">
        <v>2.7330000000000001</v>
      </c>
      <c r="S26">
        <v>2.835</v>
      </c>
      <c r="T26">
        <v>15300</v>
      </c>
      <c r="U26" t="s">
        <v>209</v>
      </c>
    </row>
    <row r="27" spans="1:21" ht="10.199999999999999" x14ac:dyDescent="0.2">
      <c r="A27">
        <v>2858</v>
      </c>
      <c r="B27" t="s">
        <v>203</v>
      </c>
      <c r="C27" t="s">
        <v>57</v>
      </c>
      <c r="D27" t="s">
        <v>7</v>
      </c>
      <c r="E27" t="s">
        <v>204</v>
      </c>
      <c r="F27" s="109">
        <v>37062</v>
      </c>
      <c r="G27" t="s">
        <v>205</v>
      </c>
      <c r="H27" t="s">
        <v>206</v>
      </c>
      <c r="I27" t="s">
        <v>213</v>
      </c>
      <c r="J27" s="109">
        <v>37438</v>
      </c>
      <c r="K27">
        <v>5000</v>
      </c>
      <c r="L27">
        <v>155000</v>
      </c>
      <c r="M27" t="s">
        <v>208</v>
      </c>
      <c r="N27">
        <v>0</v>
      </c>
      <c r="O27" t="s">
        <v>9</v>
      </c>
      <c r="P27" t="s">
        <v>3</v>
      </c>
      <c r="Q27" t="s">
        <v>209</v>
      </c>
      <c r="R27">
        <v>2.7709999999999999</v>
      </c>
      <c r="S27">
        <v>2.875</v>
      </c>
      <c r="T27">
        <v>16120</v>
      </c>
      <c r="U27" t="s">
        <v>209</v>
      </c>
    </row>
    <row r="28" spans="1:21" ht="10.199999999999999" x14ac:dyDescent="0.2">
      <c r="A28">
        <v>2858</v>
      </c>
      <c r="B28" t="s">
        <v>203</v>
      </c>
      <c r="C28" t="s">
        <v>57</v>
      </c>
      <c r="D28" t="s">
        <v>7</v>
      </c>
      <c r="E28" t="s">
        <v>204</v>
      </c>
      <c r="F28" s="109">
        <v>37062</v>
      </c>
      <c r="G28" t="s">
        <v>205</v>
      </c>
      <c r="H28" t="s">
        <v>206</v>
      </c>
      <c r="I28" t="s">
        <v>213</v>
      </c>
      <c r="J28" s="109">
        <v>37469</v>
      </c>
      <c r="K28">
        <v>5000</v>
      </c>
      <c r="L28">
        <v>155000</v>
      </c>
      <c r="M28" t="s">
        <v>208</v>
      </c>
      <c r="N28">
        <v>0</v>
      </c>
      <c r="O28" t="s">
        <v>9</v>
      </c>
      <c r="P28" t="s">
        <v>3</v>
      </c>
      <c r="Q28" t="s">
        <v>209</v>
      </c>
      <c r="R28">
        <v>2.8069999999999999</v>
      </c>
      <c r="S28">
        <v>2.9049999999999998</v>
      </c>
      <c r="T28">
        <v>15190</v>
      </c>
      <c r="U28" t="s">
        <v>209</v>
      </c>
    </row>
    <row r="29" spans="1:21" ht="10.199999999999999" x14ac:dyDescent="0.2">
      <c r="A29">
        <v>2858</v>
      </c>
      <c r="B29" t="s">
        <v>203</v>
      </c>
      <c r="C29" t="s">
        <v>57</v>
      </c>
      <c r="D29" t="s">
        <v>7</v>
      </c>
      <c r="E29" t="s">
        <v>204</v>
      </c>
      <c r="F29" s="109">
        <v>37062</v>
      </c>
      <c r="G29" t="s">
        <v>205</v>
      </c>
      <c r="H29" t="s">
        <v>206</v>
      </c>
      <c r="I29" t="s">
        <v>213</v>
      </c>
      <c r="J29" s="109">
        <v>37500</v>
      </c>
      <c r="K29">
        <v>5000</v>
      </c>
      <c r="L29">
        <v>150000</v>
      </c>
      <c r="M29" t="s">
        <v>208</v>
      </c>
      <c r="N29">
        <v>0</v>
      </c>
      <c r="O29" t="s">
        <v>9</v>
      </c>
      <c r="P29" t="s">
        <v>3</v>
      </c>
      <c r="Q29" t="s">
        <v>209</v>
      </c>
      <c r="R29">
        <v>2.819</v>
      </c>
      <c r="S29">
        <v>2.915</v>
      </c>
      <c r="T29">
        <v>14400</v>
      </c>
      <c r="U29" t="s">
        <v>209</v>
      </c>
    </row>
    <row r="30" spans="1:21" ht="10.199999999999999" x14ac:dyDescent="0.2">
      <c r="A30">
        <v>2858</v>
      </c>
      <c r="B30" t="s">
        <v>203</v>
      </c>
      <c r="C30" t="s">
        <v>57</v>
      </c>
      <c r="D30" t="s">
        <v>7</v>
      </c>
      <c r="E30" t="s">
        <v>204</v>
      </c>
      <c r="F30" s="109">
        <v>37062</v>
      </c>
      <c r="G30" t="s">
        <v>205</v>
      </c>
      <c r="H30" t="s">
        <v>206</v>
      </c>
      <c r="I30" t="s">
        <v>213</v>
      </c>
      <c r="J30" s="109">
        <v>37530</v>
      </c>
      <c r="K30">
        <v>5000</v>
      </c>
      <c r="L30">
        <v>155000</v>
      </c>
      <c r="M30" t="s">
        <v>208</v>
      </c>
      <c r="N30">
        <v>0</v>
      </c>
      <c r="O30" t="s">
        <v>9</v>
      </c>
      <c r="P30" t="s">
        <v>3</v>
      </c>
      <c r="Q30" t="s">
        <v>209</v>
      </c>
      <c r="R30">
        <v>2.8460000000000001</v>
      </c>
      <c r="S30">
        <v>2.9449999999999998</v>
      </c>
      <c r="T30">
        <v>15345</v>
      </c>
      <c r="U30" t="s">
        <v>209</v>
      </c>
    </row>
    <row r="31" spans="1:21" ht="10.199999999999999" x14ac:dyDescent="0.2">
      <c r="A31">
        <v>3682</v>
      </c>
      <c r="B31" t="s">
        <v>203</v>
      </c>
      <c r="C31" t="s">
        <v>57</v>
      </c>
      <c r="D31" t="s">
        <v>7</v>
      </c>
      <c r="E31" t="s">
        <v>204</v>
      </c>
      <c r="F31" s="109">
        <v>37124</v>
      </c>
      <c r="G31" t="s">
        <v>205</v>
      </c>
      <c r="H31" t="s">
        <v>206</v>
      </c>
      <c r="I31" t="s">
        <v>213</v>
      </c>
      <c r="J31" s="109">
        <v>37226</v>
      </c>
      <c r="K31">
        <v>5000</v>
      </c>
      <c r="L31">
        <v>155000</v>
      </c>
      <c r="M31" t="s">
        <v>208</v>
      </c>
      <c r="N31">
        <v>1E-3</v>
      </c>
      <c r="O31" t="s">
        <v>9</v>
      </c>
      <c r="P31" t="s">
        <v>3</v>
      </c>
      <c r="Q31" t="s">
        <v>209</v>
      </c>
      <c r="R31">
        <v>2.6949999999999998</v>
      </c>
      <c r="S31">
        <v>3.29</v>
      </c>
      <c r="T31">
        <v>92225</v>
      </c>
      <c r="U31" t="s">
        <v>209</v>
      </c>
    </row>
    <row r="32" spans="1:21" ht="10.199999999999999" x14ac:dyDescent="0.2">
      <c r="A32">
        <v>3682</v>
      </c>
      <c r="B32" t="s">
        <v>203</v>
      </c>
      <c r="C32" t="s">
        <v>57</v>
      </c>
      <c r="D32" t="s">
        <v>7</v>
      </c>
      <c r="E32" t="s">
        <v>204</v>
      </c>
      <c r="F32" s="109">
        <v>37124</v>
      </c>
      <c r="G32" t="s">
        <v>205</v>
      </c>
      <c r="H32" t="s">
        <v>206</v>
      </c>
      <c r="I32" t="s">
        <v>213</v>
      </c>
      <c r="J32" s="109">
        <v>37257</v>
      </c>
      <c r="K32">
        <v>5000</v>
      </c>
      <c r="L32">
        <v>155000</v>
      </c>
      <c r="M32" t="s">
        <v>208</v>
      </c>
      <c r="N32">
        <v>1E-3</v>
      </c>
      <c r="O32" t="s">
        <v>9</v>
      </c>
      <c r="P32" t="s">
        <v>3</v>
      </c>
      <c r="Q32" t="s">
        <v>209</v>
      </c>
      <c r="R32">
        <v>2.9849999999999999</v>
      </c>
      <c r="S32">
        <v>3.48</v>
      </c>
      <c r="T32">
        <v>76725</v>
      </c>
      <c r="U32" t="s">
        <v>209</v>
      </c>
    </row>
    <row r="33" spans="1:21" ht="10.199999999999999" x14ac:dyDescent="0.2">
      <c r="A33">
        <v>3682</v>
      </c>
      <c r="B33" t="s">
        <v>203</v>
      </c>
      <c r="C33" t="s">
        <v>57</v>
      </c>
      <c r="D33" t="s">
        <v>7</v>
      </c>
      <c r="E33" t="s">
        <v>204</v>
      </c>
      <c r="F33" s="109">
        <v>37124</v>
      </c>
      <c r="G33" t="s">
        <v>205</v>
      </c>
      <c r="H33" t="s">
        <v>206</v>
      </c>
      <c r="I33" t="s">
        <v>213</v>
      </c>
      <c r="J33" s="109">
        <v>37288</v>
      </c>
      <c r="K33">
        <v>5000</v>
      </c>
      <c r="L33">
        <v>140000</v>
      </c>
      <c r="M33" t="s">
        <v>208</v>
      </c>
      <c r="N33">
        <v>1E-3</v>
      </c>
      <c r="O33" t="s">
        <v>9</v>
      </c>
      <c r="P33" t="s">
        <v>3</v>
      </c>
      <c r="Q33" t="s">
        <v>209</v>
      </c>
      <c r="R33">
        <v>2.8279999999999998</v>
      </c>
      <c r="S33">
        <v>3.52</v>
      </c>
      <c r="T33">
        <v>96880</v>
      </c>
      <c r="U33" t="s">
        <v>209</v>
      </c>
    </row>
    <row r="34" spans="1:21" ht="10.199999999999999" x14ac:dyDescent="0.2">
      <c r="A34">
        <v>3682</v>
      </c>
      <c r="B34" t="s">
        <v>203</v>
      </c>
      <c r="C34" t="s">
        <v>57</v>
      </c>
      <c r="D34" t="s">
        <v>7</v>
      </c>
      <c r="E34" t="s">
        <v>204</v>
      </c>
      <c r="F34" s="109">
        <v>37124</v>
      </c>
      <c r="G34" t="s">
        <v>205</v>
      </c>
      <c r="H34" t="s">
        <v>206</v>
      </c>
      <c r="I34" t="s">
        <v>213</v>
      </c>
      <c r="J34" s="109">
        <v>37316</v>
      </c>
      <c r="K34">
        <v>5000</v>
      </c>
      <c r="L34">
        <v>155000</v>
      </c>
      <c r="M34" t="s">
        <v>208</v>
      </c>
      <c r="N34">
        <v>1E-3</v>
      </c>
      <c r="O34" t="s">
        <v>9</v>
      </c>
      <c r="P34" t="s">
        <v>3</v>
      </c>
      <c r="Q34" t="s">
        <v>209</v>
      </c>
      <c r="R34">
        <v>2.77</v>
      </c>
      <c r="S34">
        <v>3.48</v>
      </c>
      <c r="T34">
        <v>110050</v>
      </c>
      <c r="U34" t="s">
        <v>209</v>
      </c>
    </row>
    <row r="35" spans="1:21" ht="10.199999999999999" x14ac:dyDescent="0.2">
      <c r="A35">
        <v>5216</v>
      </c>
      <c r="B35" t="s">
        <v>203</v>
      </c>
      <c r="C35" t="s">
        <v>57</v>
      </c>
      <c r="D35" t="s">
        <v>6</v>
      </c>
      <c r="E35" t="s">
        <v>204</v>
      </c>
      <c r="F35" s="109">
        <v>37188</v>
      </c>
      <c r="G35" t="s">
        <v>205</v>
      </c>
      <c r="H35" t="s">
        <v>206</v>
      </c>
      <c r="I35" t="s">
        <v>213</v>
      </c>
      <c r="J35" s="109">
        <v>37316</v>
      </c>
      <c r="K35">
        <v>5000</v>
      </c>
      <c r="L35">
        <v>155000</v>
      </c>
      <c r="M35" t="s">
        <v>208</v>
      </c>
      <c r="N35">
        <v>0</v>
      </c>
      <c r="O35" t="s">
        <v>9</v>
      </c>
      <c r="P35" t="s">
        <v>3</v>
      </c>
      <c r="Q35" t="s">
        <v>209</v>
      </c>
      <c r="R35">
        <v>3.13</v>
      </c>
      <c r="S35">
        <v>2.77</v>
      </c>
      <c r="T35">
        <v>-55800</v>
      </c>
      <c r="U35" t="s">
        <v>209</v>
      </c>
    </row>
    <row r="36" spans="1:21" ht="10.199999999999999" x14ac:dyDescent="0.2">
      <c r="A36">
        <v>5216</v>
      </c>
      <c r="B36" t="s">
        <v>203</v>
      </c>
      <c r="C36" t="s">
        <v>57</v>
      </c>
      <c r="D36" t="s">
        <v>6</v>
      </c>
      <c r="E36" t="s">
        <v>204</v>
      </c>
      <c r="F36" s="109">
        <v>37188</v>
      </c>
      <c r="G36" t="s">
        <v>205</v>
      </c>
      <c r="H36" t="s">
        <v>206</v>
      </c>
      <c r="I36" t="s">
        <v>213</v>
      </c>
      <c r="J36" s="109">
        <v>37288</v>
      </c>
      <c r="K36">
        <v>5000</v>
      </c>
      <c r="L36">
        <v>140000</v>
      </c>
      <c r="M36" t="s">
        <v>208</v>
      </c>
      <c r="N36">
        <v>0</v>
      </c>
      <c r="O36" t="s">
        <v>9</v>
      </c>
      <c r="P36" t="s">
        <v>3</v>
      </c>
      <c r="Q36" t="s">
        <v>209</v>
      </c>
      <c r="R36">
        <v>3.17</v>
      </c>
      <c r="S36">
        <v>2.8279999999999998</v>
      </c>
      <c r="T36">
        <v>-47880</v>
      </c>
      <c r="U36" t="s">
        <v>209</v>
      </c>
    </row>
    <row r="37" spans="1:21" ht="10.199999999999999" x14ac:dyDescent="0.2">
      <c r="A37">
        <v>5216</v>
      </c>
      <c r="B37" t="s">
        <v>203</v>
      </c>
      <c r="C37" t="s">
        <v>57</v>
      </c>
      <c r="D37" t="s">
        <v>6</v>
      </c>
      <c r="E37" t="s">
        <v>204</v>
      </c>
      <c r="F37" s="109">
        <v>37188</v>
      </c>
      <c r="G37" t="s">
        <v>205</v>
      </c>
      <c r="H37" t="s">
        <v>206</v>
      </c>
      <c r="I37" t="s">
        <v>213</v>
      </c>
      <c r="J37" s="109">
        <v>37257</v>
      </c>
      <c r="K37">
        <v>5000</v>
      </c>
      <c r="L37">
        <v>155000</v>
      </c>
      <c r="M37" t="s">
        <v>208</v>
      </c>
      <c r="N37">
        <v>0</v>
      </c>
      <c r="O37" t="s">
        <v>9</v>
      </c>
      <c r="P37" t="s">
        <v>3</v>
      </c>
      <c r="Q37" t="s">
        <v>209</v>
      </c>
      <c r="R37">
        <v>3.13</v>
      </c>
      <c r="S37">
        <v>2.9849999999999999</v>
      </c>
      <c r="T37">
        <v>-22475</v>
      </c>
      <c r="U37" t="s">
        <v>209</v>
      </c>
    </row>
    <row r="38" spans="1:21" ht="10.199999999999999" x14ac:dyDescent="0.2">
      <c r="A38">
        <v>5216</v>
      </c>
      <c r="B38" t="s">
        <v>203</v>
      </c>
      <c r="C38" t="s">
        <v>57</v>
      </c>
      <c r="D38" t="s">
        <v>6</v>
      </c>
      <c r="E38" t="s">
        <v>204</v>
      </c>
      <c r="F38" s="109">
        <v>37188</v>
      </c>
      <c r="G38" t="s">
        <v>205</v>
      </c>
      <c r="H38" t="s">
        <v>206</v>
      </c>
      <c r="I38" t="s">
        <v>213</v>
      </c>
      <c r="J38" s="109">
        <v>37226</v>
      </c>
      <c r="K38">
        <v>5000</v>
      </c>
      <c r="L38">
        <v>155000</v>
      </c>
      <c r="M38" t="s">
        <v>208</v>
      </c>
      <c r="N38">
        <v>0</v>
      </c>
      <c r="O38" t="s">
        <v>9</v>
      </c>
      <c r="P38" t="s">
        <v>3</v>
      </c>
      <c r="Q38" t="s">
        <v>209</v>
      </c>
      <c r="R38">
        <v>2.94</v>
      </c>
      <c r="S38">
        <v>2.6949999999999998</v>
      </c>
      <c r="T38">
        <v>-37975</v>
      </c>
      <c r="U38" t="s">
        <v>209</v>
      </c>
    </row>
    <row r="39" spans="1:21" ht="10.199999999999999" x14ac:dyDescent="0.2">
      <c r="A39"/>
      <c r="B39"/>
      <c r="C39"/>
      <c r="D39"/>
      <c r="E39"/>
      <c r="F39" s="109"/>
      <c r="G39"/>
      <c r="H39"/>
      <c r="I39"/>
      <c r="J39" s="109"/>
      <c r="K39"/>
      <c r="L39"/>
      <c r="M39"/>
      <c r="N39"/>
      <c r="O39"/>
      <c r="P39"/>
      <c r="Q39"/>
      <c r="R39"/>
      <c r="S39"/>
      <c r="T39"/>
      <c r="U39"/>
    </row>
    <row r="40" spans="1:21" ht="10.199999999999999" x14ac:dyDescent="0.2">
      <c r="A40"/>
      <c r="B40"/>
      <c r="C40"/>
      <c r="D40"/>
      <c r="E40"/>
      <c r="F40" s="109"/>
      <c r="G40"/>
      <c r="H40"/>
      <c r="I40"/>
      <c r="J40" s="109"/>
      <c r="K40"/>
      <c r="L40"/>
      <c r="M40"/>
      <c r="N40"/>
      <c r="O40"/>
      <c r="P40"/>
      <c r="Q40"/>
      <c r="R40"/>
      <c r="S40"/>
      <c r="T40"/>
      <c r="U40"/>
    </row>
    <row r="41" spans="1:21" ht="10.199999999999999" x14ac:dyDescent="0.2">
      <c r="A41"/>
      <c r="B41"/>
      <c r="C41"/>
      <c r="D41"/>
      <c r="E41"/>
      <c r="F41" s="109"/>
      <c r="G41"/>
      <c r="H41"/>
      <c r="I41"/>
      <c r="J41" s="109"/>
      <c r="K41"/>
      <c r="L41"/>
      <c r="M41"/>
      <c r="N41"/>
      <c r="O41"/>
      <c r="P41"/>
      <c r="Q41"/>
      <c r="R41"/>
      <c r="S41"/>
      <c r="T41"/>
      <c r="U41"/>
    </row>
    <row r="42" spans="1:21" ht="10.199999999999999" x14ac:dyDescent="0.2">
      <c r="A42"/>
      <c r="B42"/>
      <c r="C42"/>
      <c r="D42"/>
      <c r="E42"/>
      <c r="F42" s="109"/>
      <c r="G42"/>
      <c r="H42"/>
      <c r="I42"/>
      <c r="J42" s="109"/>
      <c r="K42"/>
      <c r="L42"/>
      <c r="M42"/>
      <c r="N42"/>
      <c r="O42"/>
      <c r="P42"/>
      <c r="Q42"/>
      <c r="R42"/>
      <c r="S42"/>
      <c r="T42"/>
      <c r="U42"/>
    </row>
    <row r="43" spans="1:21" ht="10.199999999999999" x14ac:dyDescent="0.2">
      <c r="J43" s="109"/>
    </row>
    <row r="44" spans="1:21" ht="10.199999999999999" x14ac:dyDescent="0.2">
      <c r="J44" s="109"/>
    </row>
    <row r="45" spans="1:21" ht="10.199999999999999" x14ac:dyDescent="0.2">
      <c r="J45" s="109"/>
    </row>
    <row r="46" spans="1:21" ht="10.199999999999999" x14ac:dyDescent="0.2">
      <c r="J46" s="109"/>
    </row>
    <row r="47" spans="1:21" ht="10.199999999999999" x14ac:dyDescent="0.2">
      <c r="J47" s="109"/>
    </row>
    <row r="48" spans="1:21" ht="10.199999999999999" x14ac:dyDescent="0.2">
      <c r="J48" s="109"/>
    </row>
    <row r="49" spans="10:10" ht="10.199999999999999" x14ac:dyDescent="0.2">
      <c r="J49" s="109"/>
    </row>
    <row r="50" spans="10:10" ht="10.199999999999999" x14ac:dyDescent="0.2">
      <c r="J50" s="109"/>
    </row>
    <row r="51" spans="10:10" ht="10.199999999999999" x14ac:dyDescent="0.2">
      <c r="J51" s="109"/>
    </row>
    <row r="52" spans="10:10" ht="10.199999999999999" x14ac:dyDescent="0.2">
      <c r="J52" s="109"/>
    </row>
    <row r="53" spans="10:10" ht="10.199999999999999" x14ac:dyDescent="0.2">
      <c r="J53" s="109"/>
    </row>
    <row r="54" spans="10:10" ht="10.199999999999999" x14ac:dyDescent="0.2">
      <c r="J54" s="109"/>
    </row>
    <row r="55" spans="10:10" ht="10.199999999999999" x14ac:dyDescent="0.2">
      <c r="J55" s="109"/>
    </row>
    <row r="56" spans="10:10" ht="10.199999999999999" x14ac:dyDescent="0.2">
      <c r="J56" s="109"/>
    </row>
    <row r="57" spans="10:10" ht="10.199999999999999" x14ac:dyDescent="0.2">
      <c r="J57" s="109"/>
    </row>
    <row r="58" spans="10:10" ht="10.199999999999999" x14ac:dyDescent="0.2">
      <c r="J58" s="109"/>
    </row>
    <row r="59" spans="10:10" ht="10.199999999999999" x14ac:dyDescent="0.2">
      <c r="J59" s="109"/>
    </row>
    <row r="60" spans="10:10" ht="10.199999999999999" x14ac:dyDescent="0.2">
      <c r="J60" s="109"/>
    </row>
    <row r="61" spans="10:10" ht="10.199999999999999" x14ac:dyDescent="0.2">
      <c r="J61" s="109"/>
    </row>
    <row r="62" spans="10:10" ht="10.199999999999999" x14ac:dyDescent="0.2">
      <c r="J62" s="109"/>
    </row>
    <row r="63" spans="10:10" ht="10.199999999999999" x14ac:dyDescent="0.2">
      <c r="J63" s="109"/>
    </row>
    <row r="64" spans="10:10" ht="10.199999999999999" x14ac:dyDescent="0.2">
      <c r="J64" s="109"/>
    </row>
    <row r="65" spans="10:10" ht="10.199999999999999" x14ac:dyDescent="0.2">
      <c r="J65" s="109"/>
    </row>
    <row r="66" spans="10:10" ht="10.199999999999999" x14ac:dyDescent="0.2">
      <c r="J66" s="109"/>
    </row>
    <row r="67" spans="10:10" ht="10.199999999999999" x14ac:dyDescent="0.2">
      <c r="J67" s="109"/>
    </row>
    <row r="68" spans="10:10" ht="10.199999999999999" x14ac:dyDescent="0.2">
      <c r="J68" s="109"/>
    </row>
    <row r="69" spans="10:10" ht="10.199999999999999" x14ac:dyDescent="0.2">
      <c r="J69" s="109"/>
    </row>
    <row r="70" spans="10:10" ht="10.199999999999999" x14ac:dyDescent="0.2">
      <c r="J70" s="109"/>
    </row>
    <row r="71" spans="10:10" ht="10.199999999999999" x14ac:dyDescent="0.2">
      <c r="J71" s="109"/>
    </row>
    <row r="72" spans="10:10" ht="10.199999999999999" x14ac:dyDescent="0.2">
      <c r="J72" s="109"/>
    </row>
    <row r="73" spans="10:10" ht="10.199999999999999" x14ac:dyDescent="0.2">
      <c r="J73" s="109"/>
    </row>
    <row r="74" spans="10:10" ht="10.199999999999999" x14ac:dyDescent="0.2">
      <c r="J74" s="109"/>
    </row>
    <row r="75" spans="10:10" ht="10.199999999999999" x14ac:dyDescent="0.2">
      <c r="J75" s="109"/>
    </row>
    <row r="76" spans="10:10" ht="10.199999999999999" x14ac:dyDescent="0.2">
      <c r="J76" s="109"/>
    </row>
    <row r="77" spans="10:10" ht="10.199999999999999" x14ac:dyDescent="0.2">
      <c r="J77" s="109"/>
    </row>
    <row r="78" spans="10:10" ht="10.199999999999999" x14ac:dyDescent="0.2">
      <c r="J78" s="109"/>
    </row>
    <row r="79" spans="10:10" ht="10.199999999999999" x14ac:dyDescent="0.2">
      <c r="J79" s="109"/>
    </row>
    <row r="80" spans="10:10" ht="10.199999999999999" x14ac:dyDescent="0.2">
      <c r="J80" s="109"/>
    </row>
    <row r="81" spans="10:10" ht="10.199999999999999" x14ac:dyDescent="0.2">
      <c r="J81" s="109"/>
    </row>
    <row r="82" spans="10:10" ht="10.199999999999999" x14ac:dyDescent="0.2">
      <c r="J82" s="109"/>
    </row>
    <row r="83" spans="10:10" ht="10.199999999999999" x14ac:dyDescent="0.2">
      <c r="J83" s="109"/>
    </row>
    <row r="84" spans="10:10" ht="10.199999999999999" x14ac:dyDescent="0.2">
      <c r="J84" s="109"/>
    </row>
    <row r="85" spans="10:10" ht="10.199999999999999" x14ac:dyDescent="0.2">
      <c r="J85" s="109"/>
    </row>
    <row r="86" spans="10:10" ht="10.199999999999999" x14ac:dyDescent="0.2">
      <c r="J86" s="109"/>
    </row>
    <row r="87" spans="10:10" ht="10.199999999999999" x14ac:dyDescent="0.2">
      <c r="J87" s="109"/>
    </row>
    <row r="88" spans="10:10" ht="10.199999999999999" x14ac:dyDescent="0.2">
      <c r="J88" s="109"/>
    </row>
    <row r="89" spans="10:10" ht="10.199999999999999" x14ac:dyDescent="0.2">
      <c r="J89" s="109"/>
    </row>
    <row r="90" spans="10:10" ht="10.199999999999999" x14ac:dyDescent="0.2">
      <c r="J90" s="109"/>
    </row>
    <row r="91" spans="10:10" ht="10.199999999999999" x14ac:dyDescent="0.2">
      <c r="J91" s="109"/>
    </row>
    <row r="92" spans="10:10" ht="10.199999999999999" x14ac:dyDescent="0.2">
      <c r="J92" s="109"/>
    </row>
    <row r="93" spans="10:10" ht="10.199999999999999" x14ac:dyDescent="0.2">
      <c r="J93" s="109"/>
    </row>
    <row r="94" spans="10:10" ht="10.199999999999999" x14ac:dyDescent="0.2">
      <c r="J94" s="109"/>
    </row>
    <row r="95" spans="10:10" ht="10.199999999999999" x14ac:dyDescent="0.2">
      <c r="J95" s="109"/>
    </row>
    <row r="96" spans="10:10" ht="10.199999999999999" x14ac:dyDescent="0.2">
      <c r="J96" s="109"/>
    </row>
    <row r="97" spans="10:10" ht="10.199999999999999" x14ac:dyDescent="0.2">
      <c r="J97" s="109"/>
    </row>
    <row r="98" spans="10:10" ht="10.199999999999999" x14ac:dyDescent="0.2">
      <c r="J98" s="109"/>
    </row>
    <row r="99" spans="10:10" ht="10.199999999999999" x14ac:dyDescent="0.2">
      <c r="J99" s="109"/>
    </row>
    <row r="100" spans="10:10" ht="10.199999999999999" x14ac:dyDescent="0.2">
      <c r="J100" s="109"/>
    </row>
    <row r="101" spans="10:10" ht="10.199999999999999" x14ac:dyDescent="0.2">
      <c r="J101" s="109"/>
    </row>
    <row r="102" spans="10:10" ht="10.199999999999999" x14ac:dyDescent="0.2">
      <c r="J102" s="109"/>
    </row>
    <row r="103" spans="10:10" ht="10.199999999999999" x14ac:dyDescent="0.2">
      <c r="J103" s="109"/>
    </row>
    <row r="104" spans="10:10" ht="10.199999999999999" x14ac:dyDescent="0.2">
      <c r="J104" s="109"/>
    </row>
    <row r="105" spans="10:10" ht="10.199999999999999" x14ac:dyDescent="0.2">
      <c r="J105" s="109"/>
    </row>
    <row r="106" spans="10:10" ht="10.199999999999999" x14ac:dyDescent="0.2">
      <c r="J106" s="109"/>
    </row>
    <row r="107" spans="10:10" ht="10.199999999999999" x14ac:dyDescent="0.2">
      <c r="J107" s="109"/>
    </row>
    <row r="108" spans="10:10" ht="10.199999999999999" x14ac:dyDescent="0.2">
      <c r="J108" s="109"/>
    </row>
    <row r="109" spans="10:10" ht="10.199999999999999" x14ac:dyDescent="0.2">
      <c r="J109" s="109"/>
    </row>
    <row r="110" spans="10:10" ht="10.199999999999999" x14ac:dyDescent="0.2">
      <c r="J110" s="109"/>
    </row>
    <row r="111" spans="10:10" ht="10.199999999999999" x14ac:dyDescent="0.2">
      <c r="J111" s="109"/>
    </row>
    <row r="112" spans="10:10" ht="10.199999999999999" x14ac:dyDescent="0.2">
      <c r="J112" s="109"/>
    </row>
    <row r="113" spans="10:10" ht="10.199999999999999" x14ac:dyDescent="0.2">
      <c r="J113" s="109"/>
    </row>
    <row r="114" spans="10:10" ht="10.199999999999999" x14ac:dyDescent="0.2">
      <c r="J114" s="109"/>
    </row>
    <row r="115" spans="10:10" ht="10.199999999999999" x14ac:dyDescent="0.2">
      <c r="J115" s="109"/>
    </row>
    <row r="116" spans="10:10" ht="10.199999999999999" x14ac:dyDescent="0.2">
      <c r="J116" s="109"/>
    </row>
    <row r="117" spans="10:10" ht="10.199999999999999" x14ac:dyDescent="0.2">
      <c r="J117" s="109"/>
    </row>
    <row r="118" spans="10:10" ht="10.199999999999999" x14ac:dyDescent="0.2">
      <c r="J118" s="109"/>
    </row>
    <row r="119" spans="10:10" ht="10.199999999999999" x14ac:dyDescent="0.2">
      <c r="J119" s="109"/>
    </row>
    <row r="120" spans="10:10" ht="10.199999999999999" x14ac:dyDescent="0.2">
      <c r="J120" s="109"/>
    </row>
    <row r="121" spans="10:10" ht="10.199999999999999" x14ac:dyDescent="0.2">
      <c r="J121" s="109"/>
    </row>
    <row r="122" spans="10:10" ht="10.199999999999999" x14ac:dyDescent="0.2">
      <c r="J122" s="109"/>
    </row>
    <row r="123" spans="10:10" ht="10.199999999999999" x14ac:dyDescent="0.2">
      <c r="J123" s="109"/>
    </row>
    <row r="124" spans="10:10" ht="10.199999999999999" x14ac:dyDescent="0.2">
      <c r="J124" s="109"/>
    </row>
    <row r="125" spans="10:10" ht="10.199999999999999" x14ac:dyDescent="0.2">
      <c r="J125" s="109"/>
    </row>
    <row r="126" spans="10:10" ht="10.199999999999999" x14ac:dyDescent="0.2">
      <c r="J126" s="109"/>
    </row>
    <row r="127" spans="10:10" ht="10.199999999999999" x14ac:dyDescent="0.2">
      <c r="J127" s="109"/>
    </row>
    <row r="128" spans="10:10" ht="10.199999999999999" x14ac:dyDescent="0.2">
      <c r="J128" s="109"/>
    </row>
    <row r="129" spans="10:10" ht="10.199999999999999" x14ac:dyDescent="0.2">
      <c r="J129" s="109"/>
    </row>
    <row r="130" spans="10:10" ht="10.199999999999999" x14ac:dyDescent="0.2">
      <c r="J130" s="109"/>
    </row>
    <row r="131" spans="10:10" ht="10.199999999999999" x14ac:dyDescent="0.2">
      <c r="J131" s="109"/>
    </row>
    <row r="132" spans="10:10" ht="10.199999999999999" x14ac:dyDescent="0.2">
      <c r="J132" s="109"/>
    </row>
    <row r="133" spans="10:10" ht="10.199999999999999" x14ac:dyDescent="0.2">
      <c r="J133" s="109"/>
    </row>
    <row r="134" spans="10:10" ht="10.199999999999999" x14ac:dyDescent="0.2">
      <c r="J134" s="109"/>
    </row>
    <row r="135" spans="10:10" ht="10.199999999999999" x14ac:dyDescent="0.2">
      <c r="J135" s="109"/>
    </row>
    <row r="136" spans="10:10" ht="10.199999999999999" x14ac:dyDescent="0.2">
      <c r="J136" s="109"/>
    </row>
    <row r="137" spans="10:10" ht="10.199999999999999" x14ac:dyDescent="0.2">
      <c r="J137" s="109"/>
    </row>
    <row r="138" spans="10:10" ht="10.199999999999999" x14ac:dyDescent="0.2">
      <c r="J138" s="109"/>
    </row>
    <row r="139" spans="10:10" ht="10.199999999999999" x14ac:dyDescent="0.2">
      <c r="J139" s="109"/>
    </row>
    <row r="140" spans="10:10" ht="10.199999999999999" x14ac:dyDescent="0.2">
      <c r="J140" s="109"/>
    </row>
    <row r="141" spans="10:10" ht="10.199999999999999" x14ac:dyDescent="0.2">
      <c r="J141" s="109"/>
    </row>
    <row r="142" spans="10:10" ht="10.199999999999999" x14ac:dyDescent="0.2">
      <c r="J142" s="109"/>
    </row>
    <row r="143" spans="10:10" ht="10.199999999999999" x14ac:dyDescent="0.2">
      <c r="J143" s="109"/>
    </row>
    <row r="144" spans="10:10" ht="10.199999999999999" x14ac:dyDescent="0.2">
      <c r="J144" s="109"/>
    </row>
    <row r="145" spans="10:10" ht="10.199999999999999" x14ac:dyDescent="0.2">
      <c r="J145" s="109"/>
    </row>
    <row r="146" spans="10:10" ht="10.199999999999999" x14ac:dyDescent="0.2">
      <c r="J146" s="109"/>
    </row>
    <row r="147" spans="10:10" ht="10.199999999999999" x14ac:dyDescent="0.2">
      <c r="J147" s="109"/>
    </row>
    <row r="148" spans="10:10" ht="10.199999999999999" x14ac:dyDescent="0.2">
      <c r="J148" s="109"/>
    </row>
    <row r="149" spans="10:10" ht="10.199999999999999" x14ac:dyDescent="0.2">
      <c r="J149" s="109"/>
    </row>
    <row r="150" spans="10:10" ht="10.199999999999999" x14ac:dyDescent="0.2">
      <c r="J150" s="109"/>
    </row>
    <row r="151" spans="10:10" ht="10.199999999999999" x14ac:dyDescent="0.2">
      <c r="J151" s="109"/>
    </row>
    <row r="152" spans="10:10" ht="10.199999999999999" x14ac:dyDescent="0.2">
      <c r="J152" s="109"/>
    </row>
    <row r="153" spans="10:10" ht="10.199999999999999" x14ac:dyDescent="0.2">
      <c r="J153" s="109"/>
    </row>
    <row r="154" spans="10:10" ht="10.199999999999999" x14ac:dyDescent="0.2">
      <c r="J154" s="109"/>
    </row>
    <row r="155" spans="10:10" ht="10.199999999999999" x14ac:dyDescent="0.2">
      <c r="J155" s="109"/>
    </row>
    <row r="156" spans="10:10" ht="10.199999999999999" x14ac:dyDescent="0.2">
      <c r="J156" s="109"/>
    </row>
    <row r="157" spans="10:10" ht="10.199999999999999" x14ac:dyDescent="0.2">
      <c r="J157" s="109"/>
    </row>
    <row r="158" spans="10:10" ht="10.199999999999999" x14ac:dyDescent="0.2">
      <c r="J158" s="109"/>
    </row>
    <row r="159" spans="10:10" ht="10.199999999999999" x14ac:dyDescent="0.2">
      <c r="J159" s="109"/>
    </row>
    <row r="160" spans="10:10" ht="10.199999999999999" x14ac:dyDescent="0.2">
      <c r="J160" s="109"/>
    </row>
    <row r="161" spans="10:10" ht="10.199999999999999" x14ac:dyDescent="0.2">
      <c r="J161" s="109"/>
    </row>
    <row r="162" spans="10:10" ht="10.199999999999999" x14ac:dyDescent="0.2">
      <c r="J162" s="109"/>
    </row>
    <row r="163" spans="10:10" ht="10.199999999999999" x14ac:dyDescent="0.2">
      <c r="J163" s="109"/>
    </row>
    <row r="164" spans="10:10" ht="10.199999999999999" x14ac:dyDescent="0.2">
      <c r="J164" s="109"/>
    </row>
    <row r="165" spans="10:10" ht="10.199999999999999" x14ac:dyDescent="0.2">
      <c r="J165" s="109"/>
    </row>
    <row r="166" spans="10:10" ht="10.199999999999999" x14ac:dyDescent="0.2">
      <c r="J166" s="109"/>
    </row>
    <row r="167" spans="10:10" ht="10.199999999999999" x14ac:dyDescent="0.2">
      <c r="J167" s="109"/>
    </row>
    <row r="168" spans="10:10" ht="10.199999999999999" x14ac:dyDescent="0.2">
      <c r="J168" s="109"/>
    </row>
    <row r="169" spans="10:10" ht="10.199999999999999" x14ac:dyDescent="0.2">
      <c r="J169" s="109"/>
    </row>
    <row r="170" spans="10:10" ht="10.199999999999999" x14ac:dyDescent="0.2">
      <c r="J170" s="109"/>
    </row>
    <row r="171" spans="10:10" ht="10.199999999999999" x14ac:dyDescent="0.2">
      <c r="J171" s="109"/>
    </row>
    <row r="172" spans="10:10" ht="10.199999999999999" x14ac:dyDescent="0.2">
      <c r="J172" s="109"/>
    </row>
    <row r="173" spans="10:10" ht="10.199999999999999" x14ac:dyDescent="0.2">
      <c r="J173" s="109"/>
    </row>
    <row r="174" spans="10:10" ht="10.199999999999999" x14ac:dyDescent="0.2">
      <c r="J174" s="109"/>
    </row>
    <row r="175" spans="10:10" ht="10.199999999999999" x14ac:dyDescent="0.2">
      <c r="J175" s="109"/>
    </row>
    <row r="176" spans="10:10" ht="10.199999999999999" x14ac:dyDescent="0.2">
      <c r="J176" s="109"/>
    </row>
    <row r="177" spans="10:10" ht="10.199999999999999" x14ac:dyDescent="0.2">
      <c r="J177" s="109"/>
    </row>
    <row r="178" spans="10:10" ht="10.199999999999999" x14ac:dyDescent="0.2">
      <c r="J178" s="109"/>
    </row>
    <row r="179" spans="10:10" ht="10.199999999999999" x14ac:dyDescent="0.2">
      <c r="J179" s="109"/>
    </row>
    <row r="180" spans="10:10" ht="10.199999999999999" x14ac:dyDescent="0.2">
      <c r="J180" s="109"/>
    </row>
    <row r="181" spans="10:10" ht="10.199999999999999" x14ac:dyDescent="0.2">
      <c r="J181" s="109"/>
    </row>
    <row r="182" spans="10:10" ht="10.199999999999999" x14ac:dyDescent="0.2">
      <c r="J182" s="109"/>
    </row>
    <row r="183" spans="10:10" ht="10.199999999999999" x14ac:dyDescent="0.2">
      <c r="J183" s="109"/>
    </row>
    <row r="184" spans="10:10" ht="10.199999999999999" x14ac:dyDescent="0.2">
      <c r="J184" s="109"/>
    </row>
    <row r="185" spans="10:10" ht="10.199999999999999" x14ac:dyDescent="0.2">
      <c r="J185" s="109"/>
    </row>
    <row r="186" spans="10:10" ht="10.199999999999999" x14ac:dyDescent="0.2">
      <c r="J186" s="109"/>
    </row>
    <row r="187" spans="10:10" ht="10.199999999999999" x14ac:dyDescent="0.2">
      <c r="J187" s="109"/>
    </row>
    <row r="188" spans="10:10" ht="10.199999999999999" x14ac:dyDescent="0.2">
      <c r="J188" s="109"/>
    </row>
    <row r="189" spans="10:10" ht="10.199999999999999" x14ac:dyDescent="0.2">
      <c r="J189" s="109"/>
    </row>
    <row r="190" spans="10:10" ht="10.199999999999999" x14ac:dyDescent="0.2">
      <c r="J190" s="109"/>
    </row>
    <row r="191" spans="10:10" ht="10.199999999999999" x14ac:dyDescent="0.2">
      <c r="J191" s="109"/>
    </row>
    <row r="192" spans="10:10" ht="10.199999999999999" x14ac:dyDescent="0.2">
      <c r="J192" s="109"/>
    </row>
    <row r="193" spans="10:10" ht="10.199999999999999" x14ac:dyDescent="0.2">
      <c r="J193" s="109"/>
    </row>
    <row r="194" spans="10:10" ht="10.199999999999999" x14ac:dyDescent="0.2">
      <c r="J194" s="109"/>
    </row>
    <row r="195" spans="10:10" ht="10.199999999999999" x14ac:dyDescent="0.2">
      <c r="J195" s="109"/>
    </row>
    <row r="196" spans="10:10" ht="10.199999999999999" x14ac:dyDescent="0.2">
      <c r="J196" s="109"/>
    </row>
    <row r="197" spans="10:10" ht="10.199999999999999" x14ac:dyDescent="0.2">
      <c r="J197" s="109"/>
    </row>
    <row r="198" spans="10:10" ht="10.199999999999999" x14ac:dyDescent="0.2">
      <c r="J198" s="109"/>
    </row>
    <row r="199" spans="10:10" ht="10.199999999999999" x14ac:dyDescent="0.2">
      <c r="J199" s="109"/>
    </row>
    <row r="200" spans="10:10" ht="10.199999999999999" x14ac:dyDescent="0.2">
      <c r="J200" s="109"/>
    </row>
    <row r="201" spans="10:10" ht="10.199999999999999" x14ac:dyDescent="0.2">
      <c r="J201" s="109"/>
    </row>
    <row r="202" spans="10:10" ht="10.199999999999999" x14ac:dyDescent="0.2">
      <c r="J202" s="109"/>
    </row>
    <row r="203" spans="10:10" ht="10.199999999999999" x14ac:dyDescent="0.2">
      <c r="J203" s="109"/>
    </row>
    <row r="204" spans="10:10" ht="10.199999999999999" x14ac:dyDescent="0.2">
      <c r="J204" s="109"/>
    </row>
    <row r="205" spans="10:10" ht="10.199999999999999" x14ac:dyDescent="0.2">
      <c r="J205" s="109"/>
    </row>
    <row r="206" spans="10:10" ht="10.199999999999999" x14ac:dyDescent="0.2">
      <c r="J206" s="109"/>
    </row>
    <row r="207" spans="10:10" ht="10.199999999999999" x14ac:dyDescent="0.2">
      <c r="J207" s="109"/>
    </row>
    <row r="208" spans="10:10" ht="10.199999999999999" x14ac:dyDescent="0.2">
      <c r="J208" s="109"/>
    </row>
    <row r="209" spans="10:10" ht="10.199999999999999" x14ac:dyDescent="0.2">
      <c r="J209" s="109"/>
    </row>
    <row r="210" spans="10:10" ht="10.199999999999999" x14ac:dyDescent="0.2">
      <c r="J210" s="109"/>
    </row>
    <row r="211" spans="10:10" ht="10.199999999999999" x14ac:dyDescent="0.2">
      <c r="J211" s="109"/>
    </row>
    <row r="212" spans="10:10" ht="10.199999999999999" x14ac:dyDescent="0.2">
      <c r="J212" s="109"/>
    </row>
    <row r="213" spans="10:10" ht="10.199999999999999" x14ac:dyDescent="0.2">
      <c r="J213" s="109"/>
    </row>
    <row r="214" spans="10:10" ht="10.199999999999999" x14ac:dyDescent="0.2">
      <c r="J214" s="109"/>
    </row>
    <row r="215" spans="10:10" ht="10.199999999999999" x14ac:dyDescent="0.2">
      <c r="J215" s="109"/>
    </row>
    <row r="216" spans="10:10" ht="10.199999999999999" x14ac:dyDescent="0.2">
      <c r="J216" s="109"/>
    </row>
    <row r="217" spans="10:10" ht="10.199999999999999" x14ac:dyDescent="0.2">
      <c r="J217" s="109"/>
    </row>
    <row r="218" spans="10:10" ht="10.199999999999999" x14ac:dyDescent="0.2">
      <c r="J218" s="109"/>
    </row>
    <row r="219" spans="10:10" ht="10.199999999999999" x14ac:dyDescent="0.2">
      <c r="J219" s="109"/>
    </row>
    <row r="220" spans="10:10" ht="10.199999999999999" x14ac:dyDescent="0.2">
      <c r="J220" s="109"/>
    </row>
    <row r="221" spans="10:10" ht="10.199999999999999" x14ac:dyDescent="0.2">
      <c r="J221" s="109"/>
    </row>
    <row r="222" spans="10:10" ht="10.199999999999999" x14ac:dyDescent="0.2">
      <c r="J222" s="109"/>
    </row>
    <row r="223" spans="10:10" ht="10.199999999999999" x14ac:dyDescent="0.2">
      <c r="J223" s="109"/>
    </row>
    <row r="224" spans="10:10" ht="10.199999999999999" x14ac:dyDescent="0.2">
      <c r="J224" s="109"/>
    </row>
    <row r="225" spans="10:10" ht="10.199999999999999" x14ac:dyDescent="0.2">
      <c r="J225" s="109"/>
    </row>
    <row r="226" spans="10:10" ht="10.199999999999999" x14ac:dyDescent="0.2">
      <c r="J226" s="109"/>
    </row>
    <row r="227" spans="10:10" ht="10.199999999999999" x14ac:dyDescent="0.2">
      <c r="J227" s="109"/>
    </row>
    <row r="228" spans="10:10" ht="10.199999999999999" x14ac:dyDescent="0.2">
      <c r="J228" s="109"/>
    </row>
    <row r="229" spans="10:10" ht="10.199999999999999" x14ac:dyDescent="0.2">
      <c r="J229" s="109"/>
    </row>
    <row r="230" spans="10:10" ht="10.199999999999999" x14ac:dyDescent="0.2">
      <c r="J230" s="109"/>
    </row>
    <row r="231" spans="10:10" ht="10.199999999999999" x14ac:dyDescent="0.2">
      <c r="J231" s="109"/>
    </row>
    <row r="232" spans="10:10" ht="10.199999999999999" x14ac:dyDescent="0.2">
      <c r="J232" s="109"/>
    </row>
    <row r="233" spans="10:10" ht="10.199999999999999" x14ac:dyDescent="0.2">
      <c r="J233" s="109"/>
    </row>
    <row r="234" spans="10:10" ht="10.199999999999999" x14ac:dyDescent="0.2">
      <c r="J234" s="109"/>
    </row>
    <row r="235" spans="10:10" ht="10.199999999999999" x14ac:dyDescent="0.2">
      <c r="J235" s="109"/>
    </row>
    <row r="236" spans="10:10" ht="10.199999999999999" x14ac:dyDescent="0.2">
      <c r="J236" s="109"/>
    </row>
    <row r="237" spans="10:10" ht="10.199999999999999" x14ac:dyDescent="0.2">
      <c r="J237" s="109"/>
    </row>
    <row r="238" spans="10:10" ht="10.199999999999999" x14ac:dyDescent="0.2">
      <c r="J238" s="109"/>
    </row>
    <row r="239" spans="10:10" ht="10.199999999999999" x14ac:dyDescent="0.2">
      <c r="J239" s="109"/>
    </row>
    <row r="240" spans="10:10" ht="10.199999999999999" x14ac:dyDescent="0.2">
      <c r="J240" s="109"/>
    </row>
    <row r="241" spans="10:10" ht="10.199999999999999" x14ac:dyDescent="0.2">
      <c r="J241" s="109"/>
    </row>
    <row r="242" spans="10:10" ht="10.199999999999999" x14ac:dyDescent="0.2">
      <c r="J242" s="109"/>
    </row>
    <row r="243" spans="10:10" ht="10.199999999999999" x14ac:dyDescent="0.2">
      <c r="J243" s="109"/>
    </row>
    <row r="244" spans="10:10" ht="10.199999999999999" x14ac:dyDescent="0.2">
      <c r="J244" s="109"/>
    </row>
    <row r="245" spans="10:10" ht="10.199999999999999" x14ac:dyDescent="0.2">
      <c r="J245" s="109"/>
    </row>
    <row r="246" spans="10:10" ht="10.199999999999999" x14ac:dyDescent="0.2">
      <c r="J246" s="109"/>
    </row>
    <row r="247" spans="10:10" ht="10.199999999999999" x14ac:dyDescent="0.2">
      <c r="J247" s="109"/>
    </row>
    <row r="248" spans="10:10" ht="10.199999999999999" x14ac:dyDescent="0.2">
      <c r="J248" s="109"/>
    </row>
    <row r="249" spans="10:10" ht="10.199999999999999" x14ac:dyDescent="0.2">
      <c r="J249" s="109"/>
    </row>
    <row r="250" spans="10:10" ht="10.199999999999999" x14ac:dyDescent="0.2">
      <c r="J250" s="109"/>
    </row>
    <row r="251" spans="10:10" ht="10.199999999999999" x14ac:dyDescent="0.2">
      <c r="J251" s="109"/>
    </row>
    <row r="252" spans="10:10" ht="10.199999999999999" x14ac:dyDescent="0.2">
      <c r="J252" s="109"/>
    </row>
    <row r="253" spans="10:10" ht="10.199999999999999" x14ac:dyDescent="0.2">
      <c r="J253" s="109"/>
    </row>
    <row r="254" spans="10:10" ht="10.199999999999999" x14ac:dyDescent="0.2">
      <c r="J254" s="109"/>
    </row>
    <row r="255" spans="10:10" ht="10.199999999999999" x14ac:dyDescent="0.2">
      <c r="J255" s="109"/>
    </row>
    <row r="256" spans="10:10" ht="10.199999999999999" x14ac:dyDescent="0.2">
      <c r="J256" s="109"/>
    </row>
    <row r="257" spans="10:10" ht="10.199999999999999" x14ac:dyDescent="0.2">
      <c r="J257" s="109"/>
    </row>
    <row r="258" spans="10:10" ht="10.199999999999999" x14ac:dyDescent="0.2">
      <c r="J258" s="109"/>
    </row>
    <row r="259" spans="10:10" ht="10.199999999999999" x14ac:dyDescent="0.2">
      <c r="J259" s="109"/>
    </row>
    <row r="260" spans="10:10" ht="10.199999999999999" x14ac:dyDescent="0.2">
      <c r="J260" s="109"/>
    </row>
    <row r="261" spans="10:10" ht="10.199999999999999" x14ac:dyDescent="0.2">
      <c r="J261" s="109"/>
    </row>
    <row r="262" spans="10:10" ht="10.199999999999999" x14ac:dyDescent="0.2">
      <c r="J262" s="109"/>
    </row>
    <row r="263" spans="10:10" ht="10.199999999999999" x14ac:dyDescent="0.2">
      <c r="J263" s="109"/>
    </row>
    <row r="264" spans="10:10" ht="10.199999999999999" x14ac:dyDescent="0.2">
      <c r="J264" s="109"/>
    </row>
    <row r="265" spans="10:10" ht="10.199999999999999" x14ac:dyDescent="0.2">
      <c r="J265" s="109"/>
    </row>
    <row r="266" spans="10:10" ht="10.199999999999999" x14ac:dyDescent="0.2">
      <c r="J266" s="109"/>
    </row>
    <row r="267" spans="10:10" ht="10.199999999999999" x14ac:dyDescent="0.2">
      <c r="J267" s="109"/>
    </row>
    <row r="268" spans="10:10" ht="10.199999999999999" x14ac:dyDescent="0.2">
      <c r="J268" s="109"/>
    </row>
    <row r="269" spans="10:10" ht="10.199999999999999" x14ac:dyDescent="0.2">
      <c r="J269" s="109"/>
    </row>
    <row r="270" spans="10:10" ht="10.199999999999999" x14ac:dyDescent="0.2">
      <c r="J270" s="109"/>
    </row>
    <row r="271" spans="10:10" ht="10.199999999999999" x14ac:dyDescent="0.2">
      <c r="J271" s="109"/>
    </row>
    <row r="272" spans="10:10" ht="10.199999999999999" x14ac:dyDescent="0.2">
      <c r="J272" s="109"/>
    </row>
    <row r="273" spans="10:10" ht="10.199999999999999" x14ac:dyDescent="0.2">
      <c r="J273" s="109"/>
    </row>
    <row r="274" spans="10:10" ht="10.199999999999999" x14ac:dyDescent="0.2">
      <c r="J274" s="109"/>
    </row>
    <row r="275" spans="10:10" ht="10.199999999999999" x14ac:dyDescent="0.2">
      <c r="J275" s="109"/>
    </row>
    <row r="276" spans="10:10" ht="10.199999999999999" x14ac:dyDescent="0.2">
      <c r="J276" s="109"/>
    </row>
    <row r="277" spans="10:10" ht="10.199999999999999" x14ac:dyDescent="0.2">
      <c r="J277" s="109"/>
    </row>
    <row r="278" spans="10:10" ht="10.199999999999999" x14ac:dyDescent="0.2">
      <c r="J278" s="109"/>
    </row>
    <row r="279" spans="10:10" ht="10.199999999999999" x14ac:dyDescent="0.2">
      <c r="J279" s="109"/>
    </row>
    <row r="280" spans="10:10" ht="10.199999999999999" x14ac:dyDescent="0.2">
      <c r="J280" s="109"/>
    </row>
    <row r="281" spans="10:10" ht="10.199999999999999" x14ac:dyDescent="0.2">
      <c r="J281" s="109"/>
    </row>
    <row r="282" spans="10:10" ht="10.199999999999999" x14ac:dyDescent="0.2">
      <c r="J282" s="109"/>
    </row>
    <row r="283" spans="10:10" ht="10.199999999999999" x14ac:dyDescent="0.2">
      <c r="J283" s="109"/>
    </row>
    <row r="284" spans="10:10" ht="10.199999999999999" x14ac:dyDescent="0.2">
      <c r="J284" s="109"/>
    </row>
    <row r="285" spans="10:10" ht="10.199999999999999" x14ac:dyDescent="0.2">
      <c r="J285" s="109"/>
    </row>
    <row r="286" spans="10:10" ht="10.199999999999999" x14ac:dyDescent="0.2">
      <c r="J286" s="109"/>
    </row>
    <row r="287" spans="10:10" ht="10.199999999999999" x14ac:dyDescent="0.2">
      <c r="J287" s="109"/>
    </row>
    <row r="288" spans="10:10" ht="10.199999999999999" x14ac:dyDescent="0.2">
      <c r="J288" s="109"/>
    </row>
    <row r="289" spans="10:10" ht="10.199999999999999" x14ac:dyDescent="0.2">
      <c r="J289" s="109"/>
    </row>
    <row r="290" spans="10:10" ht="10.199999999999999" x14ac:dyDescent="0.2">
      <c r="J290" s="109"/>
    </row>
    <row r="291" spans="10:10" ht="10.199999999999999" x14ac:dyDescent="0.2">
      <c r="J291" s="109"/>
    </row>
    <row r="292" spans="10:10" ht="10.199999999999999" x14ac:dyDescent="0.2">
      <c r="J292" s="109"/>
    </row>
    <row r="293" spans="10:10" ht="10.199999999999999" x14ac:dyDescent="0.2">
      <c r="J293" s="109"/>
    </row>
    <row r="294" spans="10:10" ht="10.199999999999999" x14ac:dyDescent="0.2">
      <c r="J294" s="109"/>
    </row>
    <row r="295" spans="10:10" ht="10.199999999999999" x14ac:dyDescent="0.2">
      <c r="J295" s="109"/>
    </row>
    <row r="296" spans="10:10" ht="10.199999999999999" x14ac:dyDescent="0.2">
      <c r="J296" s="109"/>
    </row>
    <row r="297" spans="10:10" ht="10.199999999999999" x14ac:dyDescent="0.2">
      <c r="J297" s="109"/>
    </row>
    <row r="298" spans="10:10" ht="10.199999999999999" x14ac:dyDescent="0.2">
      <c r="J298" s="109"/>
    </row>
    <row r="299" spans="10:10" ht="10.199999999999999" x14ac:dyDescent="0.2">
      <c r="J299" s="109"/>
    </row>
    <row r="300" spans="10:10" ht="10.199999999999999" x14ac:dyDescent="0.2">
      <c r="J300" s="109"/>
    </row>
    <row r="301" spans="10:10" ht="10.199999999999999" x14ac:dyDescent="0.2">
      <c r="J301" s="109"/>
    </row>
    <row r="302" spans="10:10" ht="10.199999999999999" x14ac:dyDescent="0.2">
      <c r="J302" s="109"/>
    </row>
    <row r="303" spans="10:10" ht="10.199999999999999" x14ac:dyDescent="0.2">
      <c r="J303" s="109"/>
    </row>
    <row r="304" spans="10:10" ht="10.199999999999999" x14ac:dyDescent="0.2">
      <c r="J304" s="109"/>
    </row>
    <row r="305" spans="10:10" ht="10.199999999999999" x14ac:dyDescent="0.2">
      <c r="J305" s="109"/>
    </row>
    <row r="306" spans="10:10" ht="10.199999999999999" x14ac:dyDescent="0.2">
      <c r="J306" s="109"/>
    </row>
    <row r="307" spans="10:10" ht="10.199999999999999" x14ac:dyDescent="0.2">
      <c r="J307" s="109"/>
    </row>
    <row r="308" spans="10:10" ht="10.199999999999999" x14ac:dyDescent="0.2">
      <c r="J308" s="109"/>
    </row>
    <row r="309" spans="10:10" ht="10.199999999999999" x14ac:dyDescent="0.2">
      <c r="J309" s="109"/>
    </row>
    <row r="310" spans="10:10" ht="10.199999999999999" x14ac:dyDescent="0.2">
      <c r="J310" s="109"/>
    </row>
    <row r="311" spans="10:10" ht="10.199999999999999" x14ac:dyDescent="0.2">
      <c r="J311" s="109"/>
    </row>
    <row r="312" spans="10:10" ht="10.199999999999999" x14ac:dyDescent="0.2">
      <c r="J312" s="109"/>
    </row>
    <row r="313" spans="10:10" ht="10.199999999999999" x14ac:dyDescent="0.2">
      <c r="J313" s="109"/>
    </row>
    <row r="314" spans="10:10" ht="10.199999999999999" x14ac:dyDescent="0.2">
      <c r="J314" s="109"/>
    </row>
    <row r="315" spans="10:10" ht="10.199999999999999" x14ac:dyDescent="0.2">
      <c r="J315" s="109"/>
    </row>
    <row r="316" spans="10:10" ht="10.199999999999999" x14ac:dyDescent="0.2">
      <c r="J316" s="109"/>
    </row>
    <row r="317" spans="10:10" ht="10.199999999999999" x14ac:dyDescent="0.2">
      <c r="J317" s="109"/>
    </row>
    <row r="318" spans="10:10" ht="10.199999999999999" x14ac:dyDescent="0.2">
      <c r="J318" s="109"/>
    </row>
    <row r="319" spans="10:10" ht="10.199999999999999" x14ac:dyDescent="0.2">
      <c r="J319" s="109"/>
    </row>
    <row r="320" spans="10:10" ht="10.199999999999999" x14ac:dyDescent="0.2">
      <c r="J320" s="109"/>
    </row>
    <row r="321" spans="10:10" ht="10.199999999999999" x14ac:dyDescent="0.2">
      <c r="J321" s="109"/>
    </row>
    <row r="322" spans="10:10" ht="10.199999999999999" x14ac:dyDescent="0.2">
      <c r="J322" s="109"/>
    </row>
    <row r="323" spans="10:10" ht="10.199999999999999" x14ac:dyDescent="0.2">
      <c r="J323" s="109"/>
    </row>
    <row r="324" spans="10:10" ht="10.199999999999999" x14ac:dyDescent="0.2">
      <c r="J324" s="109"/>
    </row>
    <row r="325" spans="10:10" ht="10.199999999999999" x14ac:dyDescent="0.2">
      <c r="J325" s="109"/>
    </row>
    <row r="326" spans="10:10" ht="10.199999999999999" x14ac:dyDescent="0.2">
      <c r="J326" s="109"/>
    </row>
    <row r="327" spans="10:10" ht="10.199999999999999" x14ac:dyDescent="0.2">
      <c r="J327" s="109"/>
    </row>
    <row r="328" spans="10:10" ht="10.199999999999999" x14ac:dyDescent="0.2">
      <c r="J328" s="109"/>
    </row>
    <row r="329" spans="10:10" ht="10.199999999999999" x14ac:dyDescent="0.2">
      <c r="J329" s="109"/>
    </row>
    <row r="330" spans="10:10" ht="10.199999999999999" x14ac:dyDescent="0.2">
      <c r="J330" s="109"/>
    </row>
    <row r="331" spans="10:10" ht="10.199999999999999" x14ac:dyDescent="0.2">
      <c r="J331" s="109"/>
    </row>
    <row r="332" spans="10:10" ht="10.199999999999999" x14ac:dyDescent="0.2">
      <c r="J332" s="109"/>
    </row>
    <row r="333" spans="10:10" ht="10.199999999999999" x14ac:dyDescent="0.2">
      <c r="J333" s="109"/>
    </row>
    <row r="334" spans="10:10" ht="10.199999999999999" x14ac:dyDescent="0.2">
      <c r="J334" s="109"/>
    </row>
    <row r="335" spans="10:10" ht="10.199999999999999" x14ac:dyDescent="0.2">
      <c r="J335" s="109"/>
    </row>
    <row r="336" spans="10:10" ht="10.199999999999999" x14ac:dyDescent="0.2">
      <c r="J336" s="109"/>
    </row>
    <row r="337" spans="10:10" ht="10.199999999999999" x14ac:dyDescent="0.2">
      <c r="J337" s="109"/>
    </row>
    <row r="338" spans="10:10" ht="10.199999999999999" x14ac:dyDescent="0.2">
      <c r="J338" s="109"/>
    </row>
    <row r="339" spans="10:10" ht="10.199999999999999" x14ac:dyDescent="0.2">
      <c r="J339" s="109"/>
    </row>
    <row r="340" spans="10:10" ht="10.199999999999999" x14ac:dyDescent="0.2">
      <c r="J340" s="109"/>
    </row>
    <row r="341" spans="10:10" ht="10.199999999999999" x14ac:dyDescent="0.2">
      <c r="J341" s="109"/>
    </row>
    <row r="342" spans="10:10" ht="10.199999999999999" x14ac:dyDescent="0.2">
      <c r="J342" s="109"/>
    </row>
    <row r="343" spans="10:10" ht="10.199999999999999" x14ac:dyDescent="0.2">
      <c r="J343" s="109"/>
    </row>
    <row r="344" spans="10:10" ht="10.199999999999999" x14ac:dyDescent="0.2">
      <c r="J344" s="109"/>
    </row>
    <row r="345" spans="10:10" ht="10.199999999999999" x14ac:dyDescent="0.2">
      <c r="J345" s="109"/>
    </row>
    <row r="346" spans="10:10" ht="10.199999999999999" x14ac:dyDescent="0.2">
      <c r="J346" s="109"/>
    </row>
    <row r="347" spans="10:10" ht="10.199999999999999" x14ac:dyDescent="0.2">
      <c r="J347" s="109"/>
    </row>
    <row r="348" spans="10:10" ht="10.199999999999999" x14ac:dyDescent="0.2">
      <c r="J348" s="109"/>
    </row>
    <row r="349" spans="10:10" ht="10.199999999999999" x14ac:dyDescent="0.2">
      <c r="J349" s="109"/>
    </row>
    <row r="350" spans="10:10" ht="10.199999999999999" x14ac:dyDescent="0.2">
      <c r="J350" s="109"/>
    </row>
    <row r="351" spans="10:10" ht="10.199999999999999" x14ac:dyDescent="0.2">
      <c r="J351" s="109"/>
    </row>
    <row r="352" spans="10:10" ht="10.199999999999999" x14ac:dyDescent="0.2">
      <c r="J352" s="109"/>
    </row>
    <row r="353" spans="10:10" ht="10.199999999999999" x14ac:dyDescent="0.2">
      <c r="J353" s="109"/>
    </row>
    <row r="354" spans="10:10" ht="10.199999999999999" x14ac:dyDescent="0.2">
      <c r="J354" s="109"/>
    </row>
    <row r="355" spans="10:10" ht="10.199999999999999" x14ac:dyDescent="0.2">
      <c r="J355" s="109"/>
    </row>
    <row r="356" spans="10:10" ht="10.199999999999999" x14ac:dyDescent="0.2">
      <c r="J356" s="109"/>
    </row>
    <row r="357" spans="10:10" ht="10.199999999999999" x14ac:dyDescent="0.2">
      <c r="J357" s="109"/>
    </row>
    <row r="358" spans="10:10" ht="10.199999999999999" x14ac:dyDescent="0.2">
      <c r="J358" s="109"/>
    </row>
    <row r="359" spans="10:10" ht="10.199999999999999" x14ac:dyDescent="0.2">
      <c r="J359" s="109"/>
    </row>
    <row r="360" spans="10:10" ht="10.199999999999999" x14ac:dyDescent="0.2">
      <c r="J360" s="109"/>
    </row>
    <row r="361" spans="10:10" ht="10.199999999999999" x14ac:dyDescent="0.2">
      <c r="J361" s="109"/>
    </row>
    <row r="362" spans="10:10" ht="10.199999999999999" x14ac:dyDescent="0.2">
      <c r="J362" s="109"/>
    </row>
    <row r="363" spans="10:10" ht="10.199999999999999" x14ac:dyDescent="0.2">
      <c r="J363" s="109"/>
    </row>
    <row r="364" spans="10:10" ht="10.199999999999999" x14ac:dyDescent="0.2">
      <c r="J364" s="109"/>
    </row>
    <row r="365" spans="10:10" ht="10.199999999999999" x14ac:dyDescent="0.2">
      <c r="J365" s="109"/>
    </row>
    <row r="366" spans="10:10" ht="10.199999999999999" x14ac:dyDescent="0.2">
      <c r="J366" s="109"/>
    </row>
    <row r="367" spans="10:10" ht="10.199999999999999" x14ac:dyDescent="0.2">
      <c r="J367" s="109"/>
    </row>
    <row r="368" spans="10:10" ht="10.199999999999999" x14ac:dyDescent="0.2">
      <c r="J368" s="109"/>
    </row>
    <row r="369" spans="10:10" ht="10.199999999999999" x14ac:dyDescent="0.2">
      <c r="J369" s="109"/>
    </row>
    <row r="370" spans="10:10" ht="10.199999999999999" x14ac:dyDescent="0.2">
      <c r="J370" s="109"/>
    </row>
    <row r="371" spans="10:10" ht="10.199999999999999" x14ac:dyDescent="0.2">
      <c r="J371" s="109"/>
    </row>
    <row r="372" spans="10:10" ht="10.199999999999999" x14ac:dyDescent="0.2">
      <c r="J372" s="109"/>
    </row>
    <row r="373" spans="10:10" ht="10.199999999999999" x14ac:dyDescent="0.2">
      <c r="J373" s="109"/>
    </row>
    <row r="374" spans="10:10" ht="10.199999999999999" x14ac:dyDescent="0.2">
      <c r="J374" s="109"/>
    </row>
    <row r="375" spans="10:10" ht="10.199999999999999" x14ac:dyDescent="0.2">
      <c r="J375" s="109"/>
    </row>
    <row r="376" spans="10:10" ht="10.199999999999999" x14ac:dyDescent="0.2">
      <c r="J376" s="109"/>
    </row>
    <row r="377" spans="10:10" ht="10.199999999999999" x14ac:dyDescent="0.2">
      <c r="J377" s="109"/>
    </row>
    <row r="378" spans="10:10" ht="10.199999999999999" x14ac:dyDescent="0.2">
      <c r="J378" s="109"/>
    </row>
    <row r="379" spans="10:10" ht="10.199999999999999" x14ac:dyDescent="0.2">
      <c r="J379" s="109"/>
    </row>
    <row r="380" spans="10:10" ht="10.199999999999999" x14ac:dyDescent="0.2">
      <c r="J380" s="109"/>
    </row>
    <row r="381" spans="10:10" ht="10.199999999999999" x14ac:dyDescent="0.2">
      <c r="J381" s="109"/>
    </row>
    <row r="382" spans="10:10" ht="10.199999999999999" x14ac:dyDescent="0.2">
      <c r="J382" s="109"/>
    </row>
    <row r="383" spans="10:10" ht="10.199999999999999" x14ac:dyDescent="0.2">
      <c r="J383" s="109"/>
    </row>
    <row r="384" spans="10:10" ht="10.199999999999999" x14ac:dyDescent="0.2">
      <c r="J384" s="109"/>
    </row>
    <row r="385" spans="10:10" ht="10.199999999999999" x14ac:dyDescent="0.2">
      <c r="J385" s="109"/>
    </row>
    <row r="386" spans="10:10" ht="10.199999999999999" x14ac:dyDescent="0.2">
      <c r="J386" s="109"/>
    </row>
    <row r="387" spans="10:10" ht="10.199999999999999" x14ac:dyDescent="0.2">
      <c r="J387" s="109"/>
    </row>
    <row r="388" spans="10:10" ht="10.199999999999999" x14ac:dyDescent="0.2">
      <c r="J388" s="109"/>
    </row>
    <row r="389" spans="10:10" ht="10.199999999999999" x14ac:dyDescent="0.2">
      <c r="J389" s="109"/>
    </row>
    <row r="390" spans="10:10" ht="10.199999999999999" x14ac:dyDescent="0.2">
      <c r="J390" s="109"/>
    </row>
    <row r="391" spans="10:10" ht="10.199999999999999" x14ac:dyDescent="0.2">
      <c r="J391" s="109"/>
    </row>
    <row r="392" spans="10:10" ht="10.199999999999999" x14ac:dyDescent="0.2">
      <c r="J392" s="109"/>
    </row>
    <row r="393" spans="10:10" ht="10.199999999999999" x14ac:dyDescent="0.2">
      <c r="J393" s="109"/>
    </row>
    <row r="394" spans="10:10" ht="10.199999999999999" x14ac:dyDescent="0.2">
      <c r="J394" s="109"/>
    </row>
    <row r="395" spans="10:10" ht="10.199999999999999" x14ac:dyDescent="0.2">
      <c r="J395" s="109"/>
    </row>
    <row r="396" spans="10:10" ht="10.199999999999999" x14ac:dyDescent="0.2">
      <c r="J396" s="109"/>
    </row>
    <row r="397" spans="10:10" ht="10.199999999999999" x14ac:dyDescent="0.2">
      <c r="J397" s="109"/>
    </row>
    <row r="398" spans="10:10" ht="10.199999999999999" x14ac:dyDescent="0.2">
      <c r="J398" s="109"/>
    </row>
    <row r="399" spans="10:10" ht="10.199999999999999" x14ac:dyDescent="0.2">
      <c r="J399" s="109"/>
    </row>
    <row r="400" spans="10:10" ht="10.199999999999999" x14ac:dyDescent="0.2">
      <c r="J400" s="109"/>
    </row>
    <row r="401" spans="10:10" ht="10.199999999999999" x14ac:dyDescent="0.2">
      <c r="J401" s="109"/>
    </row>
    <row r="402" spans="10:10" ht="10.199999999999999" x14ac:dyDescent="0.2">
      <c r="J402" s="109"/>
    </row>
    <row r="403" spans="10:10" ht="10.199999999999999" x14ac:dyDescent="0.2">
      <c r="J403" s="109"/>
    </row>
    <row r="404" spans="10:10" ht="10.199999999999999" x14ac:dyDescent="0.2">
      <c r="J404" s="109"/>
    </row>
    <row r="405" spans="10:10" ht="10.199999999999999" x14ac:dyDescent="0.2">
      <c r="J405" s="109"/>
    </row>
    <row r="406" spans="10:10" ht="10.199999999999999" x14ac:dyDescent="0.2">
      <c r="J406" s="109"/>
    </row>
    <row r="407" spans="10:10" ht="10.199999999999999" x14ac:dyDescent="0.2">
      <c r="J407" s="109"/>
    </row>
    <row r="408" spans="10:10" ht="10.199999999999999" x14ac:dyDescent="0.2">
      <c r="J408" s="109"/>
    </row>
    <row r="409" spans="10:10" ht="10.199999999999999" x14ac:dyDescent="0.2">
      <c r="J409" s="109"/>
    </row>
    <row r="410" spans="10:10" ht="10.199999999999999" x14ac:dyDescent="0.2">
      <c r="J410" s="109"/>
    </row>
    <row r="411" spans="10:10" ht="10.199999999999999" x14ac:dyDescent="0.2">
      <c r="J411" s="109"/>
    </row>
    <row r="412" spans="10:10" ht="10.199999999999999" x14ac:dyDescent="0.2">
      <c r="J412" s="109"/>
    </row>
    <row r="413" spans="10:10" ht="10.199999999999999" x14ac:dyDescent="0.2">
      <c r="J413" s="109"/>
    </row>
    <row r="414" spans="10:10" ht="10.199999999999999" x14ac:dyDescent="0.2">
      <c r="J414" s="109"/>
    </row>
    <row r="415" spans="10:10" ht="10.199999999999999" x14ac:dyDescent="0.2">
      <c r="J415" s="109"/>
    </row>
    <row r="416" spans="10:10" ht="10.199999999999999" x14ac:dyDescent="0.2">
      <c r="J416" s="109"/>
    </row>
    <row r="417" spans="10:10" ht="10.199999999999999" x14ac:dyDescent="0.2">
      <c r="J417" s="109"/>
    </row>
    <row r="418" spans="10:10" ht="10.199999999999999" x14ac:dyDescent="0.2">
      <c r="J418" s="109"/>
    </row>
    <row r="419" spans="10:10" ht="10.199999999999999" x14ac:dyDescent="0.2">
      <c r="J419" s="109"/>
    </row>
    <row r="420" spans="10:10" ht="10.199999999999999" x14ac:dyDescent="0.2">
      <c r="J420" s="109"/>
    </row>
    <row r="421" spans="10:10" ht="10.199999999999999" x14ac:dyDescent="0.2">
      <c r="J421" s="109"/>
    </row>
    <row r="422" spans="10:10" ht="10.199999999999999" x14ac:dyDescent="0.2">
      <c r="J422" s="109"/>
    </row>
    <row r="423" spans="10:10" ht="10.199999999999999" x14ac:dyDescent="0.2">
      <c r="J423" s="109"/>
    </row>
    <row r="424" spans="10:10" ht="10.199999999999999" x14ac:dyDescent="0.2">
      <c r="J424" s="109"/>
    </row>
    <row r="425" spans="10:10" ht="10.199999999999999" x14ac:dyDescent="0.2">
      <c r="J425" s="109"/>
    </row>
    <row r="426" spans="10:10" ht="10.199999999999999" x14ac:dyDescent="0.2">
      <c r="J426" s="109"/>
    </row>
    <row r="427" spans="10:10" ht="10.199999999999999" x14ac:dyDescent="0.2">
      <c r="J427" s="109"/>
    </row>
    <row r="428" spans="10:10" ht="10.199999999999999" x14ac:dyDescent="0.2">
      <c r="J428" s="109"/>
    </row>
    <row r="429" spans="10:10" ht="10.199999999999999" x14ac:dyDescent="0.2">
      <c r="J429" s="109"/>
    </row>
    <row r="430" spans="10:10" ht="10.199999999999999" x14ac:dyDescent="0.2">
      <c r="J430" s="109"/>
    </row>
    <row r="431" spans="10:10" ht="10.199999999999999" x14ac:dyDescent="0.2">
      <c r="J431" s="109"/>
    </row>
    <row r="432" spans="10:10" ht="10.199999999999999" x14ac:dyDescent="0.2">
      <c r="J432" s="109"/>
    </row>
    <row r="433" spans="10:10" ht="10.199999999999999" x14ac:dyDescent="0.2">
      <c r="J433" s="109"/>
    </row>
    <row r="434" spans="10:10" ht="10.199999999999999" x14ac:dyDescent="0.2">
      <c r="J434" s="109"/>
    </row>
    <row r="435" spans="10:10" ht="10.199999999999999" x14ac:dyDescent="0.2">
      <c r="J435" s="109"/>
    </row>
    <row r="436" spans="10:10" ht="10.199999999999999" x14ac:dyDescent="0.2">
      <c r="J436" s="109"/>
    </row>
    <row r="437" spans="10:10" ht="10.199999999999999" x14ac:dyDescent="0.2">
      <c r="J437" s="109"/>
    </row>
    <row r="438" spans="10:10" ht="10.199999999999999" x14ac:dyDescent="0.2">
      <c r="J438" s="109"/>
    </row>
    <row r="439" spans="10:10" ht="10.199999999999999" x14ac:dyDescent="0.2">
      <c r="J439" s="109"/>
    </row>
    <row r="440" spans="10:10" ht="10.199999999999999" x14ac:dyDescent="0.2">
      <c r="J440" s="109"/>
    </row>
    <row r="441" spans="10:10" ht="10.199999999999999" x14ac:dyDescent="0.2">
      <c r="J441" s="109"/>
    </row>
    <row r="442" spans="10:10" ht="10.199999999999999" x14ac:dyDescent="0.2">
      <c r="J442" s="109"/>
    </row>
    <row r="443" spans="10:10" ht="10.199999999999999" x14ac:dyDescent="0.2">
      <c r="J443" s="109"/>
    </row>
    <row r="444" spans="10:10" ht="10.199999999999999" x14ac:dyDescent="0.2">
      <c r="J444" s="109"/>
    </row>
    <row r="445" spans="10:10" ht="10.199999999999999" x14ac:dyDescent="0.2">
      <c r="J445" s="109"/>
    </row>
    <row r="446" spans="10:10" ht="10.199999999999999" x14ac:dyDescent="0.2">
      <c r="J446" s="109"/>
    </row>
    <row r="447" spans="10:10" ht="10.199999999999999" x14ac:dyDescent="0.2">
      <c r="J447" s="109"/>
    </row>
    <row r="448" spans="10:10" ht="10.199999999999999" x14ac:dyDescent="0.2">
      <c r="J448" s="109"/>
    </row>
    <row r="449" spans="10:10" ht="10.199999999999999" x14ac:dyDescent="0.2">
      <c r="J449" s="109"/>
    </row>
    <row r="450" spans="10:10" ht="10.199999999999999" x14ac:dyDescent="0.2">
      <c r="J450" s="109"/>
    </row>
    <row r="451" spans="10:10" ht="10.199999999999999" x14ac:dyDescent="0.2">
      <c r="J451" s="109"/>
    </row>
    <row r="452" spans="10:10" ht="10.199999999999999" x14ac:dyDescent="0.2">
      <c r="J452" s="109"/>
    </row>
    <row r="453" spans="10:10" ht="10.199999999999999" x14ac:dyDescent="0.2">
      <c r="J453" s="109"/>
    </row>
    <row r="454" spans="10:10" ht="10.199999999999999" x14ac:dyDescent="0.2">
      <c r="J454" s="109"/>
    </row>
    <row r="455" spans="10:10" ht="10.199999999999999" x14ac:dyDescent="0.2">
      <c r="J455" s="109"/>
    </row>
    <row r="456" spans="10:10" ht="10.199999999999999" x14ac:dyDescent="0.2">
      <c r="J456" s="109"/>
    </row>
    <row r="457" spans="10:10" ht="10.199999999999999" x14ac:dyDescent="0.2">
      <c r="J457" s="109"/>
    </row>
    <row r="458" spans="10:10" ht="10.199999999999999" x14ac:dyDescent="0.2">
      <c r="J458" s="109"/>
    </row>
    <row r="459" spans="10:10" ht="10.199999999999999" x14ac:dyDescent="0.2">
      <c r="J459" s="109"/>
    </row>
    <row r="460" spans="10:10" ht="10.199999999999999" x14ac:dyDescent="0.2">
      <c r="J460" s="109"/>
    </row>
    <row r="461" spans="10:10" ht="10.199999999999999" x14ac:dyDescent="0.2">
      <c r="J461" s="109"/>
    </row>
    <row r="462" spans="10:10" ht="10.199999999999999" x14ac:dyDescent="0.2">
      <c r="J462" s="109"/>
    </row>
    <row r="463" spans="10:10" ht="10.199999999999999" x14ac:dyDescent="0.2">
      <c r="J463" s="109"/>
    </row>
    <row r="464" spans="10:10" ht="10.199999999999999" x14ac:dyDescent="0.2">
      <c r="J464" s="109"/>
    </row>
    <row r="465" spans="10:10" ht="10.199999999999999" x14ac:dyDescent="0.2">
      <c r="J465" s="109"/>
    </row>
    <row r="466" spans="10:10" ht="10.199999999999999" x14ac:dyDescent="0.2">
      <c r="J466" s="109"/>
    </row>
    <row r="467" spans="10:10" ht="10.199999999999999" x14ac:dyDescent="0.2">
      <c r="J467" s="109"/>
    </row>
    <row r="468" spans="10:10" ht="10.199999999999999" x14ac:dyDescent="0.2">
      <c r="J468" s="109"/>
    </row>
    <row r="469" spans="10:10" ht="10.199999999999999" x14ac:dyDescent="0.2">
      <c r="J469" s="109"/>
    </row>
    <row r="470" spans="10:10" ht="10.199999999999999" x14ac:dyDescent="0.2">
      <c r="J470" s="109"/>
    </row>
    <row r="471" spans="10:10" ht="10.199999999999999" x14ac:dyDescent="0.2">
      <c r="J471" s="109"/>
    </row>
    <row r="472" spans="10:10" ht="10.199999999999999" x14ac:dyDescent="0.2">
      <c r="J472" s="109"/>
    </row>
    <row r="473" spans="10:10" ht="10.199999999999999" x14ac:dyDescent="0.2">
      <c r="J473" s="109"/>
    </row>
    <row r="474" spans="10:10" ht="10.199999999999999" x14ac:dyDescent="0.2">
      <c r="J474" s="109"/>
    </row>
    <row r="475" spans="10:10" ht="10.199999999999999" x14ac:dyDescent="0.2">
      <c r="J475" s="109"/>
    </row>
    <row r="476" spans="10:10" ht="10.199999999999999" x14ac:dyDescent="0.2">
      <c r="J476" s="109"/>
    </row>
    <row r="477" spans="10:10" ht="10.199999999999999" x14ac:dyDescent="0.2">
      <c r="J477" s="109"/>
    </row>
    <row r="478" spans="10:10" ht="10.199999999999999" x14ac:dyDescent="0.2">
      <c r="J478" s="109"/>
    </row>
    <row r="479" spans="10:10" ht="10.199999999999999" x14ac:dyDescent="0.2">
      <c r="J479" s="109"/>
    </row>
    <row r="480" spans="10:10" ht="10.199999999999999" x14ac:dyDescent="0.2">
      <c r="J480" s="109"/>
    </row>
    <row r="481" spans="10:10" ht="10.199999999999999" x14ac:dyDescent="0.2">
      <c r="J481" s="109"/>
    </row>
    <row r="482" spans="10:10" ht="10.199999999999999" x14ac:dyDescent="0.2">
      <c r="J482" s="109"/>
    </row>
    <row r="483" spans="10:10" ht="10.199999999999999" x14ac:dyDescent="0.2">
      <c r="J483" s="109"/>
    </row>
    <row r="484" spans="10:10" ht="10.199999999999999" x14ac:dyDescent="0.2">
      <c r="J484" s="109"/>
    </row>
    <row r="485" spans="10:10" ht="10.199999999999999" x14ac:dyDescent="0.2">
      <c r="J485" s="109"/>
    </row>
    <row r="486" spans="10:10" ht="10.199999999999999" x14ac:dyDescent="0.2">
      <c r="J486" s="109"/>
    </row>
    <row r="487" spans="10:10" ht="10.199999999999999" x14ac:dyDescent="0.2">
      <c r="J487" s="109"/>
    </row>
    <row r="488" spans="10:10" ht="10.199999999999999" x14ac:dyDescent="0.2">
      <c r="J488" s="109"/>
    </row>
    <row r="489" spans="10:10" ht="10.199999999999999" x14ac:dyDescent="0.2">
      <c r="J489" s="109"/>
    </row>
    <row r="490" spans="10:10" ht="10.199999999999999" x14ac:dyDescent="0.2">
      <c r="J490" s="109"/>
    </row>
    <row r="491" spans="10:10" ht="10.199999999999999" x14ac:dyDescent="0.2">
      <c r="J491" s="109"/>
    </row>
    <row r="492" spans="10:10" ht="10.199999999999999" x14ac:dyDescent="0.2">
      <c r="J492" s="109"/>
    </row>
    <row r="493" spans="10:10" ht="10.199999999999999" x14ac:dyDescent="0.2">
      <c r="J493" s="109"/>
    </row>
    <row r="494" spans="10:10" ht="10.199999999999999" x14ac:dyDescent="0.2">
      <c r="J494" s="109"/>
    </row>
    <row r="495" spans="10:10" ht="10.199999999999999" x14ac:dyDescent="0.2">
      <c r="J495" s="109"/>
    </row>
    <row r="496" spans="10:10" ht="10.199999999999999" x14ac:dyDescent="0.2">
      <c r="J496" s="109"/>
    </row>
    <row r="497" spans="10:10" ht="10.199999999999999" x14ac:dyDescent="0.2">
      <c r="J497" s="109"/>
    </row>
    <row r="498" spans="10:10" ht="10.199999999999999" x14ac:dyDescent="0.2">
      <c r="J498" s="109"/>
    </row>
    <row r="499" spans="10:10" ht="10.199999999999999" x14ac:dyDescent="0.2">
      <c r="J499" s="109"/>
    </row>
    <row r="500" spans="10:10" ht="10.199999999999999" x14ac:dyDescent="0.2">
      <c r="J500" s="109"/>
    </row>
    <row r="501" spans="10:10" ht="10.199999999999999" x14ac:dyDescent="0.2">
      <c r="J501" s="109"/>
    </row>
    <row r="502" spans="10:10" ht="10.199999999999999" x14ac:dyDescent="0.2">
      <c r="J502" s="109"/>
    </row>
    <row r="503" spans="10:10" ht="10.199999999999999" x14ac:dyDescent="0.2">
      <c r="J503" s="109"/>
    </row>
    <row r="504" spans="10:10" ht="10.199999999999999" x14ac:dyDescent="0.2">
      <c r="J504" s="109"/>
    </row>
    <row r="505" spans="10:10" ht="10.199999999999999" x14ac:dyDescent="0.2">
      <c r="J505" s="109"/>
    </row>
    <row r="506" spans="10:10" ht="10.199999999999999" x14ac:dyDescent="0.2">
      <c r="J506" s="109"/>
    </row>
    <row r="507" spans="10:10" ht="10.199999999999999" x14ac:dyDescent="0.2">
      <c r="J507" s="109"/>
    </row>
    <row r="508" spans="10:10" ht="10.199999999999999" x14ac:dyDescent="0.2">
      <c r="J508" s="109"/>
    </row>
    <row r="509" spans="10:10" ht="10.199999999999999" x14ac:dyDescent="0.2">
      <c r="J509" s="109"/>
    </row>
    <row r="510" spans="10:10" ht="10.199999999999999" x14ac:dyDescent="0.2">
      <c r="J510" s="109"/>
    </row>
    <row r="511" spans="10:10" ht="10.199999999999999" x14ac:dyDescent="0.2">
      <c r="J511" s="109"/>
    </row>
    <row r="512" spans="10:10" ht="10.199999999999999" x14ac:dyDescent="0.2">
      <c r="J512" s="109"/>
    </row>
    <row r="513" spans="10:10" ht="10.199999999999999" x14ac:dyDescent="0.2">
      <c r="J513" s="109"/>
    </row>
    <row r="514" spans="10:10" ht="10.199999999999999" x14ac:dyDescent="0.2">
      <c r="J514" s="109"/>
    </row>
    <row r="515" spans="10:10" ht="10.199999999999999" x14ac:dyDescent="0.2">
      <c r="J515" s="109"/>
    </row>
    <row r="516" spans="10:10" ht="10.199999999999999" x14ac:dyDescent="0.2">
      <c r="J516" s="109"/>
    </row>
    <row r="517" spans="10:10" ht="10.199999999999999" x14ac:dyDescent="0.2">
      <c r="J517" s="109"/>
    </row>
    <row r="518" spans="10:10" ht="10.199999999999999" x14ac:dyDescent="0.2">
      <c r="J518" s="109"/>
    </row>
    <row r="519" spans="10:10" ht="10.199999999999999" x14ac:dyDescent="0.2">
      <c r="J519" s="109"/>
    </row>
    <row r="520" spans="10:10" ht="10.199999999999999" x14ac:dyDescent="0.2">
      <c r="J520" s="109"/>
    </row>
    <row r="521" spans="10:10" ht="10.199999999999999" x14ac:dyDescent="0.2">
      <c r="J521" s="109"/>
    </row>
    <row r="522" spans="10:10" ht="10.199999999999999" x14ac:dyDescent="0.2">
      <c r="J522" s="109"/>
    </row>
    <row r="523" spans="10:10" ht="10.199999999999999" x14ac:dyDescent="0.2">
      <c r="J523" s="109"/>
    </row>
    <row r="524" spans="10:10" ht="10.199999999999999" x14ac:dyDescent="0.2">
      <c r="J524" s="109"/>
    </row>
    <row r="525" spans="10:10" ht="10.199999999999999" x14ac:dyDescent="0.2">
      <c r="J525" s="109"/>
    </row>
    <row r="526" spans="10:10" ht="10.199999999999999" x14ac:dyDescent="0.2">
      <c r="J526" s="109"/>
    </row>
    <row r="527" spans="10:10" ht="10.199999999999999" x14ac:dyDescent="0.2">
      <c r="J527" s="109"/>
    </row>
    <row r="528" spans="10:10" ht="10.199999999999999" x14ac:dyDescent="0.2">
      <c r="J528" s="109"/>
    </row>
    <row r="529" spans="10:10" ht="10.199999999999999" x14ac:dyDescent="0.2">
      <c r="J529" s="109"/>
    </row>
    <row r="530" spans="10:10" ht="10.199999999999999" x14ac:dyDescent="0.2">
      <c r="J530" s="109"/>
    </row>
    <row r="531" spans="10:10" ht="10.199999999999999" x14ac:dyDescent="0.2">
      <c r="J531" s="109"/>
    </row>
    <row r="532" spans="10:10" ht="10.199999999999999" x14ac:dyDescent="0.2">
      <c r="J532" s="109"/>
    </row>
    <row r="533" spans="10:10" ht="10.199999999999999" x14ac:dyDescent="0.2">
      <c r="J533" s="109"/>
    </row>
    <row r="534" spans="10:10" ht="10.199999999999999" x14ac:dyDescent="0.2">
      <c r="J534" s="109"/>
    </row>
    <row r="535" spans="10:10" ht="10.199999999999999" x14ac:dyDescent="0.2">
      <c r="J535" s="109"/>
    </row>
    <row r="536" spans="10:10" ht="10.199999999999999" x14ac:dyDescent="0.2">
      <c r="J536" s="109"/>
    </row>
    <row r="537" spans="10:10" ht="10.199999999999999" x14ac:dyDescent="0.2">
      <c r="J537" s="109"/>
    </row>
    <row r="538" spans="10:10" ht="10.199999999999999" x14ac:dyDescent="0.2">
      <c r="J538" s="109"/>
    </row>
    <row r="539" spans="10:10" ht="10.199999999999999" x14ac:dyDescent="0.2">
      <c r="J539" s="109"/>
    </row>
    <row r="540" spans="10:10" ht="10.199999999999999" x14ac:dyDescent="0.2">
      <c r="J540" s="109"/>
    </row>
    <row r="541" spans="10:10" ht="10.199999999999999" x14ac:dyDescent="0.2">
      <c r="J541" s="109"/>
    </row>
    <row r="542" spans="10:10" ht="10.199999999999999" x14ac:dyDescent="0.2">
      <c r="J542" s="109"/>
    </row>
    <row r="543" spans="10:10" ht="10.199999999999999" x14ac:dyDescent="0.2">
      <c r="J543" s="109"/>
    </row>
    <row r="544" spans="10:10" ht="10.199999999999999" x14ac:dyDescent="0.2">
      <c r="J544" s="109"/>
    </row>
    <row r="545" spans="10:10" ht="10.199999999999999" x14ac:dyDescent="0.2">
      <c r="J545" s="109"/>
    </row>
    <row r="546" spans="10:10" ht="10.199999999999999" x14ac:dyDescent="0.2">
      <c r="J546" s="109"/>
    </row>
    <row r="547" spans="10:10" ht="10.199999999999999" x14ac:dyDescent="0.2">
      <c r="J547" s="109"/>
    </row>
    <row r="548" spans="10:10" ht="10.199999999999999" x14ac:dyDescent="0.2">
      <c r="J548" s="109"/>
    </row>
    <row r="549" spans="10:10" ht="10.199999999999999" x14ac:dyDescent="0.2">
      <c r="J549" s="109"/>
    </row>
    <row r="550" spans="10:10" ht="10.199999999999999" x14ac:dyDescent="0.2">
      <c r="J550" s="109"/>
    </row>
    <row r="551" spans="10:10" ht="10.199999999999999" x14ac:dyDescent="0.2">
      <c r="J551" s="10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17</vt:i4>
      </vt:variant>
    </vt:vector>
  </HeadingPairs>
  <TitlesOfParts>
    <vt:vector size="33" baseType="lpstr">
      <vt:lpstr>GAS SUM</vt:lpstr>
      <vt:lpstr>REG</vt:lpstr>
      <vt:lpstr>SPEC</vt:lpstr>
      <vt:lpstr>Dth_Day</vt:lpstr>
      <vt:lpstr>Dth Prompt</vt:lpstr>
      <vt:lpstr>PLR SUM</vt:lpstr>
      <vt:lpstr>SPEC SUM</vt:lpstr>
      <vt:lpstr>PLR DETAILS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Aeco_nonS</vt:lpstr>
      <vt:lpstr>Aeco_S</vt:lpstr>
      <vt:lpstr>Dthdt</vt:lpstr>
      <vt:lpstr>REG!Print_Area</vt:lpstr>
      <vt:lpstr>SPEC!Print_Area</vt:lpstr>
      <vt:lpstr>'Dth Prompt'!Print_Titles</vt:lpstr>
      <vt:lpstr>Dth_Day!Print_Titles</vt:lpstr>
      <vt:lpstr>'PLR DETAILS'!Print_Titles</vt:lpstr>
      <vt:lpstr>'PLR SUM'!Print_Titles</vt:lpstr>
      <vt:lpstr>'SPEC DETAILS'!Print_Titles</vt:lpstr>
      <vt:lpstr>'SPEC REPORT DETAILS'!Print_Titles</vt:lpstr>
      <vt:lpstr>'SPEC SUM'!Print_Titles</vt:lpstr>
      <vt:lpstr>Rockies_nonS</vt:lpstr>
      <vt:lpstr>Rockies_S</vt:lpstr>
      <vt:lpstr>Sumas_nonS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2001-11-21T00:18:24Z</cp:lastPrinted>
  <dcterms:created xsi:type="dcterms:W3CDTF">2001-06-07T23:53:28Z</dcterms:created>
  <dcterms:modified xsi:type="dcterms:W3CDTF">2023-09-10T12:04:09Z</dcterms:modified>
</cp:coreProperties>
</file>