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480" windowHeight="11640" tabRatio="439"/>
  </bookViews>
  <sheets>
    <sheet name="ROE 2000" sheetId="7" r:id="rId1"/>
    <sheet name="BS 2000" sheetId="11" r:id="rId2"/>
    <sheet name="Off Balance Sheet Support" sheetId="6" r:id="rId3"/>
    <sheet name="Income Calculations" sheetId="3" r:id="rId4"/>
  </sheets>
  <externalReferences>
    <externalReference r:id="rId5"/>
  </externalReferences>
  <definedNames>
    <definedName name="_xlnm.Print_Area" localSheetId="1">'BS 2000'!$A$1:$AQ$56</definedName>
    <definedName name="_xlnm.Print_Area" localSheetId="3">'Income Calculations'!$1:$1048576</definedName>
    <definedName name="_xlnm.Print_Area" localSheetId="2">'Off Balance Sheet Support'!$A$1:$T$47</definedName>
    <definedName name="_xlnm.Print_Area" localSheetId="0">'ROE 2000'!$A$1:$X$47</definedName>
    <definedName name="_xlnm.Print_Titles" localSheetId="1">'BS 2000'!$A:$A</definedName>
  </definedNames>
  <calcPr calcId="0" fullCalcOnLoad="1"/>
</workbook>
</file>

<file path=xl/calcChain.xml><?xml version="1.0" encoding="utf-8"?>
<calcChain xmlns="http://schemas.openxmlformats.org/spreadsheetml/2006/main">
  <c r="C1" i="11" l="1"/>
  <c r="E1" i="11"/>
  <c r="G1" i="11"/>
  <c r="I1" i="11"/>
  <c r="K1" i="11"/>
  <c r="M1" i="11"/>
  <c r="O1" i="11"/>
  <c r="Q1" i="11"/>
  <c r="S1" i="11"/>
  <c r="U1" i="11"/>
  <c r="W1" i="11"/>
  <c r="Y1" i="11"/>
  <c r="AA1" i="11"/>
  <c r="AC1" i="11"/>
  <c r="AE1" i="11"/>
  <c r="AG1" i="11"/>
  <c r="AI1" i="11"/>
  <c r="AK1" i="11"/>
  <c r="AM1" i="11"/>
  <c r="AQ1" i="11"/>
  <c r="C7" i="11"/>
  <c r="E7" i="11"/>
  <c r="G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C8" i="11"/>
  <c r="E8" i="11"/>
  <c r="G8" i="11"/>
  <c r="I8" i="11"/>
  <c r="K8" i="11"/>
  <c r="M8" i="11"/>
  <c r="O8" i="11"/>
  <c r="Q8" i="11"/>
  <c r="S8" i="11"/>
  <c r="U8" i="11"/>
  <c r="W8" i="11"/>
  <c r="Y8" i="11"/>
  <c r="AA8" i="11"/>
  <c r="AC8" i="11"/>
  <c r="AE8" i="11"/>
  <c r="AG8" i="11"/>
  <c r="AI8" i="11"/>
  <c r="AK8" i="11"/>
  <c r="AM8" i="11"/>
  <c r="AO8" i="11"/>
  <c r="AQ8" i="11"/>
  <c r="C9" i="11"/>
  <c r="E9" i="11"/>
  <c r="G9" i="11"/>
  <c r="I9" i="11"/>
  <c r="K9" i="11"/>
  <c r="M9" i="11"/>
  <c r="O9" i="11"/>
  <c r="Q9" i="11"/>
  <c r="S9" i="11"/>
  <c r="U9" i="11"/>
  <c r="W9" i="11"/>
  <c r="Y9" i="11"/>
  <c r="AA9" i="11"/>
  <c r="AC9" i="11"/>
  <c r="AE9" i="11"/>
  <c r="AG9" i="11"/>
  <c r="AI9" i="11"/>
  <c r="AK9" i="11"/>
  <c r="AM9" i="11"/>
  <c r="AO9" i="11"/>
  <c r="AQ9" i="11"/>
  <c r="C10" i="11"/>
  <c r="E10" i="11"/>
  <c r="G10" i="11"/>
  <c r="I10" i="11"/>
  <c r="K10" i="11"/>
  <c r="M10" i="11"/>
  <c r="O10" i="11"/>
  <c r="Q10" i="11"/>
  <c r="S10" i="11"/>
  <c r="U10" i="11"/>
  <c r="W10" i="11"/>
  <c r="Y10" i="11"/>
  <c r="AA10" i="11"/>
  <c r="AC10" i="11"/>
  <c r="AE10" i="11"/>
  <c r="AG10" i="11"/>
  <c r="AI10" i="11"/>
  <c r="AK10" i="11"/>
  <c r="AM10" i="11"/>
  <c r="AO10" i="11"/>
  <c r="AQ10" i="11"/>
  <c r="C12" i="11"/>
  <c r="E12" i="11"/>
  <c r="G12" i="11"/>
  <c r="I12" i="11"/>
  <c r="K12" i="11"/>
  <c r="M12" i="11"/>
  <c r="O12" i="11"/>
  <c r="Q12" i="11"/>
  <c r="S12" i="11"/>
  <c r="U12" i="11"/>
  <c r="W12" i="11"/>
  <c r="Y12" i="11"/>
  <c r="AA12" i="11"/>
  <c r="AC12" i="11"/>
  <c r="AE12" i="11"/>
  <c r="AG12" i="11"/>
  <c r="AI12" i="11"/>
  <c r="AK12" i="11"/>
  <c r="AM12" i="11"/>
  <c r="AO12" i="11"/>
  <c r="AQ12" i="11"/>
  <c r="C14" i="11"/>
  <c r="E14" i="11"/>
  <c r="G14" i="11"/>
  <c r="I14" i="11"/>
  <c r="K14" i="11"/>
  <c r="M14" i="11"/>
  <c r="O14" i="11"/>
  <c r="Q14" i="11"/>
  <c r="S14" i="11"/>
  <c r="U14" i="11"/>
  <c r="W14" i="11"/>
  <c r="Y14" i="11"/>
  <c r="AA14" i="11"/>
  <c r="AC14" i="11"/>
  <c r="AE14" i="11"/>
  <c r="AG14" i="11"/>
  <c r="AI14" i="11"/>
  <c r="AK14" i="11"/>
  <c r="AM14" i="11"/>
  <c r="AO14" i="11"/>
  <c r="AQ14" i="11"/>
  <c r="C17" i="11"/>
  <c r="E17" i="11"/>
  <c r="G17" i="11"/>
  <c r="I17" i="11"/>
  <c r="K17" i="11"/>
  <c r="M17" i="11"/>
  <c r="O17" i="11"/>
  <c r="Q17" i="11"/>
  <c r="S17" i="11"/>
  <c r="U17" i="11"/>
  <c r="W17" i="11"/>
  <c r="Y17" i="11"/>
  <c r="AA17" i="11"/>
  <c r="AC17" i="11"/>
  <c r="AE17" i="11"/>
  <c r="AG17" i="11"/>
  <c r="AI17" i="11"/>
  <c r="AK17" i="11"/>
  <c r="AM17" i="11"/>
  <c r="AO17" i="11"/>
  <c r="AQ17" i="11"/>
  <c r="C18" i="11"/>
  <c r="E18" i="11"/>
  <c r="G18" i="11"/>
  <c r="I18" i="11"/>
  <c r="K18" i="11"/>
  <c r="M18" i="11"/>
  <c r="O18" i="11"/>
  <c r="Q18" i="11"/>
  <c r="S18" i="11"/>
  <c r="U18" i="11"/>
  <c r="W18" i="11"/>
  <c r="Y18" i="11"/>
  <c r="AA18" i="11"/>
  <c r="AC18" i="11"/>
  <c r="AE18" i="11"/>
  <c r="AG18" i="11"/>
  <c r="AI18" i="11"/>
  <c r="AK18" i="11"/>
  <c r="AM18" i="11"/>
  <c r="AO18" i="11"/>
  <c r="AQ18" i="11"/>
  <c r="C19" i="11"/>
  <c r="E19" i="11"/>
  <c r="G19" i="11"/>
  <c r="I19" i="11"/>
  <c r="K19" i="11"/>
  <c r="M19" i="11"/>
  <c r="O19" i="11"/>
  <c r="Q19" i="11"/>
  <c r="S19" i="11"/>
  <c r="U19" i="11"/>
  <c r="W19" i="11"/>
  <c r="Y19" i="11"/>
  <c r="AA19" i="11"/>
  <c r="AC19" i="11"/>
  <c r="AE19" i="11"/>
  <c r="AG19" i="11"/>
  <c r="AI19" i="11"/>
  <c r="AK19" i="11"/>
  <c r="AM19" i="11"/>
  <c r="AO19" i="11"/>
  <c r="AQ19" i="11"/>
  <c r="C21" i="11"/>
  <c r="E21" i="11"/>
  <c r="G21" i="11"/>
  <c r="I21" i="11"/>
  <c r="K21" i="11"/>
  <c r="M21" i="11"/>
  <c r="O21" i="11"/>
  <c r="Q21" i="11"/>
  <c r="S21" i="11"/>
  <c r="U21" i="11"/>
  <c r="W21" i="11"/>
  <c r="Y21" i="11"/>
  <c r="AA21" i="11"/>
  <c r="AC21" i="11"/>
  <c r="AE21" i="11"/>
  <c r="AG21" i="11"/>
  <c r="AI21" i="11"/>
  <c r="AK21" i="11"/>
  <c r="AM21" i="11"/>
  <c r="AO21" i="11"/>
  <c r="AQ21" i="11"/>
  <c r="C24" i="11"/>
  <c r="E24" i="11"/>
  <c r="G24" i="11"/>
  <c r="I24" i="11"/>
  <c r="K24" i="11"/>
  <c r="M24" i="11"/>
  <c r="O24" i="11"/>
  <c r="Q24" i="11"/>
  <c r="S24" i="11"/>
  <c r="U24" i="11"/>
  <c r="W24" i="11"/>
  <c r="Y24" i="11"/>
  <c r="AA24" i="11"/>
  <c r="AC24" i="11"/>
  <c r="AE24" i="11"/>
  <c r="AG24" i="11"/>
  <c r="AI24" i="11"/>
  <c r="AK24" i="11"/>
  <c r="AM24" i="11"/>
  <c r="AO24" i="11"/>
  <c r="AQ24" i="11"/>
  <c r="C25" i="11"/>
  <c r="E25" i="11"/>
  <c r="G25" i="11"/>
  <c r="I25" i="11"/>
  <c r="K25" i="11"/>
  <c r="M25" i="11"/>
  <c r="O25" i="11"/>
  <c r="Q25" i="11"/>
  <c r="S25" i="11"/>
  <c r="U25" i="11"/>
  <c r="W25" i="11"/>
  <c r="Y25" i="11"/>
  <c r="AA25" i="11"/>
  <c r="AC25" i="11"/>
  <c r="AE25" i="11"/>
  <c r="AG25" i="11"/>
  <c r="AI25" i="11"/>
  <c r="AK25" i="11"/>
  <c r="AM25" i="11"/>
  <c r="AO25" i="11"/>
  <c r="AQ25" i="11"/>
  <c r="C26" i="11"/>
  <c r="E26" i="11"/>
  <c r="G26" i="11"/>
  <c r="I26" i="11"/>
  <c r="K26" i="11"/>
  <c r="M26" i="11"/>
  <c r="O26" i="11"/>
  <c r="Q26" i="11"/>
  <c r="S26" i="11"/>
  <c r="U26" i="11"/>
  <c r="W26" i="11"/>
  <c r="Y26" i="11"/>
  <c r="AA26" i="11"/>
  <c r="AC26" i="11"/>
  <c r="AE26" i="11"/>
  <c r="AG26" i="11"/>
  <c r="AI26" i="11"/>
  <c r="AK26" i="11"/>
  <c r="AM26" i="11"/>
  <c r="AO26" i="11"/>
  <c r="AQ26" i="11"/>
  <c r="C27" i="11"/>
  <c r="E27" i="11"/>
  <c r="G27" i="11"/>
  <c r="I27" i="11"/>
  <c r="K27" i="11"/>
  <c r="M27" i="11"/>
  <c r="O27" i="11"/>
  <c r="Q27" i="11"/>
  <c r="S27" i="11"/>
  <c r="U27" i="11"/>
  <c r="W27" i="11"/>
  <c r="Y27" i="11"/>
  <c r="AA27" i="11"/>
  <c r="AC27" i="11"/>
  <c r="AE27" i="11"/>
  <c r="AG27" i="11"/>
  <c r="AI27" i="11"/>
  <c r="AK27" i="11"/>
  <c r="AM27" i="11"/>
  <c r="AO27" i="11"/>
  <c r="AQ27" i="11"/>
  <c r="C29" i="11"/>
  <c r="E29" i="11"/>
  <c r="G29" i="11"/>
  <c r="I29" i="11"/>
  <c r="K29" i="11"/>
  <c r="M29" i="11"/>
  <c r="O29" i="11"/>
  <c r="Q29" i="11"/>
  <c r="S29" i="11"/>
  <c r="U29" i="11"/>
  <c r="W29" i="11"/>
  <c r="Y29" i="11"/>
  <c r="AA29" i="11"/>
  <c r="AC29" i="11"/>
  <c r="AE29" i="11"/>
  <c r="AG29" i="11"/>
  <c r="AI29" i="11"/>
  <c r="AK29" i="11"/>
  <c r="AM29" i="11"/>
  <c r="AO29" i="11"/>
  <c r="AQ29" i="11"/>
  <c r="C31" i="11"/>
  <c r="E31" i="11"/>
  <c r="G31" i="11"/>
  <c r="I31" i="11"/>
  <c r="K31" i="11"/>
  <c r="M31" i="11"/>
  <c r="O31" i="11"/>
  <c r="Q31" i="11"/>
  <c r="S31" i="11"/>
  <c r="U31" i="11"/>
  <c r="W31" i="11"/>
  <c r="Y31" i="11"/>
  <c r="AA31" i="11"/>
  <c r="AC31" i="11"/>
  <c r="AE31" i="11"/>
  <c r="AG31" i="11"/>
  <c r="AI31" i="11"/>
  <c r="AK31" i="11"/>
  <c r="AM31" i="11"/>
  <c r="AO31" i="11"/>
  <c r="AQ31" i="11"/>
  <c r="C33" i="11"/>
  <c r="E33" i="11"/>
  <c r="G33" i="11"/>
  <c r="I33" i="11"/>
  <c r="K33" i="11"/>
  <c r="M33" i="11"/>
  <c r="O33" i="11"/>
  <c r="Q33" i="11"/>
  <c r="S33" i="11"/>
  <c r="U33" i="11"/>
  <c r="W33" i="11"/>
  <c r="Y33" i="11"/>
  <c r="AA33" i="11"/>
  <c r="AC33" i="11"/>
  <c r="AE33" i="11"/>
  <c r="AG33" i="11"/>
  <c r="AI33" i="11"/>
  <c r="AK33" i="11"/>
  <c r="AM33" i="11"/>
  <c r="AO33" i="11"/>
  <c r="AQ33" i="11"/>
  <c r="C34" i="11"/>
  <c r="E34" i="11"/>
  <c r="G34" i="11"/>
  <c r="I34" i="11"/>
  <c r="K34" i="11"/>
  <c r="M34" i="11"/>
  <c r="O34" i="11"/>
  <c r="Q34" i="11"/>
  <c r="S34" i="11"/>
  <c r="U34" i="11"/>
  <c r="W34" i="11"/>
  <c r="Y34" i="11"/>
  <c r="AA34" i="11"/>
  <c r="AC34" i="11"/>
  <c r="AE34" i="11"/>
  <c r="AG34" i="11"/>
  <c r="AI34" i="11"/>
  <c r="AK34" i="11"/>
  <c r="AM34" i="11"/>
  <c r="AO34" i="11"/>
  <c r="AQ34" i="11"/>
  <c r="C35" i="11"/>
  <c r="E35" i="11"/>
  <c r="G35" i="11"/>
  <c r="I35" i="11"/>
  <c r="K35" i="11"/>
  <c r="M35" i="11"/>
  <c r="O35" i="11"/>
  <c r="Q35" i="11"/>
  <c r="S35" i="11"/>
  <c r="U35" i="11"/>
  <c r="W35" i="11"/>
  <c r="Y35" i="11"/>
  <c r="AA35" i="11"/>
  <c r="AC35" i="11"/>
  <c r="AE35" i="11"/>
  <c r="AG35" i="11"/>
  <c r="AI35" i="11"/>
  <c r="AK35" i="11"/>
  <c r="AM35" i="11"/>
  <c r="AO35" i="11"/>
  <c r="AQ35" i="11"/>
  <c r="C37" i="11"/>
  <c r="E37" i="11"/>
  <c r="G37" i="11"/>
  <c r="I37" i="11"/>
  <c r="K37" i="11"/>
  <c r="M37" i="11"/>
  <c r="O37" i="11"/>
  <c r="Q37" i="11"/>
  <c r="S37" i="11"/>
  <c r="U37" i="11"/>
  <c r="W37" i="11"/>
  <c r="Y37" i="11"/>
  <c r="AA37" i="11"/>
  <c r="AC37" i="11"/>
  <c r="AE37" i="11"/>
  <c r="AG37" i="11"/>
  <c r="AI37" i="11"/>
  <c r="AK37" i="11"/>
  <c r="AM37" i="11"/>
  <c r="AO37" i="11"/>
  <c r="AQ37" i="11"/>
  <c r="C40" i="11"/>
  <c r="E40" i="11"/>
  <c r="G40" i="11"/>
  <c r="I40" i="11"/>
  <c r="K40" i="11"/>
  <c r="M40" i="11"/>
  <c r="O40" i="11"/>
  <c r="Q40" i="11"/>
  <c r="S40" i="11"/>
  <c r="U40" i="11"/>
  <c r="W40" i="11"/>
  <c r="Y40" i="11"/>
  <c r="AA40" i="11"/>
  <c r="AC40" i="11"/>
  <c r="AE40" i="11"/>
  <c r="AG40" i="11"/>
  <c r="AI40" i="11"/>
  <c r="AK40" i="11"/>
  <c r="AM40" i="11"/>
  <c r="AO40" i="11"/>
  <c r="AQ40" i="11"/>
  <c r="C41" i="11"/>
  <c r="E41" i="11"/>
  <c r="G41" i="11"/>
  <c r="I41" i="11"/>
  <c r="K41" i="11"/>
  <c r="M41" i="11"/>
  <c r="O41" i="11"/>
  <c r="Q41" i="11"/>
  <c r="S41" i="11"/>
  <c r="U41" i="11"/>
  <c r="W41" i="11"/>
  <c r="Y41" i="11"/>
  <c r="AA41" i="11"/>
  <c r="AC41" i="11"/>
  <c r="AE41" i="11"/>
  <c r="AG41" i="11"/>
  <c r="AI41" i="11"/>
  <c r="AK41" i="11"/>
  <c r="AM41" i="11"/>
  <c r="AO41" i="11"/>
  <c r="AQ41" i="11"/>
  <c r="C42" i="11"/>
  <c r="E42" i="11"/>
  <c r="G42" i="11"/>
  <c r="I42" i="11"/>
  <c r="K42" i="11"/>
  <c r="M42" i="11"/>
  <c r="O42" i="11"/>
  <c r="Q42" i="11"/>
  <c r="S42" i="11"/>
  <c r="U42" i="11"/>
  <c r="W42" i="11"/>
  <c r="Y42" i="11"/>
  <c r="AA42" i="11"/>
  <c r="AC42" i="11"/>
  <c r="AE42" i="11"/>
  <c r="AG42" i="11"/>
  <c r="AI42" i="11"/>
  <c r="AK42" i="11"/>
  <c r="AM42" i="11"/>
  <c r="AO42" i="11"/>
  <c r="AQ42" i="11"/>
  <c r="C43" i="11"/>
  <c r="E43" i="11"/>
  <c r="G43" i="11"/>
  <c r="I43" i="11"/>
  <c r="K43" i="11"/>
  <c r="M43" i="11"/>
  <c r="O43" i="11"/>
  <c r="Q43" i="11"/>
  <c r="S43" i="11"/>
  <c r="U43" i="11"/>
  <c r="W43" i="11"/>
  <c r="Y43" i="11"/>
  <c r="AA43" i="11"/>
  <c r="AC43" i="11"/>
  <c r="AE43" i="11"/>
  <c r="AG43" i="11"/>
  <c r="AI43" i="11"/>
  <c r="AK43" i="11"/>
  <c r="AM43" i="11"/>
  <c r="AO43" i="11"/>
  <c r="AQ43" i="11"/>
  <c r="C45" i="11"/>
  <c r="E45" i="11"/>
  <c r="G45" i="11"/>
  <c r="I45" i="11"/>
  <c r="K45" i="11"/>
  <c r="M45" i="11"/>
  <c r="O45" i="11"/>
  <c r="Q45" i="11"/>
  <c r="S45" i="11"/>
  <c r="U45" i="11"/>
  <c r="W45" i="11"/>
  <c r="Y45" i="11"/>
  <c r="AA45" i="11"/>
  <c r="AC45" i="11"/>
  <c r="AE45" i="11"/>
  <c r="AG45" i="11"/>
  <c r="AI45" i="11"/>
  <c r="AK45" i="11"/>
  <c r="AM45" i="11"/>
  <c r="AO45" i="11"/>
  <c r="AQ45" i="11"/>
  <c r="C47" i="11"/>
  <c r="E47" i="11"/>
  <c r="G47" i="11"/>
  <c r="I47" i="11"/>
  <c r="K47" i="11"/>
  <c r="M47" i="11"/>
  <c r="O47" i="11"/>
  <c r="Q47" i="11"/>
  <c r="S47" i="11"/>
  <c r="U47" i="11"/>
  <c r="W47" i="11"/>
  <c r="Y47" i="11"/>
  <c r="AA47" i="11"/>
  <c r="AC47" i="11"/>
  <c r="AE47" i="11"/>
  <c r="AG47" i="11"/>
  <c r="AI47" i="11"/>
  <c r="AK47" i="11"/>
  <c r="AM47" i="11"/>
  <c r="AO47" i="11"/>
  <c r="AQ47" i="11"/>
  <c r="C49" i="11"/>
  <c r="E49" i="11"/>
  <c r="G49" i="11"/>
  <c r="I49" i="11"/>
  <c r="K49" i="11"/>
  <c r="M49" i="11"/>
  <c r="O49" i="11"/>
  <c r="Q49" i="11"/>
  <c r="S49" i="11"/>
  <c r="U49" i="11"/>
  <c r="W49" i="11"/>
  <c r="Y49" i="11"/>
  <c r="AA49" i="11"/>
  <c r="AC49" i="11"/>
  <c r="AE49" i="11"/>
  <c r="AG49" i="11"/>
  <c r="AI49" i="11"/>
  <c r="AK49" i="11"/>
  <c r="AM49" i="11"/>
  <c r="AO49" i="11"/>
  <c r="AQ49" i="11"/>
  <c r="C50" i="11"/>
  <c r="E50" i="11"/>
  <c r="G50" i="11"/>
  <c r="I50" i="11"/>
  <c r="K50" i="11"/>
  <c r="M50" i="11"/>
  <c r="O50" i="11"/>
  <c r="Q50" i="11"/>
  <c r="S50" i="11"/>
  <c r="U50" i="11"/>
  <c r="W50" i="11"/>
  <c r="Y50" i="11"/>
  <c r="AA50" i="11"/>
  <c r="AC50" i="11"/>
  <c r="AE50" i="11"/>
  <c r="AG50" i="11"/>
  <c r="AI50" i="11"/>
  <c r="AK50" i="11"/>
  <c r="AM50" i="11"/>
  <c r="AO50" i="11"/>
  <c r="AQ50" i="11"/>
  <c r="C51" i="11"/>
  <c r="E51" i="11"/>
  <c r="G51" i="11"/>
  <c r="I51" i="11"/>
  <c r="K51" i="11"/>
  <c r="M51" i="11"/>
  <c r="O51" i="11"/>
  <c r="Q51" i="11"/>
  <c r="S51" i="11"/>
  <c r="U51" i="11"/>
  <c r="W51" i="11"/>
  <c r="Y51" i="11"/>
  <c r="AA51" i="11"/>
  <c r="AC51" i="11"/>
  <c r="AE51" i="11"/>
  <c r="AG51" i="11"/>
  <c r="AI51" i="11"/>
  <c r="AK51" i="11"/>
  <c r="AM51" i="11"/>
  <c r="AO51" i="11"/>
  <c r="AQ51" i="11"/>
  <c r="C53" i="11"/>
  <c r="E53" i="11"/>
  <c r="G53" i="11"/>
  <c r="I53" i="11"/>
  <c r="K53" i="11"/>
  <c r="M53" i="11"/>
  <c r="O53" i="11"/>
  <c r="Q53" i="11"/>
  <c r="S53" i="11"/>
  <c r="U53" i="11"/>
  <c r="W53" i="11"/>
  <c r="Y53" i="11"/>
  <c r="AA53" i="11"/>
  <c r="AC53" i="11"/>
  <c r="AE53" i="11"/>
  <c r="AG53" i="11"/>
  <c r="AI53" i="11"/>
  <c r="AK53" i="11"/>
  <c r="AM53" i="11"/>
  <c r="AO53" i="11"/>
  <c r="AQ53" i="11"/>
  <c r="A56" i="11"/>
  <c r="C56" i="11"/>
  <c r="E56" i="11"/>
  <c r="G56" i="11"/>
  <c r="I56" i="11"/>
  <c r="K56" i="11"/>
  <c r="M56" i="11"/>
  <c r="O56" i="11"/>
  <c r="Q56" i="11"/>
  <c r="S56" i="11"/>
  <c r="U56" i="11"/>
  <c r="W56" i="11"/>
  <c r="Y56" i="11"/>
  <c r="AA56" i="11"/>
  <c r="AC56" i="11"/>
  <c r="AE56" i="11"/>
  <c r="AG56" i="11"/>
  <c r="AI56" i="11"/>
  <c r="AK56" i="11"/>
  <c r="AM56" i="11"/>
  <c r="AO56" i="11"/>
  <c r="AQ56" i="11"/>
  <c r="A57" i="11"/>
  <c r="C57" i="11"/>
  <c r="E57" i="11"/>
  <c r="G57" i="11"/>
  <c r="I57" i="11"/>
  <c r="K57" i="11"/>
  <c r="M57" i="11"/>
  <c r="O57" i="11"/>
  <c r="Q57" i="11"/>
  <c r="S57" i="11"/>
  <c r="U57" i="11"/>
  <c r="W57" i="11"/>
  <c r="Y57" i="11"/>
  <c r="AA57" i="11"/>
  <c r="AC57" i="11"/>
  <c r="AE57" i="11"/>
  <c r="AG57" i="11"/>
  <c r="AI57" i="11"/>
  <c r="AK57" i="11"/>
  <c r="AM57" i="11"/>
  <c r="AO57" i="11"/>
  <c r="AQ57" i="11"/>
  <c r="A58" i="11"/>
  <c r="C58" i="11"/>
  <c r="G58" i="11"/>
  <c r="I58" i="11"/>
  <c r="K58" i="11"/>
  <c r="M58" i="11"/>
  <c r="O58" i="11"/>
  <c r="Q58" i="11"/>
  <c r="S58" i="11"/>
  <c r="U58" i="11"/>
  <c r="W58" i="11"/>
  <c r="Y58" i="11"/>
  <c r="AA58" i="11"/>
  <c r="AC58" i="11"/>
  <c r="AE58" i="11"/>
  <c r="AG58" i="11"/>
  <c r="AI58" i="11"/>
  <c r="AK58" i="11"/>
  <c r="AM58" i="11"/>
  <c r="C59" i="11"/>
  <c r="E59" i="11"/>
  <c r="G59" i="11"/>
  <c r="I59" i="11"/>
  <c r="K59" i="11"/>
  <c r="M59" i="11"/>
  <c r="O59" i="11"/>
  <c r="Q59" i="11"/>
  <c r="S59" i="11"/>
  <c r="U59" i="11"/>
  <c r="W59" i="11"/>
  <c r="Y59" i="11"/>
  <c r="AA59" i="11"/>
  <c r="AC59" i="11"/>
  <c r="AE59" i="11"/>
  <c r="AG59" i="11"/>
  <c r="AI59" i="11"/>
  <c r="AK59" i="11"/>
  <c r="AM59" i="11"/>
  <c r="AO59" i="11"/>
  <c r="AQ59" i="11"/>
  <c r="S61" i="11"/>
  <c r="AE61" i="11"/>
  <c r="G62" i="11"/>
  <c r="K62" i="11"/>
  <c r="S62" i="11"/>
  <c r="AE62" i="11"/>
  <c r="S63" i="11"/>
  <c r="S64" i="11"/>
  <c r="S65" i="11"/>
  <c r="S66" i="11"/>
  <c r="I6" i="3"/>
  <c r="K6" i="3"/>
  <c r="M6" i="3"/>
  <c r="E9" i="3"/>
  <c r="I9" i="3"/>
  <c r="K9" i="3"/>
  <c r="M9" i="3"/>
  <c r="E10" i="3"/>
  <c r="I10" i="3"/>
  <c r="K10" i="3"/>
  <c r="M10" i="3"/>
  <c r="E11" i="3"/>
  <c r="I11" i="3"/>
  <c r="K11" i="3"/>
  <c r="M11" i="3"/>
  <c r="I12" i="3"/>
  <c r="M12" i="3"/>
  <c r="I13" i="3"/>
  <c r="M13" i="3"/>
  <c r="E14" i="3"/>
  <c r="I14" i="3"/>
  <c r="K14" i="3"/>
  <c r="M14" i="3"/>
  <c r="E16" i="3"/>
  <c r="I16" i="3"/>
  <c r="K16" i="3"/>
  <c r="M16" i="3"/>
  <c r="E18" i="3"/>
  <c r="I18" i="3"/>
  <c r="K18" i="3"/>
  <c r="M18" i="3"/>
  <c r="I21" i="3"/>
  <c r="M21" i="3"/>
  <c r="I22" i="3"/>
  <c r="M22" i="3"/>
  <c r="I23" i="3"/>
  <c r="M23" i="3"/>
  <c r="I24" i="3"/>
  <c r="M24" i="3"/>
  <c r="E25" i="3"/>
  <c r="I25" i="3"/>
  <c r="K25" i="3"/>
  <c r="M25" i="3"/>
  <c r="I26" i="3"/>
  <c r="M26" i="3"/>
  <c r="E27" i="3"/>
  <c r="G27" i="3"/>
  <c r="I27" i="3"/>
  <c r="K27" i="3"/>
  <c r="M27" i="3"/>
  <c r="T1" i="6"/>
  <c r="K8" i="6"/>
  <c r="G11" i="6"/>
  <c r="K11" i="6"/>
  <c r="G12" i="6"/>
  <c r="K12" i="6"/>
  <c r="G13" i="6"/>
  <c r="K13" i="6"/>
  <c r="G14" i="6"/>
  <c r="K14" i="6"/>
  <c r="E15" i="6"/>
  <c r="G15" i="6"/>
  <c r="I15" i="6"/>
  <c r="K15" i="6"/>
  <c r="K18" i="6"/>
  <c r="K19" i="6"/>
  <c r="K20" i="6"/>
  <c r="K21" i="6"/>
  <c r="K22" i="6"/>
  <c r="K23" i="6"/>
  <c r="K24" i="6"/>
  <c r="K25" i="6"/>
  <c r="K26" i="6"/>
  <c r="G27" i="6"/>
  <c r="K27" i="6"/>
  <c r="K28" i="6"/>
  <c r="E29" i="6"/>
  <c r="G29" i="6"/>
  <c r="I29" i="6"/>
  <c r="K29" i="6"/>
  <c r="T36" i="6"/>
  <c r="C11" i="7"/>
  <c r="E11" i="7"/>
  <c r="G11" i="7"/>
  <c r="K11" i="7"/>
  <c r="M11" i="7"/>
  <c r="P11" i="7"/>
  <c r="R11" i="7"/>
  <c r="T11" i="7"/>
  <c r="V11" i="7"/>
  <c r="X11" i="7"/>
  <c r="AC11" i="7"/>
  <c r="C14" i="7"/>
  <c r="E14" i="7"/>
  <c r="G14" i="7"/>
  <c r="K14" i="7"/>
  <c r="M14" i="7"/>
  <c r="P14" i="7"/>
  <c r="R14" i="7"/>
  <c r="T14" i="7"/>
  <c r="V14" i="7"/>
  <c r="X14" i="7"/>
  <c r="AC14" i="7"/>
  <c r="C15" i="7"/>
  <c r="E15" i="7"/>
  <c r="G15" i="7"/>
  <c r="K15" i="7"/>
  <c r="M15" i="7"/>
  <c r="P15" i="7"/>
  <c r="R15" i="7"/>
  <c r="T15" i="7"/>
  <c r="V15" i="7"/>
  <c r="X15" i="7"/>
  <c r="AC15" i="7"/>
  <c r="C16" i="7"/>
  <c r="E16" i="7"/>
  <c r="G16" i="7"/>
  <c r="K16" i="7"/>
  <c r="M16" i="7"/>
  <c r="R16" i="7"/>
  <c r="T16" i="7"/>
  <c r="V16" i="7"/>
  <c r="X16" i="7"/>
  <c r="AC16" i="7"/>
  <c r="C17" i="7"/>
  <c r="E17" i="7"/>
  <c r="G17" i="7"/>
  <c r="K17" i="7"/>
  <c r="M17" i="7"/>
  <c r="P17" i="7"/>
  <c r="R17" i="7"/>
  <c r="T17" i="7"/>
  <c r="V17" i="7"/>
  <c r="X17" i="7"/>
  <c r="AC17" i="7"/>
  <c r="C18" i="7"/>
  <c r="E18" i="7"/>
  <c r="G18" i="7"/>
  <c r="I18" i="7"/>
  <c r="K18" i="7"/>
  <c r="M18" i="7"/>
  <c r="P18" i="7"/>
  <c r="R18" i="7"/>
  <c r="T18" i="7"/>
  <c r="V18" i="7"/>
  <c r="X18" i="7"/>
  <c r="AC18" i="7"/>
  <c r="C21" i="7"/>
  <c r="E21" i="7"/>
  <c r="G21" i="7"/>
  <c r="K21" i="7"/>
  <c r="M21" i="7"/>
  <c r="P21" i="7"/>
  <c r="R21" i="7"/>
  <c r="T21" i="7"/>
  <c r="V21" i="7"/>
  <c r="X21" i="7"/>
  <c r="AC21" i="7"/>
  <c r="K22" i="7"/>
  <c r="M22" i="7"/>
  <c r="C23" i="7"/>
  <c r="E23" i="7"/>
  <c r="G23" i="7"/>
  <c r="K23" i="7"/>
  <c r="M23" i="7"/>
  <c r="R23" i="7"/>
  <c r="T23" i="7"/>
  <c r="V23" i="7"/>
  <c r="X23" i="7"/>
  <c r="AC23" i="7"/>
  <c r="C25" i="7"/>
  <c r="E25" i="7"/>
  <c r="G25" i="7"/>
  <c r="K25" i="7"/>
  <c r="M25" i="7"/>
  <c r="R25" i="7"/>
  <c r="T25" i="7"/>
  <c r="V25" i="7"/>
  <c r="X25" i="7"/>
  <c r="AC25" i="7"/>
  <c r="C26" i="7"/>
  <c r="E26" i="7"/>
  <c r="G26" i="7"/>
  <c r="K26" i="7"/>
  <c r="M26" i="7"/>
  <c r="R26" i="7"/>
  <c r="T26" i="7"/>
  <c r="V26" i="7"/>
  <c r="X26" i="7"/>
  <c r="AC26" i="7"/>
  <c r="C27" i="7"/>
  <c r="E27" i="7"/>
  <c r="G27" i="7"/>
  <c r="K27" i="7"/>
  <c r="M27" i="7"/>
  <c r="R27" i="7"/>
  <c r="T27" i="7"/>
  <c r="V27" i="7"/>
  <c r="X27" i="7"/>
  <c r="AC27" i="7"/>
  <c r="C28" i="7"/>
  <c r="E28" i="7"/>
  <c r="G28" i="7"/>
  <c r="K28" i="7"/>
  <c r="M28" i="7"/>
  <c r="R28" i="7"/>
  <c r="T28" i="7"/>
  <c r="V28" i="7"/>
  <c r="X28" i="7"/>
  <c r="AC28" i="7"/>
  <c r="E29" i="7"/>
  <c r="G29" i="7"/>
  <c r="K29" i="7"/>
  <c r="M29" i="7"/>
  <c r="R29" i="7"/>
  <c r="T29" i="7"/>
  <c r="V29" i="7"/>
  <c r="X29" i="7"/>
  <c r="AC29" i="7"/>
  <c r="C30" i="7"/>
  <c r="E30" i="7"/>
  <c r="G30" i="7"/>
  <c r="K30" i="7"/>
  <c r="M30" i="7"/>
  <c r="P30" i="7"/>
  <c r="R30" i="7"/>
  <c r="T30" i="7"/>
  <c r="V30" i="7"/>
  <c r="X30" i="7"/>
  <c r="AC30" i="7"/>
  <c r="C32" i="7"/>
  <c r="E32" i="7"/>
  <c r="G32" i="7"/>
  <c r="I32" i="7"/>
  <c r="K32" i="7"/>
  <c r="M32" i="7"/>
  <c r="P32" i="7"/>
  <c r="R32" i="7"/>
  <c r="T32" i="7"/>
  <c r="V32" i="7"/>
  <c r="X32" i="7"/>
  <c r="AC32" i="7"/>
  <c r="V39" i="7"/>
</calcChain>
</file>

<file path=xl/sharedStrings.xml><?xml version="1.0" encoding="utf-8"?>
<sst xmlns="http://schemas.openxmlformats.org/spreadsheetml/2006/main" count="206" uniqueCount="123">
  <si>
    <t>Sector</t>
  </si>
  <si>
    <t>Business Unit</t>
  </si>
  <si>
    <t xml:space="preserve"> </t>
  </si>
  <si>
    <t>Transmission &amp; Distribution</t>
  </si>
  <si>
    <t>Wholesale</t>
  </si>
  <si>
    <t>ENA</t>
  </si>
  <si>
    <t>Europe</t>
  </si>
  <si>
    <t>Networks</t>
  </si>
  <si>
    <t>Broadband</t>
  </si>
  <si>
    <t>Retail - EES</t>
  </si>
  <si>
    <t>ENE</t>
  </si>
  <si>
    <t>(in millions of $)</t>
  </si>
  <si>
    <t xml:space="preserve">Note:  </t>
  </si>
  <si>
    <t>Shareholder's Equity</t>
  </si>
  <si>
    <t>ETS</t>
  </si>
  <si>
    <t>Net Income</t>
  </si>
  <si>
    <t>For the Year 2000</t>
  </si>
  <si>
    <t>Net Income Calculation</t>
  </si>
  <si>
    <t>IBIT</t>
  </si>
  <si>
    <t>Minority Int.</t>
  </si>
  <si>
    <t>Pretax Inc.</t>
  </si>
  <si>
    <t>Tax Expense</t>
  </si>
  <si>
    <t>ROE</t>
  </si>
  <si>
    <t>Global Assets</t>
  </si>
  <si>
    <t>Forecasted Net Income and ROE</t>
  </si>
  <si>
    <t>Equity</t>
  </si>
  <si>
    <t xml:space="preserve">  Dynegy - 50% - Wholesale equivalent</t>
  </si>
  <si>
    <t xml:space="preserve">  Akamai - 10% - EBS equivalent</t>
  </si>
  <si>
    <t xml:space="preserve">  El Paso - 60% - ETS equivalent</t>
  </si>
  <si>
    <t>Debt to Equity ratios for the Enron business units were derived from similar non-Enron companies.</t>
  </si>
  <si>
    <t>Debt</t>
  </si>
  <si>
    <t>Net</t>
  </si>
  <si>
    <t>Income</t>
  </si>
  <si>
    <t>After tax</t>
  </si>
  <si>
    <t>Int. Expense</t>
  </si>
  <si>
    <t>Debt and Equity Analysis</t>
  </si>
  <si>
    <t>EGF, ACES, Rhythms</t>
  </si>
  <si>
    <t>Structured Trans</t>
  </si>
  <si>
    <t>Clean Fuels</t>
  </si>
  <si>
    <t>EGEP</t>
  </si>
  <si>
    <t>PGE</t>
  </si>
  <si>
    <t>HPL FV</t>
  </si>
  <si>
    <t>EREC</t>
  </si>
  <si>
    <t>Other</t>
  </si>
  <si>
    <t>Azurix</t>
  </si>
  <si>
    <t xml:space="preserve">    Subtotal</t>
  </si>
  <si>
    <t>(1) Excess monetization of Europe's Net Price Risk Management Asset allocated to Enron North America</t>
  </si>
  <si>
    <t>(2) Includes Global Engineering and Construction</t>
  </si>
  <si>
    <t>(4) Based on Third Current Estimate excluding financing costs</t>
  </si>
  <si>
    <t>(3) Balance sheet capital as of 6/30/00 excluding impact of Currency Translation Adjustments (CTA) which have not flown through the Income Statement</t>
  </si>
  <si>
    <t>RVG's</t>
  </si>
  <si>
    <t>Total</t>
  </si>
  <si>
    <t>(5) Adjusted for off Balance Sheet activity (residual value guarantees, guarantees of debt of third parties, contingent equity, and FAS 125 transactions)</t>
  </si>
  <si>
    <t>FAS 125/</t>
  </si>
  <si>
    <t>Cont. Equity</t>
  </si>
  <si>
    <t>Return on Equity</t>
  </si>
  <si>
    <t>Enron Transportation &amp; Storage</t>
  </si>
  <si>
    <t>Enron Energy Services</t>
  </si>
  <si>
    <t>Enron Broadband Services</t>
  </si>
  <si>
    <t>Balance Sheet</t>
  </si>
  <si>
    <t>Capital</t>
  </si>
  <si>
    <t>Debt/Equity</t>
  </si>
  <si>
    <t xml:space="preserve">  Enron North America</t>
  </si>
  <si>
    <t xml:space="preserve">  Enron Europe</t>
  </si>
  <si>
    <t xml:space="preserve">  Global Assets</t>
  </si>
  <si>
    <t xml:space="preserve">  Other</t>
  </si>
  <si>
    <t>Off Bal Sht</t>
  </si>
  <si>
    <t>Bal Sht</t>
  </si>
  <si>
    <t>OFF BALANCE SHEET SUPPORT DATA</t>
  </si>
  <si>
    <t>AS OF 6/30/2000</t>
  </si>
  <si>
    <t xml:space="preserve">3rd Party </t>
  </si>
  <si>
    <r>
      <t xml:space="preserve">Capital </t>
    </r>
    <r>
      <rPr>
        <sz val="8"/>
        <rFont val="Arial"/>
        <family val="2"/>
      </rPr>
      <t>(3)</t>
    </r>
  </si>
  <si>
    <t>Net Income (4)</t>
  </si>
  <si>
    <t>pre finance costs</t>
  </si>
  <si>
    <r>
      <t xml:space="preserve">Total Cap </t>
    </r>
    <r>
      <rPr>
        <sz val="8"/>
        <rFont val="Arial"/>
        <family val="2"/>
      </rPr>
      <t>(5)</t>
    </r>
  </si>
  <si>
    <t>FAS 125's Riverside 3(6,8) / EEP3</t>
  </si>
  <si>
    <t>FAS 125's include ECT Coal Co., ENA CLO I Trust, Boulder Trust Middle Rock, Mid Texas Tiger Trust, Little Looper/Middle Hanover</t>
  </si>
  <si>
    <t>FAS 125's include Hawaii 125-0's - McGarret Series A and McGarrett Series B also Alchemy /Pnather/EESO OC</t>
  </si>
  <si>
    <t>Contingent equity on Atlantic Water Trust</t>
  </si>
  <si>
    <t>RVG's include the planes, Houston and Omaha buildings, software and F&amp;F</t>
  </si>
  <si>
    <t>Gas Pipeline Group</t>
  </si>
  <si>
    <t>Portland General</t>
  </si>
  <si>
    <t>Global Explor &amp; Prod</t>
  </si>
  <si>
    <t>ECM</t>
  </si>
  <si>
    <t>Global Engineering &amp; Construct</t>
  </si>
  <si>
    <t>APACHI</t>
  </si>
  <si>
    <t>CALME</t>
  </si>
  <si>
    <t>South America</t>
  </si>
  <si>
    <t>India</t>
  </si>
  <si>
    <t>San Juan Gas &amp; Progasco</t>
  </si>
  <si>
    <t>Net Works</t>
  </si>
  <si>
    <t>Retail</t>
  </si>
  <si>
    <t>Enron Renewable</t>
  </si>
  <si>
    <t>Corp &amp; Other</t>
  </si>
  <si>
    <t>Total Enron</t>
  </si>
  <si>
    <t>June, 2000</t>
  </si>
  <si>
    <t>Net Intercompany (Receivable)/Payable</t>
  </si>
  <si>
    <t>CTA Adjustment</t>
  </si>
  <si>
    <t>Other Adjustments</t>
  </si>
  <si>
    <t>Third Party Gaurentees include Citiforest, Utiliquest andPapier Masson</t>
  </si>
  <si>
    <t xml:space="preserve">Third Party Gaurentees include  Ssutton Bridge(Baclays, BT), Teeside (Midlands Elec, Northern Elec, South whales Elec, jSouth Western Elec) and Wing (Trakya) </t>
  </si>
  <si>
    <t>Third Party Gaurentees include  EOTT Trade</t>
  </si>
  <si>
    <t>Third Party Gaurentees include Sarlux(Equity Cont.), Poland (Westdeutsche Landesbank), Rio Hondo, Greenfield Shipping, ICI and DPC Holdings (Bank of America)</t>
  </si>
  <si>
    <r>
      <t xml:space="preserve">Gaurantees at </t>
    </r>
    <r>
      <rPr>
        <b/>
        <sz val="10"/>
        <rFont val="Arial"/>
        <family val="2"/>
      </rPr>
      <t>50%</t>
    </r>
  </si>
  <si>
    <t>ESA</t>
  </si>
  <si>
    <t>EE&amp;CC</t>
  </si>
  <si>
    <t>Minority Interest</t>
  </si>
  <si>
    <t>North America (excluding HPL)</t>
  </si>
  <si>
    <t>HPL Fair Value</t>
  </si>
  <si>
    <t>EI Headquarters</t>
  </si>
  <si>
    <t>December, 1998</t>
  </si>
  <si>
    <t>Total Equity before CTA Adjustment</t>
  </si>
  <si>
    <t>Net Shareholder's Equity</t>
  </si>
  <si>
    <t>Third-Party Debt</t>
  </si>
  <si>
    <t>Preferred Stock of Subsidiaries</t>
  </si>
  <si>
    <t>December, 1999</t>
  </si>
  <si>
    <t xml:space="preserve">Total Capital </t>
  </si>
  <si>
    <t>PRM Adj.</t>
  </si>
  <si>
    <t>SJG</t>
  </si>
  <si>
    <t>EIHQ</t>
  </si>
  <si>
    <t>Total Global Assets</t>
  </si>
  <si>
    <t>Assumed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</si>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</sst>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* #,##0.0_);_(* \(#,##0.0\);_(* &quot;-&quot;?_);_(@_)"/>
    <numFmt numFmtId="180" formatCode="0.0%;\(0.0%\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24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8"/>
      <color indexed="17"/>
      <name val="Arial"/>
      <family val="2"/>
    </font>
    <font>
      <sz val="10"/>
      <name val="Times New Roman"/>
    </font>
    <font>
      <b/>
      <sz val="12"/>
      <color indexed="10"/>
      <name val="Arial"/>
      <family val="2"/>
    </font>
    <font>
      <b/>
      <sz val="8"/>
      <color indexed="17"/>
      <name val="Arial"/>
      <family val="2"/>
    </font>
    <font>
      <b/>
      <sz val="8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2" fillId="0" borderId="0" xfId="0" applyFont="1"/>
    <xf numFmtId="165" fontId="1" fillId="0" borderId="0" xfId="1" applyNumberFormat="1"/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0" fillId="0" borderId="2" xfId="0" applyNumberFormat="1" applyBorder="1"/>
    <xf numFmtId="0" fontId="6" fillId="0" borderId="0" xfId="0" applyFont="1" applyBorder="1" applyAlignment="1">
      <alignment horizontal="center"/>
    </xf>
    <xf numFmtId="164" fontId="2" fillId="0" borderId="2" xfId="0" applyNumberFormat="1" applyFont="1" applyBorder="1"/>
    <xf numFmtId="0" fontId="5" fillId="0" borderId="0" xfId="0" applyFont="1" applyBorder="1" applyAlignment="1">
      <alignment horizontal="center"/>
    </xf>
    <xf numFmtId="164" fontId="0" fillId="0" borderId="0" xfId="0" applyNumberFormat="1" applyBorder="1"/>
    <xf numFmtId="180" fontId="0" fillId="0" borderId="1" xfId="0" applyNumberFormat="1" applyBorder="1" applyAlignment="1">
      <alignment horizontal="center"/>
    </xf>
    <xf numFmtId="180" fontId="0" fillId="0" borderId="0" xfId="2" applyNumberFormat="1" applyFont="1"/>
    <xf numFmtId="180" fontId="0" fillId="0" borderId="0" xfId="0" applyNumberFormat="1"/>
    <xf numFmtId="0" fontId="0" fillId="0" borderId="0" xfId="0" applyAlignment="1"/>
    <xf numFmtId="22" fontId="0" fillId="0" borderId="0" xfId="0" applyNumberFormat="1"/>
    <xf numFmtId="0" fontId="0" fillId="0" borderId="0" xfId="0" quotePrefix="1"/>
    <xf numFmtId="0" fontId="0" fillId="0" borderId="0" xfId="0" quotePrefix="1" applyBorder="1" applyAlignment="1">
      <alignment horizontal="center"/>
    </xf>
    <xf numFmtId="0" fontId="0" fillId="0" borderId="0" xfId="0" quotePrefix="1" applyBorder="1"/>
    <xf numFmtId="180" fontId="0" fillId="0" borderId="0" xfId="0" applyNumberFormat="1" applyBorder="1" applyAlignment="1">
      <alignment horizontal="center"/>
    </xf>
    <xf numFmtId="165" fontId="0" fillId="0" borderId="0" xfId="1" applyNumberFormat="1" applyFont="1" applyBorder="1"/>
    <xf numFmtId="180" fontId="0" fillId="0" borderId="0" xfId="1" applyNumberFormat="1" applyFont="1" applyBorder="1"/>
    <xf numFmtId="164" fontId="0" fillId="0" borderId="0" xfId="1" applyNumberFormat="1" applyFont="1" applyBorder="1"/>
    <xf numFmtId="180" fontId="0" fillId="0" borderId="0" xfId="2" applyNumberFormat="1" applyFont="1" applyBorder="1"/>
    <xf numFmtId="43" fontId="0" fillId="0" borderId="0" xfId="1" applyNumberFormat="1" applyFont="1" applyBorder="1"/>
    <xf numFmtId="43" fontId="0" fillId="0" borderId="0" xfId="1" applyFont="1"/>
    <xf numFmtId="180" fontId="1" fillId="0" borderId="0" xfId="1" applyNumberFormat="1"/>
    <xf numFmtId="9" fontId="1" fillId="0" borderId="0" xfId="2"/>
    <xf numFmtId="180" fontId="1" fillId="0" borderId="0" xfId="2" applyNumberFormat="1"/>
    <xf numFmtId="164" fontId="1" fillId="0" borderId="0" xfId="1" quotePrefix="1" applyNumberFormat="1" applyFont="1"/>
    <xf numFmtId="180" fontId="1" fillId="0" borderId="0" xfId="2" applyNumberFormat="1" applyFont="1"/>
    <xf numFmtId="43" fontId="0" fillId="0" borderId="0" xfId="1" applyFont="1" applyBorder="1" applyAlignment="1">
      <alignment horizontal="center"/>
    </xf>
    <xf numFmtId="165" fontId="0" fillId="0" borderId="2" xfId="0" applyNumberFormat="1" applyBorder="1"/>
    <xf numFmtId="180" fontId="1" fillId="0" borderId="0" xfId="2" applyNumberFormat="1" applyFont="1" applyBorder="1"/>
    <xf numFmtId="165" fontId="1" fillId="0" borderId="0" xfId="1" applyNumberFormat="1" applyBorder="1"/>
    <xf numFmtId="180" fontId="1" fillId="0" borderId="0" xfId="1" applyNumberFormat="1" applyBorder="1"/>
    <xf numFmtId="0" fontId="4" fillId="0" borderId="0" xfId="0" applyFont="1" applyAlignment="1"/>
    <xf numFmtId="0" fontId="3" fillId="0" borderId="0" xfId="0" applyFont="1" applyAlignment="1"/>
    <xf numFmtId="164" fontId="1" fillId="0" borderId="0" xfId="1" applyNumberFormat="1" applyBorder="1"/>
    <xf numFmtId="0" fontId="6" fillId="0" borderId="3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180" fontId="0" fillId="0" borderId="1" xfId="2" applyNumberFormat="1" applyFont="1" applyBorder="1"/>
    <xf numFmtId="165" fontId="0" fillId="0" borderId="0" xfId="0" applyNumberFormat="1"/>
    <xf numFmtId="165" fontId="1" fillId="0" borderId="1" xfId="1" applyNumberFormat="1" applyBorder="1"/>
    <xf numFmtId="165" fontId="0" fillId="0" borderId="1" xfId="1" applyNumberFormat="1" applyFont="1" applyBorder="1"/>
    <xf numFmtId="165" fontId="1" fillId="0" borderId="2" xfId="1" applyNumberFormat="1" applyBorder="1"/>
    <xf numFmtId="165" fontId="1" fillId="0" borderId="0" xfId="1" applyNumberFormat="1" applyFont="1"/>
    <xf numFmtId="165" fontId="1" fillId="0" borderId="1" xfId="1" applyNumberFormat="1" applyFont="1" applyBorder="1"/>
    <xf numFmtId="0" fontId="2" fillId="0" borderId="0" xfId="0" applyFont="1" applyAlignment="1">
      <alignment horizontal="centerContinuous"/>
    </xf>
    <xf numFmtId="43" fontId="0" fillId="0" borderId="0" xfId="1" applyFont="1" applyAlignment="1">
      <alignment horizontal="centerContinuous"/>
    </xf>
    <xf numFmtId="0" fontId="6" fillId="0" borderId="0" xfId="0" applyFont="1" applyBorder="1" applyAlignment="1">
      <alignment horizontal="centerContinuous"/>
    </xf>
    <xf numFmtId="43" fontId="6" fillId="0" borderId="0" xfId="1" applyFont="1" applyBorder="1" applyAlignment="1">
      <alignment horizontal="centerContinuous"/>
    </xf>
    <xf numFmtId="43" fontId="0" fillId="0" borderId="1" xfId="1" applyFont="1" applyBorder="1" applyAlignment="1">
      <alignment horizontal="center"/>
    </xf>
    <xf numFmtId="164" fontId="2" fillId="0" borderId="0" xfId="0" applyNumberFormat="1" applyFont="1" applyBorder="1"/>
    <xf numFmtId="180" fontId="2" fillId="0" borderId="0" xfId="2" applyNumberFormat="1" applyFont="1" applyBorder="1"/>
    <xf numFmtId="0" fontId="2" fillId="0" borderId="0" xfId="0" applyFont="1" applyBorder="1"/>
    <xf numFmtId="165" fontId="7" fillId="0" borderId="0" xfId="1" applyNumberFormat="1" applyFont="1" applyAlignment="1">
      <alignment horizontal="centerContinuous"/>
    </xf>
    <xf numFmtId="165" fontId="8" fillId="0" borderId="0" xfId="1" applyNumberFormat="1" applyFont="1" applyAlignment="1">
      <alignment horizontal="centerContinuous"/>
    </xf>
    <xf numFmtId="165" fontId="8" fillId="0" borderId="0" xfId="1" applyNumberFormat="1" applyFont="1" applyAlignment="1"/>
    <xf numFmtId="165" fontId="8" fillId="0" borderId="0" xfId="1" applyNumberFormat="1" applyFont="1" applyBorder="1" applyAlignment="1">
      <alignment horizontal="center"/>
    </xf>
    <xf numFmtId="165" fontId="8" fillId="0" borderId="0" xfId="1" applyNumberFormat="1" applyFont="1"/>
    <xf numFmtId="165" fontId="8" fillId="0" borderId="0" xfId="1" applyNumberFormat="1" applyFont="1" applyBorder="1"/>
    <xf numFmtId="165" fontId="7" fillId="0" borderId="0" xfId="1" applyNumberFormat="1" applyFont="1"/>
    <xf numFmtId="165" fontId="8" fillId="0" borderId="0" xfId="1" applyNumberFormat="1" applyFont="1" applyAlignment="1">
      <alignment horizontal="center"/>
    </xf>
    <xf numFmtId="0" fontId="9" fillId="0" borderId="0" xfId="0" applyFont="1"/>
    <xf numFmtId="0" fontId="8" fillId="0" borderId="0" xfId="0" applyFont="1"/>
    <xf numFmtId="49" fontId="8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8" fillId="2" borderId="0" xfId="0" applyFont="1" applyFill="1"/>
    <xf numFmtId="41" fontId="8" fillId="0" borderId="0" xfId="0" applyNumberFormat="1" applyFont="1"/>
    <xf numFmtId="167" fontId="8" fillId="0" borderId="0" xfId="0" applyNumberFormat="1" applyFont="1"/>
    <xf numFmtId="167" fontId="10" fillId="0" borderId="0" xfId="0" applyNumberFormat="1" applyFont="1"/>
    <xf numFmtId="0" fontId="8" fillId="0" borderId="0" xfId="0" applyFont="1" applyAlignment="1">
      <alignment horizontal="center" vertical="center" wrapText="1"/>
    </xf>
    <xf numFmtId="41" fontId="7" fillId="0" borderId="0" xfId="0" applyNumberFormat="1" applyFont="1"/>
    <xf numFmtId="0" fontId="7" fillId="0" borderId="0" xfId="0" applyFont="1"/>
    <xf numFmtId="0" fontId="10" fillId="0" borderId="0" xfId="0" applyFont="1"/>
    <xf numFmtId="0" fontId="9" fillId="0" borderId="0" xfId="0" quotePrefix="1" applyFont="1"/>
    <xf numFmtId="165" fontId="0" fillId="0" borderId="0" xfId="1" quotePrefix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center"/>
    </xf>
    <xf numFmtId="0" fontId="8" fillId="3" borderId="0" xfId="0" applyNumberFormat="1" applyFont="1" applyFill="1"/>
    <xf numFmtId="0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41" fontId="8" fillId="0" borderId="0" xfId="0" applyNumberFormat="1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41" fontId="10" fillId="0" borderId="0" xfId="0" applyNumberFormat="1" applyFont="1"/>
    <xf numFmtId="0" fontId="8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41" fontId="8" fillId="0" borderId="5" xfId="0" applyNumberFormat="1" applyFont="1" applyBorder="1"/>
    <xf numFmtId="41" fontId="10" fillId="0" borderId="5" xfId="0" applyNumberFormat="1" applyFont="1" applyBorder="1"/>
    <xf numFmtId="0" fontId="8" fillId="0" borderId="0" xfId="0" applyFont="1" applyAlignment="1">
      <alignment horizontal="left" indent="2"/>
    </xf>
    <xf numFmtId="41" fontId="7" fillId="0" borderId="6" xfId="0" applyNumberFormat="1" applyFont="1" applyBorder="1"/>
    <xf numFmtId="41" fontId="13" fillId="0" borderId="6" xfId="0" applyNumberFormat="1" applyFont="1" applyBorder="1"/>
    <xf numFmtId="41" fontId="7" fillId="0" borderId="2" xfId="0" applyNumberFormat="1" applyFont="1" applyBorder="1"/>
    <xf numFmtId="41" fontId="7" fillId="4" borderId="2" xfId="0" applyNumberFormat="1" applyFont="1" applyFill="1" applyBorder="1"/>
    <xf numFmtId="0" fontId="7" fillId="0" borderId="0" xfId="0" applyFont="1" applyBorder="1"/>
    <xf numFmtId="41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4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1" fontId="7" fillId="0" borderId="6" xfId="0" applyNumberFormat="1" applyFont="1" applyFill="1" applyBorder="1"/>
    <xf numFmtId="41" fontId="7" fillId="0" borderId="2" xfId="0" applyNumberFormat="1" applyFont="1" applyFill="1" applyBorder="1"/>
    <xf numFmtId="0" fontId="14" fillId="5" borderId="0" xfId="0" applyFont="1" applyFill="1"/>
    <xf numFmtId="0" fontId="14" fillId="5" borderId="0" xfId="0" quotePrefix="1" applyFont="1" applyFill="1"/>
    <xf numFmtId="43" fontId="0" fillId="0" borderId="0" xfId="0" applyNumberFormat="1"/>
    <xf numFmtId="43" fontId="6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pitalDeploy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"/>
      <sheetName val="Jun00"/>
      <sheetName val="Dec99"/>
      <sheetName val="Dec98"/>
    </sheetNames>
    <sheetDataSet>
      <sheetData sheetId="0"/>
      <sheetData sheetId="1">
        <row r="6">
          <cell r="C6">
            <v>4167329428</v>
          </cell>
          <cell r="D6">
            <v>2396310082</v>
          </cell>
          <cell r="E6">
            <v>2674498681</v>
          </cell>
          <cell r="F6">
            <v>1320798035</v>
          </cell>
          <cell r="H6">
            <v>1323168592</v>
          </cell>
          <cell r="I6">
            <v>1103808900</v>
          </cell>
          <cell r="J6">
            <v>3827461138</v>
          </cell>
          <cell r="K6">
            <v>518713396</v>
          </cell>
          <cell r="L6">
            <v>450302373</v>
          </cell>
          <cell r="M6">
            <v>466429492</v>
          </cell>
          <cell r="N6">
            <v>1704488310</v>
          </cell>
          <cell r="O6">
            <v>551180979</v>
          </cell>
          <cell r="P6">
            <v>922458267</v>
          </cell>
          <cell r="Q6">
            <v>11014983</v>
          </cell>
          <cell r="R6">
            <v>-3072324</v>
          </cell>
          <cell r="S6">
            <v>549649453</v>
          </cell>
          <cell r="T6">
            <v>271646574</v>
          </cell>
          <cell r="U6">
            <v>263781997</v>
          </cell>
          <cell r="V6">
            <v>-384089597</v>
          </cell>
          <cell r="AH6">
            <v>10768997478</v>
          </cell>
        </row>
        <row r="27">
          <cell r="C27">
            <v>-1984495218</v>
          </cell>
          <cell r="D27">
            <v>-69365502</v>
          </cell>
          <cell r="E27">
            <v>-1060234439</v>
          </cell>
          <cell r="F27">
            <v>4628473</v>
          </cell>
          <cell r="H27">
            <v>-1237122047</v>
          </cell>
          <cell r="I27">
            <v>-644030136</v>
          </cell>
          <cell r="J27">
            <v>-3350464594</v>
          </cell>
          <cell r="K27">
            <v>-171092705</v>
          </cell>
          <cell r="L27">
            <v>252379784</v>
          </cell>
          <cell r="M27">
            <v>286945207</v>
          </cell>
          <cell r="N27">
            <v>828250527</v>
          </cell>
          <cell r="O27">
            <v>198400264</v>
          </cell>
          <cell r="P27">
            <v>-773070068</v>
          </cell>
          <cell r="Q27">
            <v>14836703</v>
          </cell>
          <cell r="R27">
            <v>4437542</v>
          </cell>
          <cell r="S27">
            <v>602890892</v>
          </cell>
          <cell r="T27">
            <v>647343588</v>
          </cell>
          <cell r="U27">
            <v>104461588</v>
          </cell>
          <cell r="V27">
            <v>578805822</v>
          </cell>
          <cell r="AH27">
            <v>0</v>
          </cell>
        </row>
        <row r="30">
          <cell r="C30">
            <v>0</v>
          </cell>
          <cell r="D30">
            <v>0</v>
          </cell>
          <cell r="E30">
            <v>2177720000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AH30">
            <v>0</v>
          </cell>
        </row>
        <row r="34">
          <cell r="C34">
            <v>0</v>
          </cell>
          <cell r="D34">
            <v>0</v>
          </cell>
          <cell r="E34">
            <v>4037915</v>
          </cell>
          <cell r="F34">
            <v>0</v>
          </cell>
          <cell r="H34">
            <v>42234368</v>
          </cell>
          <cell r="I34">
            <v>0</v>
          </cell>
          <cell r="J34">
            <v>9616299</v>
          </cell>
          <cell r="K34">
            <v>3774123</v>
          </cell>
          <cell r="L34">
            <v>-12213056</v>
          </cell>
          <cell r="M34">
            <v>128048765</v>
          </cell>
          <cell r="N34">
            <v>628925576</v>
          </cell>
          <cell r="O34">
            <v>10</v>
          </cell>
          <cell r="P34">
            <v>0</v>
          </cell>
          <cell r="Q34">
            <v>0</v>
          </cell>
          <cell r="R34">
            <v>0</v>
          </cell>
          <cell r="S34">
            <v>2529826</v>
          </cell>
          <cell r="T34">
            <v>-32188</v>
          </cell>
          <cell r="U34">
            <v>14641359</v>
          </cell>
          <cell r="V34">
            <v>0</v>
          </cell>
          <cell r="AH34">
            <v>838672195</v>
          </cell>
        </row>
        <row r="53">
          <cell r="C53">
            <v>518927028</v>
          </cell>
          <cell r="D53">
            <v>1004129155</v>
          </cell>
          <cell r="E53">
            <v>2099303</v>
          </cell>
          <cell r="F53">
            <v>0</v>
          </cell>
          <cell r="H53">
            <v>67727039</v>
          </cell>
          <cell r="I53">
            <v>0</v>
          </cell>
          <cell r="J53">
            <v>448620189</v>
          </cell>
          <cell r="K53">
            <v>-15240</v>
          </cell>
          <cell r="L53">
            <v>255262065</v>
          </cell>
          <cell r="M53">
            <v>79392727</v>
          </cell>
          <cell r="N53">
            <v>73286523</v>
          </cell>
          <cell r="O53">
            <v>0</v>
          </cell>
          <cell r="P53">
            <v>0</v>
          </cell>
          <cell r="Q53">
            <v>9519859</v>
          </cell>
          <cell r="R53">
            <v>0</v>
          </cell>
          <cell r="S53">
            <v>1187329</v>
          </cell>
          <cell r="T53">
            <v>1397972</v>
          </cell>
          <cell r="U53">
            <v>42345965</v>
          </cell>
          <cell r="V53">
            <v>0</v>
          </cell>
          <cell r="AH53">
            <v>11696413988</v>
          </cell>
        </row>
        <row r="59">
          <cell r="C59">
            <v>0</v>
          </cell>
          <cell r="D59">
            <v>29524519</v>
          </cell>
          <cell r="E59">
            <v>0</v>
          </cell>
          <cell r="F59">
            <v>0</v>
          </cell>
          <cell r="H59">
            <v>167</v>
          </cell>
          <cell r="I59">
            <v>0</v>
          </cell>
          <cell r="J59">
            <v>0</v>
          </cell>
          <cell r="K59">
            <v>0</v>
          </cell>
          <cell r="L59">
            <v>80564</v>
          </cell>
          <cell r="M59">
            <v>105000000</v>
          </cell>
          <cell r="N59">
            <v>0</v>
          </cell>
          <cell r="O59">
            <v>0</v>
          </cell>
          <cell r="P59">
            <v>103000000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AH59">
            <v>898897209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H62">
            <v>-290857</v>
          </cell>
          <cell r="I62">
            <v>0</v>
          </cell>
          <cell r="J62">
            <v>7530000</v>
          </cell>
          <cell r="K62">
            <v>0</v>
          </cell>
          <cell r="L62">
            <v>84497961</v>
          </cell>
          <cell r="M62">
            <v>36974907</v>
          </cell>
          <cell r="N62">
            <v>494552360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AH62">
            <v>1892788888</v>
          </cell>
        </row>
      </sheetData>
      <sheetData sheetId="2">
        <row r="4">
          <cell r="C4" t="str">
            <v>EGPG4</v>
          </cell>
          <cell r="D4" t="str">
            <v>PGE4</v>
          </cell>
          <cell r="E4" t="str">
            <v>EGS x HPL</v>
          </cell>
          <cell r="F4" t="str">
            <v>HPL FV</v>
          </cell>
          <cell r="H4" t="str">
            <v>ECINT4</v>
          </cell>
          <cell r="I4" t="str">
            <v>EGEPG4</v>
          </cell>
          <cell r="J4" t="str">
            <v>ECMGR4</v>
          </cell>
          <cell r="K4" t="str">
            <v>EENGC4</v>
          </cell>
          <cell r="L4" t="str">
            <v>APACHI4</v>
          </cell>
          <cell r="M4" t="str">
            <v>CALME4</v>
          </cell>
          <cell r="N4" t="str">
            <v>ESACNS4</v>
          </cell>
          <cell r="O4" t="str">
            <v>INDIA4</v>
          </cell>
          <cell r="P4" t="str">
            <v>EIHQTR4</v>
          </cell>
          <cell r="Q4" t="str">
            <v>SJPRO4</v>
          </cell>
          <cell r="R4" t="str">
            <v>83E</v>
          </cell>
          <cell r="S4" t="str">
            <v>RETAIL4</v>
          </cell>
          <cell r="T4" t="str">
            <v>ECI4</v>
          </cell>
          <cell r="U4" t="str">
            <v>EREC4</v>
          </cell>
          <cell r="V4" t="str">
            <v>CLNFU4</v>
          </cell>
          <cell r="AH4" t="str">
            <v>Sub-Total</v>
          </cell>
        </row>
        <row r="6">
          <cell r="C6">
            <v>1199893147</v>
          </cell>
          <cell r="D6">
            <v>2373033347</v>
          </cell>
          <cell r="E6">
            <v>2581303617</v>
          </cell>
          <cell r="F6">
            <v>1330062953</v>
          </cell>
          <cell r="H6">
            <v>1083877055</v>
          </cell>
          <cell r="I6">
            <v>1092578087</v>
          </cell>
          <cell r="J6">
            <v>3850691644</v>
          </cell>
          <cell r="K6">
            <v>302341180</v>
          </cell>
          <cell r="L6">
            <v>489882642</v>
          </cell>
          <cell r="M6">
            <v>459235474</v>
          </cell>
          <cell r="N6">
            <v>1391157761</v>
          </cell>
          <cell r="O6">
            <v>567201399</v>
          </cell>
          <cell r="P6">
            <v>1309421817</v>
          </cell>
          <cell r="Q6">
            <v>13838804</v>
          </cell>
          <cell r="R6">
            <v>0</v>
          </cell>
          <cell r="S6">
            <v>546612258</v>
          </cell>
          <cell r="T6">
            <v>242870369</v>
          </cell>
          <cell r="U6">
            <v>145288924</v>
          </cell>
          <cell r="V6">
            <v>-386462428</v>
          </cell>
          <cell r="AH6">
            <v>9570192778</v>
          </cell>
        </row>
        <row r="27">
          <cell r="C27">
            <v>-2048257898</v>
          </cell>
          <cell r="D27">
            <v>-86920466</v>
          </cell>
          <cell r="E27">
            <v>-36971040</v>
          </cell>
          <cell r="F27">
            <v>4628473</v>
          </cell>
          <cell r="H27">
            <v>-632580100</v>
          </cell>
          <cell r="I27">
            <v>-559294344</v>
          </cell>
          <cell r="J27">
            <v>-3546097765</v>
          </cell>
          <cell r="K27">
            <v>-72870969</v>
          </cell>
          <cell r="L27">
            <v>25069279</v>
          </cell>
          <cell r="M27">
            <v>87516601</v>
          </cell>
          <cell r="N27">
            <v>914211185</v>
          </cell>
          <cell r="O27">
            <v>45767847</v>
          </cell>
          <cell r="P27">
            <v>-1069595598</v>
          </cell>
          <cell r="Q27">
            <v>15117810</v>
          </cell>
          <cell r="R27">
            <v>0</v>
          </cell>
          <cell r="S27">
            <v>132932983</v>
          </cell>
          <cell r="T27">
            <v>50355091</v>
          </cell>
          <cell r="U27">
            <v>199823936</v>
          </cell>
          <cell r="V27">
            <v>571219560</v>
          </cell>
          <cell r="AH27">
            <v>0</v>
          </cell>
        </row>
        <row r="30">
          <cell r="C30">
            <v>2870620066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AH30">
            <v>0</v>
          </cell>
        </row>
        <row r="34">
          <cell r="C34">
            <v>0</v>
          </cell>
          <cell r="D34">
            <v>0</v>
          </cell>
          <cell r="E34">
            <v>684806</v>
          </cell>
          <cell r="F34">
            <v>0</v>
          </cell>
          <cell r="H34">
            <v>-8620468</v>
          </cell>
          <cell r="I34">
            <v>0</v>
          </cell>
          <cell r="J34">
            <v>0</v>
          </cell>
          <cell r="K34">
            <v>554614</v>
          </cell>
          <cell r="L34">
            <v>-14213063</v>
          </cell>
          <cell r="M34">
            <v>128048766</v>
          </cell>
          <cell r="N34">
            <v>612382382</v>
          </cell>
          <cell r="O34">
            <v>10</v>
          </cell>
          <cell r="P34">
            <v>-1298360</v>
          </cell>
          <cell r="Q34">
            <v>0</v>
          </cell>
          <cell r="R34">
            <v>0</v>
          </cell>
          <cell r="S34">
            <v>53603</v>
          </cell>
          <cell r="T34">
            <v>0</v>
          </cell>
          <cell r="U34">
            <v>3990981</v>
          </cell>
          <cell r="V34">
            <v>0</v>
          </cell>
          <cell r="AH34">
            <v>737828036</v>
          </cell>
        </row>
        <row r="53">
          <cell r="C53">
            <v>641888445</v>
          </cell>
          <cell r="D53">
            <v>1012770767</v>
          </cell>
          <cell r="E53">
            <v>46970295</v>
          </cell>
          <cell r="F53">
            <v>0</v>
          </cell>
          <cell r="H53">
            <v>27207819</v>
          </cell>
          <cell r="I53">
            <v>0</v>
          </cell>
          <cell r="J53">
            <v>237338438</v>
          </cell>
          <cell r="K53">
            <v>0</v>
          </cell>
          <cell r="L53">
            <v>254282154</v>
          </cell>
          <cell r="M53">
            <v>79129364</v>
          </cell>
          <cell r="N53">
            <v>65720044</v>
          </cell>
          <cell r="O53">
            <v>0</v>
          </cell>
          <cell r="P53">
            <v>28229952</v>
          </cell>
          <cell r="Q53">
            <v>8778476</v>
          </cell>
          <cell r="R53">
            <v>0</v>
          </cell>
          <cell r="S53">
            <v>2300647</v>
          </cell>
          <cell r="T53">
            <v>0</v>
          </cell>
          <cell r="U53">
            <v>18853697</v>
          </cell>
          <cell r="V53">
            <v>0</v>
          </cell>
          <cell r="AH53">
            <v>8152233179</v>
          </cell>
        </row>
        <row r="59">
          <cell r="C59">
            <v>0</v>
          </cell>
          <cell r="D59">
            <v>29490145</v>
          </cell>
          <cell r="E59">
            <v>0</v>
          </cell>
          <cell r="F59">
            <v>0</v>
          </cell>
          <cell r="H59">
            <v>165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103000000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AH59">
            <v>999841882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H62">
            <v>-2652335</v>
          </cell>
          <cell r="I62">
            <v>0</v>
          </cell>
          <cell r="J62">
            <v>7530000</v>
          </cell>
          <cell r="K62">
            <v>-27706</v>
          </cell>
          <cell r="L62">
            <v>69681853</v>
          </cell>
          <cell r="M62">
            <v>27777239</v>
          </cell>
          <cell r="N62">
            <v>483510607</v>
          </cell>
          <cell r="O62">
            <v>0</v>
          </cell>
          <cell r="P62">
            <v>-2208208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AH62">
            <v>2430149938</v>
          </cell>
        </row>
      </sheetData>
      <sheetData sheetId="3">
        <row r="6">
          <cell r="C6">
            <v>3732858708</v>
          </cell>
          <cell r="D6">
            <v>2270273271</v>
          </cell>
          <cell r="E6">
            <v>1403525188</v>
          </cell>
          <cell r="F6">
            <v>1348589451</v>
          </cell>
          <cell r="H6">
            <v>534027617</v>
          </cell>
          <cell r="I6">
            <v>86943808</v>
          </cell>
          <cell r="J6">
            <v>3209590368</v>
          </cell>
          <cell r="K6">
            <v>336655779</v>
          </cell>
          <cell r="L6">
            <v>158345524</v>
          </cell>
          <cell r="M6">
            <v>520092210</v>
          </cell>
          <cell r="N6">
            <v>1078179873</v>
          </cell>
          <cell r="O6">
            <v>299044470</v>
          </cell>
          <cell r="P6">
            <v>1178819360</v>
          </cell>
          <cell r="Q6">
            <v>22285459</v>
          </cell>
          <cell r="R6">
            <v>0</v>
          </cell>
          <cell r="S6">
            <v>312508563</v>
          </cell>
          <cell r="T6">
            <v>15580470</v>
          </cell>
          <cell r="U6">
            <v>131507123</v>
          </cell>
          <cell r="V6">
            <v>-79846925</v>
          </cell>
          <cell r="AH6">
            <v>7047825408</v>
          </cell>
        </row>
        <row r="27">
          <cell r="C27">
            <v>-1632697848</v>
          </cell>
          <cell r="D27">
            <v>-95927769</v>
          </cell>
          <cell r="E27">
            <v>-408024421</v>
          </cell>
          <cell r="F27">
            <v>3076809</v>
          </cell>
          <cell r="H27">
            <v>-438405379</v>
          </cell>
          <cell r="I27">
            <v>156526384</v>
          </cell>
          <cell r="J27">
            <v>-2499737906</v>
          </cell>
          <cell r="K27">
            <v>-243148981</v>
          </cell>
          <cell r="L27">
            <v>94637496</v>
          </cell>
          <cell r="M27">
            <v>-106567867</v>
          </cell>
          <cell r="N27">
            <v>-55388251</v>
          </cell>
          <cell r="O27">
            <v>2608718</v>
          </cell>
          <cell r="P27">
            <v>-161295826</v>
          </cell>
          <cell r="Q27">
            <v>10563207</v>
          </cell>
          <cell r="R27">
            <v>0</v>
          </cell>
          <cell r="S27">
            <v>72296591</v>
          </cell>
          <cell r="T27">
            <v>95437785</v>
          </cell>
          <cell r="U27">
            <v>174541748</v>
          </cell>
          <cell r="V27">
            <v>79119615</v>
          </cell>
          <cell r="AH27">
            <v>-31596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AH30">
            <v>0</v>
          </cell>
        </row>
        <row r="34">
          <cell r="C34">
            <v>-7792</v>
          </cell>
          <cell r="D34">
            <v>0</v>
          </cell>
          <cell r="E34">
            <v>5620869</v>
          </cell>
          <cell r="F34">
            <v>0</v>
          </cell>
          <cell r="H34">
            <v>-9731463</v>
          </cell>
          <cell r="I34">
            <v>0</v>
          </cell>
          <cell r="J34">
            <v>0</v>
          </cell>
          <cell r="K34">
            <v>-309276</v>
          </cell>
          <cell r="L34">
            <v>11473</v>
          </cell>
          <cell r="M34">
            <v>133444008</v>
          </cell>
          <cell r="N34">
            <v>3429389</v>
          </cell>
          <cell r="O34">
            <v>10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190000</v>
          </cell>
          <cell r="V34">
            <v>0</v>
          </cell>
          <cell r="AH34">
            <v>162310306</v>
          </cell>
        </row>
        <row r="53">
          <cell r="C53">
            <v>645661278</v>
          </cell>
          <cell r="D53">
            <v>966044993</v>
          </cell>
          <cell r="E53">
            <v>207790214</v>
          </cell>
          <cell r="F53">
            <v>0</v>
          </cell>
          <cell r="H53">
            <v>236364333</v>
          </cell>
          <cell r="I53">
            <v>0</v>
          </cell>
          <cell r="J53">
            <v>0</v>
          </cell>
          <cell r="K53">
            <v>0</v>
          </cell>
          <cell r="L53">
            <v>44473077</v>
          </cell>
          <cell r="M53">
            <v>-2</v>
          </cell>
          <cell r="N53">
            <v>13537459</v>
          </cell>
          <cell r="O53">
            <v>0</v>
          </cell>
          <cell r="P53">
            <v>22998029</v>
          </cell>
          <cell r="Q53">
            <v>2308357</v>
          </cell>
          <cell r="R53">
            <v>0</v>
          </cell>
          <cell r="S53">
            <v>139000</v>
          </cell>
          <cell r="T53">
            <v>151887</v>
          </cell>
          <cell r="U53">
            <v>22914000</v>
          </cell>
          <cell r="V53">
            <v>0</v>
          </cell>
          <cell r="AH53">
            <v>7357429074</v>
          </cell>
        </row>
        <row r="59">
          <cell r="C59">
            <v>0</v>
          </cell>
          <cell r="D59">
            <v>29421397</v>
          </cell>
          <cell r="E59">
            <v>0</v>
          </cell>
          <cell r="F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103000000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AH59">
            <v>1001569356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H62">
            <v>3741971</v>
          </cell>
          <cell r="I62">
            <v>0</v>
          </cell>
          <cell r="J62">
            <v>7530000</v>
          </cell>
          <cell r="K62">
            <v>0</v>
          </cell>
          <cell r="L62">
            <v>-1248189</v>
          </cell>
          <cell r="M62">
            <v>5954925</v>
          </cell>
          <cell r="N62">
            <v>32832404</v>
          </cell>
          <cell r="O62">
            <v>94332766</v>
          </cell>
          <cell r="P62">
            <v>30617981</v>
          </cell>
          <cell r="Q62">
            <v>0</v>
          </cell>
          <cell r="R62">
            <v>0</v>
          </cell>
          <cell r="S62">
            <v>67994062</v>
          </cell>
          <cell r="T62">
            <v>0</v>
          </cell>
          <cell r="U62">
            <v>0</v>
          </cell>
          <cell r="V62">
            <v>0</v>
          </cell>
          <cell r="AH62">
            <v>2143322671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5"/>
  <sheetViews>
    <sheetView tabSelected="1" workbookViewId="0">
      <pane xSplit="4" ySplit="10" topLeftCell="AB23" activePane="bottomRight" state="frozen"/>
      <selection pane="topRight" activeCell="E1" sqref="E1"/>
      <selection pane="bottomLeft" activeCell="A11" sqref="A11"/>
      <selection pane="bottomRight" activeCell="C3" sqref="C3"/>
    </sheetView>
  </sheetViews>
  <sheetFormatPr defaultRowHeight="13.2" x14ac:dyDescent="0.25"/>
  <cols>
    <col min="1" max="1" width="27.44140625" customWidth="1"/>
    <col min="2" max="2" width="3.33203125" style="73" customWidth="1"/>
    <col min="3" max="3" width="14.33203125" customWidth="1"/>
    <col min="4" max="4" width="1.88671875" customWidth="1"/>
    <col min="5" max="5" width="13.109375" bestFit="1" customWidth="1"/>
    <col min="6" max="6" width="2.109375" customWidth="1"/>
    <col min="7" max="7" width="11.33203125" customWidth="1"/>
    <col min="8" max="8" width="2.33203125" customWidth="1"/>
    <col min="9" max="9" width="10.6640625" bestFit="1" customWidth="1"/>
    <col min="10" max="10" width="3" customWidth="1"/>
    <col min="11" max="11" width="9.33203125" bestFit="1" customWidth="1"/>
    <col min="12" max="12" width="2.33203125" customWidth="1"/>
    <col min="13" max="13" width="10.33203125" bestFit="1" customWidth="1"/>
    <col min="14" max="14" width="2.33203125" customWidth="1"/>
    <col min="15" max="15" width="3.88671875" customWidth="1"/>
    <col min="16" max="16" width="15.6640625" customWidth="1"/>
    <col min="17" max="17" width="2.6640625" customWidth="1"/>
    <col min="18" max="18" width="11.44140625" bestFit="1" customWidth="1"/>
    <col min="19" max="19" width="2.5546875" customWidth="1"/>
    <col min="20" max="20" width="11.5546875" bestFit="1" customWidth="1"/>
    <col min="21" max="21" width="2.33203125" customWidth="1"/>
    <col min="22" max="22" width="12.33203125" hidden="1" customWidth="1"/>
    <col min="23" max="23" width="1.44140625" hidden="1" customWidth="1"/>
    <col min="24" max="24" width="12.33203125" bestFit="1" customWidth="1"/>
  </cols>
  <sheetData>
    <row r="1" spans="1:29" s="46" customFormat="1" ht="30" x14ac:dyDescent="0.5">
      <c r="A1" s="50" t="s">
        <v>55</v>
      </c>
      <c r="B1" s="6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9" s="47" customFormat="1" ht="30" x14ac:dyDescent="0.5">
      <c r="A2" s="51" t="s">
        <v>16</v>
      </c>
      <c r="B2" s="7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9" s="24" customFormat="1" ht="12.75" customHeight="1" x14ac:dyDescent="0.25">
      <c r="A3" s="52" t="s">
        <v>11</v>
      </c>
      <c r="B3" s="70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9" s="24" customFormat="1" ht="12.75" customHeight="1" x14ac:dyDescent="0.25">
      <c r="B4" s="71"/>
    </row>
    <row r="5" spans="1:29" s="24" customFormat="1" x14ac:dyDescent="0.25">
      <c r="B5" s="71"/>
    </row>
    <row r="6" spans="1:29" s="24" customFormat="1" ht="15.6" x14ac:dyDescent="0.3">
      <c r="B6" s="71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9" s="24" customFormat="1" ht="16.2" thickBot="1" x14ac:dyDescent="0.35">
      <c r="B7" s="71"/>
      <c r="C7" s="49" t="s">
        <v>35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17"/>
      <c r="P7" s="49" t="s">
        <v>24</v>
      </c>
      <c r="Q7" s="49"/>
      <c r="R7" s="49"/>
      <c r="S7" s="49"/>
      <c r="T7" s="49"/>
      <c r="U7" s="49"/>
      <c r="V7" s="49"/>
      <c r="W7" s="49"/>
      <c r="X7" s="49"/>
    </row>
    <row r="8" spans="1:29" s="1" customFormat="1" x14ac:dyDescent="0.25">
      <c r="A8" s="6"/>
      <c r="B8" s="72"/>
      <c r="C8" s="6" t="s">
        <v>59</v>
      </c>
      <c r="E8" s="1" t="s">
        <v>66</v>
      </c>
      <c r="G8" s="1" t="s">
        <v>51</v>
      </c>
      <c r="H8" s="4"/>
      <c r="I8" s="1" t="s">
        <v>121</v>
      </c>
      <c r="J8" s="3"/>
      <c r="L8" s="4"/>
      <c r="P8" s="6" t="s">
        <v>72</v>
      </c>
      <c r="Q8" s="4"/>
      <c r="R8" s="6" t="s">
        <v>33</v>
      </c>
      <c r="S8" s="4"/>
      <c r="T8" s="6" t="s">
        <v>31</v>
      </c>
      <c r="U8" s="4"/>
      <c r="V8" s="53" t="s">
        <v>22</v>
      </c>
      <c r="X8" s="1" t="s">
        <v>22</v>
      </c>
    </row>
    <row r="9" spans="1:29" x14ac:dyDescent="0.25">
      <c r="C9" s="2" t="s">
        <v>71</v>
      </c>
      <c r="E9" s="2" t="s">
        <v>60</v>
      </c>
      <c r="F9" s="6"/>
      <c r="G9" s="2" t="s">
        <v>60</v>
      </c>
      <c r="I9" s="2" t="s">
        <v>61</v>
      </c>
      <c r="K9" s="2" t="s">
        <v>30</v>
      </c>
      <c r="M9" s="2" t="s">
        <v>25</v>
      </c>
      <c r="P9" s="2" t="s">
        <v>73</v>
      </c>
      <c r="Q9" s="26"/>
      <c r="R9" s="2" t="s">
        <v>34</v>
      </c>
      <c r="S9" t="s">
        <v>2</v>
      </c>
      <c r="T9" s="2" t="s">
        <v>32</v>
      </c>
      <c r="V9" s="21" t="s">
        <v>67</v>
      </c>
      <c r="X9" s="2" t="s">
        <v>74</v>
      </c>
      <c r="AC9" t="s">
        <v>122</v>
      </c>
    </row>
    <row r="10" spans="1:29" s="12" customFormat="1" x14ac:dyDescent="0.25">
      <c r="B10" s="74"/>
      <c r="C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5"/>
      <c r="W10" s="44"/>
      <c r="AC10" s="12" t="s">
        <v>25</v>
      </c>
    </row>
    <row r="11" spans="1:29" x14ac:dyDescent="0.25">
      <c r="A11" t="s">
        <v>56</v>
      </c>
      <c r="C11" s="9">
        <f>'BS 2000'!C59/1000</f>
        <v>2701.761238</v>
      </c>
      <c r="D11" s="55"/>
      <c r="E11" s="7">
        <f>+'Off Balance Sheet Support'!K8</f>
        <v>0</v>
      </c>
      <c r="F11" s="13"/>
      <c r="G11" s="7">
        <f>C11+E11</f>
        <v>2701.761238</v>
      </c>
      <c r="H11" s="14"/>
      <c r="I11" s="37">
        <v>0.6</v>
      </c>
      <c r="J11" s="14"/>
      <c r="K11" s="9">
        <f>(C11+E11)*I11</f>
        <v>1621.0567427999999</v>
      </c>
      <c r="L11" s="9"/>
      <c r="M11" s="9">
        <f>(C11+E11)-K11</f>
        <v>1080.7044952000001</v>
      </c>
      <c r="N11" s="14"/>
      <c r="O11" s="14"/>
      <c r="P11" s="9">
        <f>'Income Calculations'!$M$6</f>
        <v>253.4315</v>
      </c>
      <c r="Q11" s="9"/>
      <c r="R11" s="9">
        <f>(C11*I11)*0.075*0.65</f>
        <v>79.026516211499995</v>
      </c>
      <c r="S11" s="9"/>
      <c r="T11" s="9">
        <f>P11-R11</f>
        <v>174.4049837885</v>
      </c>
      <c r="U11" s="14">
        <v>0</v>
      </c>
      <c r="V11" s="38">
        <f>+T11/(C11*(1-I11))</f>
        <v>0.16138082571427059</v>
      </c>
      <c r="W11" s="14"/>
      <c r="X11" s="22">
        <f>+T11/(M11+((1-I11)*'Off Balance Sheet Support'!K8))</f>
        <v>0.16138082571427059</v>
      </c>
      <c r="AC11" s="124">
        <f>(1-I11)*C11</f>
        <v>1080.7044952000001</v>
      </c>
    </row>
    <row r="12" spans="1:29" x14ac:dyDescent="0.25">
      <c r="C12" s="9"/>
      <c r="D12" s="55"/>
      <c r="E12" s="7" t="s">
        <v>2</v>
      </c>
      <c r="F12" s="13"/>
      <c r="G12" s="7"/>
      <c r="H12" s="14"/>
      <c r="I12" s="14"/>
      <c r="J12" s="14"/>
      <c r="K12" s="59" t="s">
        <v>2</v>
      </c>
      <c r="L12" s="9"/>
      <c r="M12" s="9"/>
      <c r="N12" s="14"/>
      <c r="O12" s="14"/>
      <c r="P12" s="9"/>
      <c r="Q12" s="9"/>
      <c r="R12" s="9"/>
      <c r="S12" s="9"/>
      <c r="T12" s="9"/>
      <c r="U12" s="14"/>
      <c r="V12" s="38"/>
      <c r="W12" s="14"/>
      <c r="X12" s="22" t="s">
        <v>2</v>
      </c>
      <c r="AC12" s="124"/>
    </row>
    <row r="13" spans="1:29" x14ac:dyDescent="0.25">
      <c r="A13" t="s">
        <v>4</v>
      </c>
      <c r="C13" s="9"/>
      <c r="D13" s="55"/>
      <c r="E13" s="7"/>
      <c r="F13" s="13"/>
      <c r="G13" s="7"/>
      <c r="H13" s="14"/>
      <c r="I13" s="14"/>
      <c r="J13" s="14"/>
      <c r="K13" s="59" t="s">
        <v>2</v>
      </c>
      <c r="L13" s="9"/>
      <c r="M13" s="9"/>
      <c r="N13" s="14"/>
      <c r="O13" s="14"/>
      <c r="P13" s="9"/>
      <c r="Q13" s="9"/>
      <c r="R13" s="9"/>
      <c r="S13" s="9"/>
      <c r="T13" s="9"/>
      <c r="U13" s="14"/>
      <c r="V13" s="38"/>
      <c r="W13" s="14"/>
      <c r="X13" s="22" t="s">
        <v>2</v>
      </c>
      <c r="AC13" s="124"/>
    </row>
    <row r="14" spans="1:29" x14ac:dyDescent="0.25">
      <c r="A14" t="s">
        <v>62</v>
      </c>
      <c r="C14" s="9">
        <f>'BS 2000'!G62/1000</f>
        <v>3384.1214599999994</v>
      </c>
      <c r="D14" s="55"/>
      <c r="E14" s="7">
        <f>+'Off Balance Sheet Support'!K11</f>
        <v>601.43000000000006</v>
      </c>
      <c r="F14" s="13"/>
      <c r="G14" s="7">
        <f t="shared" ref="G14:G30" si="0">C14+E14</f>
        <v>3985.5514599999997</v>
      </c>
      <c r="H14" s="39"/>
      <c r="I14" s="37">
        <v>0.5</v>
      </c>
      <c r="J14" s="14"/>
      <c r="K14" s="9">
        <f>(C14+E14)*I14</f>
        <v>1992.7757299999998</v>
      </c>
      <c r="L14" s="9"/>
      <c r="M14" s="9">
        <f>(C14+E14)-K14</f>
        <v>1992.7757299999998</v>
      </c>
      <c r="N14" s="14"/>
      <c r="O14" s="14"/>
      <c r="P14" s="9">
        <f>570+18.7-21</f>
        <v>567.70000000000005</v>
      </c>
      <c r="Q14" s="9"/>
      <c r="R14" s="9">
        <f>(C14*I14)*0.075*0.65</f>
        <v>82.487960587499984</v>
      </c>
      <c r="S14" s="9"/>
      <c r="T14" s="9">
        <f>P14-R14</f>
        <v>485.21203941250008</v>
      </c>
      <c r="U14" s="14">
        <v>0</v>
      </c>
      <c r="V14" s="38">
        <f>+T14/(C14*(1-I14))</f>
        <v>0.28675805236169044</v>
      </c>
      <c r="W14" s="14"/>
      <c r="X14" s="22">
        <f>+T14/M14</f>
        <v>0.2434855222832828</v>
      </c>
      <c r="AC14" s="124">
        <f t="shared" ref="AC14:AC30" si="1">(1-I14)*C14</f>
        <v>1692.0607299999997</v>
      </c>
    </row>
    <row r="15" spans="1:29" x14ac:dyDescent="0.25">
      <c r="A15" t="s">
        <v>63</v>
      </c>
      <c r="B15" s="73">
        <v>-1</v>
      </c>
      <c r="C15" s="9">
        <f>'BS 2000'!K62/1000</f>
        <v>610.00811899999997</v>
      </c>
      <c r="D15" s="55"/>
      <c r="E15" s="7">
        <f>+'Off Balance Sheet Support'!K12</f>
        <v>105.72</v>
      </c>
      <c r="F15" s="13"/>
      <c r="G15" s="7">
        <f t="shared" si="0"/>
        <v>715.72811899999999</v>
      </c>
      <c r="H15" s="39"/>
      <c r="I15" s="37">
        <v>0.5</v>
      </c>
      <c r="J15" s="14"/>
      <c r="K15" s="9">
        <f>(C15+E15)*I15</f>
        <v>357.8640595</v>
      </c>
      <c r="L15" s="9"/>
      <c r="M15" s="9">
        <f>(C15+E15)-K15</f>
        <v>357.8640595</v>
      </c>
      <c r="N15" s="14"/>
      <c r="O15" s="14"/>
      <c r="P15" s="59">
        <f>139-68+21</f>
        <v>92</v>
      </c>
      <c r="Q15" s="9"/>
      <c r="R15" s="9">
        <f>(C15*I15)*0.075*0.65</f>
        <v>14.868947900624999</v>
      </c>
      <c r="S15" s="9"/>
      <c r="T15" s="9">
        <f>P15-R15</f>
        <v>77.131052099374998</v>
      </c>
      <c r="U15" s="14"/>
      <c r="V15" s="38">
        <f>+T15/(C15*(1-I15))</f>
        <v>0.25288532954550724</v>
      </c>
      <c r="W15" s="14"/>
      <c r="X15" s="22">
        <f>+T15/M15</f>
        <v>0.21553170834517679</v>
      </c>
      <c r="AC15" s="124">
        <f t="shared" si="1"/>
        <v>305.00405949999998</v>
      </c>
    </row>
    <row r="16" spans="1:29" x14ac:dyDescent="0.25">
      <c r="A16" t="s">
        <v>64</v>
      </c>
      <c r="C16" s="9">
        <f>'BS 2000'!S66/1000</f>
        <v>6283.9198540000016</v>
      </c>
      <c r="D16" s="55"/>
      <c r="E16" s="7">
        <f>+'Off Balance Sheet Support'!K13</f>
        <v>394.10550000000001</v>
      </c>
      <c r="F16" s="13"/>
      <c r="G16" s="7">
        <f t="shared" si="0"/>
        <v>6678.0253540000012</v>
      </c>
      <c r="H16" s="14"/>
      <c r="I16" s="37">
        <v>0.5</v>
      </c>
      <c r="J16" s="14"/>
      <c r="K16" s="9">
        <f>(C16+E16)*I16</f>
        <v>3339.0126770000006</v>
      </c>
      <c r="L16" s="9"/>
      <c r="M16" s="9">
        <f>(C16+E16)-K16</f>
        <v>3339.0126770000006</v>
      </c>
      <c r="N16" s="14"/>
      <c r="O16" s="14"/>
      <c r="P16" s="9">
        <v>276.38</v>
      </c>
      <c r="Q16" s="9"/>
      <c r="R16" s="9">
        <f>(C16*I16)*0.075*0.65</f>
        <v>153.17054644125005</v>
      </c>
      <c r="S16" s="9"/>
      <c r="T16" s="9">
        <f>P16-R16</f>
        <v>123.20945355874994</v>
      </c>
      <c r="U16" s="14"/>
      <c r="V16" s="38">
        <f>+T16/(C16*(1-I16))</f>
        <v>3.9214202733767044E-2</v>
      </c>
      <c r="W16" s="14"/>
      <c r="X16" s="22">
        <f>+T16/M16</f>
        <v>3.6899965791519489E-2</v>
      </c>
      <c r="AC16" s="124">
        <f t="shared" si="1"/>
        <v>3141.9599270000008</v>
      </c>
    </row>
    <row r="17" spans="1:29" x14ac:dyDescent="0.25">
      <c r="A17" t="s">
        <v>65</v>
      </c>
      <c r="C17" s="56">
        <f>'BS 2000'!O59/1000</f>
        <v>935.23303199999975</v>
      </c>
      <c r="D17" s="55"/>
      <c r="E17" s="57">
        <f>+'Off Balance Sheet Support'!K14</f>
        <v>4.0759999999999996</v>
      </c>
      <c r="F17" s="32"/>
      <c r="G17" s="57">
        <f t="shared" si="0"/>
        <v>939.30903199999977</v>
      </c>
      <c r="H17" s="14"/>
      <c r="I17" s="37">
        <v>0</v>
      </c>
      <c r="J17" s="14"/>
      <c r="K17" s="56">
        <f>(C17+E17)*I17</f>
        <v>0</v>
      </c>
      <c r="L17" s="9"/>
      <c r="M17" s="56">
        <f>(C17+E17)-K17</f>
        <v>939.30903199999977</v>
      </c>
      <c r="N17" s="14"/>
      <c r="O17" s="14"/>
      <c r="P17" s="60">
        <f>205.9+87.8</f>
        <v>293.7</v>
      </c>
      <c r="Q17" s="9"/>
      <c r="R17" s="56">
        <f>(C17*I17)*0.075*0.65</f>
        <v>0</v>
      </c>
      <c r="S17" s="9"/>
      <c r="T17" s="56">
        <f>P17-R17</f>
        <v>293.7</v>
      </c>
      <c r="U17" s="14"/>
      <c r="V17" s="38">
        <f>+T17/(C17*(1-I17))</f>
        <v>0.31403937836960411</v>
      </c>
      <c r="W17" s="14"/>
      <c r="X17" s="54">
        <f>+T17/M17</f>
        <v>0.31267664846642301</v>
      </c>
      <c r="AC17" s="124">
        <f t="shared" si="1"/>
        <v>935.23303199999975</v>
      </c>
    </row>
    <row r="18" spans="1:29" x14ac:dyDescent="0.25">
      <c r="A18" t="s">
        <v>45</v>
      </c>
      <c r="C18" s="9">
        <f>SUM(C14:C17)</f>
        <v>11213.282465</v>
      </c>
      <c r="D18" s="55"/>
      <c r="E18" s="9">
        <f>SUM(E14:E17)</f>
        <v>1105.3315000000002</v>
      </c>
      <c r="F18" s="14"/>
      <c r="G18" s="7">
        <f t="shared" si="0"/>
        <v>12318.613965</v>
      </c>
      <c r="H18" s="14"/>
      <c r="I18" s="37">
        <f>K18/(K18+M18)</f>
        <v>0.46187440264510315</v>
      </c>
      <c r="J18" s="14"/>
      <c r="K18" s="9">
        <f>SUM(K14:K17)</f>
        <v>5689.6524665000006</v>
      </c>
      <c r="L18" s="9"/>
      <c r="M18" s="9">
        <f>SUM(M14:M17)</f>
        <v>6628.9614985000007</v>
      </c>
      <c r="N18" s="14"/>
      <c r="O18" s="14"/>
      <c r="P18" s="9">
        <f>SUM(P14:P17)</f>
        <v>1229.78</v>
      </c>
      <c r="Q18" s="9"/>
      <c r="R18" s="9">
        <f>SUM(R14:R17)</f>
        <v>250.52745492937504</v>
      </c>
      <c r="S18" s="9"/>
      <c r="T18" s="9">
        <f>SUM(T14:T17)</f>
        <v>979.25254507062505</v>
      </c>
      <c r="U18" s="14"/>
      <c r="V18" s="38">
        <f>+T18/(C18*(1-I18))</f>
        <v>0.16228496859087882</v>
      </c>
      <c r="W18" s="14"/>
      <c r="X18" s="22">
        <f>+T18/M18</f>
        <v>0.14772337194780963</v>
      </c>
      <c r="AC18" s="9">
        <f>SUM(AC14:AC17)</f>
        <v>6074.2577485000002</v>
      </c>
    </row>
    <row r="19" spans="1:29" x14ac:dyDescent="0.25">
      <c r="C19" s="9"/>
      <c r="D19" s="55"/>
      <c r="E19" s="7" t="s">
        <v>2</v>
      </c>
      <c r="F19" s="13"/>
      <c r="G19" s="7"/>
      <c r="H19" s="14"/>
      <c r="I19" s="37"/>
      <c r="J19" s="14"/>
      <c r="K19" s="9"/>
      <c r="L19" s="9"/>
      <c r="M19" s="9"/>
      <c r="N19" s="14"/>
      <c r="O19" s="14"/>
      <c r="P19" s="9"/>
      <c r="Q19" s="9"/>
      <c r="R19" s="9"/>
      <c r="S19" s="9"/>
      <c r="T19" s="9"/>
      <c r="U19" s="14"/>
      <c r="V19" s="38"/>
      <c r="W19" s="14"/>
      <c r="X19" s="22" t="s">
        <v>2</v>
      </c>
      <c r="AC19" s="124"/>
    </row>
    <row r="20" spans="1:29" x14ac:dyDescent="0.25">
      <c r="B20" s="73" t="s">
        <v>2</v>
      </c>
      <c r="C20" s="9"/>
      <c r="D20" s="55"/>
      <c r="E20" s="7" t="s">
        <v>2</v>
      </c>
      <c r="F20" s="13"/>
      <c r="G20" s="7"/>
      <c r="H20" s="14"/>
      <c r="I20" s="14"/>
      <c r="J20" s="14"/>
      <c r="K20" s="9"/>
      <c r="L20" s="9"/>
      <c r="M20" s="9"/>
      <c r="N20" s="14"/>
      <c r="O20" s="14"/>
      <c r="P20" s="9"/>
      <c r="Q20" s="9"/>
      <c r="R20" s="9"/>
      <c r="S20" s="9"/>
      <c r="T20" s="9"/>
      <c r="U20" s="14"/>
      <c r="V20" s="38"/>
      <c r="W20" s="14"/>
      <c r="X20" s="22" t="s">
        <v>2</v>
      </c>
      <c r="AC20" s="124"/>
    </row>
    <row r="21" spans="1:29" x14ac:dyDescent="0.25">
      <c r="A21" t="s">
        <v>57</v>
      </c>
      <c r="B21" s="73">
        <v>-2</v>
      </c>
      <c r="C21" s="9">
        <f>'BS 2000'!AE62/1000</f>
        <v>1507.6370739999998</v>
      </c>
      <c r="D21" s="55"/>
      <c r="E21" s="7">
        <f>+'Off Balance Sheet Support'!K18</f>
        <v>56.6</v>
      </c>
      <c r="F21" s="13"/>
      <c r="G21" s="7">
        <f t="shared" si="0"/>
        <v>1564.2370739999997</v>
      </c>
      <c r="H21" s="39"/>
      <c r="I21" s="37">
        <v>0.5</v>
      </c>
      <c r="J21" s="14"/>
      <c r="K21" s="9">
        <f>(C21+E21)*I21</f>
        <v>782.11853699999983</v>
      </c>
      <c r="L21" s="9"/>
      <c r="M21" s="9">
        <f>(C21+E21)-K21</f>
        <v>782.11853699999983</v>
      </c>
      <c r="N21" s="14"/>
      <c r="O21" s="14"/>
      <c r="P21" s="9">
        <f>51+32.5</f>
        <v>83.5</v>
      </c>
      <c r="Q21" s="9"/>
      <c r="R21" s="9">
        <f>(C21*I21)*0.075*0.65</f>
        <v>36.748653678749996</v>
      </c>
      <c r="S21" s="9"/>
      <c r="T21" s="9">
        <f>P21-R21</f>
        <v>46.751346321250004</v>
      </c>
      <c r="U21" s="14"/>
      <c r="V21" s="38">
        <f>+T21/(C21*(1-I21))</f>
        <v>6.2019364112891287E-2</v>
      </c>
      <c r="W21" s="14"/>
      <c r="X21" s="22">
        <f>+T21/M21</f>
        <v>5.9775269488658106E-2</v>
      </c>
      <c r="AC21" s="124">
        <f t="shared" si="1"/>
        <v>753.81853699999988</v>
      </c>
    </row>
    <row r="22" spans="1:29" x14ac:dyDescent="0.25">
      <c r="C22" s="9"/>
      <c r="D22" s="55"/>
      <c r="E22" s="7" t="s">
        <v>2</v>
      </c>
      <c r="F22" s="13"/>
      <c r="G22" s="7"/>
      <c r="H22" s="14"/>
      <c r="I22" s="14"/>
      <c r="J22" s="14"/>
      <c r="K22" s="9">
        <f>C22*I22</f>
        <v>0</v>
      </c>
      <c r="L22" s="9"/>
      <c r="M22" s="9">
        <f>K22*0.075</f>
        <v>0</v>
      </c>
      <c r="N22" s="14"/>
      <c r="O22" s="14"/>
      <c r="P22" s="9"/>
      <c r="Q22" s="9"/>
      <c r="R22" s="9"/>
      <c r="S22" s="9"/>
      <c r="T22" s="9"/>
      <c r="U22" s="14"/>
      <c r="V22" s="40" t="s">
        <v>2</v>
      </c>
      <c r="W22" s="14"/>
      <c r="X22" s="22" t="s">
        <v>2</v>
      </c>
      <c r="AC22" s="124"/>
    </row>
    <row r="23" spans="1:29" x14ac:dyDescent="0.25">
      <c r="A23" t="s">
        <v>58</v>
      </c>
      <c r="C23" s="9">
        <f>'BS 2000'!AG59/1000</f>
        <v>920.35594600000002</v>
      </c>
      <c r="D23" s="55"/>
      <c r="E23" s="7">
        <f>+'Off Balance Sheet Support'!K20</f>
        <v>0</v>
      </c>
      <c r="F23" s="13"/>
      <c r="G23" s="7">
        <f t="shared" si="0"/>
        <v>920.35594600000002</v>
      </c>
      <c r="H23" s="14"/>
      <c r="I23" s="37">
        <v>0.1</v>
      </c>
      <c r="J23" s="14"/>
      <c r="K23" s="9">
        <f>(C23+E23)*I23</f>
        <v>92.03559460000001</v>
      </c>
      <c r="L23" s="9"/>
      <c r="M23" s="9">
        <f>(C23+E23)-K23</f>
        <v>828.32035140000005</v>
      </c>
      <c r="N23" s="14"/>
      <c r="O23" s="14"/>
      <c r="P23" s="9">
        <v>-48</v>
      </c>
      <c r="Q23" s="9"/>
      <c r="R23" s="9">
        <f>(C23*I23)*0.075*0.65</f>
        <v>4.4867352367500004</v>
      </c>
      <c r="S23" s="9"/>
      <c r="T23" s="9">
        <f>P23-R23</f>
        <v>-52.48673523675</v>
      </c>
      <c r="U23" s="14"/>
      <c r="V23" s="38">
        <f>+T23/(C23*(1-I23))</f>
        <v>-6.3365260974257889E-2</v>
      </c>
      <c r="W23" s="14"/>
      <c r="X23" s="22">
        <f>+T23/M23</f>
        <v>-6.3365260974257889E-2</v>
      </c>
      <c r="AC23" s="124">
        <f t="shared" si="1"/>
        <v>828.32035140000005</v>
      </c>
    </row>
    <row r="24" spans="1:29" x14ac:dyDescent="0.25">
      <c r="C24" s="9"/>
      <c r="D24" s="55"/>
      <c r="E24" s="7" t="s">
        <v>2</v>
      </c>
      <c r="F24" s="13"/>
      <c r="G24" s="7"/>
      <c r="H24" s="14"/>
      <c r="I24" s="14"/>
      <c r="J24" s="14"/>
      <c r="K24" s="9"/>
      <c r="L24" s="9"/>
      <c r="M24" s="9"/>
      <c r="N24" s="14"/>
      <c r="O24" s="14"/>
      <c r="P24" s="9"/>
      <c r="Q24" s="9"/>
      <c r="R24" s="9"/>
      <c r="S24" s="9"/>
      <c r="T24" s="9"/>
      <c r="U24" s="14"/>
      <c r="V24" s="40" t="s">
        <v>2</v>
      </c>
      <c r="W24" s="14"/>
      <c r="X24" s="22" t="s">
        <v>2</v>
      </c>
      <c r="AC24" s="124"/>
    </row>
    <row r="25" spans="1:29" x14ac:dyDescent="0.25">
      <c r="A25" t="s">
        <v>38</v>
      </c>
      <c r="C25" s="9">
        <f>'BS 2000'!AM59/1000</f>
        <v>194.71622500000004</v>
      </c>
      <c r="D25" s="55"/>
      <c r="E25" s="7">
        <f>+'Off Balance Sheet Support'!K22</f>
        <v>110</v>
      </c>
      <c r="F25" s="13"/>
      <c r="G25" s="7">
        <f t="shared" si="0"/>
        <v>304.71622500000001</v>
      </c>
      <c r="H25" s="14"/>
      <c r="I25" s="37">
        <v>0.5</v>
      </c>
      <c r="J25" s="14"/>
      <c r="K25" s="9">
        <f t="shared" ref="K25:K30" si="2">(C25+E25)*I25</f>
        <v>152.3581125</v>
      </c>
      <c r="L25" s="9"/>
      <c r="M25" s="9">
        <f t="shared" ref="M25:M30" si="3">(C25+E25)-K25</f>
        <v>152.3581125</v>
      </c>
      <c r="N25" s="14"/>
      <c r="O25" s="14"/>
      <c r="P25" s="9">
        <v>-8.6</v>
      </c>
      <c r="Q25" s="9"/>
      <c r="R25" s="9">
        <f t="shared" ref="R25:R30" si="4">(C25*I25)*0.075*0.65</f>
        <v>4.7462079843750011</v>
      </c>
      <c r="S25" s="9"/>
      <c r="T25" s="9">
        <f t="shared" ref="T25:T30" si="5">P25-R25</f>
        <v>-13.346207984375001</v>
      </c>
      <c r="U25" s="14"/>
      <c r="V25" s="38">
        <f t="shared" ref="V25:V30" si="6">+T25/(C25*(1-I25))</f>
        <v>-0.13708367635388369</v>
      </c>
      <c r="W25" s="14"/>
      <c r="X25" s="22">
        <f t="shared" ref="X25:X30" si="7">+T25/M25</f>
        <v>-8.7597619617235681E-2</v>
      </c>
      <c r="AC25" s="124">
        <f t="shared" si="1"/>
        <v>97.358112500000018</v>
      </c>
    </row>
    <row r="26" spans="1:29" x14ac:dyDescent="0.25">
      <c r="A26" t="s">
        <v>39</v>
      </c>
      <c r="C26" s="9">
        <f>'BS 2000'!M59/1000</f>
        <v>459.77876399999985</v>
      </c>
      <c r="D26" s="55"/>
      <c r="E26" s="7">
        <f>+'Off Balance Sheet Support'!K23</f>
        <v>0</v>
      </c>
      <c r="F26" s="13"/>
      <c r="G26" s="7">
        <f t="shared" si="0"/>
        <v>459.77876399999985</v>
      </c>
      <c r="H26" s="14"/>
      <c r="I26" s="37">
        <v>0.5</v>
      </c>
      <c r="J26" s="14"/>
      <c r="K26" s="9">
        <f t="shared" si="2"/>
        <v>229.88938199999993</v>
      </c>
      <c r="L26" s="9"/>
      <c r="M26" s="9">
        <f t="shared" si="3"/>
        <v>229.88938199999993</v>
      </c>
      <c r="N26" s="14"/>
      <c r="O26" s="14"/>
      <c r="P26" s="9">
        <v>12.2</v>
      </c>
      <c r="Q26" s="9"/>
      <c r="R26" s="9">
        <f t="shared" si="4"/>
        <v>11.207107372499998</v>
      </c>
      <c r="S26" s="9"/>
      <c r="T26" s="9">
        <f t="shared" si="5"/>
        <v>0.99289262750000162</v>
      </c>
      <c r="U26" s="14"/>
      <c r="V26" s="38">
        <f t="shared" si="6"/>
        <v>4.3190016818610696E-3</v>
      </c>
      <c r="W26" s="14"/>
      <c r="X26" s="22">
        <f t="shared" si="7"/>
        <v>4.3190016818610696E-3</v>
      </c>
      <c r="AC26" s="124">
        <f t="shared" si="1"/>
        <v>229.88938199999993</v>
      </c>
    </row>
    <row r="27" spans="1:29" x14ac:dyDescent="0.25">
      <c r="A27" t="s">
        <v>40</v>
      </c>
      <c r="C27" s="9">
        <f>'BS 2000'!E59/1000</f>
        <v>3331.0737350000004</v>
      </c>
      <c r="D27" s="55"/>
      <c r="E27" s="7">
        <f>+'Off Balance Sheet Support'!K24</f>
        <v>0</v>
      </c>
      <c r="F27" s="13"/>
      <c r="G27" s="7">
        <f t="shared" si="0"/>
        <v>3331.0737350000004</v>
      </c>
      <c r="H27" s="14"/>
      <c r="I27" s="37">
        <v>0.6</v>
      </c>
      <c r="J27" s="14"/>
      <c r="K27" s="9">
        <f t="shared" si="2"/>
        <v>1998.6442410000002</v>
      </c>
      <c r="L27" s="9"/>
      <c r="M27" s="9">
        <f t="shared" si="3"/>
        <v>1332.4294940000002</v>
      </c>
      <c r="N27" s="14"/>
      <c r="O27" s="14"/>
      <c r="P27" s="9">
        <v>161.30000000000001</v>
      </c>
      <c r="Q27" s="9"/>
      <c r="R27" s="9">
        <f t="shared" si="4"/>
        <v>97.433906748750019</v>
      </c>
      <c r="S27" s="9"/>
      <c r="T27" s="9">
        <f t="shared" si="5"/>
        <v>63.866093251249993</v>
      </c>
      <c r="U27" s="14"/>
      <c r="V27" s="38">
        <f t="shared" si="6"/>
        <v>4.7932062100728298E-2</v>
      </c>
      <c r="W27" s="14"/>
      <c r="X27" s="22">
        <f t="shared" si="7"/>
        <v>4.7932062100728298E-2</v>
      </c>
      <c r="AC27" s="124">
        <f t="shared" si="1"/>
        <v>1332.4294940000002</v>
      </c>
    </row>
    <row r="28" spans="1:29" x14ac:dyDescent="0.25">
      <c r="A28" t="s">
        <v>42</v>
      </c>
      <c r="C28" s="9">
        <f>'BS 2000'!AI59/1000</f>
        <v>425.230909</v>
      </c>
      <c r="D28" s="55"/>
      <c r="E28" s="7">
        <f>+'Off Balance Sheet Support'!K25</f>
        <v>0</v>
      </c>
      <c r="F28" s="13"/>
      <c r="G28" s="7">
        <f t="shared" si="0"/>
        <v>425.230909</v>
      </c>
      <c r="H28" s="14"/>
      <c r="I28" s="37">
        <v>0.5</v>
      </c>
      <c r="J28" s="14"/>
      <c r="K28" s="9">
        <f t="shared" si="2"/>
        <v>212.6154545</v>
      </c>
      <c r="L28" s="9"/>
      <c r="M28" s="9">
        <f t="shared" si="3"/>
        <v>212.6154545</v>
      </c>
      <c r="N28" s="14"/>
      <c r="O28" s="14"/>
      <c r="P28" s="9">
        <v>48.9</v>
      </c>
      <c r="Q28" s="9"/>
      <c r="R28" s="9">
        <f t="shared" si="4"/>
        <v>10.365003406875001</v>
      </c>
      <c r="S28" s="9"/>
      <c r="T28" s="9">
        <f t="shared" si="5"/>
        <v>38.534996593125001</v>
      </c>
      <c r="U28" s="14"/>
      <c r="V28" s="38">
        <f t="shared" si="6"/>
        <v>0.18124268851361885</v>
      </c>
      <c r="W28" s="14"/>
      <c r="X28" s="22">
        <f t="shared" si="7"/>
        <v>0.18124268851361885</v>
      </c>
      <c r="AC28" s="124">
        <f t="shared" si="1"/>
        <v>212.6154545</v>
      </c>
    </row>
    <row r="29" spans="1:29" x14ac:dyDescent="0.25">
      <c r="A29" t="s">
        <v>44</v>
      </c>
      <c r="C29" s="9">
        <v>800</v>
      </c>
      <c r="D29" s="55"/>
      <c r="E29" s="7">
        <f>+'Off Balance Sheet Support'!K26</f>
        <v>830</v>
      </c>
      <c r="F29" s="13"/>
      <c r="G29" s="7">
        <f t="shared" si="0"/>
        <v>1630</v>
      </c>
      <c r="H29" s="14"/>
      <c r="I29" s="37">
        <v>0.5</v>
      </c>
      <c r="J29" s="14"/>
      <c r="K29" s="9">
        <f t="shared" si="2"/>
        <v>815</v>
      </c>
      <c r="L29" s="9"/>
      <c r="M29" s="9">
        <f t="shared" si="3"/>
        <v>815</v>
      </c>
      <c r="N29" s="14"/>
      <c r="O29" s="14"/>
      <c r="P29" s="9">
        <v>-60.5</v>
      </c>
      <c r="Q29" s="9"/>
      <c r="R29" s="9">
        <f t="shared" si="4"/>
        <v>19.5</v>
      </c>
      <c r="S29" s="9"/>
      <c r="T29" s="9">
        <f t="shared" si="5"/>
        <v>-80</v>
      </c>
      <c r="U29" s="14"/>
      <c r="V29" s="38">
        <f t="shared" si="6"/>
        <v>-0.2</v>
      </c>
      <c r="W29" s="14"/>
      <c r="X29" s="22">
        <f t="shared" si="7"/>
        <v>-9.815950920245399E-2</v>
      </c>
      <c r="AC29" s="124">
        <f t="shared" si="1"/>
        <v>400</v>
      </c>
    </row>
    <row r="30" spans="1:29" x14ac:dyDescent="0.25">
      <c r="A30" t="s">
        <v>43</v>
      </c>
      <c r="C30" s="9">
        <f>C32-SUM(C18:C29)-C11</f>
        <v>1750.2473049999926</v>
      </c>
      <c r="D30" s="55"/>
      <c r="E30" s="7">
        <f>+'Off Balance Sheet Support'!K27</f>
        <v>647.48</v>
      </c>
      <c r="F30" s="13"/>
      <c r="G30" s="7">
        <f t="shared" si="0"/>
        <v>2397.7273049999926</v>
      </c>
      <c r="H30" s="14"/>
      <c r="I30" s="37">
        <v>0.66</v>
      </c>
      <c r="J30" s="14"/>
      <c r="K30" s="9">
        <f t="shared" si="2"/>
        <v>1582.5000212999953</v>
      </c>
      <c r="L30" s="9"/>
      <c r="M30" s="9">
        <f t="shared" si="3"/>
        <v>815.22728369999732</v>
      </c>
      <c r="N30" s="14"/>
      <c r="O30" s="14"/>
      <c r="P30" s="59">
        <f>112.99-18.7</f>
        <v>94.289999999999992</v>
      </c>
      <c r="Q30" s="9"/>
      <c r="R30" s="9">
        <f t="shared" si="4"/>
        <v>56.314207038374768</v>
      </c>
      <c r="S30" s="9"/>
      <c r="T30" s="9">
        <f t="shared" si="5"/>
        <v>37.975792961625224</v>
      </c>
      <c r="U30" s="14"/>
      <c r="V30" s="38">
        <f t="shared" si="6"/>
        <v>6.3815843847657233E-2</v>
      </c>
      <c r="W30" s="14"/>
      <c r="X30" s="22">
        <f t="shared" si="7"/>
        <v>4.6583074095935526E-2</v>
      </c>
      <c r="AC30" s="124">
        <f t="shared" si="1"/>
        <v>595.08408369999745</v>
      </c>
    </row>
    <row r="31" spans="1:29" x14ac:dyDescent="0.25">
      <c r="C31" s="9"/>
      <c r="D31" s="55"/>
      <c r="E31" s="7"/>
      <c r="F31" s="13"/>
      <c r="G31" s="7"/>
      <c r="H31" s="14"/>
      <c r="I31" s="14"/>
      <c r="J31" s="14"/>
      <c r="K31" s="9"/>
      <c r="L31" s="9"/>
      <c r="M31" s="9"/>
      <c r="N31" s="14"/>
      <c r="O31" s="14"/>
      <c r="P31" s="9"/>
      <c r="Q31" s="9"/>
      <c r="R31" s="9"/>
      <c r="S31" s="9"/>
      <c r="T31" s="9"/>
      <c r="U31" s="14"/>
      <c r="V31" s="36"/>
      <c r="W31" s="14"/>
      <c r="AC31" s="124"/>
    </row>
    <row r="32" spans="1:29" ht="13.8" thickBot="1" x14ac:dyDescent="0.3">
      <c r="A32" t="s">
        <v>10</v>
      </c>
      <c r="C32" s="58">
        <f>'BS 2000'!AQ59/1000</f>
        <v>23304.083660999997</v>
      </c>
      <c r="D32" s="55"/>
      <c r="E32" s="58">
        <f>SUM(E18:E30)+E11</f>
        <v>2749.4115000000002</v>
      </c>
      <c r="F32" s="48"/>
      <c r="G32" s="58">
        <f>SUM(G18:G30)+G11</f>
        <v>26053.495160999995</v>
      </c>
      <c r="H32" s="15"/>
      <c r="I32" s="37">
        <f>K32/C32</f>
        <v>0.56538891397176738</v>
      </c>
      <c r="J32" s="15"/>
      <c r="K32" s="58">
        <f>SUM(K18:K30)+K11</f>
        <v>13175.870552199996</v>
      </c>
      <c r="L32" s="55"/>
      <c r="M32" s="58">
        <f>SUM(M18:M30)+M11</f>
        <v>12877.624608799997</v>
      </c>
      <c r="N32" s="15"/>
      <c r="O32" s="15"/>
      <c r="P32" s="42">
        <f>SUM(P18:P30)+P11</f>
        <v>1766.3015</v>
      </c>
      <c r="Q32" s="55"/>
      <c r="R32" s="42">
        <f>SUM(R18:R30)+R11</f>
        <v>570.3557926072499</v>
      </c>
      <c r="S32" s="55"/>
      <c r="T32" s="42">
        <f>SUM(T18:T30)+T11</f>
        <v>1195.9457073927504</v>
      </c>
      <c r="U32" s="15"/>
      <c r="V32" s="38">
        <f>+T32/(C32*(1-I32))</f>
        <v>0.11808062237095315</v>
      </c>
      <c r="W32" s="15"/>
      <c r="X32" s="33">
        <f>+T32/M32</f>
        <v>9.2870055132333498E-2</v>
      </c>
      <c r="AC32" s="58">
        <f>SUM(AC18:AC31)+AC11</f>
        <v>11604.477658799999</v>
      </c>
    </row>
    <row r="33" spans="1:24" ht="13.8" thickTop="1" x14ac:dyDescent="0.25">
      <c r="E33" s="13"/>
      <c r="F33" s="13"/>
      <c r="G33" s="13"/>
      <c r="V33" s="43" t="s">
        <v>2</v>
      </c>
      <c r="X33" t="s">
        <v>2</v>
      </c>
    </row>
    <row r="34" spans="1:24" x14ac:dyDescent="0.25">
      <c r="A34" s="8"/>
      <c r="E34" s="13"/>
      <c r="F34" s="13"/>
      <c r="G34" s="13"/>
      <c r="V34" s="23"/>
    </row>
    <row r="35" spans="1:24" ht="12" customHeight="1" x14ac:dyDescent="0.25">
      <c r="E35" s="13"/>
      <c r="F35" s="13"/>
      <c r="G35" s="13"/>
      <c r="V35" s="23"/>
    </row>
    <row r="36" spans="1:24" hidden="1" x14ac:dyDescent="0.25">
      <c r="A36" s="8" t="s">
        <v>12</v>
      </c>
      <c r="B36" s="75" t="s">
        <v>29</v>
      </c>
    </row>
    <row r="37" spans="1:24" hidden="1" x14ac:dyDescent="0.25">
      <c r="B37" s="75" t="s">
        <v>28</v>
      </c>
    </row>
    <row r="38" spans="1:24" hidden="1" x14ac:dyDescent="0.25">
      <c r="B38" s="75" t="s">
        <v>26</v>
      </c>
    </row>
    <row r="39" spans="1:24" hidden="1" x14ac:dyDescent="0.25">
      <c r="B39" s="75" t="s">
        <v>27</v>
      </c>
      <c r="V39" s="25">
        <f ca="1">NOW()</f>
        <v>36844.554639120368</v>
      </c>
    </row>
    <row r="41" spans="1:24" x14ac:dyDescent="0.25">
      <c r="A41" s="92" t="s">
        <v>46</v>
      </c>
    </row>
    <row r="42" spans="1:24" x14ac:dyDescent="0.25">
      <c r="A42" s="92" t="s">
        <v>47</v>
      </c>
    </row>
    <row r="43" spans="1:24" x14ac:dyDescent="0.25">
      <c r="A43" s="92" t="s">
        <v>49</v>
      </c>
    </row>
    <row r="44" spans="1:24" x14ac:dyDescent="0.25">
      <c r="A44" s="92" t="s">
        <v>48</v>
      </c>
    </row>
    <row r="45" spans="1:24" x14ac:dyDescent="0.25">
      <c r="A45" s="92" t="s">
        <v>52</v>
      </c>
    </row>
  </sheetData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70"/>
  <sheetViews>
    <sheetView workbookViewId="0">
      <pane xSplit="1" ySplit="5" topLeftCell="B46" activePane="bottomRight" state="frozen"/>
      <selection pane="topRight" activeCell="B1" sqref="B1"/>
      <selection pane="bottomLeft" activeCell="A6" sqref="A6"/>
      <selection pane="bottomRight" activeCell="G64" sqref="G64"/>
    </sheetView>
  </sheetViews>
  <sheetFormatPr defaultColWidth="9.109375" defaultRowHeight="10.199999999999999" x14ac:dyDescent="0.2"/>
  <cols>
    <col min="1" max="1" width="48" style="78" bestFit="1" customWidth="1"/>
    <col min="2" max="2" width="5.6640625" style="78" customWidth="1"/>
    <col min="3" max="3" width="11.6640625" style="85" customWidth="1"/>
    <col min="4" max="4" width="1.6640625" style="78" customWidth="1"/>
    <col min="5" max="5" width="11.6640625" style="85" customWidth="1"/>
    <col min="6" max="6" width="1.6640625" style="78" customWidth="1"/>
    <col min="7" max="7" width="11.6640625" style="85" customWidth="1"/>
    <col min="8" max="8" width="1.6640625" style="78" customWidth="1"/>
    <col min="9" max="9" width="11.6640625" style="85" customWidth="1"/>
    <col min="10" max="10" width="1.6640625" style="78" customWidth="1"/>
    <col min="11" max="11" width="11.6640625" style="85" customWidth="1"/>
    <col min="12" max="12" width="1.6640625" style="78" customWidth="1"/>
    <col min="13" max="13" width="11.6640625" style="78" customWidth="1"/>
    <col min="14" max="14" width="1.6640625" style="78" customWidth="1"/>
    <col min="15" max="15" width="11.6640625" style="78" customWidth="1"/>
    <col min="16" max="16" width="1.6640625" style="78" customWidth="1"/>
    <col min="17" max="17" width="11.6640625" style="78" customWidth="1"/>
    <col min="18" max="18" width="2.109375" style="78" customWidth="1"/>
    <col min="19" max="19" width="11.6640625" style="78" customWidth="1"/>
    <col min="20" max="20" width="1.6640625" style="78" customWidth="1"/>
    <col min="21" max="21" width="11.6640625" style="78" customWidth="1"/>
    <col min="22" max="22" width="1.6640625" style="78" customWidth="1"/>
    <col min="23" max="23" width="11.6640625" style="78" customWidth="1"/>
    <col min="24" max="24" width="1.6640625" style="78" customWidth="1"/>
    <col min="25" max="25" width="11.6640625" style="78" customWidth="1"/>
    <col min="26" max="26" width="1.6640625" style="78" customWidth="1"/>
    <col min="27" max="27" width="11.6640625" style="78" customWidth="1"/>
    <col min="28" max="28" width="1.6640625" style="78" customWidth="1"/>
    <col min="29" max="29" width="11.6640625" style="78" customWidth="1"/>
    <col min="30" max="30" width="1.6640625" style="78" customWidth="1"/>
    <col min="31" max="31" width="11.6640625" style="78" customWidth="1"/>
    <col min="32" max="32" width="1.6640625" style="78" customWidth="1"/>
    <col min="33" max="33" width="11.6640625" style="78" customWidth="1"/>
    <col min="34" max="34" width="1.6640625" style="78" customWidth="1"/>
    <col min="35" max="35" width="11.6640625" style="78" customWidth="1"/>
    <col min="36" max="36" width="1.6640625" style="78" customWidth="1"/>
    <col min="37" max="37" width="11.6640625" style="78" customWidth="1"/>
    <col min="38" max="38" width="1.6640625" style="78" customWidth="1"/>
    <col min="39" max="39" width="11.6640625" style="78" customWidth="1"/>
    <col min="40" max="40" width="1.6640625" style="78" customWidth="1"/>
    <col min="41" max="41" width="11.6640625" style="91" customWidth="1"/>
    <col min="42" max="42" width="1.6640625" style="78" customWidth="1"/>
    <col min="43" max="44" width="11.6640625" style="78" customWidth="1"/>
    <col min="45" max="16384" width="9.109375" style="78"/>
  </cols>
  <sheetData>
    <row r="1" spans="1:44" s="96" customFormat="1" x14ac:dyDescent="0.2">
      <c r="C1" s="97" t="str">
        <f>+[1]Dec99!C$4</f>
        <v>EGPG4</v>
      </c>
      <c r="D1" s="98"/>
      <c r="E1" s="97" t="str">
        <f>+[1]Dec99!D$4</f>
        <v>PGE4</v>
      </c>
      <c r="F1" s="98"/>
      <c r="G1" s="97" t="str">
        <f>+[1]Dec99!E$4</f>
        <v>EGS x HPL</v>
      </c>
      <c r="H1" s="98"/>
      <c r="I1" s="79" t="str">
        <f>+[1]Dec99!F$4</f>
        <v>HPL FV</v>
      </c>
      <c r="J1" s="98"/>
      <c r="K1" s="97" t="str">
        <f>+[1]Dec99!H$4</f>
        <v>ECINT4</v>
      </c>
      <c r="L1" s="98"/>
      <c r="M1" s="97" t="str">
        <f>+[1]Dec99!I$4</f>
        <v>EGEPG4</v>
      </c>
      <c r="N1" s="98"/>
      <c r="O1" s="97" t="str">
        <f>+[1]Dec99!J$4</f>
        <v>ECMGR4</v>
      </c>
      <c r="P1" s="98"/>
      <c r="Q1" s="97" t="str">
        <f>+[1]Dec99!K$4</f>
        <v>EENGC4</v>
      </c>
      <c r="R1" s="98"/>
      <c r="S1" s="97" t="str">
        <f>+[1]Dec99!L$4</f>
        <v>APACHI4</v>
      </c>
      <c r="T1" s="98"/>
      <c r="U1" s="97" t="str">
        <f>+[1]Dec99!M$4</f>
        <v>CALME4</v>
      </c>
      <c r="V1" s="98"/>
      <c r="W1" s="97" t="str">
        <f>+[1]Dec99!N$4</f>
        <v>ESACNS4</v>
      </c>
      <c r="X1" s="98"/>
      <c r="Y1" s="97" t="str">
        <f>+[1]Dec99!O$4</f>
        <v>INDIA4</v>
      </c>
      <c r="Z1" s="98"/>
      <c r="AA1" s="97" t="str">
        <f>+[1]Dec99!Q$4</f>
        <v>SJPRO4</v>
      </c>
      <c r="AB1" s="98"/>
      <c r="AC1" s="97" t="str">
        <f>+[1]Dec99!R$4</f>
        <v>83E</v>
      </c>
      <c r="AD1" s="98"/>
      <c r="AE1" s="97" t="str">
        <f>+[1]Dec99!S$4</f>
        <v>RETAIL4</v>
      </c>
      <c r="AF1" s="98"/>
      <c r="AG1" s="97" t="str">
        <f>+[1]Dec99!T$4</f>
        <v>ECI4</v>
      </c>
      <c r="AH1" s="98"/>
      <c r="AI1" s="97" t="str">
        <f>+[1]Dec99!U$4</f>
        <v>EREC4</v>
      </c>
      <c r="AJ1" s="98"/>
      <c r="AK1" s="79" t="str">
        <f>+[1]Dec99!P$4</f>
        <v>EIHQTR4</v>
      </c>
      <c r="AL1" s="98"/>
      <c r="AM1" s="97" t="str">
        <f>+[1]Dec99!V$4</f>
        <v>CLNFU4</v>
      </c>
      <c r="AN1" s="98"/>
      <c r="AO1" s="99"/>
      <c r="AP1" s="98"/>
      <c r="AQ1" s="97" t="str">
        <f>+[1]Dec99!AH$4</f>
        <v>Sub-Total</v>
      </c>
    </row>
    <row r="2" spans="1:44" x14ac:dyDescent="0.2">
      <c r="C2" s="81"/>
      <c r="E2" s="81"/>
      <c r="G2" s="81"/>
      <c r="I2" s="81"/>
      <c r="K2" s="81"/>
      <c r="M2" s="82"/>
      <c r="O2" s="82"/>
      <c r="Q2" s="82"/>
      <c r="S2" s="82"/>
      <c r="U2" s="82"/>
      <c r="W2" s="82"/>
      <c r="Y2" s="82"/>
      <c r="AA2" s="82"/>
      <c r="AC2" s="82"/>
      <c r="AE2" s="82"/>
      <c r="AG2" s="82"/>
      <c r="AI2" s="82"/>
      <c r="AK2" s="82"/>
      <c r="AM2" s="82"/>
      <c r="AO2" s="83"/>
      <c r="AQ2" s="82"/>
      <c r="AR2" s="84"/>
    </row>
    <row r="3" spans="1:44" x14ac:dyDescent="0.2">
      <c r="M3" s="86"/>
      <c r="O3" s="86"/>
      <c r="Q3" s="86"/>
      <c r="S3" s="86"/>
      <c r="U3" s="86"/>
      <c r="W3" s="86"/>
      <c r="Y3" s="86"/>
      <c r="AA3" s="86"/>
      <c r="AC3" s="86"/>
      <c r="AE3" s="86"/>
      <c r="AG3" s="86"/>
      <c r="AI3" s="86"/>
      <c r="AK3" s="86"/>
      <c r="AM3" s="86"/>
      <c r="AO3" s="87"/>
      <c r="AQ3" s="86"/>
    </row>
    <row r="4" spans="1:44" s="88" customFormat="1" ht="30.6" x14ac:dyDescent="0.25">
      <c r="A4" s="100"/>
      <c r="C4" s="101" t="s">
        <v>80</v>
      </c>
      <c r="E4" s="101" t="s">
        <v>81</v>
      </c>
      <c r="G4" s="101" t="s">
        <v>107</v>
      </c>
      <c r="I4" s="101" t="s">
        <v>108</v>
      </c>
      <c r="K4" s="101" t="s">
        <v>6</v>
      </c>
      <c r="M4" s="102" t="s">
        <v>82</v>
      </c>
      <c r="O4" s="102" t="s">
        <v>83</v>
      </c>
      <c r="Q4" s="102" t="s">
        <v>84</v>
      </c>
      <c r="S4" s="102" t="s">
        <v>85</v>
      </c>
      <c r="U4" s="102" t="s">
        <v>86</v>
      </c>
      <c r="W4" s="102" t="s">
        <v>87</v>
      </c>
      <c r="Y4" s="102" t="s">
        <v>88</v>
      </c>
      <c r="AA4" s="102" t="s">
        <v>89</v>
      </c>
      <c r="AC4" s="102" t="s">
        <v>90</v>
      </c>
      <c r="AE4" s="102" t="s">
        <v>91</v>
      </c>
      <c r="AG4" s="102" t="s">
        <v>8</v>
      </c>
      <c r="AI4" s="102" t="s">
        <v>92</v>
      </c>
      <c r="AK4" s="102" t="s">
        <v>109</v>
      </c>
      <c r="AM4" s="102" t="s">
        <v>38</v>
      </c>
      <c r="AO4" s="103" t="s">
        <v>93</v>
      </c>
      <c r="AQ4" s="104" t="s">
        <v>94</v>
      </c>
    </row>
    <row r="5" spans="1:44" x14ac:dyDescent="0.2">
      <c r="C5" s="79"/>
      <c r="E5" s="79"/>
      <c r="G5" s="79"/>
      <c r="I5" s="79"/>
      <c r="K5" s="79"/>
      <c r="M5" s="79"/>
      <c r="O5" s="79"/>
      <c r="Q5" s="79"/>
      <c r="S5" s="79"/>
      <c r="U5" s="79"/>
      <c r="W5" s="79"/>
      <c r="Y5" s="79"/>
      <c r="AA5" s="79"/>
      <c r="AC5" s="79"/>
      <c r="AE5" s="79"/>
      <c r="AG5" s="79"/>
      <c r="AI5" s="79"/>
      <c r="AK5" s="79"/>
      <c r="AM5" s="79"/>
      <c r="AO5" s="80"/>
      <c r="AQ5" s="79"/>
    </row>
    <row r="6" spans="1:44" x14ac:dyDescent="0.2">
      <c r="A6" s="122" t="s">
        <v>110</v>
      </c>
      <c r="M6" s="85"/>
      <c r="O6" s="85"/>
      <c r="Q6" s="85"/>
      <c r="S6" s="85"/>
      <c r="U6" s="85"/>
      <c r="W6" s="85"/>
      <c r="Y6" s="85"/>
      <c r="AA6" s="85"/>
      <c r="AC6" s="85"/>
      <c r="AE6" s="85"/>
      <c r="AG6" s="85"/>
      <c r="AI6" s="85"/>
      <c r="AK6" s="85"/>
      <c r="AM6" s="85"/>
      <c r="AO6" s="105"/>
      <c r="AQ6" s="85"/>
    </row>
    <row r="7" spans="1:44" x14ac:dyDescent="0.2">
      <c r="A7" s="106" t="s">
        <v>13</v>
      </c>
      <c r="C7" s="85">
        <f>+[1]Dec98!C$6/1000</f>
        <v>3732858.7080000001</v>
      </c>
      <c r="E7" s="85">
        <f>+[1]Dec98!D$6/1000</f>
        <v>2270273.2710000002</v>
      </c>
      <c r="G7" s="85">
        <f>+[1]Dec98!E$6/1000</f>
        <v>1403525.1880000001</v>
      </c>
      <c r="I7" s="85">
        <f>+[1]Dec98!F$6/1000</f>
        <v>1348589.4509999999</v>
      </c>
      <c r="K7" s="85">
        <f>+[1]Dec98!H$6/1000</f>
        <v>534027.61699999997</v>
      </c>
      <c r="M7" s="85">
        <f>+[1]Dec98!I$6/1000</f>
        <v>86943.808000000005</v>
      </c>
      <c r="O7" s="85">
        <f>+[1]Dec98!J$6/1000</f>
        <v>3209590.3679999998</v>
      </c>
      <c r="Q7" s="85">
        <f>+[1]Dec98!K$6/1000</f>
        <v>336655.77899999998</v>
      </c>
      <c r="S7" s="85">
        <f>+[1]Dec98!L$6/1000</f>
        <v>158345.524</v>
      </c>
      <c r="U7" s="85">
        <f>+[1]Dec98!M$6/1000</f>
        <v>520092.21</v>
      </c>
      <c r="W7" s="85">
        <f>+[1]Dec98!N$6/1000</f>
        <v>1078179.8729999999</v>
      </c>
      <c r="Y7" s="85">
        <f>+[1]Dec98!O$6/1000</f>
        <v>299044.46999999997</v>
      </c>
      <c r="AA7" s="85">
        <f>+[1]Dec98!Q$6/1000</f>
        <v>22285.458999999999</v>
      </c>
      <c r="AC7" s="85">
        <f>+[1]Dec98!R$6/1000</f>
        <v>0</v>
      </c>
      <c r="AE7" s="85">
        <f>+[1]Dec98!S$6/1000</f>
        <v>312508.56300000002</v>
      </c>
      <c r="AG7" s="85">
        <f>+[1]Dec98!T$6/1000</f>
        <v>15580.47</v>
      </c>
      <c r="AI7" s="85">
        <f>+[1]Dec98!U$6/1000</f>
        <v>131507.12299999999</v>
      </c>
      <c r="AK7" s="85">
        <f>+[1]Dec98!P$6/1000</f>
        <v>1178819.3600000001</v>
      </c>
      <c r="AM7" s="85">
        <f>+[1]Dec98!V$6/1000</f>
        <v>-79846.925000000003</v>
      </c>
      <c r="AO7" s="105">
        <f>+AQ7-SUM(C7:AM7)</f>
        <v>-9511154.9090000018</v>
      </c>
      <c r="AQ7" s="85">
        <f>+[1]Dec98!AH$6/1000</f>
        <v>7047825.4079999998</v>
      </c>
    </row>
    <row r="8" spans="1:44" x14ac:dyDescent="0.2">
      <c r="A8" s="106" t="s">
        <v>96</v>
      </c>
      <c r="C8" s="85">
        <f>+[1]Dec98!C$27/1000</f>
        <v>-1632697.848</v>
      </c>
      <c r="E8" s="85">
        <f>+[1]Dec98!D$27/1000</f>
        <v>-95927.769</v>
      </c>
      <c r="G8" s="85">
        <f>+[1]Dec98!E$27/1000</f>
        <v>-408024.42099999997</v>
      </c>
      <c r="I8" s="85">
        <f>+[1]Dec98!F$27/1000</f>
        <v>3076.8090000000002</v>
      </c>
      <c r="K8" s="85">
        <f>+[1]Dec98!H$27/1000</f>
        <v>-438405.37900000002</v>
      </c>
      <c r="M8" s="85">
        <f>+[1]Dec98!I$27/1000</f>
        <v>156526.38399999999</v>
      </c>
      <c r="O8" s="85">
        <f>+[1]Dec98!J$27/1000</f>
        <v>-2499737.906</v>
      </c>
      <c r="Q8" s="85">
        <f>+[1]Dec98!K$27/1000</f>
        <v>-243148.981</v>
      </c>
      <c r="S8" s="85">
        <f>+[1]Dec98!L$27/1000</f>
        <v>94637.495999999999</v>
      </c>
      <c r="U8" s="85">
        <f>+[1]Dec98!M$27/1000</f>
        <v>-106567.867</v>
      </c>
      <c r="W8" s="85">
        <f>+[1]Dec98!N$27/1000</f>
        <v>-55388.250999999997</v>
      </c>
      <c r="Y8" s="85">
        <f>+[1]Dec98!O$27/1000</f>
        <v>2608.7179999999998</v>
      </c>
      <c r="AA8" s="85">
        <f>+[1]Dec98!Q$27/1000</f>
        <v>10563.207</v>
      </c>
      <c r="AC8" s="85">
        <f>+[1]Dec98!R$27/1000</f>
        <v>0</v>
      </c>
      <c r="AE8" s="85">
        <f>+[1]Dec98!S$27/1000</f>
        <v>72296.591</v>
      </c>
      <c r="AG8" s="85">
        <f>+[1]Dec98!T$27/1000</f>
        <v>95437.785000000003</v>
      </c>
      <c r="AI8" s="85">
        <f>+[1]Dec98!U$27/1000</f>
        <v>174541.74799999999</v>
      </c>
      <c r="AK8" s="85">
        <f>+[1]Dec98!P$27/1000</f>
        <v>-161295.826</v>
      </c>
      <c r="AM8" s="85">
        <f>+[1]Dec98!V$27/1000</f>
        <v>79119.615000000005</v>
      </c>
      <c r="AO8" s="105">
        <f>+AQ8-SUM(C8:AM8)</f>
        <v>4952354.2989999996</v>
      </c>
      <c r="AQ8" s="85">
        <f>+[1]Dec98!AH$27/1000</f>
        <v>-31.596</v>
      </c>
    </row>
    <row r="9" spans="1:44" x14ac:dyDescent="0.2">
      <c r="A9" s="106" t="s">
        <v>98</v>
      </c>
      <c r="C9" s="85">
        <f>+[1]Dec98!C$30/1000</f>
        <v>0</v>
      </c>
      <c r="E9" s="85">
        <f>+[1]Dec98!D$30/1000</f>
        <v>0</v>
      </c>
      <c r="G9" s="85">
        <f>+[1]Dec98!E$30/1000</f>
        <v>0</v>
      </c>
      <c r="I9" s="85">
        <f>+[1]Dec98!F$30/1000</f>
        <v>0</v>
      </c>
      <c r="K9" s="85">
        <f>+[1]Dec98!H$30/1000</f>
        <v>0</v>
      </c>
      <c r="M9" s="85">
        <f>+[1]Dec98!I$30/1000</f>
        <v>0</v>
      </c>
      <c r="O9" s="85">
        <f>+[1]Dec98!J$30/1000</f>
        <v>0</v>
      </c>
      <c r="Q9" s="85">
        <f>+[1]Dec98!K$30/1000</f>
        <v>0</v>
      </c>
      <c r="S9" s="85">
        <f>+[1]Dec98!L$30/1000</f>
        <v>0</v>
      </c>
      <c r="U9" s="85">
        <f>+[1]Dec98!M$30/1000</f>
        <v>0</v>
      </c>
      <c r="W9" s="85">
        <f>+[1]Dec98!N$30/1000</f>
        <v>0</v>
      </c>
      <c r="Y9" s="85">
        <f>+[1]Dec98!O$30/1000</f>
        <v>0</v>
      </c>
      <c r="AA9" s="85">
        <f>+[1]Dec98!Q$30/1000</f>
        <v>0</v>
      </c>
      <c r="AC9" s="85">
        <f>+[1]Dec98!R$30/1000</f>
        <v>0</v>
      </c>
      <c r="AE9" s="85">
        <f>+[1]Dec98!S$30/1000</f>
        <v>0</v>
      </c>
      <c r="AG9" s="85">
        <f>+[1]Dec98!T$30/1000</f>
        <v>0</v>
      </c>
      <c r="AI9" s="85">
        <f>+[1]Dec98!U$30/1000</f>
        <v>0</v>
      </c>
      <c r="AK9" s="85">
        <f>+[1]Dec98!P$30/1000</f>
        <v>0</v>
      </c>
      <c r="AM9" s="85">
        <f>+[1]Dec98!V$30/1000</f>
        <v>0</v>
      </c>
      <c r="AO9" s="105">
        <f>+AQ9-SUM(C9:AM9)</f>
        <v>0</v>
      </c>
      <c r="AQ9" s="85">
        <f>+[1]Dec98!AH$30/1000</f>
        <v>0</v>
      </c>
    </row>
    <row r="10" spans="1:44" x14ac:dyDescent="0.2">
      <c r="A10" s="107" t="s">
        <v>111</v>
      </c>
      <c r="C10" s="108">
        <f>SUM(C7:C9)</f>
        <v>2100160.8600000003</v>
      </c>
      <c r="E10" s="108">
        <f>SUM(E7:E9)</f>
        <v>2174345.5020000003</v>
      </c>
      <c r="G10" s="108">
        <f>SUM(G7:G9)</f>
        <v>995500.76700000011</v>
      </c>
      <c r="I10" s="108">
        <f>SUM(I7:I9)</f>
        <v>1351666.2599999998</v>
      </c>
      <c r="K10" s="108">
        <f>SUM(K7:K9)</f>
        <v>95622.237999999954</v>
      </c>
      <c r="M10" s="108">
        <f>SUM(M7:M9)</f>
        <v>243470.19199999998</v>
      </c>
      <c r="O10" s="108">
        <f>SUM(O7:O9)</f>
        <v>709852.46199999982</v>
      </c>
      <c r="Q10" s="108">
        <f>SUM(Q7:Q9)</f>
        <v>93506.797999999981</v>
      </c>
      <c r="S10" s="108">
        <f>SUM(S7:S9)</f>
        <v>252983.02000000002</v>
      </c>
      <c r="U10" s="108">
        <f>SUM(U7:U9)</f>
        <v>413524.34299999999</v>
      </c>
      <c r="W10" s="108">
        <f>SUM(W7:W9)</f>
        <v>1022791.6219999999</v>
      </c>
      <c r="Y10" s="108">
        <f>SUM(Y7:Y9)</f>
        <v>301653.18799999997</v>
      </c>
      <c r="AA10" s="108">
        <f>SUM(AA7:AA9)</f>
        <v>32848.665999999997</v>
      </c>
      <c r="AC10" s="108">
        <f>SUM(AC7:AC9)</f>
        <v>0</v>
      </c>
      <c r="AE10" s="108">
        <f>SUM(AE7:AE9)</f>
        <v>384805.15400000004</v>
      </c>
      <c r="AG10" s="108">
        <f>SUM(AG7:AG9)</f>
        <v>111018.255</v>
      </c>
      <c r="AI10" s="108">
        <f>SUM(AI7:AI9)</f>
        <v>306048.87099999998</v>
      </c>
      <c r="AK10" s="108">
        <f>SUM(AK7:AK9)</f>
        <v>1017523.5340000001</v>
      </c>
      <c r="AM10" s="108">
        <f>SUM(AM7:AM9)</f>
        <v>-727.30999999999767</v>
      </c>
      <c r="AO10" s="109">
        <f>+AQ10-SUM(C10:AM10)</f>
        <v>-4558800.6099999966</v>
      </c>
      <c r="AQ10" s="108">
        <f>SUM(AQ7:AQ9)</f>
        <v>7047793.8119999999</v>
      </c>
    </row>
    <row r="11" spans="1:44" ht="5.0999999999999996" customHeight="1" x14ac:dyDescent="0.2">
      <c r="A11" s="106"/>
      <c r="M11" s="85"/>
      <c r="O11" s="85"/>
      <c r="Q11" s="85"/>
      <c r="S11" s="85"/>
      <c r="U11" s="85"/>
      <c r="W11" s="85"/>
      <c r="Y11" s="85"/>
      <c r="AA11" s="85"/>
      <c r="AC11" s="85"/>
      <c r="AE11" s="85"/>
      <c r="AG11" s="85"/>
      <c r="AI11" s="85"/>
      <c r="AK11" s="85"/>
      <c r="AM11" s="85"/>
      <c r="AO11" s="105"/>
      <c r="AQ11" s="85"/>
    </row>
    <row r="12" spans="1:44" x14ac:dyDescent="0.2">
      <c r="A12" s="110" t="s">
        <v>97</v>
      </c>
      <c r="C12" s="85">
        <f>+[1]Dec98!C$34/1000</f>
        <v>-7.7919999999999998</v>
      </c>
      <c r="E12" s="85">
        <f>+[1]Dec98!D$34/1000</f>
        <v>0</v>
      </c>
      <c r="G12" s="85">
        <f>+[1]Dec98!E$34/1000</f>
        <v>5620.8689999999997</v>
      </c>
      <c r="I12" s="85">
        <f>+[1]Dec98!F$34/1000</f>
        <v>0</v>
      </c>
      <c r="K12" s="85">
        <f>+[1]Dec98!H$34/1000</f>
        <v>-9731.4629999999997</v>
      </c>
      <c r="M12" s="85">
        <f>+[1]Dec98!I$34/1000</f>
        <v>0</v>
      </c>
      <c r="O12" s="85">
        <f>+[1]Dec98!J$34/1000</f>
        <v>0</v>
      </c>
      <c r="Q12" s="85">
        <f>+[1]Dec98!K$34/1000</f>
        <v>-309.27600000000001</v>
      </c>
      <c r="S12" s="85">
        <f>+[1]Dec98!L$34/1000</f>
        <v>11.473000000000001</v>
      </c>
      <c r="U12" s="85">
        <f>+[1]Dec98!M$34/1000</f>
        <v>133444.008</v>
      </c>
      <c r="W12" s="85">
        <f>+[1]Dec98!N$34/1000</f>
        <v>3429.3890000000001</v>
      </c>
      <c r="Y12" s="85">
        <f>+[1]Dec98!O$34/1000</f>
        <v>0.01</v>
      </c>
      <c r="AA12" s="85">
        <f>+[1]Dec98!Q$34/1000</f>
        <v>0</v>
      </c>
      <c r="AC12" s="85">
        <f>+[1]Dec98!R$34/1000</f>
        <v>0</v>
      </c>
      <c r="AE12" s="85">
        <f>+[1]Dec98!S$34/1000</f>
        <v>0</v>
      </c>
      <c r="AG12" s="85">
        <f>+[1]Dec98!T$34/1000</f>
        <v>0</v>
      </c>
      <c r="AI12" s="85">
        <f>+[1]Dec98!U$34/1000</f>
        <v>190</v>
      </c>
      <c r="AK12" s="85">
        <f>+[1]Dec98!P$34/1000</f>
        <v>0</v>
      </c>
      <c r="AM12" s="85">
        <f>+[1]Dec98!V$34/1000</f>
        <v>0</v>
      </c>
      <c r="AO12" s="105">
        <f>+AQ12-SUM(C12:AM12)</f>
        <v>29663.087999999989</v>
      </c>
      <c r="AQ12" s="85">
        <f>+[1]Dec98!AH$34/1000</f>
        <v>162310.30600000001</v>
      </c>
    </row>
    <row r="13" spans="1:44" ht="5.0999999999999996" customHeight="1" x14ac:dyDescent="0.2">
      <c r="A13" s="106"/>
      <c r="M13" s="85"/>
      <c r="O13" s="85"/>
      <c r="Q13" s="85"/>
      <c r="S13" s="85"/>
      <c r="U13" s="85"/>
      <c r="W13" s="85"/>
      <c r="Y13" s="85"/>
      <c r="AA13" s="85"/>
      <c r="AC13" s="85"/>
      <c r="AE13" s="85"/>
      <c r="AG13" s="85"/>
      <c r="AI13" s="85"/>
      <c r="AK13" s="85"/>
      <c r="AM13" s="85"/>
      <c r="AO13" s="105"/>
      <c r="AQ13" s="85"/>
    </row>
    <row r="14" spans="1:44" s="90" customFormat="1" x14ac:dyDescent="0.2">
      <c r="A14" s="107" t="s">
        <v>112</v>
      </c>
      <c r="C14" s="111">
        <f>SUM(C10:C13)</f>
        <v>2100153.0680000004</v>
      </c>
      <c r="E14" s="111">
        <f>SUM(E10:E13)</f>
        <v>2174345.5020000003</v>
      </c>
      <c r="G14" s="111">
        <f>SUM(G10:G13)</f>
        <v>1001121.6360000001</v>
      </c>
      <c r="I14" s="111">
        <f>SUM(I10:I13)</f>
        <v>1351666.2599999998</v>
      </c>
      <c r="K14" s="111">
        <f>SUM(K10:K13)</f>
        <v>85890.774999999951</v>
      </c>
      <c r="M14" s="111">
        <f>SUM(M10:M13)</f>
        <v>243470.19199999998</v>
      </c>
      <c r="O14" s="111">
        <f>SUM(O10:O13)</f>
        <v>709852.46199999982</v>
      </c>
      <c r="Q14" s="111">
        <f>SUM(Q10:Q13)</f>
        <v>93197.521999999983</v>
      </c>
      <c r="S14" s="111">
        <f>SUM(S10:S13)</f>
        <v>252994.49300000002</v>
      </c>
      <c r="U14" s="111">
        <f>SUM(U10:U13)</f>
        <v>546968.35100000002</v>
      </c>
      <c r="W14" s="111">
        <f>SUM(W10:W13)</f>
        <v>1026221.0109999998</v>
      </c>
      <c r="Y14" s="111">
        <f>SUM(Y10:Y13)</f>
        <v>301653.19799999997</v>
      </c>
      <c r="AA14" s="111">
        <f>SUM(AA10:AA13)</f>
        <v>32848.665999999997</v>
      </c>
      <c r="AC14" s="111">
        <f>SUM(AC10:AC13)</f>
        <v>0</v>
      </c>
      <c r="AE14" s="111">
        <f>SUM(AE10:AE13)</f>
        <v>384805.15400000004</v>
      </c>
      <c r="AG14" s="111">
        <f>SUM(AG10:AG13)</f>
        <v>111018.255</v>
      </c>
      <c r="AI14" s="111">
        <f>SUM(AI10:AI13)</f>
        <v>306238.87099999998</v>
      </c>
      <c r="AK14" s="111">
        <f>SUM(AK10:AK13)</f>
        <v>1017523.5340000001</v>
      </c>
      <c r="AM14" s="111">
        <f>SUM(AM10:AM13)</f>
        <v>-727.30999999999767</v>
      </c>
      <c r="AO14" s="112">
        <f>+AQ14-SUM(C14:AM14)</f>
        <v>-4529137.5219999989</v>
      </c>
      <c r="AQ14" s="111">
        <f>SUM(AQ10:AQ13)</f>
        <v>7210104.1179999998</v>
      </c>
    </row>
    <row r="15" spans="1:44" ht="5.0999999999999996" customHeight="1" x14ac:dyDescent="0.2">
      <c r="A15" s="106"/>
      <c r="M15" s="85"/>
      <c r="O15" s="85"/>
      <c r="Q15" s="85"/>
      <c r="S15" s="85"/>
      <c r="U15" s="85"/>
      <c r="W15" s="85"/>
      <c r="Y15" s="85"/>
      <c r="AA15" s="85"/>
      <c r="AC15" s="85"/>
      <c r="AE15" s="85"/>
      <c r="AG15" s="85"/>
      <c r="AI15" s="85"/>
      <c r="AK15" s="85"/>
      <c r="AM15" s="85"/>
      <c r="AO15" s="105"/>
      <c r="AQ15" s="85"/>
    </row>
    <row r="16" spans="1:44" x14ac:dyDescent="0.2">
      <c r="C16" s="79"/>
      <c r="E16" s="79"/>
      <c r="G16" s="79"/>
      <c r="I16" s="79"/>
      <c r="K16" s="79"/>
      <c r="M16" s="79"/>
      <c r="O16" s="79"/>
      <c r="Q16" s="79"/>
      <c r="S16" s="79"/>
      <c r="U16" s="79"/>
      <c r="W16" s="79"/>
      <c r="Y16" s="79"/>
      <c r="AA16" s="79"/>
      <c r="AC16" s="79"/>
      <c r="AE16" s="79"/>
      <c r="AG16" s="79"/>
      <c r="AI16" s="79"/>
      <c r="AK16" s="79"/>
      <c r="AM16" s="79"/>
      <c r="AO16" s="80"/>
      <c r="AQ16" s="79"/>
    </row>
    <row r="17" spans="1:43" x14ac:dyDescent="0.2">
      <c r="A17" s="106" t="s">
        <v>113</v>
      </c>
      <c r="C17" s="85">
        <f>+[1]Dec98!C$53/1000</f>
        <v>645661.27800000005</v>
      </c>
      <c r="E17" s="85">
        <f>+[1]Dec98!D$53/1000</f>
        <v>966044.99300000002</v>
      </c>
      <c r="G17" s="85">
        <f>+[1]Dec98!E$53/1000</f>
        <v>207790.21400000001</v>
      </c>
      <c r="I17" s="85">
        <f>+[1]Dec98!F$53/1000</f>
        <v>0</v>
      </c>
      <c r="K17" s="85">
        <f>+[1]Dec98!H$53/1000</f>
        <v>236364.33300000001</v>
      </c>
      <c r="M17" s="85">
        <f>+[1]Dec98!I$53/1000</f>
        <v>0</v>
      </c>
      <c r="O17" s="85">
        <f>+[1]Dec98!J$53/1000</f>
        <v>0</v>
      </c>
      <c r="Q17" s="85">
        <f>+[1]Dec98!K$53/1000</f>
        <v>0</v>
      </c>
      <c r="S17" s="85">
        <f>+[1]Dec98!L$53/1000</f>
        <v>44473.076999999997</v>
      </c>
      <c r="U17" s="85">
        <f>+[1]Dec98!M$53/1000</f>
        <v>-2E-3</v>
      </c>
      <c r="W17" s="85">
        <f>+[1]Dec98!N$53/1000</f>
        <v>13537.459000000001</v>
      </c>
      <c r="Y17" s="85">
        <f>+[1]Dec98!O$53/1000</f>
        <v>0</v>
      </c>
      <c r="AA17" s="85">
        <f>+[1]Dec98!Q$53/1000</f>
        <v>2308.357</v>
      </c>
      <c r="AC17" s="85">
        <f>+[1]Dec98!R$53/1000</f>
        <v>0</v>
      </c>
      <c r="AE17" s="85">
        <f>+[1]Dec98!S$53/1000</f>
        <v>139</v>
      </c>
      <c r="AG17" s="85">
        <f>+[1]Dec98!T$53/1000</f>
        <v>151.887</v>
      </c>
      <c r="AI17" s="85">
        <f>+[1]Dec98!U$53/1000</f>
        <v>22914</v>
      </c>
      <c r="AK17" s="85">
        <f>+[1]Dec98!P$53/1000</f>
        <v>22998.028999999999</v>
      </c>
      <c r="AM17" s="85">
        <f>+[1]Dec98!V$53/1000</f>
        <v>0</v>
      </c>
      <c r="AO17" s="105">
        <f>+AQ17-SUM(C17:AM17)</f>
        <v>5195046.449</v>
      </c>
      <c r="AQ17" s="85">
        <f>+[1]Dec98!AH$53/1000</f>
        <v>7357429.074</v>
      </c>
    </row>
    <row r="18" spans="1:43" x14ac:dyDescent="0.2">
      <c r="A18" s="106" t="s">
        <v>114</v>
      </c>
      <c r="C18" s="85">
        <f>+[1]Dec98!C$59/1000</f>
        <v>0</v>
      </c>
      <c r="E18" s="85">
        <f>+[1]Dec98!D$59/1000</f>
        <v>29421.397000000001</v>
      </c>
      <c r="G18" s="85">
        <f>+[1]Dec98!E$59/1000</f>
        <v>0</v>
      </c>
      <c r="I18" s="85">
        <f>+[1]Dec98!F$59/1000</f>
        <v>0</v>
      </c>
      <c r="K18" s="85">
        <f>+[1]Dec98!H$59/1000</f>
        <v>0</v>
      </c>
      <c r="M18" s="85">
        <f>+[1]Dec98!I$59/1000</f>
        <v>0</v>
      </c>
      <c r="O18" s="85">
        <f>+[1]Dec98!J$59/1000</f>
        <v>0</v>
      </c>
      <c r="Q18" s="85">
        <f>+[1]Dec98!K$59/1000</f>
        <v>0</v>
      </c>
      <c r="S18" s="85">
        <f>+[1]Dec98!L$59/1000</f>
        <v>0</v>
      </c>
      <c r="U18" s="85">
        <f>+[1]Dec98!M$59/1000</f>
        <v>0</v>
      </c>
      <c r="W18" s="85">
        <f>+[1]Dec98!N$59/1000</f>
        <v>0</v>
      </c>
      <c r="Y18" s="85">
        <f>+[1]Dec98!O$59/1000</f>
        <v>0</v>
      </c>
      <c r="AA18" s="85">
        <f>+[1]Dec98!Q$59/1000</f>
        <v>0</v>
      </c>
      <c r="AC18" s="85">
        <f>+[1]Dec98!R$59/1000</f>
        <v>0</v>
      </c>
      <c r="AE18" s="85">
        <f>+[1]Dec98!S$59/1000</f>
        <v>0</v>
      </c>
      <c r="AG18" s="85">
        <f>+[1]Dec98!T$59/1000</f>
        <v>0</v>
      </c>
      <c r="AI18" s="85">
        <f>+[1]Dec98!U$59/1000</f>
        <v>0</v>
      </c>
      <c r="AK18" s="85">
        <f>+[1]Dec98!P$59/1000</f>
        <v>103000</v>
      </c>
      <c r="AM18" s="85">
        <f>+[1]Dec98!V$59/1000</f>
        <v>0</v>
      </c>
      <c r="AO18" s="105">
        <f>+AQ18-SUM(C18:AM18)</f>
        <v>869147.95900000003</v>
      </c>
      <c r="AQ18" s="85">
        <f>+[1]Dec98!AH$59/1000</f>
        <v>1001569.356</v>
      </c>
    </row>
    <row r="19" spans="1:43" x14ac:dyDescent="0.2">
      <c r="A19" s="106" t="s">
        <v>106</v>
      </c>
      <c r="C19" s="85">
        <f>+[1]Dec98!C$62/1000</f>
        <v>0</v>
      </c>
      <c r="E19" s="85">
        <f>+[1]Dec98!D$62/1000</f>
        <v>0</v>
      </c>
      <c r="G19" s="85">
        <f>+[1]Dec98!E$62/1000</f>
        <v>0</v>
      </c>
      <c r="I19" s="85">
        <f>+[1]Dec98!F$62/1000</f>
        <v>0</v>
      </c>
      <c r="K19" s="85">
        <f>+[1]Dec98!H$62/1000</f>
        <v>3741.971</v>
      </c>
      <c r="M19" s="85">
        <f>+[1]Dec98!I$62/1000</f>
        <v>0</v>
      </c>
      <c r="O19" s="85">
        <f>+[1]Dec98!J$62/1000</f>
        <v>7530</v>
      </c>
      <c r="Q19" s="85">
        <f>+[1]Dec98!K$62/1000</f>
        <v>0</v>
      </c>
      <c r="S19" s="85">
        <f>+[1]Dec98!L$62/1000</f>
        <v>-1248.1890000000001</v>
      </c>
      <c r="U19" s="85">
        <f>+[1]Dec98!M$62/1000</f>
        <v>5954.9250000000002</v>
      </c>
      <c r="W19" s="85">
        <f>+[1]Dec98!N$62/1000</f>
        <v>32832.404000000002</v>
      </c>
      <c r="Y19" s="85">
        <f>+[1]Dec98!O$62/1000</f>
        <v>94332.766000000003</v>
      </c>
      <c r="AA19" s="85">
        <f>+[1]Dec98!Q$62/1000</f>
        <v>0</v>
      </c>
      <c r="AC19" s="85">
        <f>+[1]Dec98!R$62/1000</f>
        <v>0</v>
      </c>
      <c r="AE19" s="85">
        <f>+[1]Dec98!S$62/1000</f>
        <v>67994.062000000005</v>
      </c>
      <c r="AG19" s="85">
        <f>+[1]Dec98!T$62/1000</f>
        <v>0</v>
      </c>
      <c r="AI19" s="85">
        <f>+[1]Dec98!U$62/1000</f>
        <v>0</v>
      </c>
      <c r="AK19" s="85">
        <f>+[1]Dec98!P$62/1000</f>
        <v>30617.981</v>
      </c>
      <c r="AM19" s="85">
        <f>+[1]Dec98!V$62/1000</f>
        <v>0</v>
      </c>
      <c r="AO19" s="105">
        <f>+AQ19-SUM(C19:AM19)</f>
        <v>1901566.7510000002</v>
      </c>
      <c r="AQ19" s="85">
        <f>+[1]Dec98!AH$62/1000</f>
        <v>2143322.6710000001</v>
      </c>
    </row>
    <row r="20" spans="1:43" ht="5.0999999999999996" customHeight="1" x14ac:dyDescent="0.2">
      <c r="A20" s="106"/>
      <c r="M20" s="85"/>
      <c r="O20" s="85"/>
      <c r="Q20" s="85"/>
      <c r="S20" s="85"/>
      <c r="U20" s="85"/>
      <c r="W20" s="85"/>
      <c r="Y20" s="85"/>
      <c r="AA20" s="85"/>
      <c r="AC20" s="85"/>
      <c r="AE20" s="85"/>
      <c r="AG20" s="85"/>
      <c r="AI20" s="85"/>
      <c r="AK20" s="85"/>
      <c r="AM20" s="85"/>
      <c r="AO20" s="105"/>
      <c r="AQ20" s="85"/>
    </row>
    <row r="21" spans="1:43" ht="10.8" thickBot="1" x14ac:dyDescent="0.25">
      <c r="C21" s="113">
        <f>SUM(C14:C20)</f>
        <v>2745814.3460000004</v>
      </c>
      <c r="E21" s="113">
        <f>SUM(E14:E20)</f>
        <v>3169811.892</v>
      </c>
      <c r="G21" s="113">
        <f>SUM(G14:G20)</f>
        <v>1208911.8500000001</v>
      </c>
      <c r="I21" s="113">
        <f>SUM(I14:I20)</f>
        <v>1351666.2599999998</v>
      </c>
      <c r="K21" s="113">
        <f>SUM(K14:K20)</f>
        <v>325997.07899999997</v>
      </c>
      <c r="M21" s="113">
        <f>SUM(M14:M20)</f>
        <v>243470.19199999998</v>
      </c>
      <c r="O21" s="113">
        <f>SUM(O14:O20)</f>
        <v>717382.46199999982</v>
      </c>
      <c r="Q21" s="113">
        <f>SUM(Q14:Q20)</f>
        <v>93197.521999999983</v>
      </c>
      <c r="S21" s="113">
        <f>SUM(S14:S20)</f>
        <v>296219.38099999999</v>
      </c>
      <c r="U21" s="113">
        <f>SUM(U14:U20)</f>
        <v>552923.27400000009</v>
      </c>
      <c r="W21" s="113">
        <f>SUM(W14:W20)</f>
        <v>1072590.8739999998</v>
      </c>
      <c r="Y21" s="113">
        <f>SUM(Y14:Y20)</f>
        <v>395985.96399999998</v>
      </c>
      <c r="AA21" s="113">
        <f>SUM(AA14:AA20)</f>
        <v>35157.023000000001</v>
      </c>
      <c r="AC21" s="113">
        <f>SUM(AC14:AC20)</f>
        <v>0</v>
      </c>
      <c r="AE21" s="113">
        <f>SUM(AE14:AE20)</f>
        <v>452938.21600000001</v>
      </c>
      <c r="AG21" s="113">
        <f>SUM(AG14:AG20)</f>
        <v>111170.14200000001</v>
      </c>
      <c r="AI21" s="113">
        <f>SUM(AI14:AI20)</f>
        <v>329152.87099999998</v>
      </c>
      <c r="AK21" s="113">
        <f>SUM(AK14:AK20)</f>
        <v>1174139.544</v>
      </c>
      <c r="AM21" s="113">
        <f>SUM(AM14:AM20)</f>
        <v>-727.30999999999767</v>
      </c>
      <c r="AO21" s="113">
        <f>SUM(AO14:AO20)</f>
        <v>3436623.637000001</v>
      </c>
      <c r="AQ21" s="113">
        <f>SUM(AQ14:AQ20)</f>
        <v>17712425.219000001</v>
      </c>
    </row>
    <row r="22" spans="1:43" ht="10.8" thickTop="1" x14ac:dyDescent="0.2">
      <c r="C22" s="79"/>
      <c r="E22" s="79"/>
      <c r="G22" s="79"/>
      <c r="I22" s="79"/>
      <c r="K22" s="79"/>
      <c r="M22" s="79"/>
      <c r="O22" s="79"/>
      <c r="Q22" s="79"/>
      <c r="S22" s="79"/>
      <c r="U22" s="79"/>
      <c r="W22" s="79"/>
      <c r="Y22" s="79"/>
      <c r="AA22" s="79"/>
      <c r="AC22" s="79"/>
      <c r="AE22" s="79"/>
      <c r="AG22" s="79"/>
      <c r="AI22" s="79"/>
      <c r="AK22" s="79"/>
      <c r="AM22" s="79"/>
      <c r="AO22" s="80"/>
      <c r="AQ22" s="79"/>
    </row>
    <row r="23" spans="1:43" x14ac:dyDescent="0.2">
      <c r="A23" s="122" t="s">
        <v>115</v>
      </c>
      <c r="M23" s="85"/>
      <c r="O23" s="85"/>
      <c r="Q23" s="85"/>
      <c r="S23" s="85"/>
      <c r="U23" s="85"/>
      <c r="W23" s="85"/>
      <c r="Y23" s="85"/>
      <c r="AA23" s="85"/>
      <c r="AC23" s="85"/>
      <c r="AE23" s="85"/>
      <c r="AG23" s="85"/>
      <c r="AI23" s="85"/>
      <c r="AK23" s="85"/>
      <c r="AM23" s="85"/>
      <c r="AO23" s="105"/>
      <c r="AQ23" s="85"/>
    </row>
    <row r="24" spans="1:43" x14ac:dyDescent="0.2">
      <c r="A24" s="106" t="s">
        <v>13</v>
      </c>
      <c r="C24" s="85">
        <f>+[1]Dec99!C$6/1000</f>
        <v>1199893.1470000001</v>
      </c>
      <c r="E24" s="85">
        <f>+[1]Dec99!D$6/1000</f>
        <v>2373033.3470000001</v>
      </c>
      <c r="G24" s="85">
        <f>+[1]Dec99!E$6/1000</f>
        <v>2581303.6170000001</v>
      </c>
      <c r="I24" s="85">
        <f>+[1]Dec99!F$6/1000</f>
        <v>1330062.953</v>
      </c>
      <c r="K24" s="85">
        <f>+[1]Dec99!H$6/1000</f>
        <v>1083877.0549999999</v>
      </c>
      <c r="M24" s="85">
        <f>+[1]Dec99!I$6/1000</f>
        <v>1092578.0870000001</v>
      </c>
      <c r="O24" s="85">
        <f>+[1]Dec99!J$6/1000</f>
        <v>3850691.6439999999</v>
      </c>
      <c r="Q24" s="85">
        <f>+[1]Dec99!K$6/1000</f>
        <v>302341.18</v>
      </c>
      <c r="S24" s="85">
        <f>+[1]Dec99!L$6/1000</f>
        <v>489882.64199999999</v>
      </c>
      <c r="U24" s="85">
        <f>+[1]Dec99!M$6/1000</f>
        <v>459235.47399999999</v>
      </c>
      <c r="W24" s="85">
        <f>+[1]Dec99!N$6/1000</f>
        <v>1391157.7609999999</v>
      </c>
      <c r="Y24" s="85">
        <f>+[1]Dec99!O$6/1000</f>
        <v>567201.39899999998</v>
      </c>
      <c r="AA24" s="85">
        <f>+[1]Dec99!Q$6/1000</f>
        <v>13838.804</v>
      </c>
      <c r="AC24" s="85">
        <f>+[1]Dec99!R$6/1000</f>
        <v>0</v>
      </c>
      <c r="AE24" s="85">
        <f>+[1]Dec99!S$6/1000</f>
        <v>546612.25800000003</v>
      </c>
      <c r="AG24" s="85">
        <f>+[1]Dec99!T$6/1000</f>
        <v>242870.36900000001</v>
      </c>
      <c r="AI24" s="85">
        <f>+[1]Dec99!U$6/1000</f>
        <v>145288.924</v>
      </c>
      <c r="AK24" s="85">
        <f>+[1]Dec99!P$6/1000</f>
        <v>1309421.817</v>
      </c>
      <c r="AM24" s="85">
        <f>+[1]Dec99!V$6/1000</f>
        <v>-386462.42800000001</v>
      </c>
      <c r="AO24" s="105">
        <f>+AQ24-SUM(C24:AM24)</f>
        <v>-9022635.2719999962</v>
      </c>
      <c r="AQ24" s="85">
        <f>+[1]Dec99!AH$6/1000</f>
        <v>9570192.7780000009</v>
      </c>
    </row>
    <row r="25" spans="1:43" x14ac:dyDescent="0.2">
      <c r="A25" s="106" t="s">
        <v>96</v>
      </c>
      <c r="C25" s="85">
        <f>+[1]Dec99!C$27/1000</f>
        <v>-2048257.898</v>
      </c>
      <c r="E25" s="85">
        <f>+[1]Dec99!D$27/1000</f>
        <v>-86920.466</v>
      </c>
      <c r="G25" s="85">
        <f>+[1]Dec99!E$27/1000</f>
        <v>-36971.040000000001</v>
      </c>
      <c r="I25" s="85">
        <f>+[1]Dec99!F$27/1000</f>
        <v>4628.473</v>
      </c>
      <c r="K25" s="85">
        <f>+[1]Dec99!H$27/1000</f>
        <v>-632580.1</v>
      </c>
      <c r="M25" s="85">
        <f>+[1]Dec99!I$27/1000</f>
        <v>-559294.34400000004</v>
      </c>
      <c r="O25" s="85">
        <f>+[1]Dec99!J$27/1000</f>
        <v>-3546097.7650000001</v>
      </c>
      <c r="Q25" s="85">
        <f>+[1]Dec99!K$27/1000</f>
        <v>-72870.968999999997</v>
      </c>
      <c r="S25" s="85">
        <f>+[1]Dec99!L$27/1000</f>
        <v>25069.278999999999</v>
      </c>
      <c r="U25" s="85">
        <f>+[1]Dec99!M$27/1000</f>
        <v>87516.600999999995</v>
      </c>
      <c r="W25" s="85">
        <f>+[1]Dec99!N$27/1000</f>
        <v>914211.18500000006</v>
      </c>
      <c r="Y25" s="85">
        <f>+[1]Dec99!O$27/1000</f>
        <v>45767.847000000002</v>
      </c>
      <c r="AA25" s="85">
        <f>+[1]Dec99!Q$27/1000</f>
        <v>15117.81</v>
      </c>
      <c r="AC25" s="85">
        <f>+[1]Dec99!R$27/1000</f>
        <v>0</v>
      </c>
      <c r="AE25" s="85">
        <f>+[1]Dec99!S$27/1000</f>
        <v>132932.98300000001</v>
      </c>
      <c r="AG25" s="85">
        <f>+[1]Dec99!T$27/1000</f>
        <v>50355.091</v>
      </c>
      <c r="AI25" s="85">
        <f>+[1]Dec99!U$27/1000</f>
        <v>199823.93599999999</v>
      </c>
      <c r="AK25" s="85">
        <f>+[1]Dec99!P$27/1000</f>
        <v>-1069595.598</v>
      </c>
      <c r="AM25" s="85">
        <f>+[1]Dec99!V$27/1000</f>
        <v>571219.56000000006</v>
      </c>
      <c r="AO25" s="105">
        <f>+AQ25-SUM(C25:AM25)</f>
        <v>6005945.415000001</v>
      </c>
      <c r="AQ25" s="85">
        <f>+[1]Dec99!AH$27/1000</f>
        <v>0</v>
      </c>
    </row>
    <row r="26" spans="1:43" x14ac:dyDescent="0.2">
      <c r="A26" s="106" t="s">
        <v>98</v>
      </c>
      <c r="C26" s="85">
        <f>+[1]Dec99!C$30/1000</f>
        <v>2870620.0660000001</v>
      </c>
      <c r="E26" s="85">
        <f>+[1]Dec99!D$30/1000</f>
        <v>0</v>
      </c>
      <c r="G26" s="85">
        <f>+[1]Dec99!E$30/1000</f>
        <v>0</v>
      </c>
      <c r="I26" s="85">
        <f>+[1]Dec99!F$30/1000</f>
        <v>0</v>
      </c>
      <c r="K26" s="85">
        <f>+[1]Dec99!H$30/1000</f>
        <v>0</v>
      </c>
      <c r="M26" s="85">
        <f>+[1]Dec99!I$30/1000</f>
        <v>0</v>
      </c>
      <c r="O26" s="85">
        <f>+[1]Dec99!J$30/1000</f>
        <v>0</v>
      </c>
      <c r="Q26" s="85">
        <f>+[1]Dec99!K$30/1000</f>
        <v>0</v>
      </c>
      <c r="S26" s="85">
        <f>+[1]Dec99!L$30/1000</f>
        <v>0</v>
      </c>
      <c r="U26" s="85">
        <f>+[1]Dec99!M$30/1000</f>
        <v>0</v>
      </c>
      <c r="W26" s="85">
        <f>+[1]Dec99!N$30/1000</f>
        <v>0</v>
      </c>
      <c r="Y26" s="85">
        <f>+[1]Dec99!O$30/1000</f>
        <v>0</v>
      </c>
      <c r="AA26" s="85">
        <f>+[1]Dec99!Q$30/1000</f>
        <v>0</v>
      </c>
      <c r="AC26" s="85">
        <f>+[1]Dec99!R$30/1000</f>
        <v>0</v>
      </c>
      <c r="AE26" s="85">
        <f>+[1]Dec99!S$30/1000</f>
        <v>0</v>
      </c>
      <c r="AG26" s="85">
        <f>+[1]Dec99!T$30/1000</f>
        <v>0</v>
      </c>
      <c r="AI26" s="85">
        <f>+[1]Dec99!U$30/1000</f>
        <v>0</v>
      </c>
      <c r="AK26" s="85">
        <f>+[1]Dec99!P$30/1000</f>
        <v>0</v>
      </c>
      <c r="AM26" s="85">
        <f>+[1]Dec99!V$30/1000</f>
        <v>0</v>
      </c>
      <c r="AO26" s="105">
        <f>+AQ26-SUM(C26:AM26)</f>
        <v>-2870620.0660000001</v>
      </c>
      <c r="AQ26" s="85">
        <f>+[1]Dec99!AH$30/1000</f>
        <v>0</v>
      </c>
    </row>
    <row r="27" spans="1:43" x14ac:dyDescent="0.2">
      <c r="A27" s="107" t="s">
        <v>111</v>
      </c>
      <c r="C27" s="108">
        <f>SUM(C24:C26)</f>
        <v>2022255.3150000002</v>
      </c>
      <c r="E27" s="108">
        <f>SUM(E24:E26)</f>
        <v>2286112.8810000001</v>
      </c>
      <c r="G27" s="108">
        <f>SUM(G24:G26)</f>
        <v>2544332.577</v>
      </c>
      <c r="I27" s="108">
        <f>SUM(I24:I26)</f>
        <v>1334691.426</v>
      </c>
      <c r="K27" s="108">
        <f>SUM(K24:K26)</f>
        <v>451296.95499999996</v>
      </c>
      <c r="M27" s="108">
        <f>SUM(M24:M26)</f>
        <v>533283.74300000002</v>
      </c>
      <c r="O27" s="108">
        <f>SUM(O24:O26)</f>
        <v>304593.87899999972</v>
      </c>
      <c r="Q27" s="108">
        <f>SUM(Q24:Q26)</f>
        <v>229470.21100000001</v>
      </c>
      <c r="S27" s="108">
        <f>SUM(S24:S26)</f>
        <v>514951.92099999997</v>
      </c>
      <c r="U27" s="108">
        <f>SUM(U24:U26)</f>
        <v>546752.07499999995</v>
      </c>
      <c r="W27" s="108">
        <f>SUM(W24:W26)</f>
        <v>2305368.946</v>
      </c>
      <c r="Y27" s="108">
        <f>SUM(Y24:Y26)</f>
        <v>612969.24599999993</v>
      </c>
      <c r="AA27" s="108">
        <f>SUM(AA24:AA26)</f>
        <v>28956.614000000001</v>
      </c>
      <c r="AC27" s="108">
        <f>SUM(AC24:AC26)</f>
        <v>0</v>
      </c>
      <c r="AE27" s="108">
        <f>SUM(AE24:AE26)</f>
        <v>679545.24100000004</v>
      </c>
      <c r="AG27" s="108">
        <f>SUM(AG24:AG26)</f>
        <v>293225.46000000002</v>
      </c>
      <c r="AI27" s="108">
        <f>SUM(AI24:AI26)</f>
        <v>345112.86</v>
      </c>
      <c r="AK27" s="108">
        <f>SUM(AK24:AK26)</f>
        <v>239826.21900000004</v>
      </c>
      <c r="AM27" s="108">
        <f>SUM(AM24:AM26)</f>
        <v>184757.13200000004</v>
      </c>
      <c r="AO27" s="109">
        <f>+AQ27-SUM(C27:AM27)</f>
        <v>-5887309.9229999986</v>
      </c>
      <c r="AQ27" s="108">
        <f>SUM(AQ24:AQ26)</f>
        <v>9570192.7780000009</v>
      </c>
    </row>
    <row r="28" spans="1:43" ht="5.0999999999999996" customHeight="1" x14ac:dyDescent="0.2">
      <c r="A28" s="106"/>
      <c r="M28" s="85"/>
      <c r="O28" s="85"/>
      <c r="Q28" s="85"/>
      <c r="S28" s="85"/>
      <c r="U28" s="85"/>
      <c r="W28" s="85"/>
      <c r="Y28" s="85"/>
      <c r="AA28" s="85"/>
      <c r="AC28" s="85"/>
      <c r="AE28" s="85"/>
      <c r="AG28" s="85"/>
      <c r="AI28" s="85"/>
      <c r="AK28" s="85"/>
      <c r="AM28" s="85"/>
      <c r="AO28" s="105"/>
      <c r="AQ28" s="85"/>
    </row>
    <row r="29" spans="1:43" x14ac:dyDescent="0.2">
      <c r="A29" s="110" t="s">
        <v>97</v>
      </c>
      <c r="C29" s="85">
        <f>+[1]Dec99!C$34/1000</f>
        <v>0</v>
      </c>
      <c r="E29" s="85">
        <f>+[1]Dec99!D$34/1000</f>
        <v>0</v>
      </c>
      <c r="G29" s="85">
        <f>+[1]Dec99!E$34/1000</f>
        <v>684.80600000000004</v>
      </c>
      <c r="I29" s="85">
        <f>+[1]Dec99!F$34/1000</f>
        <v>0</v>
      </c>
      <c r="K29" s="85">
        <f>+[1]Dec99!H$34/1000</f>
        <v>-8620.4680000000008</v>
      </c>
      <c r="M29" s="85">
        <f>+[1]Dec99!I$34/1000</f>
        <v>0</v>
      </c>
      <c r="O29" s="85">
        <f>+[1]Dec99!J$34/1000</f>
        <v>0</v>
      </c>
      <c r="Q29" s="85">
        <f>+[1]Dec99!K$34/1000</f>
        <v>554.61400000000003</v>
      </c>
      <c r="S29" s="85">
        <f>+[1]Dec99!L$34/1000</f>
        <v>-14213.063</v>
      </c>
      <c r="U29" s="85">
        <f>+[1]Dec99!M$34/1000</f>
        <v>128048.766</v>
      </c>
      <c r="W29" s="85">
        <f>+[1]Dec99!N$34/1000</f>
        <v>612382.38199999998</v>
      </c>
      <c r="Y29" s="85">
        <f>+[1]Dec99!O$34/1000</f>
        <v>0.01</v>
      </c>
      <c r="AA29" s="85">
        <f>+[1]Dec99!Q$34/1000</f>
        <v>0</v>
      </c>
      <c r="AC29" s="85">
        <f>+[1]Dec99!R$34/1000</f>
        <v>0</v>
      </c>
      <c r="AE29" s="85">
        <f>+[1]Dec99!S$34/1000</f>
        <v>53.603000000000002</v>
      </c>
      <c r="AG29" s="85">
        <f>+[1]Dec99!T$34/1000</f>
        <v>0</v>
      </c>
      <c r="AI29" s="85">
        <f>+[1]Dec99!U$34/1000</f>
        <v>3990.9810000000002</v>
      </c>
      <c r="AK29" s="85">
        <f>+[1]Dec99!P$34/1000</f>
        <v>-1298.3599999999999</v>
      </c>
      <c r="AM29" s="85">
        <f>+[1]Dec99!V$34/1000</f>
        <v>0</v>
      </c>
      <c r="AO29" s="105">
        <f>+AQ29-SUM(C29:AM29)</f>
        <v>16244.764999999898</v>
      </c>
      <c r="AQ29" s="85">
        <f>+[1]Dec99!AH$34/1000</f>
        <v>737828.03599999996</v>
      </c>
    </row>
    <row r="30" spans="1:43" ht="5.0999999999999996" customHeight="1" x14ac:dyDescent="0.2">
      <c r="A30" s="106"/>
      <c r="M30" s="85"/>
      <c r="O30" s="85"/>
      <c r="Q30" s="85"/>
      <c r="S30" s="85"/>
      <c r="U30" s="85"/>
      <c r="W30" s="85"/>
      <c r="Y30" s="85"/>
      <c r="AA30" s="85"/>
      <c r="AC30" s="85"/>
      <c r="AE30" s="85"/>
      <c r="AG30" s="85"/>
      <c r="AI30" s="85"/>
      <c r="AK30" s="85"/>
      <c r="AM30" s="85"/>
      <c r="AO30" s="105"/>
      <c r="AQ30" s="85"/>
    </row>
    <row r="31" spans="1:43" s="90" customFormat="1" x14ac:dyDescent="0.2">
      <c r="A31" s="107" t="s">
        <v>112</v>
      </c>
      <c r="C31" s="111">
        <f>SUM(C27:C30)</f>
        <v>2022255.3150000002</v>
      </c>
      <c r="E31" s="111">
        <f>SUM(E27:E30)</f>
        <v>2286112.8810000001</v>
      </c>
      <c r="G31" s="111">
        <f>SUM(G27:G30)</f>
        <v>2545017.3829999999</v>
      </c>
      <c r="I31" s="111">
        <f>SUM(I27:I30)</f>
        <v>1334691.426</v>
      </c>
      <c r="K31" s="111">
        <f>SUM(K27:K30)</f>
        <v>442676.48699999996</v>
      </c>
      <c r="M31" s="111">
        <f>SUM(M27:M30)</f>
        <v>533283.74300000002</v>
      </c>
      <c r="O31" s="111">
        <f>SUM(O27:O30)</f>
        <v>304593.87899999972</v>
      </c>
      <c r="Q31" s="111">
        <f>SUM(Q27:Q30)</f>
        <v>230024.82500000001</v>
      </c>
      <c r="S31" s="111">
        <f>SUM(S27:S30)</f>
        <v>500738.85799999995</v>
      </c>
      <c r="U31" s="111">
        <f>SUM(U27:U30)</f>
        <v>674800.84100000001</v>
      </c>
      <c r="W31" s="111">
        <f>SUM(W27:W30)</f>
        <v>2917751.3279999997</v>
      </c>
      <c r="Y31" s="111">
        <f>SUM(Y27:Y30)</f>
        <v>612969.25599999994</v>
      </c>
      <c r="AA31" s="111">
        <f>SUM(AA27:AA30)</f>
        <v>28956.614000000001</v>
      </c>
      <c r="AC31" s="111">
        <f>SUM(AC27:AC30)</f>
        <v>0</v>
      </c>
      <c r="AE31" s="111">
        <f>SUM(AE27:AE30)</f>
        <v>679598.84400000004</v>
      </c>
      <c r="AG31" s="111">
        <f>SUM(AG27:AG30)</f>
        <v>293225.46000000002</v>
      </c>
      <c r="AI31" s="111">
        <f>SUM(AI27:AI30)</f>
        <v>349103.84100000001</v>
      </c>
      <c r="AK31" s="111">
        <f>SUM(AK27:AK30)</f>
        <v>238527.85900000005</v>
      </c>
      <c r="AM31" s="111">
        <f>SUM(AM27:AM30)</f>
        <v>184757.13200000004</v>
      </c>
      <c r="AO31" s="112">
        <f>+AQ31-SUM(C31:AM31)</f>
        <v>-5871065.1579999961</v>
      </c>
      <c r="AQ31" s="111">
        <f>SUM(AQ27:AQ30)</f>
        <v>10308020.814000001</v>
      </c>
    </row>
    <row r="32" spans="1:43" x14ac:dyDescent="0.2">
      <c r="M32" s="85"/>
      <c r="O32" s="85"/>
      <c r="Q32" s="85"/>
      <c r="S32" s="85"/>
      <c r="U32" s="85"/>
      <c r="W32" s="85"/>
      <c r="Y32" s="85"/>
      <c r="AA32" s="85"/>
      <c r="AC32" s="85"/>
      <c r="AE32" s="85"/>
      <c r="AG32" s="85"/>
      <c r="AI32" s="85"/>
      <c r="AK32" s="85"/>
      <c r="AM32" s="85"/>
      <c r="AO32" s="105"/>
      <c r="AQ32" s="85"/>
    </row>
    <row r="33" spans="1:43" x14ac:dyDescent="0.2">
      <c r="A33" s="106" t="s">
        <v>113</v>
      </c>
      <c r="C33" s="85">
        <f>+[1]Dec99!C$53/1000</f>
        <v>641888.44499999995</v>
      </c>
      <c r="E33" s="85">
        <f>+[1]Dec99!D$53/1000</f>
        <v>1012770.767</v>
      </c>
      <c r="G33" s="85">
        <f>+[1]Dec99!E$53/1000</f>
        <v>46970.294999999998</v>
      </c>
      <c r="I33" s="85">
        <f>+[1]Dec99!F$53/1000</f>
        <v>0</v>
      </c>
      <c r="K33" s="85">
        <f>+[1]Dec99!H$53/1000</f>
        <v>27207.819</v>
      </c>
      <c r="M33" s="85">
        <f>+[1]Dec99!I$53/1000</f>
        <v>0</v>
      </c>
      <c r="O33" s="85">
        <f>+[1]Dec99!J$53/1000</f>
        <v>237338.43799999999</v>
      </c>
      <c r="Q33" s="85">
        <f>+[1]Dec99!K$53/1000</f>
        <v>0</v>
      </c>
      <c r="S33" s="85">
        <f>+[1]Dec99!L$53/1000</f>
        <v>254282.15400000001</v>
      </c>
      <c r="U33" s="85">
        <f>+[1]Dec99!M$53/1000</f>
        <v>79129.364000000001</v>
      </c>
      <c r="W33" s="85">
        <f>+[1]Dec99!N$53/1000</f>
        <v>65720.043999999994</v>
      </c>
      <c r="Y33" s="85">
        <f>+[1]Dec99!O$53/1000</f>
        <v>0</v>
      </c>
      <c r="AA33" s="85">
        <f>+[1]Dec99!Q$53/1000</f>
        <v>8778.4760000000006</v>
      </c>
      <c r="AC33" s="85">
        <f>+[1]Dec99!R$53/1000</f>
        <v>0</v>
      </c>
      <c r="AE33" s="85">
        <f>+[1]Dec99!S$53/1000</f>
        <v>2300.6469999999999</v>
      </c>
      <c r="AG33" s="85">
        <f>+[1]Dec99!T$53/1000</f>
        <v>0</v>
      </c>
      <c r="AI33" s="85">
        <f>+[1]Dec99!U$53/1000</f>
        <v>18853.697</v>
      </c>
      <c r="AK33" s="85">
        <f>+[1]Dec99!P$53/1000</f>
        <v>28229.952000000001</v>
      </c>
      <c r="AM33" s="85">
        <f>+[1]Dec99!V$53/1000</f>
        <v>0</v>
      </c>
      <c r="AO33" s="105">
        <f>+AQ33-SUM(C33:AM33)</f>
        <v>5728763.0810000002</v>
      </c>
      <c r="AQ33" s="85">
        <f>+[1]Dec99!AH$53/1000</f>
        <v>8152233.1789999995</v>
      </c>
    </row>
    <row r="34" spans="1:43" x14ac:dyDescent="0.2">
      <c r="A34" s="106" t="s">
        <v>114</v>
      </c>
      <c r="C34" s="85">
        <f>+[1]Dec99!C$59/1000</f>
        <v>0</v>
      </c>
      <c r="E34" s="85">
        <f>+[1]Dec99!D$59/1000</f>
        <v>29490.145</v>
      </c>
      <c r="G34" s="85">
        <f>+[1]Dec99!E$59/1000</f>
        <v>0</v>
      </c>
      <c r="I34" s="85">
        <f>+[1]Dec99!F$59/1000</f>
        <v>0</v>
      </c>
      <c r="K34" s="85">
        <f>+[1]Dec99!H$59/1000</f>
        <v>0.16500000000000001</v>
      </c>
      <c r="M34" s="85">
        <f>+[1]Dec99!I$59/1000</f>
        <v>0</v>
      </c>
      <c r="O34" s="85">
        <f>+[1]Dec99!J$59/1000</f>
        <v>0</v>
      </c>
      <c r="Q34" s="85">
        <f>+[1]Dec99!K$59/1000</f>
        <v>0</v>
      </c>
      <c r="S34" s="85">
        <f>+[1]Dec99!L$59/1000</f>
        <v>0</v>
      </c>
      <c r="U34" s="85">
        <f>+[1]Dec99!M$59/1000</f>
        <v>0</v>
      </c>
      <c r="W34" s="85">
        <f>+[1]Dec99!N$59/1000</f>
        <v>0</v>
      </c>
      <c r="Y34" s="85">
        <f>+[1]Dec99!O$59/1000</f>
        <v>0</v>
      </c>
      <c r="AA34" s="85">
        <f>+[1]Dec99!Q$59/1000</f>
        <v>0</v>
      </c>
      <c r="AC34" s="85">
        <f>+[1]Dec99!R$59/1000</f>
        <v>0</v>
      </c>
      <c r="AE34" s="85">
        <f>+[1]Dec99!S$59/1000</f>
        <v>0</v>
      </c>
      <c r="AG34" s="85">
        <f>+[1]Dec99!T$59/1000</f>
        <v>0</v>
      </c>
      <c r="AI34" s="85">
        <f>+[1]Dec99!U$59/1000</f>
        <v>0</v>
      </c>
      <c r="AK34" s="85">
        <f>+[1]Dec99!P$59/1000</f>
        <v>103000</v>
      </c>
      <c r="AM34" s="85">
        <f>+[1]Dec99!V$59/1000</f>
        <v>0</v>
      </c>
      <c r="AO34" s="105">
        <f>+AQ34-SUM(C34:AM34)</f>
        <v>867351.57199999993</v>
      </c>
      <c r="AQ34" s="85">
        <f>+[1]Dec99!AH$59/1000</f>
        <v>999841.88199999998</v>
      </c>
    </row>
    <row r="35" spans="1:43" x14ac:dyDescent="0.2">
      <c r="A35" s="106" t="s">
        <v>106</v>
      </c>
      <c r="C35" s="85">
        <f>+[1]Dec99!C$62/1000</f>
        <v>0</v>
      </c>
      <c r="E35" s="85">
        <f>+[1]Dec99!D$62/1000</f>
        <v>0</v>
      </c>
      <c r="G35" s="85">
        <f>+[1]Dec99!E$62/1000</f>
        <v>0</v>
      </c>
      <c r="I35" s="85">
        <f>+[1]Dec99!F$62/1000</f>
        <v>0</v>
      </c>
      <c r="K35" s="85">
        <f>+[1]Dec99!H$62/1000</f>
        <v>-2652.335</v>
      </c>
      <c r="M35" s="85">
        <f>+[1]Dec99!I$62/1000</f>
        <v>0</v>
      </c>
      <c r="O35" s="85">
        <f>+[1]Dec99!J$62/1000</f>
        <v>7530</v>
      </c>
      <c r="Q35" s="85">
        <f>+[1]Dec99!K$62/1000</f>
        <v>-27.706</v>
      </c>
      <c r="S35" s="85">
        <f>+[1]Dec99!L$62/1000</f>
        <v>69681.853000000003</v>
      </c>
      <c r="U35" s="85">
        <f>+[1]Dec99!M$62/1000</f>
        <v>27777.239000000001</v>
      </c>
      <c r="W35" s="85">
        <f>+[1]Dec99!N$62/1000</f>
        <v>483510.60700000002</v>
      </c>
      <c r="Y35" s="85">
        <f>+[1]Dec99!O$62/1000</f>
        <v>0</v>
      </c>
      <c r="AA35" s="85">
        <f>+[1]Dec99!Q$62/1000</f>
        <v>0</v>
      </c>
      <c r="AC35" s="85">
        <f>+[1]Dec99!R$62/1000</f>
        <v>0</v>
      </c>
      <c r="AE35" s="85">
        <f>+[1]Dec99!S$62/1000</f>
        <v>0</v>
      </c>
      <c r="AG35" s="85">
        <f>+[1]Dec99!T$62/1000</f>
        <v>0</v>
      </c>
      <c r="AI35" s="85">
        <f>+[1]Dec99!U$62/1000</f>
        <v>0</v>
      </c>
      <c r="AK35" s="85">
        <f>+[1]Dec99!P$62/1000</f>
        <v>-2208.2080000000001</v>
      </c>
      <c r="AM35" s="85">
        <f>+[1]Dec99!V$62/1000</f>
        <v>0</v>
      </c>
      <c r="AO35" s="105">
        <f>+AQ35-SUM(C35:AM35)</f>
        <v>1846538.4879999999</v>
      </c>
      <c r="AQ35" s="85">
        <f>+[1]Dec99!AH$62/1000</f>
        <v>2430149.9380000001</v>
      </c>
    </row>
    <row r="36" spans="1:43" ht="5.0999999999999996" customHeight="1" x14ac:dyDescent="0.2">
      <c r="A36" s="106"/>
      <c r="M36" s="85"/>
      <c r="O36" s="85"/>
      <c r="Q36" s="85"/>
      <c r="S36" s="85"/>
      <c r="U36" s="85"/>
      <c r="W36" s="85"/>
      <c r="Y36" s="85"/>
      <c r="AA36" s="85"/>
      <c r="AC36" s="85"/>
      <c r="AE36" s="85"/>
      <c r="AG36" s="85"/>
      <c r="AI36" s="85"/>
      <c r="AK36" s="85"/>
      <c r="AM36" s="85"/>
      <c r="AO36" s="105"/>
      <c r="AQ36" s="85"/>
    </row>
    <row r="37" spans="1:43" ht="10.8" thickBot="1" x14ac:dyDescent="0.25">
      <c r="C37" s="113">
        <f>SUM(C30:C36)</f>
        <v>2664143.7600000002</v>
      </c>
      <c r="E37" s="113">
        <f>SUM(E30:E36)</f>
        <v>3328373.7930000001</v>
      </c>
      <c r="G37" s="113">
        <f>SUM(G30:G36)</f>
        <v>2591987.6779999998</v>
      </c>
      <c r="I37" s="113">
        <f>SUM(I30:I36)</f>
        <v>1334691.426</v>
      </c>
      <c r="K37" s="113">
        <f>SUM(K30:K36)</f>
        <v>467232.13599999994</v>
      </c>
      <c r="M37" s="113">
        <f>SUM(M30:M36)</f>
        <v>533283.74300000002</v>
      </c>
      <c r="O37" s="113">
        <f>SUM(O30:O36)</f>
        <v>549462.31699999969</v>
      </c>
      <c r="Q37" s="113">
        <f>SUM(Q30:Q36)</f>
        <v>229997.11900000001</v>
      </c>
      <c r="S37" s="113">
        <f>SUM(S30:S36)</f>
        <v>824702.86499999999</v>
      </c>
      <c r="U37" s="113">
        <f>SUM(U30:U36)</f>
        <v>781707.44400000013</v>
      </c>
      <c r="W37" s="113">
        <f>SUM(W30:W36)</f>
        <v>3466981.9789999994</v>
      </c>
      <c r="Y37" s="113">
        <f>SUM(Y30:Y36)</f>
        <v>612969.25599999994</v>
      </c>
      <c r="AA37" s="113">
        <f>SUM(AA30:AA36)</f>
        <v>37735.090000000004</v>
      </c>
      <c r="AC37" s="113">
        <f>SUM(AC30:AC36)</f>
        <v>0</v>
      </c>
      <c r="AE37" s="113">
        <f>SUM(AE30:AE36)</f>
        <v>681899.49100000004</v>
      </c>
      <c r="AG37" s="113">
        <f>SUM(AG30:AG36)</f>
        <v>293225.46000000002</v>
      </c>
      <c r="AI37" s="113">
        <f>SUM(AI30:AI36)</f>
        <v>367957.538</v>
      </c>
      <c r="AK37" s="113">
        <f>SUM(AK30:AK36)</f>
        <v>367549.60300000006</v>
      </c>
      <c r="AM37" s="113">
        <f>SUM(AM30:AM36)</f>
        <v>184757.13200000004</v>
      </c>
      <c r="AO37" s="113">
        <f>SUM(AO30:AO36)</f>
        <v>2571587.9830000037</v>
      </c>
      <c r="AQ37" s="113">
        <f>SUM(AQ30:AQ36)</f>
        <v>21890245.813000001</v>
      </c>
    </row>
    <row r="38" spans="1:43" ht="10.8" thickTop="1" x14ac:dyDescent="0.2">
      <c r="M38" s="85"/>
      <c r="O38" s="85"/>
      <c r="Q38" s="85"/>
      <c r="S38" s="85"/>
      <c r="U38" s="85"/>
      <c r="W38" s="85"/>
      <c r="Y38" s="85"/>
      <c r="AA38" s="85"/>
      <c r="AC38" s="85"/>
      <c r="AE38" s="85"/>
      <c r="AG38" s="85"/>
      <c r="AI38" s="85"/>
      <c r="AK38" s="85"/>
      <c r="AM38" s="85"/>
      <c r="AO38" s="105"/>
      <c r="AQ38" s="85"/>
    </row>
    <row r="39" spans="1:43" x14ac:dyDescent="0.2">
      <c r="A39" s="123" t="s">
        <v>95</v>
      </c>
      <c r="M39" s="85"/>
      <c r="O39" s="85"/>
      <c r="Q39" s="85"/>
      <c r="S39" s="85"/>
      <c r="U39" s="85"/>
      <c r="W39" s="85"/>
      <c r="Y39" s="85"/>
      <c r="AA39" s="85"/>
      <c r="AC39" s="85"/>
      <c r="AE39" s="85"/>
      <c r="AG39" s="85"/>
      <c r="AI39" s="85"/>
      <c r="AK39" s="85"/>
      <c r="AM39" s="85"/>
      <c r="AO39" s="105"/>
      <c r="AQ39" s="85"/>
    </row>
    <row r="40" spans="1:43" x14ac:dyDescent="0.2">
      <c r="A40" s="106" t="s">
        <v>13</v>
      </c>
      <c r="C40" s="85">
        <f>+[1]Jun00!C$6/1000</f>
        <v>4167329.4279999998</v>
      </c>
      <c r="E40" s="85">
        <f>+[1]Jun00!D$6/1000</f>
        <v>2396310.0819999999</v>
      </c>
      <c r="G40" s="85">
        <f>+[1]Jun00!E$6/1000</f>
        <v>2674498.6809999999</v>
      </c>
      <c r="I40" s="85">
        <f>+[1]Jun00!F$6/1000</f>
        <v>1320798.0349999999</v>
      </c>
      <c r="K40" s="85">
        <f>+[1]Jun00!H$6/1000</f>
        <v>1323168.5919999999</v>
      </c>
      <c r="M40" s="85">
        <f>+[1]Jun00!I$6/1000</f>
        <v>1103808.8999999999</v>
      </c>
      <c r="O40" s="85">
        <f>+[1]Jun00!J$6/1000</f>
        <v>3827461.1379999998</v>
      </c>
      <c r="Q40" s="85">
        <f>+[1]Jun00!K$6/1000</f>
        <v>518713.39600000001</v>
      </c>
      <c r="S40" s="85">
        <f>+[1]Jun00!L$6/1000</f>
        <v>450302.37300000002</v>
      </c>
      <c r="U40" s="85">
        <f>+[1]Jun00!M$6/1000</f>
        <v>466429.49200000003</v>
      </c>
      <c r="W40" s="85">
        <f>+[1]Jun00!N$6/1000</f>
        <v>1704488.31</v>
      </c>
      <c r="Y40" s="85">
        <f>+[1]Jun00!O$6/1000</f>
        <v>551180.97900000005</v>
      </c>
      <c r="AA40" s="85">
        <f>+[1]Jun00!Q$6/1000</f>
        <v>11014.983</v>
      </c>
      <c r="AC40" s="85">
        <f>+[1]Jun00!R$6/1000</f>
        <v>-3072.3240000000001</v>
      </c>
      <c r="AE40" s="85">
        <f>+[1]Jun00!S$6/1000</f>
        <v>549649.45299999998</v>
      </c>
      <c r="AG40" s="85">
        <f>+[1]Jun00!T$6/1000</f>
        <v>271646.57400000002</v>
      </c>
      <c r="AI40" s="85">
        <f>+[1]Jun00!U$6/1000</f>
        <v>263781.99699999997</v>
      </c>
      <c r="AK40" s="85">
        <f>+[1]Jun00!P$6/1000</f>
        <v>922458.26699999999</v>
      </c>
      <c r="AM40" s="85">
        <f>+[1]Jun00!V$6/1000</f>
        <v>-384089.59700000001</v>
      </c>
      <c r="AO40" s="105">
        <f>+AQ40-SUM(C40:AM40)</f>
        <v>-11366881.280999999</v>
      </c>
      <c r="AQ40" s="85">
        <f>+[1]Jun00!AH$6/1000</f>
        <v>10768997.478</v>
      </c>
    </row>
    <row r="41" spans="1:43" x14ac:dyDescent="0.2">
      <c r="A41" s="106" t="s">
        <v>96</v>
      </c>
      <c r="C41" s="85">
        <f>+[1]Jun00!C$27/1000</f>
        <v>-1984495.2180000001</v>
      </c>
      <c r="E41" s="85">
        <f>+[1]Jun00!D$27/1000</f>
        <v>-69365.501999999993</v>
      </c>
      <c r="G41" s="85">
        <f>+[1]Jun00!E$27/1000</f>
        <v>-1060234.439</v>
      </c>
      <c r="I41" s="85">
        <f>+[1]Jun00!F$27/1000</f>
        <v>4628.473</v>
      </c>
      <c r="K41" s="85">
        <f>+[1]Jun00!H$27/1000</f>
        <v>-1237122.047</v>
      </c>
      <c r="M41" s="85">
        <f>+[1]Jun00!I$27/1000</f>
        <v>-644030.13600000006</v>
      </c>
      <c r="O41" s="85">
        <f>+[1]Jun00!J$27/1000</f>
        <v>-3350464.594</v>
      </c>
      <c r="Q41" s="85">
        <f>+[1]Jun00!K$27/1000</f>
        <v>-171092.70499999999</v>
      </c>
      <c r="S41" s="85">
        <f>+[1]Jun00!L$27/1000</f>
        <v>252379.78400000001</v>
      </c>
      <c r="U41" s="85">
        <f>+[1]Jun00!M$27/1000</f>
        <v>286945.20699999999</v>
      </c>
      <c r="W41" s="85">
        <f>+[1]Jun00!N$27/1000</f>
        <v>828250.527</v>
      </c>
      <c r="Y41" s="85">
        <f>+[1]Jun00!O$27/1000</f>
        <v>198400.264</v>
      </c>
      <c r="AA41" s="85">
        <f>+[1]Jun00!Q$27/1000</f>
        <v>14836.703</v>
      </c>
      <c r="AC41" s="85">
        <f>+[1]Jun00!R$27/1000</f>
        <v>4437.5420000000004</v>
      </c>
      <c r="AE41" s="85">
        <f>+[1]Jun00!S$27/1000</f>
        <v>602890.89199999999</v>
      </c>
      <c r="AG41" s="85">
        <f>+[1]Jun00!T$27/1000</f>
        <v>647343.58799999999</v>
      </c>
      <c r="AI41" s="85">
        <f>+[1]Jun00!U$27/1000</f>
        <v>104461.588</v>
      </c>
      <c r="AK41" s="85">
        <f>+[1]Jun00!P$27/1000</f>
        <v>-773070.06799999997</v>
      </c>
      <c r="AM41" s="85">
        <f>+[1]Jun00!V$27/1000</f>
        <v>578805.82200000004</v>
      </c>
      <c r="AO41" s="105">
        <f>+AQ41-SUM(C41:AM41)</f>
        <v>5766494.3189999983</v>
      </c>
      <c r="AQ41" s="85">
        <f>+[1]Jun00!AH$27/1000</f>
        <v>0</v>
      </c>
    </row>
    <row r="42" spans="1:43" x14ac:dyDescent="0.2">
      <c r="A42" s="106" t="s">
        <v>98</v>
      </c>
      <c r="C42" s="85">
        <f>+[1]Jun00!C$30/1000</f>
        <v>0</v>
      </c>
      <c r="E42" s="85">
        <f>+[1]Jun00!D$30/1000</f>
        <v>0</v>
      </c>
      <c r="G42" s="85">
        <f>+[1]Jun00!E$30/1000</f>
        <v>2177720</v>
      </c>
      <c r="I42" s="85">
        <f>+[1]Jun00!F$30/1000</f>
        <v>0</v>
      </c>
      <c r="K42" s="85">
        <f>+[1]Jun00!H$30/1000</f>
        <v>0</v>
      </c>
      <c r="M42" s="85">
        <f>+[1]Jun00!I$30/1000</f>
        <v>0</v>
      </c>
      <c r="O42" s="85">
        <f>+[1]Jun00!J$30/1000</f>
        <v>0</v>
      </c>
      <c r="Q42" s="85">
        <f>+[1]Jun00!K$30/1000</f>
        <v>0</v>
      </c>
      <c r="S42" s="85">
        <f>+[1]Jun00!L$30/1000</f>
        <v>0</v>
      </c>
      <c r="U42" s="85">
        <f>+[1]Jun00!M$30/1000</f>
        <v>0</v>
      </c>
      <c r="W42" s="85">
        <f>+[1]Jun00!N$30/1000</f>
        <v>0</v>
      </c>
      <c r="Y42" s="85">
        <f>+[1]Jun00!O$30/1000</f>
        <v>0</v>
      </c>
      <c r="AA42" s="85">
        <f>+[1]Jun00!Q$30/1000</f>
        <v>0</v>
      </c>
      <c r="AC42" s="85">
        <f>+[1]Jun00!R$30/1000</f>
        <v>0</v>
      </c>
      <c r="AE42" s="85">
        <f>+[1]Jun00!S$30/1000</f>
        <v>0</v>
      </c>
      <c r="AG42" s="85">
        <f>+[1]Jun00!T$30/1000</f>
        <v>0</v>
      </c>
      <c r="AI42" s="85">
        <f>+[1]Jun00!U$30/1000</f>
        <v>0</v>
      </c>
      <c r="AK42" s="85">
        <f>+[1]Jun00!P$30/1000</f>
        <v>0</v>
      </c>
      <c r="AM42" s="85">
        <f>+[1]Jun00!V$30/1000</f>
        <v>0</v>
      </c>
      <c r="AO42" s="105">
        <f>+AQ42-SUM(C42:AM42)</f>
        <v>-2177720</v>
      </c>
      <c r="AQ42" s="85">
        <f>+[1]Jun00!AH$30/1000</f>
        <v>0</v>
      </c>
    </row>
    <row r="43" spans="1:43" x14ac:dyDescent="0.2">
      <c r="A43" s="107" t="s">
        <v>111</v>
      </c>
      <c r="C43" s="108">
        <f>SUM(C40:C42)</f>
        <v>2182834.21</v>
      </c>
      <c r="E43" s="108">
        <f>SUM(E40:E42)</f>
        <v>2326944.58</v>
      </c>
      <c r="G43" s="108">
        <f>SUM(G40:G42)</f>
        <v>3791984.2419999996</v>
      </c>
      <c r="I43" s="108">
        <f>SUM(I40:I42)</f>
        <v>1325426.5079999999</v>
      </c>
      <c r="K43" s="108">
        <f>SUM(K40:K42)</f>
        <v>86046.544999999925</v>
      </c>
      <c r="M43" s="108">
        <f>SUM(M40:M42)</f>
        <v>459778.76399999985</v>
      </c>
      <c r="O43" s="108">
        <f>SUM(O40:O42)</f>
        <v>476996.54399999976</v>
      </c>
      <c r="Q43" s="108">
        <f>SUM(Q40:Q42)</f>
        <v>347620.69099999999</v>
      </c>
      <c r="S43" s="108">
        <f>SUM(S40:S42)</f>
        <v>702682.15700000001</v>
      </c>
      <c r="U43" s="108">
        <f>SUM(U40:U42)</f>
        <v>753374.69900000002</v>
      </c>
      <c r="W43" s="108">
        <f>SUM(W40:W42)</f>
        <v>2532738.8370000003</v>
      </c>
      <c r="Y43" s="108">
        <f>SUM(Y40:Y42)</f>
        <v>749581.24300000002</v>
      </c>
      <c r="AA43" s="108">
        <f>SUM(AA40:AA42)</f>
        <v>25851.686000000002</v>
      </c>
      <c r="AC43" s="108">
        <f>SUM(AC40:AC42)</f>
        <v>1365.2180000000003</v>
      </c>
      <c r="AE43" s="108">
        <f>SUM(AE40:AE42)</f>
        <v>1152540.345</v>
      </c>
      <c r="AG43" s="108">
        <f>SUM(AG40:AG42)</f>
        <v>918990.16200000001</v>
      </c>
      <c r="AI43" s="108">
        <f>SUM(AI40:AI42)</f>
        <v>368243.58499999996</v>
      </c>
      <c r="AK43" s="108">
        <f>SUM(AK40:AK42)</f>
        <v>149388.19900000002</v>
      </c>
      <c r="AM43" s="108">
        <f>SUM(AM40:AM42)</f>
        <v>194716.22500000003</v>
      </c>
      <c r="AO43" s="109">
        <f>+AQ43-SUM(C43:AM43)</f>
        <v>-7778106.9620000049</v>
      </c>
      <c r="AQ43" s="108">
        <f>SUM(AQ40:AQ42)</f>
        <v>10768997.478</v>
      </c>
    </row>
    <row r="44" spans="1:43" ht="5.0999999999999996" customHeight="1" x14ac:dyDescent="0.2">
      <c r="A44" s="106"/>
      <c r="M44" s="85"/>
      <c r="O44" s="85"/>
      <c r="Q44" s="85"/>
      <c r="S44" s="85"/>
      <c r="U44" s="85"/>
      <c r="W44" s="85"/>
      <c r="Y44" s="85"/>
      <c r="AA44" s="85"/>
      <c r="AC44" s="85"/>
      <c r="AE44" s="85"/>
      <c r="AG44" s="85"/>
      <c r="AI44" s="85"/>
      <c r="AK44" s="85"/>
      <c r="AM44" s="85"/>
      <c r="AO44" s="105"/>
      <c r="AQ44" s="85"/>
    </row>
    <row r="45" spans="1:43" x14ac:dyDescent="0.2">
      <c r="A45" s="110" t="s">
        <v>97</v>
      </c>
      <c r="C45" s="85">
        <f>+[1]Jun00!C$34/1000</f>
        <v>0</v>
      </c>
      <c r="E45" s="85">
        <f>+[1]Jun00!D$34/1000</f>
        <v>0</v>
      </c>
      <c r="G45" s="85">
        <f>+[1]Jun00!E$34/1000</f>
        <v>4037.915</v>
      </c>
      <c r="I45" s="85">
        <f>+[1]Jun00!F$34/1000</f>
        <v>0</v>
      </c>
      <c r="K45" s="85">
        <f>+[1]Jun00!H$34/1000</f>
        <v>42234.368000000002</v>
      </c>
      <c r="M45" s="85">
        <f>+[1]Jun00!I$34/1000</f>
        <v>0</v>
      </c>
      <c r="O45" s="85">
        <f>+[1]Jun00!J$34/1000</f>
        <v>9616.2990000000009</v>
      </c>
      <c r="Q45" s="85">
        <f>+[1]Jun00!K$34/1000</f>
        <v>3774.123</v>
      </c>
      <c r="S45" s="85">
        <f>+[1]Jun00!L$34/1000</f>
        <v>-12213.056</v>
      </c>
      <c r="U45" s="85">
        <f>+[1]Jun00!M$34/1000</f>
        <v>128048.765</v>
      </c>
      <c r="W45" s="85">
        <f>+[1]Jun00!N$34/1000</f>
        <v>628925.576</v>
      </c>
      <c r="Y45" s="85">
        <f>+[1]Jun00!O$34/1000</f>
        <v>0.01</v>
      </c>
      <c r="AA45" s="85">
        <f>+[1]Jun00!Q$34/1000</f>
        <v>0</v>
      </c>
      <c r="AC45" s="85">
        <f>+[1]Jun00!R$34/1000</f>
        <v>0</v>
      </c>
      <c r="AE45" s="85">
        <f>+[1]Jun00!S$34/1000</f>
        <v>2529.826</v>
      </c>
      <c r="AG45" s="85">
        <f>+[1]Jun00!T$34/1000</f>
        <v>-32.188000000000002</v>
      </c>
      <c r="AI45" s="85">
        <f>+[1]Jun00!U$34/1000</f>
        <v>14641.359</v>
      </c>
      <c r="AK45" s="85">
        <f>+[1]Jun00!P$34/1000</f>
        <v>0</v>
      </c>
      <c r="AM45" s="85">
        <f>+[1]Jun00!V$34/1000</f>
        <v>0</v>
      </c>
      <c r="AO45" s="105">
        <f>+AQ45-SUM(C45:AM45)</f>
        <v>17109.197999999858</v>
      </c>
      <c r="AQ45" s="85">
        <f>+[1]Jun00!AH$34/1000</f>
        <v>838672.19499999995</v>
      </c>
    </row>
    <row r="46" spans="1:43" ht="5.0999999999999996" customHeight="1" x14ac:dyDescent="0.2">
      <c r="A46" s="106"/>
      <c r="M46" s="85"/>
      <c r="O46" s="85"/>
      <c r="Q46" s="85"/>
      <c r="S46" s="85"/>
      <c r="U46" s="85"/>
      <c r="W46" s="85"/>
      <c r="Y46" s="85"/>
      <c r="AA46" s="85"/>
      <c r="AC46" s="85"/>
      <c r="AE46" s="85"/>
      <c r="AG46" s="85"/>
      <c r="AI46" s="85"/>
      <c r="AK46" s="85"/>
      <c r="AM46" s="85"/>
      <c r="AO46" s="105"/>
      <c r="AQ46" s="85"/>
    </row>
    <row r="47" spans="1:43" s="90" customFormat="1" x14ac:dyDescent="0.2">
      <c r="A47" s="107" t="s">
        <v>112</v>
      </c>
      <c r="C47" s="111">
        <f>SUM(C43:C46)</f>
        <v>2182834.21</v>
      </c>
      <c r="E47" s="111">
        <f>SUM(E43:E46)</f>
        <v>2326944.58</v>
      </c>
      <c r="G47" s="111">
        <f>SUM(G43:G46)</f>
        <v>3796022.1569999997</v>
      </c>
      <c r="I47" s="111">
        <f>SUM(I43:I46)</f>
        <v>1325426.5079999999</v>
      </c>
      <c r="K47" s="111">
        <f>SUM(K43:K46)</f>
        <v>128280.91299999993</v>
      </c>
      <c r="M47" s="111">
        <f>SUM(M43:M46)</f>
        <v>459778.76399999985</v>
      </c>
      <c r="O47" s="111">
        <f>SUM(O43:O46)</f>
        <v>486612.84299999976</v>
      </c>
      <c r="Q47" s="111">
        <f>SUM(Q43:Q46)</f>
        <v>351394.81400000001</v>
      </c>
      <c r="S47" s="111">
        <f>SUM(S43:S46)</f>
        <v>690469.10100000002</v>
      </c>
      <c r="U47" s="111">
        <f>SUM(U43:U46)</f>
        <v>881423.46400000004</v>
      </c>
      <c r="W47" s="111">
        <f>SUM(W43:W46)</f>
        <v>3161664.4130000002</v>
      </c>
      <c r="Y47" s="111">
        <f>SUM(Y43:Y46)</f>
        <v>749581.25300000003</v>
      </c>
      <c r="AA47" s="111">
        <f>SUM(AA43:AA46)</f>
        <v>25851.686000000002</v>
      </c>
      <c r="AC47" s="111">
        <f>SUM(AC43:AC46)</f>
        <v>1365.2180000000003</v>
      </c>
      <c r="AE47" s="111">
        <f>SUM(AE43:AE46)</f>
        <v>1155070.1709999999</v>
      </c>
      <c r="AG47" s="111">
        <f>SUM(AG43:AG46)</f>
        <v>918957.97400000005</v>
      </c>
      <c r="AI47" s="111">
        <f>SUM(AI43:AI46)</f>
        <v>382884.94399999996</v>
      </c>
      <c r="AK47" s="111">
        <f>SUM(AK43:AK46)</f>
        <v>149388.19900000002</v>
      </c>
      <c r="AM47" s="111">
        <f>SUM(AM43:AM46)</f>
        <v>194716.22500000003</v>
      </c>
      <c r="AO47" s="112">
        <f>+AQ47-SUM(C47:AM47)</f>
        <v>-7760997.7640000023</v>
      </c>
      <c r="AQ47" s="111">
        <f>SUM(AQ43:AQ46)</f>
        <v>11607669.673</v>
      </c>
    </row>
    <row r="48" spans="1:43" x14ac:dyDescent="0.2">
      <c r="M48" s="85"/>
      <c r="O48" s="85"/>
      <c r="Q48" s="85"/>
      <c r="S48" s="85"/>
      <c r="U48" s="85"/>
      <c r="W48" s="85"/>
      <c r="Y48" s="85"/>
      <c r="AA48" s="85"/>
      <c r="AC48" s="85"/>
      <c r="AE48" s="85"/>
      <c r="AG48" s="85"/>
      <c r="AI48" s="85"/>
      <c r="AK48" s="85"/>
      <c r="AM48" s="85"/>
      <c r="AO48" s="105"/>
      <c r="AQ48" s="85"/>
    </row>
    <row r="49" spans="1:44" x14ac:dyDescent="0.2">
      <c r="A49" s="106" t="s">
        <v>113</v>
      </c>
      <c r="C49" s="85">
        <f>+[1]Jun00!C$53/1000</f>
        <v>518927.02799999999</v>
      </c>
      <c r="E49" s="85">
        <f>+[1]Jun00!D$53/1000</f>
        <v>1004129.155</v>
      </c>
      <c r="G49" s="85">
        <f>+[1]Jun00!E$53/1000</f>
        <v>2099.3029999999999</v>
      </c>
      <c r="I49" s="85">
        <f>+[1]Jun00!F$53/1000</f>
        <v>0</v>
      </c>
      <c r="K49" s="85">
        <f>+[1]Jun00!H$53/1000</f>
        <v>67727.039000000004</v>
      </c>
      <c r="M49" s="85">
        <f>+[1]Jun00!I$53/1000</f>
        <v>0</v>
      </c>
      <c r="O49" s="85">
        <f>+[1]Jun00!J$53/1000</f>
        <v>448620.18900000001</v>
      </c>
      <c r="Q49" s="85">
        <f>+[1]Jun00!K$53/1000</f>
        <v>-15.24</v>
      </c>
      <c r="S49" s="85">
        <f>+[1]Jun00!L$53/1000</f>
        <v>255262.065</v>
      </c>
      <c r="U49" s="85">
        <f>+[1]Jun00!M$53/1000</f>
        <v>79392.726999999999</v>
      </c>
      <c r="W49" s="85">
        <f>+[1]Jun00!N$53/1000</f>
        <v>73286.523000000001</v>
      </c>
      <c r="Y49" s="85">
        <f>+[1]Jun00!O$53/1000</f>
        <v>0</v>
      </c>
      <c r="AA49" s="85">
        <f>+[1]Jun00!Q$53/1000</f>
        <v>9519.8590000000004</v>
      </c>
      <c r="AC49" s="85">
        <f>+[1]Jun00!R$53/1000</f>
        <v>0</v>
      </c>
      <c r="AE49" s="85">
        <f>+[1]Jun00!S$53/1000</f>
        <v>1187.329</v>
      </c>
      <c r="AG49" s="85">
        <f>+[1]Jun00!T$53/1000</f>
        <v>1397.972</v>
      </c>
      <c r="AI49" s="85">
        <f>+[1]Jun00!U$53/1000</f>
        <v>42345.964999999997</v>
      </c>
      <c r="AK49" s="85">
        <f>+[1]Jun00!P$53/1000</f>
        <v>0</v>
      </c>
      <c r="AM49" s="85">
        <f>+[1]Jun00!V$53/1000</f>
        <v>0</v>
      </c>
      <c r="AO49" s="105">
        <f>+AQ49-SUM(C49:AM49)</f>
        <v>9192534.0739999991</v>
      </c>
      <c r="AQ49" s="85">
        <f>+[1]Jun00!AH$53/1000</f>
        <v>11696413.988</v>
      </c>
    </row>
    <row r="50" spans="1:44" x14ac:dyDescent="0.2">
      <c r="A50" s="106" t="s">
        <v>114</v>
      </c>
      <c r="C50" s="85">
        <f>+[1]Jun00!C$59/1000</f>
        <v>0</v>
      </c>
      <c r="E50" s="85">
        <f>+[1]Jun00!D$59/1000</f>
        <v>29524.519</v>
      </c>
      <c r="G50" s="85">
        <f>+[1]Jun00!E$59/1000</f>
        <v>0</v>
      </c>
      <c r="I50" s="85">
        <f>+[1]Jun00!F$59/1000</f>
        <v>0</v>
      </c>
      <c r="K50" s="85">
        <f>+[1]Jun00!H$59/1000</f>
        <v>0.16700000000000001</v>
      </c>
      <c r="M50" s="85">
        <f>+[1]Jun00!I$59/1000</f>
        <v>0</v>
      </c>
      <c r="O50" s="85">
        <f>+[1]Jun00!J$59/1000</f>
        <v>0</v>
      </c>
      <c r="Q50" s="85">
        <f>+[1]Jun00!K$59/1000</f>
        <v>0</v>
      </c>
      <c r="S50" s="85">
        <f>+[1]Jun00!L$59/1000</f>
        <v>80.563999999999993</v>
      </c>
      <c r="U50" s="85">
        <f>+[1]Jun00!M$59/1000</f>
        <v>105000</v>
      </c>
      <c r="W50" s="85">
        <f>+[1]Jun00!N$59/1000</f>
        <v>0</v>
      </c>
      <c r="Y50" s="85">
        <f>+[1]Jun00!O$59/1000</f>
        <v>0</v>
      </c>
      <c r="AA50" s="85">
        <f>+[1]Jun00!Q$59/1000</f>
        <v>0</v>
      </c>
      <c r="AC50" s="85">
        <f>+[1]Jun00!R$59/1000</f>
        <v>0</v>
      </c>
      <c r="AE50" s="85">
        <f>+[1]Jun00!S$59/1000</f>
        <v>0</v>
      </c>
      <c r="AG50" s="85">
        <f>+[1]Jun00!T$59/1000</f>
        <v>0</v>
      </c>
      <c r="AI50" s="85">
        <f>+[1]Jun00!U$59/1000</f>
        <v>0</v>
      </c>
      <c r="AK50" s="85">
        <f>+[1]Jun00!P$59/1000</f>
        <v>103000</v>
      </c>
      <c r="AM50" s="85">
        <f>+[1]Jun00!V$59/1000</f>
        <v>0</v>
      </c>
      <c r="AO50" s="105">
        <f>+AQ50-SUM(C50:AM50)</f>
        <v>661291.95900000003</v>
      </c>
      <c r="AQ50" s="85">
        <f>+[1]Jun00!AH$59/1000</f>
        <v>898897.20900000003</v>
      </c>
    </row>
    <row r="51" spans="1:44" x14ac:dyDescent="0.2">
      <c r="A51" s="106" t="s">
        <v>106</v>
      </c>
      <c r="C51" s="85">
        <f>+[1]Jun00!C$62/1000</f>
        <v>0</v>
      </c>
      <c r="E51" s="85">
        <f>+[1]Jun00!D$62/1000</f>
        <v>0</v>
      </c>
      <c r="G51" s="85">
        <f>+[1]Jun00!E$62/1000</f>
        <v>0</v>
      </c>
      <c r="I51" s="85">
        <f>+[1]Jun00!F$62/1000</f>
        <v>0</v>
      </c>
      <c r="K51" s="85">
        <f>+[1]Jun00!H$62/1000</f>
        <v>-290.85700000000003</v>
      </c>
      <c r="M51" s="85">
        <f>+[1]Jun00!I$62/1000</f>
        <v>0</v>
      </c>
      <c r="O51" s="85">
        <f>+[1]Jun00!J$62/1000</f>
        <v>7530</v>
      </c>
      <c r="Q51" s="85">
        <f>+[1]Jun00!K$62/1000</f>
        <v>0</v>
      </c>
      <c r="S51" s="85">
        <f>+[1]Jun00!L$62/1000</f>
        <v>84497.960999999996</v>
      </c>
      <c r="U51" s="85">
        <f>+[1]Jun00!M$62/1000</f>
        <v>36974.906999999999</v>
      </c>
      <c r="W51" s="85">
        <f>+[1]Jun00!N$62/1000</f>
        <v>494552.36</v>
      </c>
      <c r="Y51" s="85">
        <f>+[1]Jun00!O$62/1000</f>
        <v>0</v>
      </c>
      <c r="AA51" s="85">
        <f>+[1]Jun00!Q$62/1000</f>
        <v>0</v>
      </c>
      <c r="AC51" s="85">
        <f>+[1]Jun00!R$62/1000</f>
        <v>0</v>
      </c>
      <c r="AE51" s="85">
        <f>+[1]Jun00!S$62/1000</f>
        <v>0</v>
      </c>
      <c r="AG51" s="85">
        <f>+[1]Jun00!T$62/1000</f>
        <v>0</v>
      </c>
      <c r="AI51" s="85">
        <f>+[1]Jun00!U$62/1000</f>
        <v>0</v>
      </c>
      <c r="AK51" s="85">
        <f>+[1]Jun00!P$62/1000</f>
        <v>0</v>
      </c>
      <c r="AM51" s="85">
        <f>+[1]Jun00!V$62/1000</f>
        <v>0</v>
      </c>
      <c r="AO51" s="105">
        <f>+AQ51-SUM(C51:AM51)</f>
        <v>1269524.517</v>
      </c>
      <c r="AQ51" s="85">
        <f>+[1]Jun00!AH$62/1000</f>
        <v>1892788.888</v>
      </c>
    </row>
    <row r="52" spans="1:44" x14ac:dyDescent="0.2">
      <c r="A52" s="106"/>
      <c r="M52" s="85"/>
      <c r="O52" s="85"/>
      <c r="Q52" s="85"/>
      <c r="S52" s="85"/>
      <c r="U52" s="85"/>
      <c r="W52" s="85"/>
      <c r="Y52" s="85"/>
      <c r="AA52" s="85"/>
      <c r="AC52" s="85"/>
      <c r="AE52" s="85"/>
      <c r="AG52" s="85"/>
      <c r="AI52" s="85"/>
      <c r="AK52" s="85"/>
      <c r="AM52" s="85"/>
      <c r="AO52" s="105"/>
      <c r="AQ52" s="85"/>
    </row>
    <row r="53" spans="1:44" ht="10.8" thickBot="1" x14ac:dyDescent="0.25">
      <c r="C53" s="113">
        <f>SUM(C46:C52)</f>
        <v>2701761.2379999999</v>
      </c>
      <c r="E53" s="113">
        <f>SUM(E46:E52)</f>
        <v>3360598.2540000002</v>
      </c>
      <c r="G53" s="113">
        <f>SUM(G46:G52)</f>
        <v>3798121.4599999995</v>
      </c>
      <c r="I53" s="113">
        <f>SUM(I46:I52)</f>
        <v>1325426.5079999999</v>
      </c>
      <c r="K53" s="113">
        <f>SUM(K46:K52)</f>
        <v>195717.26199999993</v>
      </c>
      <c r="M53" s="113">
        <f>SUM(M46:M52)</f>
        <v>459778.76399999985</v>
      </c>
      <c r="O53" s="113">
        <f>SUM(O46:O52)</f>
        <v>942763.03199999977</v>
      </c>
      <c r="Q53" s="113">
        <f>SUM(Q46:Q52)</f>
        <v>351379.57400000002</v>
      </c>
      <c r="S53" s="113">
        <f>SUM(S46:S52)</f>
        <v>1030309.691</v>
      </c>
      <c r="U53" s="113">
        <f>SUM(U46:U52)</f>
        <v>1102791.098</v>
      </c>
      <c r="W53" s="113">
        <f>SUM(W46:W52)</f>
        <v>3729503.2960000001</v>
      </c>
      <c r="Y53" s="113">
        <f>SUM(Y46:Y52)</f>
        <v>749581.25300000003</v>
      </c>
      <c r="AA53" s="113">
        <f>SUM(AA46:AA52)</f>
        <v>35371.544999999998</v>
      </c>
      <c r="AC53" s="113">
        <f>SUM(AC46:AC52)</f>
        <v>1365.2180000000003</v>
      </c>
      <c r="AE53" s="113">
        <f>SUM(AE46:AE52)</f>
        <v>1156257.4999999998</v>
      </c>
      <c r="AG53" s="113">
        <f>SUM(AG46:AG52)</f>
        <v>920355.946</v>
      </c>
      <c r="AI53" s="113">
        <f>SUM(AI46:AI52)</f>
        <v>425230.90899999999</v>
      </c>
      <c r="AK53" s="113">
        <f>SUM(AK46:AK52)</f>
        <v>252388.19900000002</v>
      </c>
      <c r="AM53" s="113">
        <f>SUM(AM46:AM52)</f>
        <v>194716.22500000003</v>
      </c>
      <c r="AO53" s="113">
        <f>SUM(AO46:AO52)</f>
        <v>3362352.7859999966</v>
      </c>
      <c r="AQ53" s="113">
        <f>SUM(AQ46:AQ52)</f>
        <v>26095769.757999998</v>
      </c>
      <c r="AR53" s="85"/>
    </row>
    <row r="54" spans="1:44" ht="10.8" thickTop="1" x14ac:dyDescent="0.2"/>
    <row r="55" spans="1:44" x14ac:dyDescent="0.2">
      <c r="A55" s="78" t="s">
        <v>116</v>
      </c>
    </row>
    <row r="56" spans="1:44" x14ac:dyDescent="0.2">
      <c r="A56" s="106" t="str">
        <f>A47</f>
        <v>Net Shareholder's Equity</v>
      </c>
      <c r="C56" s="85">
        <f>C47</f>
        <v>2182834.21</v>
      </c>
      <c r="E56" s="85">
        <f>E47</f>
        <v>2326944.58</v>
      </c>
      <c r="G56" s="85">
        <f>G47</f>
        <v>3796022.1569999997</v>
      </c>
      <c r="I56" s="85">
        <f>I47</f>
        <v>1325426.5079999999</v>
      </c>
      <c r="K56" s="85">
        <f>K47</f>
        <v>128280.91299999993</v>
      </c>
      <c r="M56" s="85">
        <f>M47</f>
        <v>459778.76399999985</v>
      </c>
      <c r="O56" s="85">
        <f>O47</f>
        <v>486612.84299999976</v>
      </c>
      <c r="Q56" s="85">
        <f>Q47</f>
        <v>351394.81400000001</v>
      </c>
      <c r="S56" s="85">
        <f>S47</f>
        <v>690469.10100000002</v>
      </c>
      <c r="U56" s="85">
        <f>U47</f>
        <v>881423.46400000004</v>
      </c>
      <c r="W56" s="85">
        <f>W47</f>
        <v>3161664.4130000002</v>
      </c>
      <c r="Y56" s="85">
        <f>Y47</f>
        <v>749581.25300000003</v>
      </c>
      <c r="AA56" s="85">
        <f>AA47</f>
        <v>25851.686000000002</v>
      </c>
      <c r="AC56" s="85">
        <f>AC47</f>
        <v>1365.2180000000003</v>
      </c>
      <c r="AE56" s="85">
        <f>AE47</f>
        <v>1155070.1709999999</v>
      </c>
      <c r="AG56" s="85">
        <f>AG47</f>
        <v>918957.97400000005</v>
      </c>
      <c r="AI56" s="85">
        <f>AI47</f>
        <v>382884.94399999996</v>
      </c>
      <c r="AK56" s="85">
        <f>AK47</f>
        <v>149388.19900000002</v>
      </c>
      <c r="AM56" s="85">
        <f>AM47</f>
        <v>194716.22500000003</v>
      </c>
      <c r="AO56" s="85">
        <f>AO47</f>
        <v>-7760997.7640000023</v>
      </c>
      <c r="AQ56" s="85">
        <f>AQ47</f>
        <v>11607669.673</v>
      </c>
    </row>
    <row r="57" spans="1:44" x14ac:dyDescent="0.2">
      <c r="A57" s="106" t="str">
        <f>A49</f>
        <v>Third-Party Debt</v>
      </c>
      <c r="C57" s="85">
        <f>C49</f>
        <v>518927.02799999999</v>
      </c>
      <c r="E57" s="85">
        <f>E49</f>
        <v>1004129.155</v>
      </c>
      <c r="G57" s="85">
        <f>G49</f>
        <v>2099.3029999999999</v>
      </c>
      <c r="I57" s="85">
        <f>I49</f>
        <v>0</v>
      </c>
      <c r="K57" s="85">
        <f>K49</f>
        <v>67727.039000000004</v>
      </c>
      <c r="M57" s="85">
        <f>M49</f>
        <v>0</v>
      </c>
      <c r="O57" s="85">
        <f>O49</f>
        <v>448620.18900000001</v>
      </c>
      <c r="Q57" s="85">
        <f>Q49</f>
        <v>-15.24</v>
      </c>
      <c r="S57" s="85">
        <f>S49</f>
        <v>255262.065</v>
      </c>
      <c r="U57" s="85">
        <f>U49</f>
        <v>79392.726999999999</v>
      </c>
      <c r="W57" s="85">
        <f>W49</f>
        <v>73286.523000000001</v>
      </c>
      <c r="Y57" s="85">
        <f>Y49</f>
        <v>0</v>
      </c>
      <c r="AA57" s="85">
        <f>AA49</f>
        <v>9519.8590000000004</v>
      </c>
      <c r="AC57" s="85">
        <f>AC49</f>
        <v>0</v>
      </c>
      <c r="AE57" s="85">
        <f>AE49</f>
        <v>1187.329</v>
      </c>
      <c r="AG57" s="85">
        <f>AG49</f>
        <v>1397.972</v>
      </c>
      <c r="AI57" s="85">
        <f>AI49</f>
        <v>42345.964999999997</v>
      </c>
      <c r="AK57" s="85">
        <f>AK49</f>
        <v>0</v>
      </c>
      <c r="AM57" s="85">
        <f>AM49</f>
        <v>0</v>
      </c>
      <c r="AO57" s="85">
        <f>AO49</f>
        <v>9192534.0739999991</v>
      </c>
      <c r="AQ57" s="85">
        <f>AQ49</f>
        <v>11696413.988</v>
      </c>
    </row>
    <row r="58" spans="1:44" x14ac:dyDescent="0.2">
      <c r="A58" s="106" t="str">
        <f>A50</f>
        <v>Preferred Stock of Subsidiaries</v>
      </c>
      <c r="C58" s="85">
        <f>C50</f>
        <v>0</v>
      </c>
      <c r="E58" s="85">
        <v>0</v>
      </c>
      <c r="G58" s="85">
        <f>G50</f>
        <v>0</v>
      </c>
      <c r="I58" s="85">
        <f>I50</f>
        <v>0</v>
      </c>
      <c r="K58" s="85">
        <f>K50</f>
        <v>0.16700000000000001</v>
      </c>
      <c r="M58" s="85">
        <f>M50</f>
        <v>0</v>
      </c>
      <c r="O58" s="85">
        <f>O50</f>
        <v>0</v>
      </c>
      <c r="Q58" s="85">
        <f>Q50</f>
        <v>0</v>
      </c>
      <c r="S58" s="85">
        <f>S50</f>
        <v>80.563999999999993</v>
      </c>
      <c r="U58" s="85">
        <f>U50</f>
        <v>105000</v>
      </c>
      <c r="W58" s="85">
        <f>W50</f>
        <v>0</v>
      </c>
      <c r="Y58" s="85">
        <f>Y50</f>
        <v>0</v>
      </c>
      <c r="AA58" s="85">
        <f>AA50</f>
        <v>0</v>
      </c>
      <c r="AC58" s="85">
        <f>AC50</f>
        <v>0</v>
      </c>
      <c r="AE58" s="85">
        <f>AE50</f>
        <v>0</v>
      </c>
      <c r="AG58" s="85">
        <f>AG50</f>
        <v>0</v>
      </c>
      <c r="AI58" s="85">
        <f>AI50</f>
        <v>0</v>
      </c>
      <c r="AK58" s="85">
        <f>AK50</f>
        <v>103000</v>
      </c>
      <c r="AM58" s="85">
        <f>AM50</f>
        <v>0</v>
      </c>
      <c r="AO58" s="85">
        <v>0</v>
      </c>
      <c r="AQ58" s="85">
        <v>0</v>
      </c>
    </row>
    <row r="59" spans="1:44" s="90" customFormat="1" ht="16.5" customHeight="1" thickBot="1" x14ac:dyDescent="0.25">
      <c r="A59" s="90" t="s">
        <v>51</v>
      </c>
      <c r="C59" s="114">
        <f>SUM(C56:C58)</f>
        <v>2701761.2379999999</v>
      </c>
      <c r="E59" s="114">
        <f>SUM(E56:E58)</f>
        <v>3331073.7350000003</v>
      </c>
      <c r="G59" s="120">
        <f>SUM(G56:G58)</f>
        <v>3798121.4599999995</v>
      </c>
      <c r="I59" s="113">
        <f>SUM(I56:I58)</f>
        <v>1325426.5079999999</v>
      </c>
      <c r="K59" s="120">
        <f>SUM(K56:K58)</f>
        <v>196008.11899999992</v>
      </c>
      <c r="M59" s="114">
        <f>SUM(M56:M58)</f>
        <v>459778.76399999985</v>
      </c>
      <c r="O59" s="114">
        <f>SUM(O56:O58)</f>
        <v>935233.03199999977</v>
      </c>
      <c r="Q59" s="121">
        <f>SUM(Q56:Q58)</f>
        <v>351379.57400000002</v>
      </c>
      <c r="S59" s="120">
        <f>SUM(S56:S58)</f>
        <v>945811.73</v>
      </c>
      <c r="U59" s="121">
        <f>SUM(U56:U58)</f>
        <v>1065816.1910000001</v>
      </c>
      <c r="W59" s="121">
        <f>SUM(W56:W58)</f>
        <v>3234950.9360000002</v>
      </c>
      <c r="Y59" s="121">
        <f>SUM(Y56:Y58)</f>
        <v>749581.25300000003</v>
      </c>
      <c r="Z59" s="115"/>
      <c r="AA59" s="121">
        <f>SUM(AA56:AA58)</f>
        <v>35371.544999999998</v>
      </c>
      <c r="AC59" s="113">
        <f>SUM(AC56:AC58)</f>
        <v>1365.2180000000003</v>
      </c>
      <c r="AE59" s="120">
        <f>SUM(AE56:AE58)</f>
        <v>1156257.4999999998</v>
      </c>
      <c r="AG59" s="114">
        <f>SUM(AG56:AG58)</f>
        <v>920355.946</v>
      </c>
      <c r="AI59" s="114">
        <f>SUM(AI56:AI58)</f>
        <v>425230.90899999999</v>
      </c>
      <c r="AK59" s="121">
        <f>SUM(AK56:AK58)</f>
        <v>252388.19900000002</v>
      </c>
      <c r="AM59" s="114">
        <f>SUM(AM56:AM58)</f>
        <v>194716.22500000003</v>
      </c>
      <c r="AO59" s="113">
        <f>SUM(AO56:AO58)</f>
        <v>1431536.3099999968</v>
      </c>
      <c r="AQ59" s="113">
        <f>SUM(AQ56:AQ58)</f>
        <v>23304083.660999998</v>
      </c>
    </row>
    <row r="60" spans="1:44" ht="10.8" thickTop="1" x14ac:dyDescent="0.2"/>
    <row r="61" spans="1:44" x14ac:dyDescent="0.2">
      <c r="E61" s="116" t="s">
        <v>117</v>
      </c>
      <c r="G61" s="85">
        <v>-414000</v>
      </c>
      <c r="I61" s="116" t="s">
        <v>117</v>
      </c>
      <c r="K61" s="85">
        <v>414000</v>
      </c>
      <c r="Q61" s="78" t="s">
        <v>86</v>
      </c>
      <c r="S61" s="85">
        <f>U59</f>
        <v>1065816.1910000001</v>
      </c>
      <c r="AC61" s="117" t="s">
        <v>105</v>
      </c>
      <c r="AE61" s="85">
        <f>Q59</f>
        <v>351379.57400000002</v>
      </c>
    </row>
    <row r="62" spans="1:44" ht="13.5" customHeight="1" thickBot="1" x14ac:dyDescent="0.25">
      <c r="E62" s="118" t="s">
        <v>51</v>
      </c>
      <c r="F62" s="90"/>
      <c r="G62" s="114">
        <f>SUM(G59:G61)</f>
        <v>3384121.4599999995</v>
      </c>
      <c r="I62" s="118" t="s">
        <v>51</v>
      </c>
      <c r="K62" s="114">
        <f>SUM(K59:K61)</f>
        <v>610008.11899999995</v>
      </c>
      <c r="Q62" s="78" t="s">
        <v>104</v>
      </c>
      <c r="S62" s="85">
        <f>W59</f>
        <v>3234950.9360000002</v>
      </c>
      <c r="AC62" s="119" t="s">
        <v>51</v>
      </c>
      <c r="AD62" s="90"/>
      <c r="AE62" s="114">
        <f>SUM(AE59:AE61)</f>
        <v>1507637.0739999998</v>
      </c>
    </row>
    <row r="63" spans="1:44" ht="10.8" thickTop="1" x14ac:dyDescent="0.2">
      <c r="Q63" s="78" t="s">
        <v>88</v>
      </c>
      <c r="S63" s="85">
        <f>Y59</f>
        <v>749581.25300000003</v>
      </c>
    </row>
    <row r="64" spans="1:44" x14ac:dyDescent="0.2">
      <c r="Q64" s="78" t="s">
        <v>118</v>
      </c>
      <c r="S64" s="85">
        <f>AA59</f>
        <v>35371.544999999998</v>
      </c>
    </row>
    <row r="65" spans="3:19" x14ac:dyDescent="0.2">
      <c r="Q65" s="78" t="s">
        <v>119</v>
      </c>
      <c r="S65" s="85">
        <f>AK59</f>
        <v>252388.19900000002</v>
      </c>
    </row>
    <row r="66" spans="3:19" ht="14.25" customHeight="1" thickBot="1" x14ac:dyDescent="0.25">
      <c r="C66" s="89"/>
      <c r="Q66" s="90" t="s">
        <v>120</v>
      </c>
      <c r="R66" s="90"/>
      <c r="S66" s="114">
        <f>SUM(S59:S65)</f>
        <v>6283919.8540000012</v>
      </c>
    </row>
    <row r="67" spans="3:19" ht="10.8" thickTop="1" x14ac:dyDescent="0.2"/>
    <row r="68" spans="3:19" x14ac:dyDescent="0.2">
      <c r="C68" s="89"/>
    </row>
    <row r="70" spans="3:19" x14ac:dyDescent="0.2">
      <c r="C70" s="89"/>
    </row>
  </sheetData>
  <pageMargins left="0.5" right="0.5" top="1" bottom="0.75" header="0.5" footer="0.5"/>
  <pageSetup paperSize="5" scale="76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workbookViewId="0">
      <selection activeCell="D21" sqref="D21"/>
    </sheetView>
  </sheetViews>
  <sheetFormatPr defaultRowHeight="13.2" x14ac:dyDescent="0.25"/>
  <cols>
    <col min="1" max="1" width="6.44140625" style="8" customWidth="1"/>
    <col min="2" max="2" width="22.44140625" style="8" customWidth="1"/>
    <col min="3" max="3" width="3.33203125" style="73" customWidth="1"/>
    <col min="4" max="4" width="4" customWidth="1"/>
    <col min="5" max="5" width="11.33203125" customWidth="1"/>
    <col min="6" max="6" width="3.109375" customWidth="1"/>
    <col min="7" max="7" width="17.33203125" style="35" customWidth="1"/>
    <col min="8" max="8" width="3" customWidth="1"/>
    <col min="9" max="9" width="11.33203125" customWidth="1"/>
    <col min="10" max="10" width="2.33203125" customWidth="1"/>
    <col min="11" max="11" width="10.33203125" customWidth="1"/>
    <col min="12" max="12" width="2.33203125" customWidth="1"/>
    <col min="13" max="13" width="7.5546875" customWidth="1"/>
    <col min="14" max="14" width="14" customWidth="1"/>
    <col min="15" max="15" width="2.6640625" customWidth="1"/>
    <col min="16" max="16" width="11.44140625" customWidth="1"/>
    <col min="17" max="17" width="2.5546875" customWidth="1"/>
    <col min="18" max="18" width="11.5546875" customWidth="1"/>
    <col min="19" max="19" width="2.33203125" customWidth="1"/>
    <col min="20" max="20" width="13.33203125" customWidth="1"/>
    <col min="21" max="21" width="1.44140625" customWidth="1"/>
  </cols>
  <sheetData>
    <row r="1" spans="1:22" ht="12.75" customHeight="1" x14ac:dyDescent="0.25">
      <c r="T1" s="25">
        <f ca="1">NOW()</f>
        <v>36844.554639120368</v>
      </c>
    </row>
    <row r="2" spans="1:22" x14ac:dyDescent="0.25">
      <c r="A2" s="61" t="s">
        <v>68</v>
      </c>
      <c r="B2" s="61"/>
      <c r="C2" s="70"/>
      <c r="D2" s="52"/>
      <c r="E2" s="52"/>
      <c r="F2" s="52"/>
      <c r="G2" s="62"/>
      <c r="H2" s="52"/>
      <c r="I2" s="52"/>
      <c r="J2" s="52"/>
      <c r="K2" s="52"/>
    </row>
    <row r="3" spans="1:22" ht="15.6" x14ac:dyDescent="0.3">
      <c r="A3" s="61" t="s">
        <v>69</v>
      </c>
      <c r="B3" s="61"/>
      <c r="C3" s="70"/>
      <c r="D3" s="52"/>
      <c r="E3" s="63"/>
      <c r="F3" s="63"/>
      <c r="G3" s="64"/>
      <c r="H3" s="63"/>
      <c r="I3" s="63"/>
      <c r="J3" s="63"/>
      <c r="K3" s="63"/>
      <c r="L3" s="17"/>
      <c r="M3" s="17"/>
      <c r="N3" s="17"/>
      <c r="O3" s="17"/>
      <c r="P3" s="17"/>
      <c r="Q3" s="17"/>
      <c r="R3" s="17"/>
      <c r="S3" s="17"/>
      <c r="T3" s="17"/>
      <c r="U3" s="17"/>
      <c r="V3" s="12"/>
    </row>
    <row r="4" spans="1:22" ht="15.6" x14ac:dyDescent="0.3">
      <c r="E4" s="125"/>
      <c r="F4" s="125"/>
      <c r="G4" s="125"/>
      <c r="H4" s="125"/>
      <c r="I4" s="125"/>
      <c r="J4" s="125"/>
      <c r="K4" s="125"/>
      <c r="L4" s="17"/>
      <c r="M4" s="12"/>
      <c r="N4" s="126"/>
      <c r="O4" s="126"/>
      <c r="P4" s="126"/>
      <c r="Q4" s="126"/>
      <c r="R4" s="126"/>
      <c r="S4" s="126"/>
      <c r="T4" s="126"/>
      <c r="U4" s="17"/>
      <c r="V4" s="12"/>
    </row>
    <row r="5" spans="1:22" s="1" customFormat="1" x14ac:dyDescent="0.25">
      <c r="A5" s="3"/>
      <c r="B5" s="3"/>
      <c r="C5" s="76"/>
      <c r="F5" s="27"/>
      <c r="G5" s="41" t="s">
        <v>70</v>
      </c>
      <c r="H5" s="11"/>
      <c r="I5" s="6" t="s">
        <v>53</v>
      </c>
      <c r="J5" s="27"/>
      <c r="L5" s="6"/>
      <c r="M5" s="6"/>
      <c r="N5" s="6"/>
      <c r="O5" s="27"/>
      <c r="P5" s="6"/>
      <c r="Q5" s="27"/>
      <c r="R5" s="6"/>
      <c r="S5" s="27"/>
      <c r="T5" s="6"/>
      <c r="U5" s="6"/>
      <c r="V5" s="6"/>
    </row>
    <row r="6" spans="1:22" x14ac:dyDescent="0.25">
      <c r="A6" s="5" t="s">
        <v>0</v>
      </c>
      <c r="B6" s="5" t="s">
        <v>1</v>
      </c>
      <c r="E6" s="2" t="s">
        <v>50</v>
      </c>
      <c r="F6" s="6"/>
      <c r="G6" s="65" t="s">
        <v>103</v>
      </c>
      <c r="H6" s="6"/>
      <c r="I6" s="2" t="s">
        <v>54</v>
      </c>
      <c r="J6" s="6"/>
      <c r="K6" s="2" t="s">
        <v>51</v>
      </c>
      <c r="L6" s="12"/>
      <c r="M6" s="12"/>
      <c r="N6" s="12"/>
      <c r="O6" s="28"/>
      <c r="P6" s="6"/>
      <c r="Q6" s="12"/>
      <c r="R6" s="6"/>
      <c r="S6" s="12"/>
      <c r="T6" s="29"/>
      <c r="U6" s="12"/>
      <c r="V6" s="12"/>
    </row>
    <row r="7" spans="1:22" x14ac:dyDescent="0.25">
      <c r="E7" s="30"/>
      <c r="F7" s="30"/>
      <c r="G7" s="32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1"/>
      <c r="U7" s="30"/>
      <c r="V7" s="12"/>
    </row>
    <row r="8" spans="1:22" x14ac:dyDescent="0.25">
      <c r="A8" s="8" t="s">
        <v>56</v>
      </c>
      <c r="E8" s="32"/>
      <c r="F8" s="32"/>
      <c r="G8" s="32">
        <v>0</v>
      </c>
      <c r="H8" s="32"/>
      <c r="I8" s="32">
        <v>0</v>
      </c>
      <c r="J8" s="32"/>
      <c r="K8" s="32">
        <f>SUM(E8:J8)</f>
        <v>0</v>
      </c>
      <c r="L8" s="32"/>
      <c r="M8" s="32"/>
      <c r="N8" s="32"/>
      <c r="O8" s="32"/>
      <c r="P8" s="32"/>
      <c r="Q8" s="32"/>
      <c r="R8" s="32"/>
      <c r="S8" s="32"/>
      <c r="T8" s="33"/>
      <c r="U8" s="32"/>
      <c r="V8" s="12"/>
    </row>
    <row r="9" spans="1:22" x14ac:dyDescent="0.25"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2"/>
      <c r="V9" s="12"/>
    </row>
    <row r="10" spans="1:22" x14ac:dyDescent="0.25">
      <c r="A10" s="8" t="s">
        <v>4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3"/>
      <c r="U10" s="32"/>
      <c r="V10" s="12"/>
    </row>
    <row r="11" spans="1:22" x14ac:dyDescent="0.25">
      <c r="A11" s="8" t="s">
        <v>62</v>
      </c>
      <c r="B11" s="8" t="s">
        <v>5</v>
      </c>
      <c r="C11" s="73">
        <v>-1</v>
      </c>
      <c r="E11" s="30"/>
      <c r="F11" s="93"/>
      <c r="G11" s="30">
        <f>206.86/2</f>
        <v>103.43</v>
      </c>
      <c r="H11" s="30"/>
      <c r="I11" s="30">
        <v>498</v>
      </c>
      <c r="J11" s="30"/>
      <c r="K11" s="30">
        <f t="shared" ref="K11:K28" si="0">SUM(E11:J11)</f>
        <v>601.43000000000006</v>
      </c>
      <c r="L11" s="32"/>
      <c r="M11" s="32"/>
      <c r="N11" s="32"/>
      <c r="O11" s="32"/>
      <c r="P11" s="32"/>
      <c r="Q11" s="32"/>
      <c r="R11" s="32"/>
      <c r="S11" s="32"/>
      <c r="T11" s="33"/>
      <c r="U11" s="32"/>
      <c r="V11" s="12"/>
    </row>
    <row r="12" spans="1:22" x14ac:dyDescent="0.25">
      <c r="A12" s="8" t="s">
        <v>63</v>
      </c>
      <c r="C12" s="73">
        <v>-2</v>
      </c>
      <c r="E12" s="30"/>
      <c r="F12" s="93"/>
      <c r="G12" s="30">
        <f>71.44/2</f>
        <v>35.72</v>
      </c>
      <c r="H12" s="30"/>
      <c r="I12" s="30">
        <v>70</v>
      </c>
      <c r="J12" s="30"/>
      <c r="K12" s="30">
        <f t="shared" si="0"/>
        <v>105.72</v>
      </c>
      <c r="L12" s="32"/>
      <c r="M12" s="32"/>
      <c r="N12" s="32"/>
      <c r="O12" s="32"/>
      <c r="P12" s="32"/>
      <c r="Q12" s="32"/>
      <c r="R12" s="32"/>
      <c r="S12" s="32"/>
      <c r="T12" s="33"/>
      <c r="U12" s="32"/>
      <c r="V12" s="12"/>
    </row>
    <row r="13" spans="1:22" x14ac:dyDescent="0.25">
      <c r="A13" s="8" t="s">
        <v>64</v>
      </c>
      <c r="C13" s="73">
        <v>-3</v>
      </c>
      <c r="E13" s="30"/>
      <c r="F13" s="30"/>
      <c r="G13" s="30">
        <f>788.211/2</f>
        <v>394.10550000000001</v>
      </c>
      <c r="H13" s="30"/>
      <c r="I13" s="30"/>
      <c r="J13" s="30"/>
      <c r="K13" s="30">
        <f t="shared" si="0"/>
        <v>394.10550000000001</v>
      </c>
      <c r="L13" s="32"/>
      <c r="M13" s="32"/>
      <c r="N13" s="32"/>
      <c r="O13" s="32"/>
      <c r="P13" s="32"/>
      <c r="Q13" s="32"/>
      <c r="R13" s="32"/>
      <c r="S13" s="32"/>
      <c r="T13" s="33"/>
      <c r="U13" s="32"/>
      <c r="V13" s="12"/>
    </row>
    <row r="14" spans="1:22" x14ac:dyDescent="0.25">
      <c r="A14" s="8" t="s">
        <v>65</v>
      </c>
      <c r="E14" s="57"/>
      <c r="F14" s="30"/>
      <c r="G14" s="57">
        <f>8.152/2</f>
        <v>4.0759999999999996</v>
      </c>
      <c r="H14" s="30"/>
      <c r="I14" s="57"/>
      <c r="J14" s="30"/>
      <c r="K14" s="57">
        <f t="shared" si="0"/>
        <v>4.0759999999999996</v>
      </c>
      <c r="L14" s="32"/>
      <c r="M14" s="32"/>
      <c r="N14" s="32"/>
      <c r="O14" s="32"/>
      <c r="P14" s="32"/>
      <c r="Q14" s="32"/>
      <c r="R14" s="32"/>
      <c r="S14" s="32"/>
      <c r="T14" s="33"/>
      <c r="U14" s="32"/>
      <c r="V14" s="12"/>
    </row>
    <row r="15" spans="1:22" x14ac:dyDescent="0.25">
      <c r="A15" s="8" t="s">
        <v>45</v>
      </c>
      <c r="E15" s="30">
        <f>SUM(E11:E14)</f>
        <v>0</v>
      </c>
      <c r="F15" s="30"/>
      <c r="G15" s="30">
        <f>SUM(G11:G14)</f>
        <v>537.33150000000001</v>
      </c>
      <c r="H15" s="30"/>
      <c r="I15" s="30">
        <f>SUM(I11:I14)</f>
        <v>568</v>
      </c>
      <c r="J15" s="30"/>
      <c r="K15" s="30">
        <f>SUM(K11:K14)</f>
        <v>1105.3315000000002</v>
      </c>
      <c r="L15" s="32"/>
      <c r="M15" s="32"/>
      <c r="N15" s="32"/>
      <c r="O15" s="32"/>
      <c r="P15" s="32"/>
      <c r="Q15" s="32"/>
      <c r="R15" s="32"/>
      <c r="S15" s="32"/>
      <c r="T15" s="33"/>
      <c r="U15" s="32"/>
      <c r="V15" s="12"/>
    </row>
    <row r="16" spans="1:22" x14ac:dyDescent="0.25">
      <c r="E16" s="30"/>
      <c r="F16" s="30"/>
      <c r="G16" s="30"/>
      <c r="H16" s="30"/>
      <c r="I16" s="30"/>
      <c r="J16" s="30"/>
      <c r="K16" s="30"/>
      <c r="L16" s="32"/>
      <c r="M16" s="32"/>
      <c r="N16" s="32"/>
      <c r="O16" s="32"/>
      <c r="P16" s="32"/>
      <c r="Q16" s="32"/>
      <c r="R16" s="32"/>
      <c r="S16" s="32"/>
      <c r="T16" s="33"/>
      <c r="U16" s="32"/>
      <c r="V16" s="12"/>
    </row>
    <row r="17" spans="1:22" x14ac:dyDescent="0.25">
      <c r="E17" s="30"/>
      <c r="F17" s="30"/>
      <c r="G17" s="30"/>
      <c r="H17" s="30"/>
      <c r="I17" s="30"/>
      <c r="J17" s="30"/>
      <c r="K17" s="30"/>
      <c r="L17" s="32"/>
      <c r="M17" s="32"/>
      <c r="N17" s="32"/>
      <c r="O17" s="32"/>
      <c r="P17" s="32"/>
      <c r="Q17" s="32"/>
      <c r="R17" s="32"/>
      <c r="S17" s="32"/>
      <c r="T17" s="33"/>
      <c r="U17" s="32"/>
      <c r="V17" s="12"/>
    </row>
    <row r="18" spans="1:22" x14ac:dyDescent="0.25">
      <c r="A18" s="8" t="s">
        <v>57</v>
      </c>
      <c r="C18" s="73">
        <v>-4</v>
      </c>
      <c r="E18" s="30"/>
      <c r="F18" s="93"/>
      <c r="G18" s="30"/>
      <c r="H18" s="30"/>
      <c r="I18" s="30">
        <v>56.6</v>
      </c>
      <c r="J18" s="30"/>
      <c r="K18" s="30">
        <f t="shared" si="0"/>
        <v>56.6</v>
      </c>
      <c r="L18" s="32"/>
      <c r="M18" s="32"/>
      <c r="N18" s="32"/>
      <c r="O18" s="32"/>
      <c r="P18" s="32"/>
      <c r="Q18" s="32"/>
      <c r="R18" s="32"/>
      <c r="S18" s="32"/>
      <c r="T18" s="33"/>
      <c r="U18" s="32"/>
      <c r="V18" s="12"/>
    </row>
    <row r="19" spans="1:22" x14ac:dyDescent="0.25">
      <c r="B19" s="8" t="s">
        <v>2</v>
      </c>
      <c r="E19" s="30"/>
      <c r="F19" s="30"/>
      <c r="G19" s="30"/>
      <c r="H19" s="30"/>
      <c r="I19" s="30"/>
      <c r="J19" s="30"/>
      <c r="K19" s="30">
        <f t="shared" si="0"/>
        <v>0</v>
      </c>
      <c r="L19" s="32"/>
      <c r="M19" s="32"/>
      <c r="N19" s="32"/>
      <c r="O19" s="32"/>
      <c r="P19" s="32"/>
      <c r="Q19" s="32"/>
      <c r="R19" s="32"/>
      <c r="S19" s="32"/>
      <c r="T19" s="33"/>
      <c r="U19" s="32"/>
      <c r="V19" s="12"/>
    </row>
    <row r="20" spans="1:22" x14ac:dyDescent="0.25">
      <c r="A20" s="8" t="s">
        <v>58</v>
      </c>
      <c r="E20" s="30"/>
      <c r="F20" s="30"/>
      <c r="G20" s="30"/>
      <c r="H20" s="30"/>
      <c r="I20" s="30"/>
      <c r="J20" s="30"/>
      <c r="K20" s="30">
        <f t="shared" si="0"/>
        <v>0</v>
      </c>
      <c r="L20" s="32"/>
      <c r="M20" s="32"/>
      <c r="N20" s="32"/>
      <c r="O20" s="32"/>
      <c r="P20" s="32"/>
      <c r="Q20" s="32"/>
      <c r="R20" s="32"/>
      <c r="S20" s="32"/>
      <c r="T20" s="33"/>
      <c r="U20" s="32"/>
      <c r="V20" s="12"/>
    </row>
    <row r="21" spans="1:22" x14ac:dyDescent="0.25">
      <c r="E21" s="30"/>
      <c r="F21" s="30"/>
      <c r="G21" s="30"/>
      <c r="H21" s="30"/>
      <c r="I21" s="30"/>
      <c r="J21" s="30"/>
      <c r="K21" s="30">
        <f t="shared" si="0"/>
        <v>0</v>
      </c>
      <c r="L21" s="32"/>
      <c r="M21" s="32"/>
      <c r="N21" s="32"/>
      <c r="O21" s="32"/>
      <c r="P21" s="32"/>
      <c r="Q21" s="32"/>
      <c r="R21" s="32"/>
      <c r="S21" s="32"/>
      <c r="T21" s="33"/>
      <c r="U21" s="32"/>
      <c r="V21" s="12"/>
    </row>
    <row r="22" spans="1:22" x14ac:dyDescent="0.25">
      <c r="A22" s="8" t="s">
        <v>38</v>
      </c>
      <c r="E22" s="30">
        <v>110</v>
      </c>
      <c r="F22" s="30"/>
      <c r="G22" s="30"/>
      <c r="H22" s="30"/>
      <c r="I22" s="30"/>
      <c r="J22" s="30"/>
      <c r="K22" s="30">
        <f t="shared" si="0"/>
        <v>110</v>
      </c>
      <c r="L22" s="32"/>
      <c r="M22" s="32"/>
      <c r="N22" s="32"/>
      <c r="O22" s="32"/>
      <c r="P22" s="32"/>
      <c r="Q22" s="32"/>
      <c r="R22" s="32"/>
      <c r="S22" s="32"/>
      <c r="T22" s="33"/>
      <c r="U22" s="32"/>
      <c r="V22" s="12"/>
    </row>
    <row r="23" spans="1:22" x14ac:dyDescent="0.25">
      <c r="A23" s="8" t="s">
        <v>39</v>
      </c>
      <c r="E23" s="30"/>
      <c r="F23" s="30"/>
      <c r="G23" s="30"/>
      <c r="H23" s="30"/>
      <c r="I23" s="30"/>
      <c r="J23" s="30"/>
      <c r="K23" s="30">
        <f t="shared" si="0"/>
        <v>0</v>
      </c>
      <c r="L23" s="32"/>
      <c r="M23" s="32"/>
      <c r="N23" s="32"/>
      <c r="O23" s="32"/>
      <c r="P23" s="32"/>
      <c r="Q23" s="32"/>
      <c r="R23" s="32"/>
      <c r="S23" s="32"/>
      <c r="T23" s="33"/>
      <c r="U23" s="32"/>
      <c r="V23" s="12"/>
    </row>
    <row r="24" spans="1:22" x14ac:dyDescent="0.25">
      <c r="A24" s="8" t="s">
        <v>40</v>
      </c>
      <c r="E24" s="30"/>
      <c r="F24" s="30"/>
      <c r="G24" s="30"/>
      <c r="H24" s="30"/>
      <c r="I24" s="30"/>
      <c r="J24" s="30"/>
      <c r="K24" s="30">
        <f t="shared" si="0"/>
        <v>0</v>
      </c>
      <c r="L24" s="32"/>
      <c r="M24" s="32"/>
      <c r="N24" s="32"/>
      <c r="O24" s="32"/>
      <c r="P24" s="32"/>
      <c r="Q24" s="32"/>
      <c r="R24" s="32"/>
      <c r="S24" s="32"/>
      <c r="T24" s="33"/>
      <c r="U24" s="32"/>
      <c r="V24" s="12"/>
    </row>
    <row r="25" spans="1:22" x14ac:dyDescent="0.25">
      <c r="A25" s="8" t="s">
        <v>42</v>
      </c>
      <c r="E25" s="30"/>
      <c r="F25" s="30"/>
      <c r="G25" s="30"/>
      <c r="H25" s="30"/>
      <c r="I25" s="30"/>
      <c r="J25" s="30"/>
      <c r="K25" s="30">
        <f t="shared" si="0"/>
        <v>0</v>
      </c>
      <c r="L25" s="32"/>
      <c r="M25" s="32"/>
      <c r="N25" s="32"/>
      <c r="O25" s="32"/>
      <c r="P25" s="32"/>
      <c r="Q25" s="32"/>
      <c r="R25" s="32"/>
      <c r="S25" s="32"/>
      <c r="T25" s="33"/>
      <c r="U25" s="32"/>
      <c r="V25" s="12"/>
    </row>
    <row r="26" spans="1:22" x14ac:dyDescent="0.25">
      <c r="A26" s="8" t="s">
        <v>44</v>
      </c>
      <c r="C26" s="73">
        <v>-5</v>
      </c>
      <c r="E26" s="30"/>
      <c r="F26" s="30"/>
      <c r="G26" s="30"/>
      <c r="H26" s="30"/>
      <c r="I26" s="30">
        <v>830</v>
      </c>
      <c r="J26" s="30"/>
      <c r="K26" s="30">
        <f t="shared" si="0"/>
        <v>830</v>
      </c>
      <c r="L26" s="32"/>
      <c r="M26" s="32"/>
      <c r="N26" s="32"/>
      <c r="O26" s="32"/>
      <c r="P26" s="32"/>
      <c r="Q26" s="32"/>
      <c r="R26" s="32"/>
      <c r="S26" s="32"/>
      <c r="T26" s="33"/>
      <c r="U26" s="32"/>
      <c r="V26" s="12"/>
    </row>
    <row r="27" spans="1:22" x14ac:dyDescent="0.25">
      <c r="A27" s="8" t="s">
        <v>43</v>
      </c>
      <c r="C27" s="73">
        <v>-6</v>
      </c>
      <c r="E27" s="30">
        <v>434</v>
      </c>
      <c r="F27" s="30"/>
      <c r="G27" s="30">
        <f>426.96/2</f>
        <v>213.48</v>
      </c>
      <c r="H27" s="30"/>
      <c r="I27" s="30"/>
      <c r="J27" s="30"/>
      <c r="K27" s="30">
        <f t="shared" si="0"/>
        <v>647.48</v>
      </c>
      <c r="L27" s="32"/>
      <c r="M27" s="32"/>
      <c r="N27" s="34"/>
      <c r="O27" s="32"/>
      <c r="P27" s="32"/>
      <c r="Q27" s="32"/>
      <c r="R27" s="32"/>
      <c r="S27" s="32"/>
      <c r="T27" s="33"/>
      <c r="U27" s="32"/>
      <c r="V27" s="12"/>
    </row>
    <row r="28" spans="1:22" x14ac:dyDescent="0.25">
      <c r="E28" s="30"/>
      <c r="F28" s="30"/>
      <c r="G28" s="30"/>
      <c r="H28" s="30"/>
      <c r="I28" s="30"/>
      <c r="J28" s="30"/>
      <c r="K28" s="30">
        <f t="shared" si="0"/>
        <v>0</v>
      </c>
      <c r="L28" s="32"/>
      <c r="M28" s="32"/>
      <c r="N28" s="32"/>
      <c r="O28" s="32"/>
      <c r="P28" s="32"/>
      <c r="Q28" s="32"/>
      <c r="R28" s="32"/>
      <c r="S28" s="32"/>
      <c r="T28" s="31"/>
      <c r="U28" s="32"/>
      <c r="V28" s="12"/>
    </row>
    <row r="29" spans="1:22" s="8" customFormat="1" ht="13.8" thickBot="1" x14ac:dyDescent="0.3">
      <c r="A29" s="8" t="s">
        <v>10</v>
      </c>
      <c r="C29" s="75"/>
      <c r="E29" s="94">
        <f>SUM(E8:E28)</f>
        <v>544</v>
      </c>
      <c r="F29" s="95"/>
      <c r="G29" s="94">
        <f>SUM(G8:G28)</f>
        <v>1288.143</v>
      </c>
      <c r="H29" s="95"/>
      <c r="I29" s="94">
        <f>SUM(I7:I28)</f>
        <v>2022.6</v>
      </c>
      <c r="J29" s="95"/>
      <c r="K29" s="94">
        <f>SUM(K7:K28)</f>
        <v>3854.7430000000004</v>
      </c>
      <c r="L29" s="66"/>
      <c r="M29" s="66"/>
      <c r="N29" s="66"/>
      <c r="O29" s="66"/>
      <c r="P29" s="66"/>
      <c r="Q29" s="66"/>
      <c r="R29" s="66"/>
      <c r="S29" s="66"/>
      <c r="T29" s="67"/>
      <c r="U29" s="66"/>
      <c r="V29" s="68"/>
    </row>
    <row r="30" spans="1:22" ht="13.8" thickTop="1" x14ac:dyDescent="0.25">
      <c r="E30" s="12"/>
      <c r="F30" s="12"/>
      <c r="G30" s="3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33"/>
      <c r="U30" s="12"/>
      <c r="V30" s="12"/>
    </row>
    <row r="31" spans="1:22" x14ac:dyDescent="0.25">
      <c r="G31" s="13"/>
      <c r="M31" s="12"/>
      <c r="T31" s="23"/>
    </row>
    <row r="32" spans="1:22" ht="12" customHeight="1" x14ac:dyDescent="0.25">
      <c r="A32" s="73">
        <v>-1</v>
      </c>
      <c r="B32" s="77" t="s">
        <v>76</v>
      </c>
      <c r="G32" s="13"/>
      <c r="M32" s="12"/>
      <c r="T32" s="23"/>
    </row>
    <row r="33" spans="1:20" hidden="1" x14ac:dyDescent="0.25">
      <c r="A33" s="73" t="s">
        <v>12</v>
      </c>
      <c r="B33" s="77" t="s">
        <v>29</v>
      </c>
      <c r="M33" s="12"/>
    </row>
    <row r="34" spans="1:20" hidden="1" x14ac:dyDescent="0.25">
      <c r="A34" s="73"/>
      <c r="B34" s="77" t="s">
        <v>28</v>
      </c>
      <c r="M34" s="12"/>
    </row>
    <row r="35" spans="1:20" hidden="1" x14ac:dyDescent="0.25">
      <c r="A35" s="73"/>
      <c r="B35" s="77" t="s">
        <v>26</v>
      </c>
      <c r="M35" s="12"/>
    </row>
    <row r="36" spans="1:20" hidden="1" x14ac:dyDescent="0.25">
      <c r="A36" s="73"/>
      <c r="B36" s="77" t="s">
        <v>27</v>
      </c>
      <c r="M36" s="12"/>
      <c r="T36" s="25">
        <f ca="1">NOW()</f>
        <v>36844.554639120368</v>
      </c>
    </row>
    <row r="37" spans="1:20" x14ac:dyDescent="0.25">
      <c r="A37" s="73"/>
      <c r="B37" s="77" t="s">
        <v>99</v>
      </c>
      <c r="M37" s="12"/>
    </row>
    <row r="38" spans="1:20" x14ac:dyDescent="0.25">
      <c r="A38" s="73">
        <v>-2</v>
      </c>
      <c r="B38" s="77" t="s">
        <v>75</v>
      </c>
      <c r="M38" s="12"/>
    </row>
    <row r="39" spans="1:20" x14ac:dyDescent="0.25">
      <c r="A39" s="73"/>
      <c r="B39" s="77" t="s">
        <v>100</v>
      </c>
      <c r="M39" s="12"/>
    </row>
    <row r="40" spans="1:20" x14ac:dyDescent="0.25">
      <c r="A40" s="73">
        <v>-3</v>
      </c>
      <c r="B40" s="77" t="s">
        <v>102</v>
      </c>
      <c r="M40" s="12"/>
    </row>
    <row r="41" spans="1:20" x14ac:dyDescent="0.25">
      <c r="A41" s="73">
        <v>-4</v>
      </c>
      <c r="B41" s="77" t="s">
        <v>77</v>
      </c>
      <c r="M41" s="12"/>
    </row>
    <row r="42" spans="1:20" x14ac:dyDescent="0.25">
      <c r="A42" s="73">
        <v>-5</v>
      </c>
      <c r="B42" s="77" t="s">
        <v>78</v>
      </c>
    </row>
    <row r="43" spans="1:20" x14ac:dyDescent="0.25">
      <c r="A43" s="73">
        <v>-6</v>
      </c>
      <c r="B43" s="77" t="s">
        <v>79</v>
      </c>
    </row>
    <row r="44" spans="1:20" x14ac:dyDescent="0.25">
      <c r="A44" s="73"/>
      <c r="B44" s="77" t="s">
        <v>101</v>
      </c>
    </row>
    <row r="45" spans="1:20" x14ac:dyDescent="0.25">
      <c r="A45" s="73"/>
    </row>
    <row r="46" spans="1:20" x14ac:dyDescent="0.25">
      <c r="A46" s="73"/>
    </row>
    <row r="47" spans="1:20" x14ac:dyDescent="0.25">
      <c r="A47" s="73"/>
    </row>
    <row r="48" spans="1:20" x14ac:dyDescent="0.25">
      <c r="A48" s="73"/>
    </row>
    <row r="49" spans="1:1" x14ac:dyDescent="0.25">
      <c r="A49" s="73"/>
    </row>
    <row r="50" spans="1:1" x14ac:dyDescent="0.25">
      <c r="A50" s="73"/>
    </row>
    <row r="51" spans="1:1" x14ac:dyDescent="0.25">
      <c r="A51" s="73"/>
    </row>
    <row r="52" spans="1:1" x14ac:dyDescent="0.25">
      <c r="A52" s="73"/>
    </row>
    <row r="53" spans="1:1" x14ac:dyDescent="0.25">
      <c r="A53" s="75"/>
    </row>
    <row r="54" spans="1:1" x14ac:dyDescent="0.25">
      <c r="A54" s="75"/>
    </row>
    <row r="55" spans="1:1" x14ac:dyDescent="0.25">
      <c r="A55" s="75"/>
    </row>
    <row r="56" spans="1:1" x14ac:dyDescent="0.25">
      <c r="A56" s="75"/>
    </row>
    <row r="57" spans="1:1" x14ac:dyDescent="0.25">
      <c r="A57" s="75"/>
    </row>
    <row r="58" spans="1:1" x14ac:dyDescent="0.25">
      <c r="A58" s="75"/>
    </row>
    <row r="59" spans="1:1" x14ac:dyDescent="0.25">
      <c r="A59" s="75"/>
    </row>
    <row r="60" spans="1:1" x14ac:dyDescent="0.25">
      <c r="A60" s="75"/>
    </row>
    <row r="61" spans="1:1" x14ac:dyDescent="0.25">
      <c r="A61" s="75"/>
    </row>
  </sheetData>
  <mergeCells count="2">
    <mergeCell ref="E4:K4"/>
    <mergeCell ref="N4:T4"/>
  </mergeCells>
  <pageMargins left="0.75" right="0.75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workbookViewId="0">
      <selection activeCell="E27" sqref="E27"/>
    </sheetView>
  </sheetViews>
  <sheetFormatPr defaultRowHeight="13.2" x14ac:dyDescent="0.25"/>
  <cols>
    <col min="3" max="3" width="1.44140625" customWidth="1"/>
    <col min="4" max="4" width="8.6640625" customWidth="1"/>
    <col min="6" max="6" width="3.6640625" customWidth="1"/>
    <col min="7" max="7" width="16.44140625" bestFit="1" customWidth="1"/>
    <col min="8" max="8" width="3.6640625" customWidth="1"/>
    <col min="9" max="9" width="17.44140625" bestFit="1" customWidth="1"/>
    <col min="10" max="10" width="3.6640625" customWidth="1"/>
    <col min="11" max="11" width="25.33203125" customWidth="1"/>
    <col min="12" max="12" width="3.6640625" customWidth="1"/>
    <col min="13" max="13" width="11.33203125" bestFit="1" customWidth="1"/>
  </cols>
  <sheetData>
    <row r="1" spans="1:13" ht="13.8" thickBot="1" x14ac:dyDescent="0.3">
      <c r="E1" s="127" t="s">
        <v>17</v>
      </c>
      <c r="F1" s="128"/>
      <c r="G1" s="128"/>
      <c r="H1" s="128"/>
      <c r="I1" s="128"/>
      <c r="J1" s="128"/>
      <c r="K1" s="128"/>
      <c r="L1" s="128"/>
      <c r="M1" s="128"/>
    </row>
    <row r="2" spans="1:13" x14ac:dyDescent="0.25">
      <c r="E2" s="3"/>
      <c r="F2" s="3"/>
      <c r="G2" s="3"/>
      <c r="H2" s="3"/>
      <c r="I2" s="3"/>
      <c r="J2" s="3"/>
      <c r="K2" s="3"/>
      <c r="L2" s="1"/>
      <c r="M2" s="3" t="s">
        <v>2</v>
      </c>
    </row>
    <row r="3" spans="1:13" x14ac:dyDescent="0.25">
      <c r="E3" s="10" t="s">
        <v>18</v>
      </c>
      <c r="F3" s="19"/>
      <c r="G3" s="10" t="s">
        <v>19</v>
      </c>
      <c r="H3" s="19"/>
      <c r="I3" s="10" t="s">
        <v>20</v>
      </c>
      <c r="J3" s="19"/>
      <c r="K3" s="10" t="s">
        <v>21</v>
      </c>
      <c r="L3" s="19"/>
      <c r="M3" s="5" t="s">
        <v>15</v>
      </c>
    </row>
    <row r="5" spans="1:13" x14ac:dyDescent="0.25">
      <c r="A5" t="s">
        <v>3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B6" t="s">
        <v>14</v>
      </c>
      <c r="E6" s="13">
        <v>391.4</v>
      </c>
      <c r="F6" s="13"/>
      <c r="G6" s="13">
        <v>0</v>
      </c>
      <c r="H6" s="13"/>
      <c r="I6" s="13">
        <f>E6-G6</f>
        <v>391.4</v>
      </c>
      <c r="J6" s="13"/>
      <c r="K6" s="13">
        <f>I6*0.3525</f>
        <v>137.96849999999998</v>
      </c>
      <c r="L6" s="13"/>
      <c r="M6" s="13">
        <f>I6-K6</f>
        <v>253.4315</v>
      </c>
    </row>
    <row r="7" spans="1:13" x14ac:dyDescent="0.25"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25">
      <c r="A8" t="s">
        <v>4</v>
      </c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B9" t="s">
        <v>5</v>
      </c>
      <c r="E9" s="13">
        <f>937.1</f>
        <v>937.1</v>
      </c>
      <c r="F9" s="13"/>
      <c r="G9" s="13">
        <v>0</v>
      </c>
      <c r="H9" s="13"/>
      <c r="I9" s="13">
        <f t="shared" ref="I9:I14" si="0">E9-G9</f>
        <v>937.1</v>
      </c>
      <c r="J9" s="13"/>
      <c r="K9" s="13">
        <f>937.1*0.3025</f>
        <v>283.47275000000002</v>
      </c>
      <c r="L9" s="13"/>
      <c r="M9" s="13">
        <f t="shared" ref="M9:M14" si="1">I9-K9</f>
        <v>653.62725</v>
      </c>
    </row>
    <row r="10" spans="1:13" x14ac:dyDescent="0.25">
      <c r="B10" t="s">
        <v>6</v>
      </c>
      <c r="E10" s="13">
        <f>(220.5+77.4)</f>
        <v>297.89999999999998</v>
      </c>
      <c r="F10" s="13"/>
      <c r="G10" s="13">
        <v>0</v>
      </c>
      <c r="H10" s="13"/>
      <c r="I10" s="13">
        <f t="shared" si="0"/>
        <v>297.89999999999998</v>
      </c>
      <c r="J10" s="13"/>
      <c r="K10" s="13">
        <f>I10*0.4647</f>
        <v>138.43412999999998</v>
      </c>
      <c r="L10" s="13"/>
      <c r="M10" s="13">
        <f t="shared" si="1"/>
        <v>159.46587</v>
      </c>
    </row>
    <row r="11" spans="1:13" x14ac:dyDescent="0.25">
      <c r="B11" t="s">
        <v>7</v>
      </c>
      <c r="E11" s="13">
        <f>-0.8</f>
        <v>-0.8</v>
      </c>
      <c r="F11" s="13"/>
      <c r="G11" s="13">
        <v>0</v>
      </c>
      <c r="H11" s="13"/>
      <c r="I11" s="13">
        <f t="shared" si="0"/>
        <v>-0.8</v>
      </c>
      <c r="J11" s="13"/>
      <c r="K11" s="13">
        <f>I11*0.5745</f>
        <v>-0.45960000000000001</v>
      </c>
      <c r="L11" s="13"/>
      <c r="M11" s="13">
        <f t="shared" si="1"/>
        <v>-0.34040000000000004</v>
      </c>
    </row>
    <row r="12" spans="1:13" x14ac:dyDescent="0.25">
      <c r="B12" t="s">
        <v>23</v>
      </c>
      <c r="E12" s="13">
        <v>284.60000000000002</v>
      </c>
      <c r="F12" s="13"/>
      <c r="G12" s="13">
        <v>49.1</v>
      </c>
      <c r="H12" s="13"/>
      <c r="I12" s="13">
        <f t="shared" si="0"/>
        <v>235.50000000000003</v>
      </c>
      <c r="J12" s="13"/>
      <c r="K12" s="13">
        <v>47.757719999999999</v>
      </c>
      <c r="L12" s="13"/>
      <c r="M12" s="13">
        <f t="shared" si="1"/>
        <v>187.74228000000002</v>
      </c>
    </row>
    <row r="13" spans="1:13" x14ac:dyDescent="0.25">
      <c r="B13" t="s">
        <v>37</v>
      </c>
      <c r="E13" s="13">
        <v>102.5</v>
      </c>
      <c r="F13" s="13"/>
      <c r="G13" s="13">
        <v>0</v>
      </c>
      <c r="H13" s="13"/>
      <c r="I13" s="13">
        <f t="shared" si="0"/>
        <v>102.5</v>
      </c>
      <c r="J13" s="13"/>
      <c r="K13" s="13">
        <v>14.7</v>
      </c>
      <c r="L13" s="13"/>
      <c r="M13" s="13">
        <f t="shared" si="1"/>
        <v>87.8</v>
      </c>
    </row>
    <row r="14" spans="1:13" x14ac:dyDescent="0.25">
      <c r="B14" t="s">
        <v>36</v>
      </c>
      <c r="E14" s="13">
        <f>144.9+231.7</f>
        <v>376.6</v>
      </c>
      <c r="F14" s="13"/>
      <c r="G14" s="13">
        <v>57.8</v>
      </c>
      <c r="H14" s="13"/>
      <c r="I14" s="13">
        <f t="shared" si="0"/>
        <v>318.8</v>
      </c>
      <c r="J14" s="13"/>
      <c r="K14" s="13">
        <f>27.2+85.7</f>
        <v>112.9</v>
      </c>
      <c r="L14" s="13"/>
      <c r="M14" s="13">
        <f t="shared" si="1"/>
        <v>205.9</v>
      </c>
    </row>
    <row r="15" spans="1:13" x14ac:dyDescent="0.25"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5">
      <c r="A16" t="s">
        <v>9</v>
      </c>
      <c r="E16" s="13">
        <f>102.8</f>
        <v>102.8</v>
      </c>
      <c r="F16" s="13"/>
      <c r="G16" s="13">
        <v>0</v>
      </c>
      <c r="H16" s="13"/>
      <c r="I16" s="13">
        <f>E16-G16</f>
        <v>102.8</v>
      </c>
      <c r="J16" s="13"/>
      <c r="K16" s="13">
        <f>I16*0.4636</f>
        <v>47.658079999999998</v>
      </c>
      <c r="L16" s="13"/>
      <c r="M16" s="13">
        <f>I16-K16</f>
        <v>55.141919999999999</v>
      </c>
    </row>
    <row r="17" spans="1:13" x14ac:dyDescent="0.25">
      <c r="B17" t="s">
        <v>2</v>
      </c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5">
      <c r="A18" t="s">
        <v>8</v>
      </c>
      <c r="E18" s="13">
        <f>-60</f>
        <v>-60</v>
      </c>
      <c r="F18" s="13"/>
      <c r="G18" s="13">
        <v>0</v>
      </c>
      <c r="H18" s="13"/>
      <c r="I18" s="13">
        <f>E18-G18</f>
        <v>-60</v>
      </c>
      <c r="J18" s="13"/>
      <c r="K18" s="13">
        <f>I18*0.35</f>
        <v>-21</v>
      </c>
      <c r="L18" s="13"/>
      <c r="M18" s="13">
        <f>I18-K18</f>
        <v>-39</v>
      </c>
    </row>
    <row r="19" spans="1:13" x14ac:dyDescent="0.25"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t="s">
        <v>38</v>
      </c>
      <c r="E21" s="13">
        <v>-13.3</v>
      </c>
      <c r="F21" s="13"/>
      <c r="G21" s="13">
        <v>0</v>
      </c>
      <c r="H21" s="13"/>
      <c r="I21" s="13">
        <f t="shared" ref="I21:I26" si="2">E21-G21</f>
        <v>-13.3</v>
      </c>
      <c r="J21" s="13"/>
      <c r="K21" s="13">
        <v>-4.7</v>
      </c>
      <c r="L21" s="13"/>
      <c r="M21" s="13">
        <f t="shared" ref="M21:M26" si="3">I21-K21</f>
        <v>-8.6000000000000014</v>
      </c>
    </row>
    <row r="22" spans="1:13" x14ac:dyDescent="0.25">
      <c r="A22" t="s">
        <v>39</v>
      </c>
      <c r="E22" s="13">
        <v>32.5</v>
      </c>
      <c r="F22" s="13"/>
      <c r="G22" s="13">
        <v>0</v>
      </c>
      <c r="H22" s="13"/>
      <c r="I22" s="13">
        <f t="shared" si="2"/>
        <v>32.5</v>
      </c>
      <c r="J22" s="13"/>
      <c r="K22" s="13">
        <v>20.3</v>
      </c>
      <c r="L22" s="13"/>
      <c r="M22" s="13">
        <f t="shared" si="3"/>
        <v>12.2</v>
      </c>
    </row>
    <row r="23" spans="1:13" x14ac:dyDescent="0.25">
      <c r="A23" t="s">
        <v>40</v>
      </c>
      <c r="E23" s="13">
        <v>304.60000000000002</v>
      </c>
      <c r="F23" s="13"/>
      <c r="G23" s="13">
        <v>2.2999999999999998</v>
      </c>
      <c r="H23" s="13"/>
      <c r="I23" s="13">
        <f t="shared" si="2"/>
        <v>302.3</v>
      </c>
      <c r="J23" s="13"/>
      <c r="K23" s="13">
        <v>141</v>
      </c>
      <c r="L23" s="13"/>
      <c r="M23" s="13">
        <f t="shared" si="3"/>
        <v>161.30000000000001</v>
      </c>
    </row>
    <row r="24" spans="1:13" x14ac:dyDescent="0.25">
      <c r="A24" t="s">
        <v>41</v>
      </c>
      <c r="E24" s="13">
        <v>0</v>
      </c>
      <c r="F24" s="13"/>
      <c r="G24" s="13">
        <v>0</v>
      </c>
      <c r="H24" s="13"/>
      <c r="I24" s="13">
        <f t="shared" si="2"/>
        <v>0</v>
      </c>
      <c r="J24" s="13"/>
      <c r="K24" s="13">
        <v>0</v>
      </c>
      <c r="L24" s="13"/>
      <c r="M24" s="13">
        <f t="shared" si="3"/>
        <v>0</v>
      </c>
    </row>
    <row r="25" spans="1:13" x14ac:dyDescent="0.25">
      <c r="A25" t="s">
        <v>42</v>
      </c>
      <c r="E25" s="14">
        <f>(-60.5-0.5-266.9+59.6-19.5)+54.1-13.3+348.4+30.6</f>
        <v>132</v>
      </c>
      <c r="F25" s="14"/>
      <c r="G25" s="14">
        <v>0</v>
      </c>
      <c r="H25" s="14"/>
      <c r="I25" s="13">
        <f t="shared" si="2"/>
        <v>132</v>
      </c>
      <c r="J25" s="14"/>
      <c r="K25" s="14">
        <f>I25*0.35</f>
        <v>46.199999999999996</v>
      </c>
      <c r="L25" s="13"/>
      <c r="M25" s="13">
        <f t="shared" si="3"/>
        <v>85.800000000000011</v>
      </c>
    </row>
    <row r="26" spans="1:13" x14ac:dyDescent="0.25">
      <c r="A26" t="s">
        <v>44</v>
      </c>
      <c r="E26" s="14">
        <v>-60.5</v>
      </c>
      <c r="F26" s="14"/>
      <c r="G26" s="14">
        <v>0</v>
      </c>
      <c r="H26" s="14"/>
      <c r="I26" s="13">
        <f t="shared" si="2"/>
        <v>-60.5</v>
      </c>
      <c r="J26" s="14"/>
      <c r="K26" s="14">
        <v>0</v>
      </c>
      <c r="L26" s="13"/>
      <c r="M26" s="13">
        <f t="shared" si="3"/>
        <v>-60.5</v>
      </c>
    </row>
    <row r="27" spans="1:13" x14ac:dyDescent="0.25">
      <c r="A27" t="s">
        <v>43</v>
      </c>
      <c r="E27" s="14">
        <f>E29-SUM(E6:E26)</f>
        <v>-263.30000000000018</v>
      </c>
      <c r="F27" s="14"/>
      <c r="G27" s="14">
        <f>G29-SUM(G6:G26)</f>
        <v>-2.2999999999999972</v>
      </c>
      <c r="H27" s="14"/>
      <c r="I27" s="14">
        <f>I29-SUM(I6:I26)</f>
        <v>-261.00000000000045</v>
      </c>
      <c r="J27" s="14"/>
      <c r="K27" s="14">
        <f>K29-SUM(K6:K26)</f>
        <v>-156.59999999999991</v>
      </c>
      <c r="L27" s="13"/>
      <c r="M27" s="14">
        <f>M29-SUM(M6:M26)</f>
        <v>-104.40000000000009</v>
      </c>
    </row>
    <row r="28" spans="1:13" x14ac:dyDescent="0.25">
      <c r="E28" s="13"/>
      <c r="F28" s="13"/>
      <c r="G28" s="13"/>
      <c r="H28" s="13"/>
      <c r="I28" s="13"/>
      <c r="J28" s="13"/>
      <c r="K28" s="13"/>
      <c r="L28" s="13"/>
      <c r="M28" s="13"/>
    </row>
    <row r="29" spans="1:13" ht="13.8" thickBot="1" x14ac:dyDescent="0.3">
      <c r="A29" t="s">
        <v>10</v>
      </c>
      <c r="E29" s="16">
        <v>2564.1</v>
      </c>
      <c r="F29" s="20"/>
      <c r="G29" s="16">
        <v>106.9</v>
      </c>
      <c r="H29" s="20"/>
      <c r="I29" s="16">
        <v>2457.1999999999998</v>
      </c>
      <c r="J29" s="20"/>
      <c r="K29" s="16">
        <v>807.63157999999999</v>
      </c>
      <c r="L29" s="15"/>
      <c r="M29" s="18">
        <v>1649.5684200000001</v>
      </c>
    </row>
    <row r="30" spans="1:13" ht="13.8" thickTop="1" x14ac:dyDescent="0.25"/>
  </sheetData>
  <mergeCells count="1">
    <mergeCell ref="E1:M1"/>
  </mergeCells>
  <pageMargins left="0.75" right="0.75" top="1" bottom="1" header="0.5" footer="0.5"/>
  <pageSetup paperSize="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ROE 2000</vt:lpstr>
      <vt:lpstr>BS 2000</vt:lpstr>
      <vt:lpstr>Off Balance Sheet Support</vt:lpstr>
      <vt:lpstr>Income Calculations</vt:lpstr>
      <vt:lpstr>'BS 2000'!Print_Area</vt:lpstr>
      <vt:lpstr>'Income Calculations'!Print_Area</vt:lpstr>
      <vt:lpstr>'Off Balance Sheet Support'!Print_Area</vt:lpstr>
      <vt:lpstr>'ROE 2000'!Print_Area</vt:lpstr>
      <vt:lpstr>'BS 2000'!Print_Titles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tlindho</dc:creator>
  <cp:lastModifiedBy>Havlíček Jan</cp:lastModifiedBy>
  <cp:lastPrinted>2000-11-14T16:39:40Z</cp:lastPrinted>
  <dcterms:created xsi:type="dcterms:W3CDTF">2000-10-09T15:08:51Z</dcterms:created>
  <dcterms:modified xsi:type="dcterms:W3CDTF">2023-09-10T12:04:30Z</dcterms:modified>
</cp:coreProperties>
</file>