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036"/>
  </bookViews>
  <sheets>
    <sheet name="NNG" sheetId="1" r:id="rId1"/>
    <sheet name="TW" sheetId="4" r:id="rId2"/>
    <sheet name="CITRUS" sheetId="5" r:id="rId3"/>
  </sheets>
  <calcPr calcId="92512"/>
</workbook>
</file>

<file path=xl/calcChain.xml><?xml version="1.0" encoding="utf-8"?>
<calcChain xmlns="http://schemas.openxmlformats.org/spreadsheetml/2006/main">
  <c r="C9" i="5" l="1"/>
  <c r="E9" i="5"/>
  <c r="G9" i="5"/>
  <c r="I9" i="5"/>
  <c r="C14" i="5"/>
  <c r="E14" i="5"/>
  <c r="G14" i="5"/>
  <c r="I14" i="5"/>
  <c r="C16" i="5"/>
  <c r="E16" i="5"/>
  <c r="G16" i="5"/>
  <c r="I16" i="5"/>
  <c r="C18" i="5"/>
  <c r="E18" i="5"/>
  <c r="G18" i="5"/>
  <c r="I18" i="5"/>
  <c r="C20" i="5"/>
  <c r="E20" i="5"/>
  <c r="G20" i="5"/>
  <c r="I20" i="5"/>
  <c r="C22" i="5"/>
  <c r="E22" i="5"/>
  <c r="G22" i="5"/>
  <c r="I22" i="5"/>
  <c r="C28" i="5"/>
  <c r="E28" i="5"/>
  <c r="G28" i="5"/>
  <c r="I28" i="5"/>
  <c r="C32" i="5"/>
  <c r="E32" i="5"/>
  <c r="G32" i="5"/>
  <c r="I32" i="5"/>
  <c r="C41" i="5"/>
  <c r="E41" i="5"/>
  <c r="G41" i="5"/>
  <c r="I41" i="5"/>
  <c r="C43" i="5"/>
  <c r="E43" i="5"/>
  <c r="G43" i="5"/>
  <c r="I43" i="5"/>
  <c r="C44" i="5"/>
  <c r="E44" i="5"/>
  <c r="G44" i="5"/>
  <c r="I44" i="5"/>
  <c r="C48" i="5"/>
  <c r="E48" i="5"/>
  <c r="G48" i="5"/>
  <c r="I48" i="5"/>
  <c r="C53" i="5"/>
  <c r="E53" i="5"/>
  <c r="G53" i="5"/>
  <c r="I53" i="5"/>
  <c r="C54" i="5"/>
  <c r="E54" i="5"/>
  <c r="G54" i="5"/>
  <c r="I54" i="5"/>
  <c r="C56" i="5"/>
  <c r="E56" i="5"/>
  <c r="G56" i="5"/>
  <c r="I56" i="5"/>
  <c r="C62" i="5"/>
  <c r="E62" i="5"/>
  <c r="G62" i="5"/>
  <c r="I62" i="5"/>
  <c r="C64" i="5"/>
  <c r="E64" i="5"/>
  <c r="G64" i="5"/>
  <c r="I64" i="5"/>
  <c r="C67" i="5"/>
  <c r="E67" i="5"/>
  <c r="G67" i="5"/>
  <c r="I67" i="5"/>
  <c r="C75" i="5"/>
  <c r="E75" i="5"/>
  <c r="G75" i="5"/>
  <c r="I75" i="5"/>
  <c r="C79" i="5"/>
  <c r="E79" i="5"/>
  <c r="G79" i="5"/>
  <c r="I79" i="5"/>
  <c r="C91" i="5"/>
  <c r="E91" i="5"/>
  <c r="G91" i="5"/>
  <c r="I91" i="5"/>
  <c r="C92" i="5"/>
  <c r="E92" i="5"/>
  <c r="G92" i="5"/>
  <c r="I92" i="5"/>
  <c r="C94" i="5"/>
  <c r="E94" i="5"/>
  <c r="G94" i="5"/>
  <c r="I94" i="5"/>
  <c r="C98" i="5"/>
  <c r="E98" i="5"/>
  <c r="G98" i="5"/>
  <c r="I98" i="5"/>
  <c r="C100" i="5"/>
  <c r="E100" i="5"/>
  <c r="G100" i="5"/>
  <c r="I100" i="5"/>
  <c r="C109" i="5"/>
  <c r="E109" i="5"/>
  <c r="G109" i="5"/>
  <c r="I109" i="5"/>
  <c r="C111" i="5"/>
  <c r="E111" i="5"/>
  <c r="G111" i="5"/>
  <c r="I111" i="5"/>
  <c r="C115" i="5"/>
  <c r="E115" i="5"/>
  <c r="G115" i="5"/>
  <c r="I115" i="5"/>
  <c r="C8" i="1"/>
  <c r="E8" i="1"/>
  <c r="G8" i="1"/>
  <c r="I8" i="1"/>
  <c r="C9" i="1"/>
  <c r="E9" i="1"/>
  <c r="G9" i="1"/>
  <c r="I9" i="1"/>
  <c r="C17" i="1"/>
  <c r="E17" i="1"/>
  <c r="G17" i="1"/>
  <c r="I17" i="1"/>
  <c r="C19" i="1"/>
  <c r="E19" i="1"/>
  <c r="G19" i="1"/>
  <c r="I19" i="1"/>
  <c r="C21" i="1"/>
  <c r="E21" i="1"/>
  <c r="G21" i="1"/>
  <c r="I21" i="1"/>
  <c r="C23" i="1"/>
  <c r="E23" i="1"/>
  <c r="G23" i="1"/>
  <c r="I23" i="1"/>
  <c r="C29" i="1"/>
  <c r="E29" i="1"/>
  <c r="G29" i="1"/>
  <c r="I29" i="1"/>
  <c r="C38" i="1"/>
  <c r="E38" i="1"/>
  <c r="G38" i="1"/>
  <c r="I38" i="1"/>
  <c r="C43" i="1"/>
  <c r="E43" i="1"/>
  <c r="G43" i="1"/>
  <c r="I43" i="1"/>
  <c r="C47" i="1"/>
  <c r="E47" i="1"/>
  <c r="G47" i="1"/>
  <c r="I47" i="1"/>
  <c r="C53" i="1"/>
  <c r="E53" i="1"/>
  <c r="G53" i="1"/>
  <c r="I53" i="1"/>
  <c r="C55" i="1"/>
  <c r="E55" i="1"/>
  <c r="G55" i="1"/>
  <c r="I55" i="1"/>
  <c r="C60" i="1"/>
  <c r="E60" i="1"/>
  <c r="G60" i="1"/>
  <c r="I60" i="1"/>
  <c r="C62" i="1"/>
  <c r="E62" i="1"/>
  <c r="G62" i="1"/>
  <c r="I62" i="1"/>
  <c r="C66" i="1"/>
  <c r="E66" i="1"/>
  <c r="G66" i="1"/>
  <c r="I66" i="1"/>
  <c r="C67" i="1"/>
  <c r="E67" i="1"/>
  <c r="G67" i="1"/>
  <c r="I67" i="1"/>
  <c r="C74" i="1"/>
  <c r="E74" i="1"/>
  <c r="G74" i="1"/>
  <c r="I74" i="1"/>
  <c r="C75" i="1"/>
  <c r="E75" i="1"/>
  <c r="G75" i="1"/>
  <c r="I75" i="1"/>
  <c r="C79" i="1"/>
  <c r="E79" i="1"/>
  <c r="G79" i="1"/>
  <c r="I79" i="1"/>
  <c r="C86" i="1"/>
  <c r="E86" i="1"/>
  <c r="G86" i="1"/>
  <c r="I86" i="1"/>
  <c r="C95" i="1"/>
  <c r="E95" i="1"/>
  <c r="G95" i="1"/>
  <c r="I95" i="1"/>
  <c r="C97" i="1"/>
  <c r="E97" i="1"/>
  <c r="G97" i="1"/>
  <c r="I97" i="1"/>
  <c r="G103" i="1"/>
  <c r="I103" i="1"/>
  <c r="C105" i="1"/>
  <c r="E105" i="1"/>
  <c r="G105" i="1"/>
  <c r="I105" i="1"/>
  <c r="C114" i="1"/>
  <c r="E114" i="1"/>
  <c r="G114" i="1"/>
  <c r="I114" i="1"/>
  <c r="C116" i="1"/>
  <c r="E116" i="1"/>
  <c r="G116" i="1"/>
  <c r="I116" i="1"/>
  <c r="C120" i="1"/>
  <c r="E120" i="1"/>
  <c r="G120" i="1"/>
  <c r="I120" i="1"/>
  <c r="C8" i="4"/>
  <c r="E8" i="4"/>
  <c r="G8" i="4"/>
  <c r="I8" i="4"/>
  <c r="C9" i="4"/>
  <c r="E9" i="4"/>
  <c r="G9" i="4"/>
  <c r="I9" i="4"/>
  <c r="G14" i="4"/>
  <c r="C17" i="4"/>
  <c r="E17" i="4"/>
  <c r="G17" i="4"/>
  <c r="I17" i="4"/>
  <c r="C19" i="4"/>
  <c r="E19" i="4"/>
  <c r="G19" i="4"/>
  <c r="I19" i="4"/>
  <c r="C21" i="4"/>
  <c r="E21" i="4"/>
  <c r="G21" i="4"/>
  <c r="I21" i="4"/>
  <c r="C23" i="4"/>
  <c r="E23" i="4"/>
  <c r="G23" i="4"/>
  <c r="I23" i="4"/>
  <c r="C29" i="4"/>
  <c r="E29" i="4"/>
  <c r="G29" i="4"/>
  <c r="I29" i="4"/>
  <c r="C39" i="4"/>
  <c r="E39" i="4"/>
  <c r="G39" i="4"/>
  <c r="I39" i="4"/>
  <c r="C44" i="4"/>
  <c r="E44" i="4"/>
  <c r="G44" i="4"/>
  <c r="I44" i="4"/>
  <c r="C48" i="4"/>
  <c r="E48" i="4"/>
  <c r="G48" i="4"/>
  <c r="I48" i="4"/>
  <c r="C53" i="4"/>
  <c r="E53" i="4"/>
  <c r="G53" i="4"/>
  <c r="I53" i="4"/>
  <c r="C55" i="4"/>
  <c r="E55" i="4"/>
  <c r="G55" i="4"/>
  <c r="I55" i="4"/>
  <c r="C60" i="4"/>
  <c r="E60" i="4"/>
  <c r="G60" i="4"/>
  <c r="I60" i="4"/>
  <c r="C62" i="4"/>
  <c r="E62" i="4"/>
  <c r="G62" i="4"/>
  <c r="I62" i="4"/>
  <c r="C64" i="4"/>
  <c r="E64" i="4"/>
  <c r="G64" i="4"/>
  <c r="I64" i="4"/>
  <c r="C65" i="4"/>
  <c r="E65" i="4"/>
  <c r="G65" i="4"/>
  <c r="I65" i="4"/>
  <c r="C72" i="4"/>
  <c r="E72" i="4"/>
  <c r="G72" i="4"/>
  <c r="I72" i="4"/>
  <c r="C76" i="4"/>
  <c r="E76" i="4"/>
  <c r="G76" i="4"/>
  <c r="I76" i="4"/>
  <c r="C83" i="4"/>
  <c r="E83" i="4"/>
  <c r="G83" i="4"/>
  <c r="I83" i="4"/>
  <c r="C89" i="4"/>
  <c r="E89" i="4"/>
  <c r="G89" i="4"/>
  <c r="C91" i="4"/>
  <c r="E91" i="4"/>
  <c r="G91" i="4"/>
  <c r="I91" i="4"/>
  <c r="C96" i="4"/>
  <c r="E96" i="4"/>
  <c r="G96" i="4"/>
  <c r="I96" i="4"/>
  <c r="C98" i="4"/>
  <c r="E98" i="4"/>
  <c r="G98" i="4"/>
  <c r="I98" i="4"/>
  <c r="C107" i="4"/>
  <c r="E107" i="4"/>
  <c r="G107" i="4"/>
  <c r="I107" i="4"/>
  <c r="C109" i="4"/>
  <c r="E109" i="4"/>
  <c r="G109" i="4"/>
  <c r="I109" i="4"/>
  <c r="C113" i="4"/>
  <c r="E113" i="4"/>
  <c r="G113" i="4"/>
  <c r="I113" i="4"/>
</calcChain>
</file>

<file path=xl/comments1.xml><?xml version="1.0" encoding="utf-8"?>
<comments xmlns="http://schemas.openxmlformats.org/spreadsheetml/2006/main">
  <authors>
    <author>A satisfied Microsoft Office user</author>
    <author>ajoe</author>
  </authors>
  <commentList>
    <comment ref="A91" authorId="0" shapeId="0">
      <text>
        <r>
          <rPr>
            <sz val="8"/>
            <color indexed="81"/>
            <rFont val="Tahoma"/>
          </rPr>
          <t>Two Rows hidden above, inventory &amp; prepayments.</t>
        </r>
      </text>
    </comment>
    <comment ref="A107" authorId="1" shapeId="0">
      <text>
        <r>
          <rPr>
            <b/>
            <sz val="8"/>
            <color indexed="81"/>
            <rFont val="Tahoma"/>
          </rPr>
          <t>ajoe:</t>
        </r>
        <r>
          <rPr>
            <sz val="8"/>
            <color indexed="81"/>
            <rFont val="Tahoma"/>
          </rPr>
          <t xml:space="preserve">
Cash flows frm financ activities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ajoe</author>
  </authors>
  <commentList>
    <comment ref="A87" authorId="0" shapeId="0">
      <text>
        <r>
          <rPr>
            <sz val="8"/>
            <color indexed="81"/>
            <rFont val="Tahoma"/>
          </rPr>
          <t>Two Rows hidden above, inventory &amp; prepayments.</t>
        </r>
      </text>
    </comment>
    <comment ref="A100" authorId="1" shapeId="0">
      <text>
        <r>
          <rPr>
            <b/>
            <sz val="8"/>
            <color indexed="81"/>
            <rFont val="Tahoma"/>
          </rPr>
          <t>ajoe:</t>
        </r>
        <r>
          <rPr>
            <sz val="8"/>
            <color indexed="81"/>
            <rFont val="Tahoma"/>
          </rPr>
          <t xml:space="preserve">
Cash flows frm financ activities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  <author>ajoe</author>
  </authors>
  <commentList>
    <comment ref="A90" authorId="0" shapeId="0">
      <text>
        <r>
          <rPr>
            <sz val="8"/>
            <color indexed="81"/>
            <rFont val="Tahoma"/>
          </rPr>
          <t>Two Rows hidden above, inventory &amp; prepayments.</t>
        </r>
      </text>
    </comment>
    <comment ref="A102" authorId="1" shapeId="0">
      <text>
        <r>
          <rPr>
            <b/>
            <sz val="8"/>
            <color indexed="81"/>
            <rFont val="Tahoma"/>
          </rPr>
          <t>ajoe:</t>
        </r>
        <r>
          <rPr>
            <sz val="8"/>
            <color indexed="81"/>
            <rFont val="Tahoma"/>
          </rPr>
          <t xml:space="preserve">
Cash flows frm financ activities</t>
        </r>
      </text>
    </comment>
  </commentList>
</comments>
</file>

<file path=xl/sharedStrings.xml><?xml version="1.0" encoding="utf-8"?>
<sst xmlns="http://schemas.openxmlformats.org/spreadsheetml/2006/main" count="240" uniqueCount="92">
  <si>
    <t>Income Statement</t>
  </si>
  <si>
    <t>Revenues</t>
  </si>
  <si>
    <t>Transportation</t>
  </si>
  <si>
    <t>Other</t>
  </si>
  <si>
    <t>Costs and Expenses</t>
  </si>
  <si>
    <t>Cost of sales</t>
  </si>
  <si>
    <t>Operating &amp; maintenance</t>
  </si>
  <si>
    <t>Depreciation &amp; amortization</t>
  </si>
  <si>
    <t>Taxes, other than income taxes</t>
  </si>
  <si>
    <t>Other income</t>
  </si>
  <si>
    <t>Income Before Interest and Income Taxes</t>
  </si>
  <si>
    <t>Interest Expense</t>
  </si>
  <si>
    <t>Income Taxes</t>
  </si>
  <si>
    <t>Net Income</t>
  </si>
  <si>
    <t>Regulatory amortization</t>
  </si>
  <si>
    <t>Operating Income</t>
  </si>
  <si>
    <t>Balance Sheet</t>
  </si>
  <si>
    <t>ASSETS</t>
  </si>
  <si>
    <t>Current Assets</t>
  </si>
  <si>
    <t xml:space="preserve">     Cash </t>
  </si>
  <si>
    <t xml:space="preserve">     Note receivable from parent company</t>
  </si>
  <si>
    <t xml:space="preserve">     Transportation and exchange gas receivable</t>
  </si>
  <si>
    <t xml:space="preserve">     Assets from price risk management activities</t>
  </si>
  <si>
    <t xml:space="preserve">     Regulatory assets</t>
  </si>
  <si>
    <t xml:space="preserve">     Other </t>
  </si>
  <si>
    <t xml:space="preserve">        Total Current Assets</t>
  </si>
  <si>
    <t>Property, Plant and Equipment, at Cost</t>
  </si>
  <si>
    <t xml:space="preserve">        Property, Plant and Equipment, net</t>
  </si>
  <si>
    <t>Other Assets</t>
  </si>
  <si>
    <t xml:space="preserve">     Other</t>
  </si>
  <si>
    <t xml:space="preserve">        Total Other Assets</t>
  </si>
  <si>
    <t>Total Assets</t>
  </si>
  <si>
    <t xml:space="preserve">     Less - Accumulated depreciation and amortization</t>
  </si>
  <si>
    <t>NORTHERN NATURAL GAS COMPANY</t>
  </si>
  <si>
    <t>LIABILITIES AND STOCKHOLDER'S EQUITY</t>
  </si>
  <si>
    <t>Current Liabilities</t>
  </si>
  <si>
    <t xml:space="preserve">     Transportation and exchange gas payable</t>
  </si>
  <si>
    <t xml:space="preserve">     Liabilities from price risk management activities</t>
  </si>
  <si>
    <t xml:space="preserve">     Regulatory liabilities</t>
  </si>
  <si>
    <t xml:space="preserve">     Transition cost obligations</t>
  </si>
  <si>
    <t xml:space="preserve">        Total Current Liabilities</t>
  </si>
  <si>
    <t>Long-Term Debt</t>
  </si>
  <si>
    <t>Deferred Credits and Other Liabilities</t>
  </si>
  <si>
    <t xml:space="preserve">     Deferred income taxes </t>
  </si>
  <si>
    <t xml:space="preserve">        Total Deferred Credits and Other Liabilities</t>
  </si>
  <si>
    <t>Stockholder's Equity</t>
  </si>
  <si>
    <t>Total Liabilities and Stockholder's Equity</t>
  </si>
  <si>
    <t xml:space="preserve">     Accounts payable </t>
  </si>
  <si>
    <t>Cash Flows From Operating Activities</t>
  </si>
  <si>
    <t xml:space="preserve">     Net income </t>
  </si>
  <si>
    <t xml:space="preserve">     Depreciation and amortization</t>
  </si>
  <si>
    <t xml:space="preserve">     Deferred fuel costs</t>
  </si>
  <si>
    <t xml:space="preserve">     Changes in components of working capital</t>
  </si>
  <si>
    <t xml:space="preserve">        Receivables</t>
  </si>
  <si>
    <t xml:space="preserve">        Payables</t>
  </si>
  <si>
    <t xml:space="preserve">        Other current assets / liabilities</t>
  </si>
  <si>
    <t xml:space="preserve">     Net assets from price risk management activities</t>
  </si>
  <si>
    <t xml:space="preserve">     Change in gas storage inventory</t>
  </si>
  <si>
    <t xml:space="preserve">     Other, net </t>
  </si>
  <si>
    <t>Net Cash Provided by Operating Activities</t>
  </si>
  <si>
    <t>Cash Flows From Investing Activities</t>
  </si>
  <si>
    <t xml:space="preserve">     Additions to property, plant and equipment </t>
  </si>
  <si>
    <t xml:space="preserve">     Other capital expenditures</t>
  </si>
  <si>
    <t xml:space="preserve">     Other investing activities</t>
  </si>
  <si>
    <t>Net Cash Used in Investing Activities</t>
  </si>
  <si>
    <t>Cash Flows From Financing Activities</t>
  </si>
  <si>
    <t xml:space="preserve">     Issuance of long-term debt</t>
  </si>
  <si>
    <t xml:space="preserve">     Dividends on common stock</t>
  </si>
  <si>
    <t xml:space="preserve">     Repayment of long-term debt</t>
  </si>
  <si>
    <t xml:space="preserve">     Contributions from parent</t>
  </si>
  <si>
    <t>Net Cash Provided by Financing Activities</t>
  </si>
  <si>
    <t xml:space="preserve">Increase  in Cash </t>
  </si>
  <si>
    <t>Cash, Beginning of Year</t>
  </si>
  <si>
    <t>Cash, End of Period</t>
  </si>
  <si>
    <t>Cash Flow</t>
  </si>
  <si>
    <t xml:space="preserve">     Accrued taxes and interest</t>
  </si>
  <si>
    <t xml:space="preserve">     Accounts receivable</t>
  </si>
  <si>
    <t xml:space="preserve">     Current portion of long-term debt</t>
  </si>
  <si>
    <t>TRANSWESTERN PIPELINE COMPANY</t>
  </si>
  <si>
    <t>CITRUS CORP. AND SUBSIDIARIES</t>
  </si>
  <si>
    <t>Transportation and other, net</t>
  </si>
  <si>
    <t>Gas sales</t>
  </si>
  <si>
    <t>Natural gas purchased</t>
  </si>
  <si>
    <t>Income before cumulative effect of accounting changes</t>
  </si>
  <si>
    <t>Cumulative effect of accounting changes, net of taxes</t>
  </si>
  <si>
    <t xml:space="preserve">     Price risk management assets</t>
  </si>
  <si>
    <t xml:space="preserve">     Commodity adjustment costs</t>
  </si>
  <si>
    <t xml:space="preserve">     Price risk management liabilities</t>
  </si>
  <si>
    <t xml:space="preserve">     Notes payable</t>
  </si>
  <si>
    <t xml:space="preserve">     Short-term bank borrowings</t>
  </si>
  <si>
    <t>*</t>
  </si>
  <si>
    <t>'97-'98 not restated yet to be consistent w/ '99, '00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</si>
</sst>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37" fontId="4" fillId="0" borderId="0" xfId="0" applyNumberFormat="1" applyFont="1"/>
    <xf numFmtId="37" fontId="4" fillId="0" borderId="0" xfId="0" quotePrefix="1" applyNumberFormat="1" applyFont="1" applyAlignment="1">
      <alignment horizontal="left"/>
    </xf>
    <xf numFmtId="41" fontId="4" fillId="0" borderId="0" xfId="0" applyNumberFormat="1" applyFont="1"/>
    <xf numFmtId="41" fontId="4" fillId="0" borderId="0" xfId="0" quotePrefix="1" applyNumberFormat="1" applyFont="1" applyAlignment="1">
      <alignment horizontal="left"/>
    </xf>
    <xf numFmtId="41" fontId="4" fillId="0" borderId="2" xfId="0" applyNumberFormat="1" applyFont="1" applyBorder="1"/>
    <xf numFmtId="41" fontId="4" fillId="0" borderId="3" xfId="0" applyNumberFormat="1" applyFont="1" applyBorder="1"/>
    <xf numFmtId="0" fontId="7" fillId="0" borderId="0" xfId="0" applyFont="1"/>
    <xf numFmtId="41" fontId="4" fillId="0" borderId="0" xfId="0" applyNumberFormat="1" applyFont="1" applyBorder="1"/>
    <xf numFmtId="37" fontId="4" fillId="0" borderId="0" xfId="0" quotePrefix="1" applyNumberFormat="1" applyFont="1" applyAlignment="1">
      <alignment horizontal="left" vertical="top" wrapText="1"/>
    </xf>
    <xf numFmtId="0" fontId="9" fillId="0" borderId="0" xfId="0" applyFont="1"/>
    <xf numFmtId="0" fontId="8" fillId="0" borderId="0" xfId="0" quotePrefix="1" applyFont="1" applyAlignment="1">
      <alignment horizontal="left"/>
    </xf>
    <xf numFmtId="41" fontId="9" fillId="0" borderId="0" xfId="0" applyNumberFormat="1" applyFont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41" fontId="9" fillId="0" borderId="2" xfId="0" applyNumberFormat="1" applyFont="1" applyBorder="1"/>
    <xf numFmtId="41" fontId="9" fillId="0" borderId="2" xfId="0" quotePrefix="1" applyNumberFormat="1" applyFont="1" applyBorder="1" applyAlignment="1">
      <alignment horizontal="left"/>
    </xf>
    <xf numFmtId="41" fontId="9" fillId="0" borderId="0" xfId="0" applyNumberFormat="1" applyFont="1" applyBorder="1"/>
    <xf numFmtId="0" fontId="9" fillId="0" borderId="0" xfId="0" applyFont="1" applyBorder="1"/>
    <xf numFmtId="41" fontId="9" fillId="0" borderId="3" xfId="0" applyNumberFormat="1" applyFont="1" applyBorder="1"/>
    <xf numFmtId="41" fontId="4" fillId="0" borderId="1" xfId="0" applyNumberFormat="1" applyFont="1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/>
    <xf numFmtId="165" fontId="1" fillId="0" borderId="1" xfId="1" applyNumberFormat="1" applyBorder="1"/>
    <xf numFmtId="165" fontId="1" fillId="0" borderId="2" xfId="1" applyNumberFormat="1" applyBorder="1"/>
    <xf numFmtId="165" fontId="1" fillId="0" borderId="3" xfId="1" applyNumberFormat="1" applyBorder="1"/>
    <xf numFmtId="0" fontId="10" fillId="0" borderId="0" xfId="0" applyFont="1"/>
    <xf numFmtId="165" fontId="4" fillId="0" borderId="0" xfId="1" applyNumberFormat="1" applyFont="1"/>
    <xf numFmtId="0" fontId="4" fillId="0" borderId="0" xfId="0" applyFont="1"/>
    <xf numFmtId="0" fontId="11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22"/>
  <sheetViews>
    <sheetView tabSelected="1" zoomScale="93" workbookViewId="0">
      <selection activeCell="B4" sqref="B4"/>
    </sheetView>
  </sheetViews>
  <sheetFormatPr defaultRowHeight="13.2" x14ac:dyDescent="0.25"/>
  <cols>
    <col min="1" max="1" width="4.44140625" customWidth="1"/>
    <col min="2" max="2" width="52.88671875" customWidth="1"/>
    <col min="3" max="3" width="12.109375" customWidth="1"/>
    <col min="4" max="4" width="4.44140625" customWidth="1"/>
    <col min="5" max="5" width="11" customWidth="1"/>
    <col min="6" max="6" width="5.44140625" customWidth="1"/>
    <col min="7" max="7" width="10.33203125" bestFit="1" customWidth="1"/>
    <col min="8" max="8" width="4.44140625" customWidth="1"/>
    <col min="9" max="9" width="11.33203125" bestFit="1" customWidth="1"/>
  </cols>
  <sheetData>
    <row r="1" spans="1:9" ht="13.8" x14ac:dyDescent="0.25">
      <c r="A1" s="12" t="s">
        <v>33</v>
      </c>
    </row>
    <row r="4" spans="1:9" x14ac:dyDescent="0.25">
      <c r="A4" s="1" t="s">
        <v>0</v>
      </c>
      <c r="C4" s="27">
        <v>1997</v>
      </c>
      <c r="D4" s="28"/>
      <c r="E4" s="27">
        <v>1998</v>
      </c>
      <c r="F4" s="28"/>
      <c r="G4" s="27">
        <v>1999</v>
      </c>
      <c r="H4" s="28"/>
      <c r="I4" s="27">
        <v>2000</v>
      </c>
    </row>
    <row r="6" spans="1:9" x14ac:dyDescent="0.25">
      <c r="A6" t="s">
        <v>1</v>
      </c>
    </row>
    <row r="7" spans="1:9" x14ac:dyDescent="0.25">
      <c r="B7" t="s">
        <v>2</v>
      </c>
      <c r="C7" s="2">
        <v>495308</v>
      </c>
      <c r="E7" s="2">
        <v>480386</v>
      </c>
      <c r="G7" s="2">
        <v>449413</v>
      </c>
      <c r="I7" s="2">
        <v>445491</v>
      </c>
    </row>
    <row r="8" spans="1:9" x14ac:dyDescent="0.25">
      <c r="B8" t="s">
        <v>3</v>
      </c>
      <c r="C8" s="2">
        <f>6453+5878</f>
        <v>12331</v>
      </c>
      <c r="E8" s="2">
        <f>6658+2873</f>
        <v>9531</v>
      </c>
      <c r="G8" s="2">
        <f>38611+3276</f>
        <v>41887</v>
      </c>
      <c r="I8" s="2">
        <f>55877+4153</f>
        <v>60030</v>
      </c>
    </row>
    <row r="9" spans="1:9" x14ac:dyDescent="0.25">
      <c r="C9" s="3">
        <f>SUM(C7:C8)</f>
        <v>507639</v>
      </c>
      <c r="E9" s="3">
        <f>SUM(E7:E8)</f>
        <v>489917</v>
      </c>
      <c r="G9" s="3">
        <f>SUM(G7:G8)</f>
        <v>491300</v>
      </c>
      <c r="I9" s="3">
        <f>SUM(I7:I8)</f>
        <v>505521</v>
      </c>
    </row>
    <row r="10" spans="1:9" ht="7.5" customHeight="1" x14ac:dyDescent="0.25">
      <c r="C10" s="2"/>
      <c r="E10" s="2"/>
      <c r="G10" s="2"/>
      <c r="I10" s="2"/>
    </row>
    <row r="11" spans="1:9" x14ac:dyDescent="0.25">
      <c r="A11" t="s">
        <v>4</v>
      </c>
      <c r="C11" s="2"/>
      <c r="E11" s="2"/>
      <c r="G11" s="2"/>
      <c r="I11" s="2"/>
    </row>
    <row r="12" spans="1:9" x14ac:dyDescent="0.25">
      <c r="B12" t="s">
        <v>5</v>
      </c>
      <c r="C12" s="2">
        <v>4411</v>
      </c>
      <c r="E12" s="2">
        <v>5823</v>
      </c>
      <c r="G12" s="2">
        <v>15992</v>
      </c>
      <c r="I12" s="2">
        <v>13688</v>
      </c>
    </row>
    <row r="13" spans="1:9" x14ac:dyDescent="0.25">
      <c r="B13" t="s">
        <v>6</v>
      </c>
      <c r="C13" s="2">
        <v>183546</v>
      </c>
      <c r="E13" s="2">
        <v>171064</v>
      </c>
      <c r="G13" s="2">
        <v>191768</v>
      </c>
      <c r="I13" s="2">
        <v>194504</v>
      </c>
    </row>
    <row r="14" spans="1:9" x14ac:dyDescent="0.25">
      <c r="B14" t="s">
        <v>7</v>
      </c>
      <c r="C14" s="2">
        <v>43134</v>
      </c>
      <c r="E14" s="2">
        <v>44376</v>
      </c>
      <c r="G14" s="2">
        <v>42666</v>
      </c>
      <c r="I14" s="2">
        <v>45091</v>
      </c>
    </row>
    <row r="15" spans="1:9" x14ac:dyDescent="0.25">
      <c r="B15" t="s">
        <v>14</v>
      </c>
      <c r="C15" s="2">
        <v>45429</v>
      </c>
      <c r="E15" s="2">
        <v>36967</v>
      </c>
      <c r="G15" s="2">
        <v>-2271</v>
      </c>
      <c r="I15" s="2">
        <v>5600</v>
      </c>
    </row>
    <row r="16" spans="1:9" x14ac:dyDescent="0.25">
      <c r="B16" t="s">
        <v>8</v>
      </c>
      <c r="C16" s="2">
        <v>28706</v>
      </c>
      <c r="E16" s="2">
        <v>30583</v>
      </c>
      <c r="G16" s="2">
        <v>31830</v>
      </c>
      <c r="I16" s="2">
        <v>32175</v>
      </c>
    </row>
    <row r="17" spans="1:9" x14ac:dyDescent="0.25">
      <c r="C17" s="3">
        <f>SUM(C12:C16)</f>
        <v>305226</v>
      </c>
      <c r="E17" s="3">
        <f>SUM(E12:E16)</f>
        <v>288813</v>
      </c>
      <c r="G17" s="3">
        <f>SUM(G12:G16)</f>
        <v>279985</v>
      </c>
      <c r="I17" s="3">
        <f>SUM(I12:I16)</f>
        <v>291058</v>
      </c>
    </row>
    <row r="18" spans="1:9" ht="8.25" customHeight="1" x14ac:dyDescent="0.25">
      <c r="C18" s="2"/>
      <c r="E18" s="2"/>
      <c r="G18" s="2"/>
      <c r="I18" s="2"/>
    </row>
    <row r="19" spans="1:9" x14ac:dyDescent="0.25">
      <c r="A19" t="s">
        <v>15</v>
      </c>
      <c r="C19" s="2">
        <f>C9-C17</f>
        <v>202413</v>
      </c>
      <c r="E19" s="2">
        <f>E9-E17</f>
        <v>201104</v>
      </c>
      <c r="G19" s="2">
        <f>G9-G17</f>
        <v>211315</v>
      </c>
      <c r="I19" s="2">
        <f>I9-I17</f>
        <v>214463</v>
      </c>
    </row>
    <row r="20" spans="1:9" ht="7.5" customHeight="1" x14ac:dyDescent="0.25">
      <c r="C20" s="2"/>
      <c r="E20" s="2"/>
      <c r="G20" s="2"/>
      <c r="I20" s="2"/>
    </row>
    <row r="21" spans="1:9" x14ac:dyDescent="0.25">
      <c r="A21" t="s">
        <v>9</v>
      </c>
      <c r="C21" s="4">
        <f>9396+7377</f>
        <v>16773</v>
      </c>
      <c r="E21" s="4">
        <f>9042+11701</f>
        <v>20743</v>
      </c>
      <c r="G21" s="4">
        <f>15627+8295</f>
        <v>23922</v>
      </c>
      <c r="I21" s="4">
        <f>23427+23703</f>
        <v>47130</v>
      </c>
    </row>
    <row r="22" spans="1:9" ht="6.75" customHeight="1" x14ac:dyDescent="0.25">
      <c r="C22" s="2"/>
      <c r="E22" s="2"/>
      <c r="G22" s="2"/>
      <c r="I22" s="2"/>
    </row>
    <row r="23" spans="1:9" x14ac:dyDescent="0.25">
      <c r="A23" t="s">
        <v>10</v>
      </c>
      <c r="C23" s="2">
        <f>C19+C21</f>
        <v>219186</v>
      </c>
      <c r="E23" s="2">
        <f>E19+E21</f>
        <v>221847</v>
      </c>
      <c r="G23" s="2">
        <f>G19+G21</f>
        <v>235237</v>
      </c>
      <c r="I23" s="2">
        <f>I19+I21</f>
        <v>261593</v>
      </c>
    </row>
    <row r="24" spans="1:9" ht="6.75" customHeight="1" x14ac:dyDescent="0.25">
      <c r="C24" s="2"/>
      <c r="E24" s="2"/>
      <c r="G24" s="2"/>
      <c r="I24" s="2"/>
    </row>
    <row r="25" spans="1:9" x14ac:dyDescent="0.25">
      <c r="A25" t="s">
        <v>11</v>
      </c>
      <c r="C25" s="2">
        <v>32116</v>
      </c>
      <c r="E25" s="2">
        <v>35136</v>
      </c>
      <c r="G25" s="2">
        <v>41581</v>
      </c>
      <c r="I25" s="2">
        <v>36580</v>
      </c>
    </row>
    <row r="26" spans="1:9" ht="6.75" customHeight="1" x14ac:dyDescent="0.25">
      <c r="C26" s="2"/>
      <c r="E26" s="2"/>
      <c r="G26" s="2"/>
      <c r="I26" s="2"/>
    </row>
    <row r="27" spans="1:9" x14ac:dyDescent="0.25">
      <c r="A27" t="s">
        <v>12</v>
      </c>
      <c r="C27" s="4">
        <v>71345</v>
      </c>
      <c r="E27" s="4">
        <v>73020</v>
      </c>
      <c r="G27" s="4">
        <v>76650</v>
      </c>
      <c r="I27" s="4">
        <v>88929</v>
      </c>
    </row>
    <row r="28" spans="1:9" ht="6" customHeight="1" x14ac:dyDescent="0.25">
      <c r="C28" s="2"/>
      <c r="E28" s="2"/>
      <c r="G28" s="2"/>
      <c r="I28" s="2"/>
    </row>
    <row r="29" spans="1:9" ht="13.8" thickBot="1" x14ac:dyDescent="0.3">
      <c r="A29" t="s">
        <v>13</v>
      </c>
      <c r="C29" s="5">
        <f>C23-C25-C27</f>
        <v>115725</v>
      </c>
      <c r="E29" s="5">
        <f>E23-E25-E27</f>
        <v>113691</v>
      </c>
      <c r="G29" s="5">
        <f>G23-G25-G27</f>
        <v>117006</v>
      </c>
      <c r="I29" s="5">
        <f>I23-I25-I27</f>
        <v>136084</v>
      </c>
    </row>
    <row r="30" spans="1:9" ht="13.8" thickTop="1" x14ac:dyDescent="0.25"/>
    <row r="32" spans="1:9" x14ac:dyDescent="0.25">
      <c r="A32" s="1" t="s">
        <v>16</v>
      </c>
    </row>
    <row r="34" spans="1:10" x14ac:dyDescent="0.25">
      <c r="A34" s="6" t="s">
        <v>17</v>
      </c>
      <c r="B34" s="6"/>
      <c r="C34" s="6"/>
      <c r="E34" s="6"/>
      <c r="G34" s="6"/>
      <c r="I34" s="6"/>
      <c r="J34" s="6"/>
    </row>
    <row r="35" spans="1:10" ht="6.75" customHeight="1" x14ac:dyDescent="0.25">
      <c r="A35" s="6"/>
      <c r="B35" s="6"/>
      <c r="C35" s="6"/>
      <c r="E35" s="6"/>
      <c r="G35" s="6"/>
      <c r="I35" s="6"/>
      <c r="J35" s="6"/>
    </row>
    <row r="36" spans="1:10" x14ac:dyDescent="0.25">
      <c r="A36" s="6" t="s">
        <v>18</v>
      </c>
      <c r="B36" s="6"/>
      <c r="C36" s="6"/>
      <c r="E36" s="6"/>
      <c r="G36" s="6"/>
      <c r="I36" s="6"/>
      <c r="J36" s="6"/>
    </row>
    <row r="37" spans="1:10" x14ac:dyDescent="0.25">
      <c r="A37" s="7" t="s">
        <v>19</v>
      </c>
      <c r="B37" s="6"/>
      <c r="C37" s="8">
        <v>52</v>
      </c>
      <c r="E37" s="8">
        <v>53</v>
      </c>
      <c r="G37" s="8">
        <v>54</v>
      </c>
      <c r="I37" s="8">
        <v>53</v>
      </c>
    </row>
    <row r="38" spans="1:10" x14ac:dyDescent="0.25">
      <c r="A38" s="7" t="s">
        <v>76</v>
      </c>
      <c r="B38" s="6"/>
      <c r="C38" s="8">
        <f>19126+589</f>
        <v>19715</v>
      </c>
      <c r="E38" s="8">
        <f>20178+188</f>
        <v>20366</v>
      </c>
      <c r="G38" s="8">
        <f>11271+3124</f>
        <v>14395</v>
      </c>
      <c r="I38" s="8">
        <f>40344+192</f>
        <v>40536</v>
      </c>
    </row>
    <row r="39" spans="1:10" x14ac:dyDescent="0.25">
      <c r="A39" s="7" t="s">
        <v>20</v>
      </c>
      <c r="B39" s="6"/>
      <c r="C39" s="9">
        <v>35039</v>
      </c>
      <c r="E39" s="9">
        <v>91176</v>
      </c>
      <c r="G39" s="9">
        <v>182865</v>
      </c>
      <c r="I39" s="9">
        <v>296611</v>
      </c>
    </row>
    <row r="40" spans="1:10" x14ac:dyDescent="0.25">
      <c r="A40" s="7" t="s">
        <v>21</v>
      </c>
      <c r="B40" s="6"/>
      <c r="C40" s="8">
        <v>25029</v>
      </c>
      <c r="E40" s="8">
        <v>15745</v>
      </c>
      <c r="G40" s="8">
        <v>21729</v>
      </c>
      <c r="I40" s="8">
        <v>80047</v>
      </c>
    </row>
    <row r="41" spans="1:10" x14ac:dyDescent="0.25">
      <c r="A41" s="7" t="s">
        <v>23</v>
      </c>
      <c r="B41" s="6"/>
      <c r="C41" s="8">
        <v>45951</v>
      </c>
      <c r="E41" s="8">
        <v>4829</v>
      </c>
      <c r="G41" s="8">
        <v>10133</v>
      </c>
      <c r="I41" s="8">
        <v>9176</v>
      </c>
    </row>
    <row r="42" spans="1:10" x14ac:dyDescent="0.25">
      <c r="A42" s="7" t="s">
        <v>24</v>
      </c>
      <c r="B42" s="6"/>
      <c r="C42" s="10">
        <v>7808</v>
      </c>
      <c r="E42" s="10">
        <v>10236</v>
      </c>
      <c r="G42" s="10">
        <v>8775</v>
      </c>
      <c r="I42" s="10">
        <v>6519</v>
      </c>
    </row>
    <row r="43" spans="1:10" x14ac:dyDescent="0.25">
      <c r="A43" s="7" t="s">
        <v>25</v>
      </c>
      <c r="B43" s="6"/>
      <c r="C43" s="10">
        <f>SUM(C37:C42)</f>
        <v>133594</v>
      </c>
      <c r="E43" s="10">
        <f>SUM(E37:E42)</f>
        <v>142405</v>
      </c>
      <c r="G43" s="10">
        <f>SUM(G37:G42)</f>
        <v>237951</v>
      </c>
      <c r="I43" s="10">
        <f>SUM(I37:I42)</f>
        <v>432942</v>
      </c>
    </row>
    <row r="44" spans="1:10" ht="7.5" customHeight="1" x14ac:dyDescent="0.25"/>
    <row r="45" spans="1:10" x14ac:dyDescent="0.25">
      <c r="A45" s="7" t="s">
        <v>26</v>
      </c>
      <c r="B45" s="6"/>
      <c r="C45" s="8">
        <v>2601852</v>
      </c>
      <c r="E45" s="8">
        <v>2713525</v>
      </c>
      <c r="G45" s="8">
        <v>2754453</v>
      </c>
      <c r="I45" s="8">
        <v>2743866</v>
      </c>
    </row>
    <row r="46" spans="1:10" x14ac:dyDescent="0.25">
      <c r="A46" s="7" t="s">
        <v>32</v>
      </c>
      <c r="B46" s="6"/>
      <c r="C46" s="10">
        <v>1447195</v>
      </c>
      <c r="E46" s="10">
        <v>1445840</v>
      </c>
      <c r="G46" s="10">
        <v>1434681</v>
      </c>
      <c r="I46" s="10">
        <v>1442835</v>
      </c>
    </row>
    <row r="47" spans="1:10" x14ac:dyDescent="0.25">
      <c r="A47" s="7" t="s">
        <v>27</v>
      </c>
      <c r="B47" s="6"/>
      <c r="C47" s="10">
        <f>C45-C46</f>
        <v>1154657</v>
      </c>
      <c r="E47" s="10">
        <f>E45-E46</f>
        <v>1267685</v>
      </c>
      <c r="G47" s="10">
        <f>G45-G46</f>
        <v>1319772</v>
      </c>
      <c r="I47" s="10">
        <f>I45-I46</f>
        <v>1301031</v>
      </c>
    </row>
    <row r="48" spans="1:10" ht="6.75" customHeight="1" x14ac:dyDescent="0.25">
      <c r="A48" s="6"/>
      <c r="B48" s="6"/>
      <c r="C48" s="8"/>
      <c r="E48" s="8"/>
      <c r="G48" s="8"/>
      <c r="I48" s="8"/>
    </row>
    <row r="49" spans="1:10" x14ac:dyDescent="0.25">
      <c r="A49" s="7" t="s">
        <v>28</v>
      </c>
      <c r="B49" s="6"/>
      <c r="C49" s="8"/>
      <c r="E49" s="8"/>
      <c r="G49" s="8"/>
      <c r="I49" s="8"/>
    </row>
    <row r="50" spans="1:10" x14ac:dyDescent="0.25">
      <c r="A50" s="7" t="s">
        <v>22</v>
      </c>
      <c r="B50" s="6"/>
      <c r="C50" s="8"/>
      <c r="E50" s="8">
        <v>0</v>
      </c>
      <c r="G50" s="8">
        <v>0</v>
      </c>
      <c r="I50" s="8">
        <v>28904</v>
      </c>
    </row>
    <row r="51" spans="1:10" x14ac:dyDescent="0.25">
      <c r="A51" s="7" t="s">
        <v>23</v>
      </c>
      <c r="B51" s="6"/>
      <c r="C51" s="8">
        <v>138545</v>
      </c>
      <c r="E51" s="8">
        <v>154340</v>
      </c>
      <c r="G51" s="8">
        <v>164061</v>
      </c>
      <c r="I51" s="8">
        <v>207800</v>
      </c>
    </row>
    <row r="52" spans="1:10" x14ac:dyDescent="0.25">
      <c r="A52" s="7" t="s">
        <v>29</v>
      </c>
      <c r="B52" s="6"/>
      <c r="C52" s="10">
        <v>3608</v>
      </c>
      <c r="E52" s="10">
        <v>6944</v>
      </c>
      <c r="G52" s="10">
        <v>7577</v>
      </c>
      <c r="I52" s="10">
        <v>10642</v>
      </c>
    </row>
    <row r="53" spans="1:10" x14ac:dyDescent="0.25">
      <c r="A53" s="7" t="s">
        <v>30</v>
      </c>
      <c r="B53" s="6"/>
      <c r="C53" s="10">
        <f>SUM(C50:C52)</f>
        <v>142153</v>
      </c>
      <c r="E53" s="10">
        <f>SUM(E50:E52)</f>
        <v>161284</v>
      </c>
      <c r="G53" s="10">
        <f>SUM(G50:G52)</f>
        <v>171638</v>
      </c>
      <c r="I53" s="10">
        <f>SUM(I50:I52)</f>
        <v>247346</v>
      </c>
    </row>
    <row r="54" spans="1:10" ht="8.25" customHeight="1" x14ac:dyDescent="0.25"/>
    <row r="55" spans="1:10" ht="13.8" thickBot="1" x14ac:dyDescent="0.3">
      <c r="A55" s="6" t="s">
        <v>31</v>
      </c>
      <c r="B55" s="6"/>
      <c r="C55" s="11">
        <f>C43+C47+C53</f>
        <v>1430404</v>
      </c>
      <c r="E55" s="11">
        <f>E43+E47+E53</f>
        <v>1571374</v>
      </c>
      <c r="G55" s="11">
        <f>G43+G47+G53</f>
        <v>1729361</v>
      </c>
      <c r="I55" s="11">
        <f>I43+I47+I53</f>
        <v>1981319</v>
      </c>
    </row>
    <row r="56" spans="1:10" ht="13.8" thickTop="1" x14ac:dyDescent="0.25">
      <c r="A56" s="6"/>
      <c r="B56" s="6"/>
      <c r="C56" s="6"/>
      <c r="E56" s="6"/>
      <c r="G56" s="6"/>
      <c r="I56" s="6"/>
      <c r="J56" s="6"/>
    </row>
    <row r="57" spans="1:10" x14ac:dyDescent="0.25">
      <c r="A57" s="6" t="s">
        <v>34</v>
      </c>
      <c r="B57" s="6"/>
      <c r="C57" s="6"/>
      <c r="E57" s="6"/>
      <c r="G57" s="6"/>
      <c r="I57" s="6"/>
      <c r="J57" s="6"/>
    </row>
    <row r="58" spans="1:10" ht="7.5" customHeight="1" x14ac:dyDescent="0.25">
      <c r="A58" s="6"/>
      <c r="B58" s="6"/>
      <c r="C58" s="6"/>
      <c r="E58" s="6"/>
      <c r="G58" s="6"/>
      <c r="I58" s="6"/>
      <c r="J58" s="6"/>
    </row>
    <row r="59" spans="1:10" x14ac:dyDescent="0.25">
      <c r="A59" s="6" t="s">
        <v>35</v>
      </c>
      <c r="B59" s="6"/>
      <c r="C59" s="6"/>
      <c r="E59" s="6"/>
      <c r="G59" s="6"/>
      <c r="I59" s="6"/>
      <c r="J59" s="6"/>
    </row>
    <row r="60" spans="1:10" x14ac:dyDescent="0.25">
      <c r="A60" s="7" t="s">
        <v>47</v>
      </c>
      <c r="B60" s="6"/>
      <c r="C60" s="8">
        <f>42573+169</f>
        <v>42742</v>
      </c>
      <c r="E60" s="8">
        <f>19063+160</f>
        <v>19223</v>
      </c>
      <c r="G60" s="8">
        <f>17425+4320</f>
        <v>21745</v>
      </c>
      <c r="I60" s="8">
        <f>29285+2437</f>
        <v>31722</v>
      </c>
      <c r="J60" s="6"/>
    </row>
    <row r="61" spans="1:10" x14ac:dyDescent="0.25">
      <c r="A61" s="7" t="s">
        <v>36</v>
      </c>
      <c r="B61" s="6"/>
      <c r="C61" s="8">
        <v>29955</v>
      </c>
      <c r="E61" s="8">
        <v>11129</v>
      </c>
      <c r="G61" s="8">
        <v>10931</v>
      </c>
      <c r="I61" s="8">
        <v>69748</v>
      </c>
    </row>
    <row r="62" spans="1:10" x14ac:dyDescent="0.25">
      <c r="A62" s="7" t="s">
        <v>75</v>
      </c>
      <c r="B62" s="6"/>
      <c r="C62" s="8">
        <f>24267+2813</f>
        <v>27080</v>
      </c>
      <c r="E62" s="8">
        <f>23626+6103</f>
        <v>29729</v>
      </c>
      <c r="G62" s="8">
        <f>23625+5634</f>
        <v>29259</v>
      </c>
      <c r="I62" s="8">
        <f>24785+5634</f>
        <v>30419</v>
      </c>
    </row>
    <row r="63" spans="1:10" x14ac:dyDescent="0.25">
      <c r="A63" s="7" t="s">
        <v>38</v>
      </c>
      <c r="B63" s="6"/>
      <c r="C63" s="8">
        <v>5296</v>
      </c>
      <c r="E63" s="8">
        <v>14084</v>
      </c>
      <c r="G63" s="8">
        <v>11737</v>
      </c>
      <c r="I63" s="8">
        <v>12257</v>
      </c>
    </row>
    <row r="64" spans="1:10" x14ac:dyDescent="0.25">
      <c r="A64" s="7" t="s">
        <v>39</v>
      </c>
      <c r="B64" s="6"/>
      <c r="C64" s="8">
        <v>11172</v>
      </c>
      <c r="E64" s="8">
        <v>10117</v>
      </c>
      <c r="G64" s="8">
        <v>10117</v>
      </c>
      <c r="I64" s="8">
        <v>10117</v>
      </c>
    </row>
    <row r="65" spans="1:9" x14ac:dyDescent="0.25">
      <c r="A65" s="7" t="s">
        <v>77</v>
      </c>
      <c r="B65" s="6"/>
      <c r="C65" s="8">
        <v>0</v>
      </c>
      <c r="E65" s="8">
        <v>250000</v>
      </c>
      <c r="G65" s="8">
        <v>0</v>
      </c>
      <c r="I65" s="8">
        <v>0</v>
      </c>
    </row>
    <row r="66" spans="1:9" x14ac:dyDescent="0.25">
      <c r="A66" s="7" t="s">
        <v>29</v>
      </c>
      <c r="B66" s="6"/>
      <c r="C66" s="10">
        <f>397+4962</f>
        <v>5359</v>
      </c>
      <c r="E66" s="10">
        <f>778+10548+1180</f>
        <v>12506</v>
      </c>
      <c r="G66" s="10">
        <f>5400+759+3259</f>
        <v>9418</v>
      </c>
      <c r="I66" s="10">
        <f>7524+200+2374</f>
        <v>10098</v>
      </c>
    </row>
    <row r="67" spans="1:9" x14ac:dyDescent="0.25">
      <c r="A67" s="7" t="s">
        <v>40</v>
      </c>
      <c r="B67" s="6"/>
      <c r="C67" s="10">
        <f>SUM(C60:C66)</f>
        <v>121604</v>
      </c>
      <c r="E67" s="10">
        <f>SUM(E60:E66)</f>
        <v>346788</v>
      </c>
      <c r="G67" s="10">
        <f>SUM(G60:G66)</f>
        <v>93207</v>
      </c>
      <c r="I67" s="10">
        <f>SUM(I60:I66)</f>
        <v>164361</v>
      </c>
    </row>
    <row r="68" spans="1:9" ht="6" customHeight="1" x14ac:dyDescent="0.25"/>
    <row r="69" spans="1:9" x14ac:dyDescent="0.25">
      <c r="A69" s="6" t="s">
        <v>41</v>
      </c>
      <c r="B69" s="6"/>
      <c r="C69" s="10">
        <v>349434</v>
      </c>
      <c r="E69" s="10">
        <v>249511</v>
      </c>
      <c r="G69" s="10">
        <v>499588</v>
      </c>
      <c r="I69" s="10">
        <v>499666</v>
      </c>
    </row>
    <row r="70" spans="1:9" ht="9" customHeight="1" x14ac:dyDescent="0.25">
      <c r="A70" s="6"/>
      <c r="B70" s="6"/>
      <c r="C70" s="8"/>
      <c r="E70" s="8"/>
      <c r="G70" s="8"/>
      <c r="I70" s="8"/>
    </row>
    <row r="71" spans="1:9" x14ac:dyDescent="0.25">
      <c r="A71" s="6" t="s">
        <v>42</v>
      </c>
      <c r="B71" s="6"/>
      <c r="C71" s="8"/>
      <c r="E71" s="8"/>
      <c r="G71" s="8"/>
      <c r="I71" s="8"/>
    </row>
    <row r="72" spans="1:9" x14ac:dyDescent="0.25">
      <c r="A72" s="7" t="s">
        <v>43</v>
      </c>
      <c r="B72" s="6"/>
      <c r="C72" s="8">
        <v>201600</v>
      </c>
      <c r="E72" s="8">
        <v>210256</v>
      </c>
      <c r="G72" s="8">
        <v>240925</v>
      </c>
      <c r="I72" s="8">
        <v>282934</v>
      </c>
    </row>
    <row r="73" spans="1:9" x14ac:dyDescent="0.25">
      <c r="A73" s="7" t="s">
        <v>37</v>
      </c>
      <c r="B73" s="6"/>
      <c r="C73" s="8"/>
      <c r="E73" s="8">
        <v>0</v>
      </c>
      <c r="G73" s="8">
        <v>0</v>
      </c>
      <c r="I73" s="8">
        <v>12759</v>
      </c>
    </row>
    <row r="74" spans="1:9" x14ac:dyDescent="0.25">
      <c r="A74" s="7" t="s">
        <v>29</v>
      </c>
      <c r="B74" s="6"/>
      <c r="C74" s="13">
        <f>31093+1987+5643</f>
        <v>38723</v>
      </c>
      <c r="E74" s="13">
        <f>22033+52</f>
        <v>22085</v>
      </c>
      <c r="G74" s="13">
        <f>45+1+11913</f>
        <v>11959</v>
      </c>
      <c r="I74" s="13">
        <f>1796+37</f>
        <v>1833</v>
      </c>
    </row>
    <row r="75" spans="1:9" x14ac:dyDescent="0.25">
      <c r="A75" s="7" t="s">
        <v>44</v>
      </c>
      <c r="B75" s="6"/>
      <c r="C75" s="25">
        <f>SUM(C72:C74)</f>
        <v>240323</v>
      </c>
      <c r="E75" s="25">
        <f>SUM(E72:E74)</f>
        <v>232341</v>
      </c>
      <c r="G75" s="25">
        <f>SUM(G72:G74)</f>
        <v>252884</v>
      </c>
      <c r="I75" s="25">
        <f>SUM(I72:I74)</f>
        <v>297526</v>
      </c>
    </row>
    <row r="76" spans="1:9" ht="8.25" customHeight="1" x14ac:dyDescent="0.25"/>
    <row r="77" spans="1:9" x14ac:dyDescent="0.25">
      <c r="A77" s="6" t="s">
        <v>45</v>
      </c>
      <c r="B77" s="6"/>
      <c r="C77" s="10">
        <v>719043</v>
      </c>
      <c r="E77" s="10">
        <v>742734</v>
      </c>
      <c r="G77" s="10">
        <v>883682</v>
      </c>
      <c r="I77" s="10">
        <v>1019766</v>
      </c>
    </row>
    <row r="78" spans="1:9" ht="7.5" customHeight="1" x14ac:dyDescent="0.25">
      <c r="A78" s="14"/>
      <c r="B78" s="6"/>
    </row>
    <row r="79" spans="1:9" ht="13.8" thickBot="1" x14ac:dyDescent="0.3">
      <c r="A79" s="6" t="s">
        <v>46</v>
      </c>
      <c r="B79" s="6"/>
      <c r="C79" s="11">
        <f>C67+C69+C75+C77</f>
        <v>1430404</v>
      </c>
      <c r="E79" s="11">
        <f>E67+E69+E75+E77</f>
        <v>1571374</v>
      </c>
      <c r="G79" s="11">
        <f>G67+G69+G75+G77</f>
        <v>1729361</v>
      </c>
      <c r="I79" s="11">
        <f>I67+I69+I75+I77</f>
        <v>1981319</v>
      </c>
    </row>
    <row r="80" spans="1:9" ht="13.8" thickTop="1" x14ac:dyDescent="0.25"/>
    <row r="82" spans="1:10" x14ac:dyDescent="0.25">
      <c r="A82" s="1" t="s">
        <v>74</v>
      </c>
    </row>
    <row r="83" spans="1:10" x14ac:dyDescent="0.25">
      <c r="A83" s="1"/>
    </row>
    <row r="84" spans="1:10" x14ac:dyDescent="0.25">
      <c r="A84" s="15" t="s">
        <v>48</v>
      </c>
      <c r="B84" s="15"/>
      <c r="C84" s="15"/>
      <c r="E84" s="15"/>
      <c r="G84" s="15"/>
      <c r="I84" s="15"/>
      <c r="J84" s="15"/>
    </row>
    <row r="85" spans="1:10" x14ac:dyDescent="0.25">
      <c r="A85" s="18" t="s">
        <v>49</v>
      </c>
      <c r="B85" s="15"/>
      <c r="C85" s="17">
        <v>115725</v>
      </c>
      <c r="E85" s="17">
        <v>113691</v>
      </c>
      <c r="G85" s="17">
        <v>117006</v>
      </c>
      <c r="I85" s="17">
        <v>136084</v>
      </c>
    </row>
    <row r="86" spans="1:10" x14ac:dyDescent="0.25">
      <c r="A86" s="18" t="s">
        <v>50</v>
      </c>
      <c r="B86" s="15"/>
      <c r="C86" s="17">
        <f>43134+45429</f>
        <v>88563</v>
      </c>
      <c r="E86" s="17">
        <f>44376+36967</f>
        <v>81343</v>
      </c>
      <c r="G86" s="17">
        <f>42666-2271</f>
        <v>40395</v>
      </c>
      <c r="I86" s="17">
        <f>45091+5600</f>
        <v>50691</v>
      </c>
    </row>
    <row r="87" spans="1:10" x14ac:dyDescent="0.25">
      <c r="A87" s="18" t="s">
        <v>43</v>
      </c>
      <c r="B87" s="15"/>
      <c r="C87" s="17">
        <v>1725</v>
      </c>
      <c r="E87" s="17">
        <v>9037</v>
      </c>
      <c r="G87" s="17">
        <v>25510</v>
      </c>
      <c r="I87" s="17">
        <v>41124</v>
      </c>
    </row>
    <row r="88" spans="1:10" x14ac:dyDescent="0.25">
      <c r="A88" s="18" t="s">
        <v>51</v>
      </c>
      <c r="B88" s="15"/>
      <c r="C88" s="17">
        <v>-11475</v>
      </c>
      <c r="E88" s="17">
        <v>10333</v>
      </c>
      <c r="G88" s="17">
        <v>-6681</v>
      </c>
      <c r="I88" s="17">
        <v>-49289</v>
      </c>
    </row>
    <row r="89" spans="1:10" x14ac:dyDescent="0.25">
      <c r="A89" s="18" t="s">
        <v>52</v>
      </c>
      <c r="B89" s="15"/>
      <c r="C89" s="17"/>
      <c r="E89" s="17"/>
      <c r="G89" s="17"/>
      <c r="I89" s="17"/>
    </row>
    <row r="90" spans="1:10" x14ac:dyDescent="0.25">
      <c r="A90" s="18" t="s">
        <v>53</v>
      </c>
      <c r="B90" s="15"/>
      <c r="C90" s="17">
        <v>1424</v>
      </c>
      <c r="E90" s="17">
        <v>8633</v>
      </c>
      <c r="G90" s="17">
        <v>-13</v>
      </c>
      <c r="I90" s="17">
        <v>-84459</v>
      </c>
    </row>
    <row r="91" spans="1:10" x14ac:dyDescent="0.25">
      <c r="A91" s="18" t="s">
        <v>54</v>
      </c>
      <c r="B91" s="15"/>
      <c r="C91" s="17">
        <v>11981</v>
      </c>
      <c r="E91" s="17">
        <v>-31173</v>
      </c>
      <c r="G91" s="17">
        <v>2324</v>
      </c>
      <c r="I91" s="17">
        <v>68794</v>
      </c>
    </row>
    <row r="92" spans="1:10" x14ac:dyDescent="0.25">
      <c r="A92" s="18" t="s">
        <v>55</v>
      </c>
      <c r="B92" s="15"/>
      <c r="C92" s="17">
        <v>3158</v>
      </c>
      <c r="E92" s="17">
        <v>-3761</v>
      </c>
      <c r="G92" s="17">
        <v>718</v>
      </c>
      <c r="I92" s="17">
        <v>10181</v>
      </c>
    </row>
    <row r="93" spans="1:10" x14ac:dyDescent="0.25">
      <c r="A93" s="18" t="s">
        <v>56</v>
      </c>
      <c r="B93" s="15"/>
      <c r="C93" s="17">
        <v>0</v>
      </c>
      <c r="E93" s="17">
        <v>0</v>
      </c>
      <c r="G93" s="17">
        <v>0</v>
      </c>
      <c r="I93" s="17">
        <v>-16145</v>
      </c>
    </row>
    <row r="94" spans="1:10" x14ac:dyDescent="0.25">
      <c r="A94" s="19" t="s">
        <v>57</v>
      </c>
      <c r="B94" s="15"/>
      <c r="C94" s="17">
        <v>0</v>
      </c>
      <c r="E94" s="17">
        <v>-1419</v>
      </c>
      <c r="G94" s="17">
        <v>20297</v>
      </c>
      <c r="I94" s="17">
        <v>40959</v>
      </c>
    </row>
    <row r="95" spans="1:10" x14ac:dyDescent="0.25">
      <c r="A95" s="18" t="s">
        <v>58</v>
      </c>
      <c r="B95" s="15"/>
      <c r="C95" s="21">
        <f>-4357-18482-2187-4929-871</f>
        <v>-30826</v>
      </c>
      <c r="E95" s="21">
        <f>-7755-23760-5379+3405</f>
        <v>-33489</v>
      </c>
      <c r="G95" s="21">
        <f>-10956-3195-818-5348</f>
        <v>-20317</v>
      </c>
      <c r="I95" s="21">
        <f>-1210-5200-11021+373</f>
        <v>-17058</v>
      </c>
    </row>
    <row r="96" spans="1:10" ht="8.25" customHeight="1" x14ac:dyDescent="0.25">
      <c r="A96" s="15"/>
      <c r="B96" s="15"/>
      <c r="C96" s="17"/>
      <c r="E96" s="17"/>
      <c r="G96" s="17"/>
      <c r="I96" s="17"/>
    </row>
    <row r="97" spans="1:9" x14ac:dyDescent="0.25">
      <c r="A97" s="15" t="s">
        <v>59</v>
      </c>
      <c r="B97" s="15"/>
      <c r="C97" s="20">
        <f>SUM(C85:C95)</f>
        <v>180275</v>
      </c>
      <c r="E97" s="20">
        <f>SUM(E85:E95)</f>
        <v>153195</v>
      </c>
      <c r="G97" s="20">
        <f>SUM(G85:G95)</f>
        <v>179239</v>
      </c>
      <c r="I97" s="20">
        <f>SUM(I85:I95)</f>
        <v>180882</v>
      </c>
    </row>
    <row r="98" spans="1:9" x14ac:dyDescent="0.25">
      <c r="A98" s="15"/>
      <c r="B98" s="15"/>
      <c r="C98" s="17"/>
      <c r="E98" s="17"/>
      <c r="G98" s="17"/>
      <c r="I98" s="17"/>
    </row>
    <row r="99" spans="1:9" x14ac:dyDescent="0.25">
      <c r="A99" s="15" t="s">
        <v>60</v>
      </c>
      <c r="B99" s="15"/>
      <c r="C99" s="17"/>
      <c r="E99" s="17"/>
      <c r="G99" s="17"/>
      <c r="I99" s="17"/>
    </row>
    <row r="100" spans="1:9" x14ac:dyDescent="0.25">
      <c r="A100" s="18" t="s">
        <v>20</v>
      </c>
      <c r="B100" s="15"/>
      <c r="C100" s="17">
        <v>17204</v>
      </c>
      <c r="E100" s="17">
        <v>-56137</v>
      </c>
      <c r="G100" s="17">
        <v>-91689</v>
      </c>
      <c r="I100" s="17">
        <v>-113746</v>
      </c>
    </row>
    <row r="101" spans="1:9" x14ac:dyDescent="0.25">
      <c r="A101" s="18" t="s">
        <v>61</v>
      </c>
      <c r="B101" s="15"/>
      <c r="C101" s="17">
        <v>-199898</v>
      </c>
      <c r="E101" s="17">
        <v>-153521</v>
      </c>
      <c r="G101" s="17">
        <v>-110028</v>
      </c>
      <c r="I101" s="17">
        <v>-63063</v>
      </c>
    </row>
    <row r="102" spans="1:9" x14ac:dyDescent="0.25">
      <c r="A102" s="18" t="s">
        <v>62</v>
      </c>
      <c r="B102" s="15"/>
      <c r="C102" s="22">
        <v>-1391</v>
      </c>
      <c r="E102" s="22">
        <v>-8467</v>
      </c>
      <c r="G102" s="22">
        <v>-4348</v>
      </c>
      <c r="I102" s="22">
        <v>-5638</v>
      </c>
    </row>
    <row r="103" spans="1:9" x14ac:dyDescent="0.25">
      <c r="A103" s="18" t="s">
        <v>63</v>
      </c>
      <c r="B103" s="15"/>
      <c r="C103" s="20">
        <v>3812</v>
      </c>
      <c r="E103" s="20">
        <v>4931</v>
      </c>
      <c r="G103" s="20">
        <f>-1885+4770</f>
        <v>2885</v>
      </c>
      <c r="I103" s="20">
        <f>-15+1579</f>
        <v>1564</v>
      </c>
    </row>
    <row r="104" spans="1:9" ht="6" customHeight="1" x14ac:dyDescent="0.25">
      <c r="A104" s="15"/>
      <c r="B104" s="15"/>
      <c r="C104" s="17"/>
      <c r="E104" s="17"/>
      <c r="G104" s="17"/>
      <c r="I104" s="17"/>
    </row>
    <row r="105" spans="1:9" x14ac:dyDescent="0.25">
      <c r="A105" s="15" t="s">
        <v>64</v>
      </c>
      <c r="B105" s="15"/>
      <c r="C105" s="20">
        <f>SUM(C100:C104)</f>
        <v>-180273</v>
      </c>
      <c r="E105" s="20">
        <f>SUM(E100:E104)</f>
        <v>-213194</v>
      </c>
      <c r="G105" s="20">
        <f>SUM(G100:G104)</f>
        <v>-203180</v>
      </c>
      <c r="I105" s="20">
        <f>SUM(I100:I104)</f>
        <v>-180883</v>
      </c>
    </row>
    <row r="106" spans="1:9" x14ac:dyDescent="0.25">
      <c r="A106" s="15"/>
      <c r="B106" s="15"/>
      <c r="C106" s="17"/>
      <c r="E106" s="17"/>
      <c r="G106" s="17"/>
      <c r="I106" s="17"/>
    </row>
    <row r="107" spans="1:9" x14ac:dyDescent="0.25">
      <c r="A107" s="15" t="s">
        <v>65</v>
      </c>
      <c r="B107" s="15"/>
      <c r="C107" s="17"/>
      <c r="E107" s="17"/>
      <c r="G107" s="17"/>
      <c r="I107" s="17"/>
    </row>
    <row r="108" spans="1:9" x14ac:dyDescent="0.25">
      <c r="A108" s="15" t="s">
        <v>66</v>
      </c>
      <c r="B108" s="15"/>
      <c r="C108" s="17">
        <v>0</v>
      </c>
      <c r="E108" s="17">
        <v>150000</v>
      </c>
      <c r="G108" s="17">
        <v>250000</v>
      </c>
      <c r="I108" s="17">
        <v>0</v>
      </c>
    </row>
    <row r="109" spans="1:9" hidden="1" x14ac:dyDescent="0.25">
      <c r="A109" s="15" t="s">
        <v>67</v>
      </c>
      <c r="B109" s="15"/>
      <c r="C109" s="17">
        <v>0</v>
      </c>
      <c r="E109" s="17">
        <v>0</v>
      </c>
      <c r="G109" s="17">
        <v>0</v>
      </c>
      <c r="I109" s="17">
        <v>0</v>
      </c>
    </row>
    <row r="110" spans="1:9" x14ac:dyDescent="0.25">
      <c r="A110" s="15" t="s">
        <v>68</v>
      </c>
      <c r="B110" s="15"/>
      <c r="C110" s="17">
        <v>0</v>
      </c>
      <c r="E110" s="17">
        <v>0</v>
      </c>
      <c r="G110" s="17">
        <v>-250000</v>
      </c>
      <c r="I110" s="17">
        <v>0</v>
      </c>
    </row>
    <row r="111" spans="1:9" x14ac:dyDescent="0.25">
      <c r="A111" s="18" t="s">
        <v>69</v>
      </c>
      <c r="B111" s="15"/>
      <c r="C111" s="22">
        <v>0</v>
      </c>
      <c r="D111" s="26"/>
      <c r="E111" s="22">
        <v>10000</v>
      </c>
      <c r="F111" s="26"/>
      <c r="G111" s="22">
        <v>23942</v>
      </c>
      <c r="H111" s="26"/>
      <c r="I111" s="22">
        <v>0</v>
      </c>
    </row>
    <row r="112" spans="1:9" x14ac:dyDescent="0.25">
      <c r="A112" s="15" t="s">
        <v>67</v>
      </c>
      <c r="B112" s="15"/>
      <c r="C112" s="20">
        <v>0</v>
      </c>
      <c r="E112" s="20">
        <v>-100000</v>
      </c>
      <c r="G112" s="20">
        <v>0</v>
      </c>
      <c r="I112" s="20">
        <v>0</v>
      </c>
    </row>
    <row r="113" spans="1:10" ht="6" customHeight="1" x14ac:dyDescent="0.25">
      <c r="A113" s="15"/>
      <c r="B113" s="15"/>
      <c r="C113" s="17"/>
      <c r="E113" s="17"/>
      <c r="G113" s="17"/>
      <c r="I113" s="17"/>
    </row>
    <row r="114" spans="1:10" x14ac:dyDescent="0.25">
      <c r="A114" s="15" t="s">
        <v>70</v>
      </c>
      <c r="B114" s="15"/>
      <c r="C114" s="20">
        <f>SUM(C108:C113)</f>
        <v>0</v>
      </c>
      <c r="E114" s="20">
        <f>SUM(E108:E113)</f>
        <v>60000</v>
      </c>
      <c r="G114" s="20">
        <f>SUM(G108:G113)</f>
        <v>23942</v>
      </c>
      <c r="I114" s="20">
        <f>SUM(I108:I113)</f>
        <v>0</v>
      </c>
    </row>
    <row r="115" spans="1:10" ht="5.25" customHeight="1" x14ac:dyDescent="0.25">
      <c r="A115" s="15"/>
      <c r="B115" s="15"/>
      <c r="C115" s="17"/>
      <c r="E115" s="17"/>
      <c r="G115" s="17"/>
      <c r="I115" s="17"/>
    </row>
    <row r="116" spans="1:10" x14ac:dyDescent="0.25">
      <c r="A116" s="18" t="s">
        <v>71</v>
      </c>
      <c r="B116" s="15"/>
      <c r="C116" s="17">
        <f>C97+C105+C114</f>
        <v>2</v>
      </c>
      <c r="E116" s="17">
        <f>E97+E105+E114</f>
        <v>1</v>
      </c>
      <c r="G116" s="17">
        <f>G97+G105+G114</f>
        <v>1</v>
      </c>
      <c r="I116" s="17">
        <f>I97+I105+I114</f>
        <v>-1</v>
      </c>
    </row>
    <row r="117" spans="1:10" ht="4.5" customHeight="1" x14ac:dyDescent="0.25">
      <c r="A117" s="23"/>
      <c r="B117" s="15"/>
      <c r="C117" s="17"/>
      <c r="E117" s="17"/>
      <c r="G117" s="17"/>
      <c r="I117" s="17"/>
    </row>
    <row r="118" spans="1:10" x14ac:dyDescent="0.25">
      <c r="A118" s="15" t="s">
        <v>72</v>
      </c>
      <c r="B118" s="15"/>
      <c r="C118" s="20">
        <v>50</v>
      </c>
      <c r="E118" s="20">
        <v>52</v>
      </c>
      <c r="G118" s="20">
        <v>53</v>
      </c>
      <c r="I118" s="20">
        <v>54</v>
      </c>
    </row>
    <row r="119" spans="1:10" ht="5.25" customHeight="1" x14ac:dyDescent="0.25">
      <c r="A119" s="15"/>
      <c r="B119" s="15"/>
      <c r="C119" s="17"/>
      <c r="E119" s="17"/>
      <c r="G119" s="17"/>
      <c r="I119" s="17"/>
    </row>
    <row r="120" spans="1:10" ht="13.8" thickBot="1" x14ac:dyDescent="0.3">
      <c r="A120" s="18" t="s">
        <v>73</v>
      </c>
      <c r="B120" s="15"/>
      <c r="C120" s="24">
        <f>SUM(C116:C118)</f>
        <v>52</v>
      </c>
      <c r="E120" s="24">
        <f>SUM(E116:E118)</f>
        <v>53</v>
      </c>
      <c r="G120" s="24">
        <f>SUM(G116:G118)</f>
        <v>54</v>
      </c>
      <c r="I120" s="24">
        <f>SUM(I116:I118)</f>
        <v>53</v>
      </c>
    </row>
    <row r="121" spans="1:10" ht="13.8" thickTop="1" x14ac:dyDescent="0.25">
      <c r="A121" s="16"/>
      <c r="B121" s="15"/>
      <c r="C121" s="17"/>
      <c r="E121" s="17"/>
      <c r="G121" s="17"/>
      <c r="I121" s="17"/>
      <c r="J121" s="22"/>
    </row>
    <row r="122" spans="1:10" x14ac:dyDescent="0.25">
      <c r="A122" s="15"/>
      <c r="B122" s="15"/>
      <c r="C122" s="15"/>
      <c r="E122" s="17"/>
      <c r="G122" s="17"/>
      <c r="I122" s="17"/>
      <c r="J122" s="17"/>
    </row>
  </sheetData>
  <phoneticPr fontId="0" type="noConversion"/>
  <pageMargins left="0.75" right="0.5" top="0.5" bottom="0.5" header="0.5" footer="0.5"/>
  <pageSetup scale="52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15"/>
  <sheetViews>
    <sheetView zoomScale="92" workbookViewId="0">
      <selection activeCell="B5" sqref="B5"/>
    </sheetView>
  </sheetViews>
  <sheetFormatPr defaultRowHeight="13.2" x14ac:dyDescent="0.25"/>
  <cols>
    <col min="1" max="1" width="4.44140625" customWidth="1"/>
    <col min="2" max="2" width="53.6640625" customWidth="1"/>
    <col min="3" max="3" width="10.33203125" customWidth="1"/>
    <col min="4" max="4" width="4.44140625" customWidth="1"/>
    <col min="5" max="5" width="10" customWidth="1"/>
    <col min="6" max="6" width="5.44140625" customWidth="1"/>
    <col min="7" max="7" width="10.33203125" bestFit="1" customWidth="1"/>
    <col min="8" max="8" width="4.44140625" customWidth="1"/>
    <col min="9" max="9" width="11.33203125" bestFit="1" customWidth="1"/>
  </cols>
  <sheetData>
    <row r="1" spans="1:9" ht="13.8" x14ac:dyDescent="0.25">
      <c r="A1" s="12" t="s">
        <v>78</v>
      </c>
    </row>
    <row r="4" spans="1:9" x14ac:dyDescent="0.25">
      <c r="A4" s="1" t="s">
        <v>0</v>
      </c>
      <c r="C4" s="27">
        <v>1997</v>
      </c>
      <c r="D4" s="28"/>
      <c r="E4" s="27">
        <v>1998</v>
      </c>
      <c r="F4" s="28"/>
      <c r="G4" s="27">
        <v>1999</v>
      </c>
      <c r="H4" s="28"/>
      <c r="I4" s="27">
        <v>2000</v>
      </c>
    </row>
    <row r="6" spans="1:9" x14ac:dyDescent="0.25">
      <c r="A6" t="s">
        <v>1</v>
      </c>
    </row>
    <row r="7" spans="1:9" x14ac:dyDescent="0.25">
      <c r="B7" t="s">
        <v>2</v>
      </c>
      <c r="C7" s="29">
        <v>144495</v>
      </c>
      <c r="E7" s="29">
        <v>144967</v>
      </c>
      <c r="G7" s="29">
        <v>141626</v>
      </c>
      <c r="I7" s="29">
        <v>150290</v>
      </c>
    </row>
    <row r="8" spans="1:9" x14ac:dyDescent="0.25">
      <c r="B8" t="s">
        <v>3</v>
      </c>
      <c r="C8" s="29">
        <f>3009+111</f>
        <v>3120</v>
      </c>
      <c r="E8" s="29">
        <f>9489+13137</f>
        <v>22626</v>
      </c>
      <c r="G8" s="29">
        <f>10430+3693</f>
        <v>14123</v>
      </c>
      <c r="I8" s="29">
        <f>26333+190</f>
        <v>26523</v>
      </c>
    </row>
    <row r="9" spans="1:9" x14ac:dyDescent="0.25">
      <c r="C9" s="30">
        <f>SUM(C7:C8)</f>
        <v>147615</v>
      </c>
      <c r="E9" s="30">
        <f>SUM(E7:E8)</f>
        <v>167593</v>
      </c>
      <c r="G9" s="30">
        <f>SUM(G7:G8)</f>
        <v>155749</v>
      </c>
      <c r="I9" s="30">
        <f>SUM(I7:I8)</f>
        <v>176813</v>
      </c>
    </row>
    <row r="10" spans="1:9" ht="7.5" customHeight="1" x14ac:dyDescent="0.25">
      <c r="C10" s="29"/>
      <c r="E10" s="29"/>
      <c r="G10" s="29"/>
      <c r="I10" s="29"/>
    </row>
    <row r="11" spans="1:9" x14ac:dyDescent="0.25">
      <c r="A11" t="s">
        <v>4</v>
      </c>
      <c r="C11" s="29"/>
      <c r="E11" s="29"/>
      <c r="G11" s="29"/>
      <c r="I11" s="29"/>
    </row>
    <row r="12" spans="1:9" x14ac:dyDescent="0.25">
      <c r="A12" t="s">
        <v>90</v>
      </c>
      <c r="B12" t="s">
        <v>5</v>
      </c>
      <c r="C12" s="34">
        <v>2337</v>
      </c>
      <c r="D12" s="35"/>
      <c r="E12" s="34">
        <v>6412</v>
      </c>
      <c r="G12" s="29">
        <v>0</v>
      </c>
      <c r="I12" s="29">
        <v>0</v>
      </c>
    </row>
    <row r="13" spans="1:9" x14ac:dyDescent="0.25">
      <c r="A13" t="s">
        <v>90</v>
      </c>
      <c r="B13" t="s">
        <v>6</v>
      </c>
      <c r="C13" s="29">
        <v>32702</v>
      </c>
      <c r="E13" s="29">
        <v>40077</v>
      </c>
      <c r="G13" s="29">
        <v>38311</v>
      </c>
      <c r="I13" s="29">
        <v>39601</v>
      </c>
    </row>
    <row r="14" spans="1:9" x14ac:dyDescent="0.25">
      <c r="B14" t="s">
        <v>7</v>
      </c>
      <c r="C14" s="29">
        <v>17429</v>
      </c>
      <c r="E14" s="29">
        <v>18210</v>
      </c>
      <c r="G14" s="29">
        <f>18971</f>
        <v>18971</v>
      </c>
      <c r="I14" s="29">
        <v>19658</v>
      </c>
    </row>
    <row r="15" spans="1:9" x14ac:dyDescent="0.25">
      <c r="B15" t="s">
        <v>14</v>
      </c>
      <c r="C15" s="29">
        <v>5215</v>
      </c>
      <c r="E15" s="29">
        <v>4927</v>
      </c>
      <c r="G15" s="29">
        <v>4762</v>
      </c>
      <c r="I15" s="29">
        <v>4749</v>
      </c>
    </row>
    <row r="16" spans="1:9" x14ac:dyDescent="0.25">
      <c r="B16" t="s">
        <v>8</v>
      </c>
      <c r="C16" s="29">
        <v>6180</v>
      </c>
      <c r="E16" s="29">
        <v>11027</v>
      </c>
      <c r="G16" s="29">
        <v>10849</v>
      </c>
      <c r="I16" s="29">
        <v>11163</v>
      </c>
    </row>
    <row r="17" spans="1:9" x14ac:dyDescent="0.25">
      <c r="C17" s="30">
        <f>SUM(C12:C16)</f>
        <v>63863</v>
      </c>
      <c r="E17" s="30">
        <f>SUM(E12:E16)</f>
        <v>80653</v>
      </c>
      <c r="G17" s="30">
        <f>SUM(G13:G16)</f>
        <v>72893</v>
      </c>
      <c r="I17" s="30">
        <f>SUM(I13:I16)</f>
        <v>75171</v>
      </c>
    </row>
    <row r="18" spans="1:9" ht="8.25" customHeight="1" x14ac:dyDescent="0.25">
      <c r="C18" s="29"/>
      <c r="E18" s="29"/>
      <c r="G18" s="29"/>
      <c r="I18" s="29"/>
    </row>
    <row r="19" spans="1:9" x14ac:dyDescent="0.25">
      <c r="A19" t="s">
        <v>15</v>
      </c>
      <c r="C19" s="29">
        <f>C9-C17</f>
        <v>83752</v>
      </c>
      <c r="E19" s="29">
        <f>E9-E17</f>
        <v>86940</v>
      </c>
      <c r="G19" s="29">
        <f>G9-G17</f>
        <v>82856</v>
      </c>
      <c r="I19" s="29">
        <f>I9-I17</f>
        <v>101642</v>
      </c>
    </row>
    <row r="20" spans="1:9" ht="7.5" customHeight="1" x14ac:dyDescent="0.25">
      <c r="C20" s="29"/>
      <c r="E20" s="29"/>
      <c r="G20" s="29"/>
      <c r="I20" s="29"/>
    </row>
    <row r="21" spans="1:9" x14ac:dyDescent="0.25">
      <c r="A21" t="s">
        <v>9</v>
      </c>
      <c r="C21" s="31">
        <f>11607+4046</f>
        <v>15653</v>
      </c>
      <c r="E21" s="31">
        <f>13687+1493</f>
        <v>15180</v>
      </c>
      <c r="G21" s="31">
        <f>18322+2308</f>
        <v>20630</v>
      </c>
      <c r="I21" s="31">
        <f>21685+2168</f>
        <v>23853</v>
      </c>
    </row>
    <row r="22" spans="1:9" ht="6.75" customHeight="1" x14ac:dyDescent="0.25">
      <c r="C22" s="29"/>
      <c r="E22" s="29"/>
      <c r="G22" s="29"/>
      <c r="I22" s="29"/>
    </row>
    <row r="23" spans="1:9" x14ac:dyDescent="0.25">
      <c r="A23" t="s">
        <v>10</v>
      </c>
      <c r="C23" s="29">
        <f>C19+C21</f>
        <v>99405</v>
      </c>
      <c r="E23" s="29">
        <f>E19+E21</f>
        <v>102120</v>
      </c>
      <c r="G23" s="29">
        <f>G19+G21</f>
        <v>103486</v>
      </c>
      <c r="I23" s="29">
        <f>I19+I21</f>
        <v>125495</v>
      </c>
    </row>
    <row r="24" spans="1:9" ht="6.75" customHeight="1" x14ac:dyDescent="0.25">
      <c r="C24" s="29"/>
      <c r="E24" s="29"/>
      <c r="G24" s="29"/>
      <c r="I24" s="29"/>
    </row>
    <row r="25" spans="1:9" x14ac:dyDescent="0.25">
      <c r="A25" t="s">
        <v>11</v>
      </c>
      <c r="C25" s="29">
        <v>12945</v>
      </c>
      <c r="E25" s="29">
        <v>12729</v>
      </c>
      <c r="G25" s="29">
        <v>12306</v>
      </c>
      <c r="I25" s="29">
        <v>11146</v>
      </c>
    </row>
    <row r="26" spans="1:9" ht="6.75" customHeight="1" x14ac:dyDescent="0.25">
      <c r="C26" s="29"/>
      <c r="E26" s="29"/>
      <c r="G26" s="29"/>
      <c r="I26" s="29"/>
    </row>
    <row r="27" spans="1:9" x14ac:dyDescent="0.25">
      <c r="A27" t="s">
        <v>12</v>
      </c>
      <c r="C27" s="31">
        <v>32564</v>
      </c>
      <c r="E27" s="31">
        <v>30833</v>
      </c>
      <c r="G27" s="31">
        <v>35740</v>
      </c>
      <c r="I27" s="31">
        <v>44683</v>
      </c>
    </row>
    <row r="28" spans="1:9" ht="6" customHeight="1" x14ac:dyDescent="0.25">
      <c r="C28" s="29"/>
      <c r="E28" s="29"/>
      <c r="G28" s="29"/>
      <c r="I28" s="29"/>
    </row>
    <row r="29" spans="1:9" ht="13.8" thickBot="1" x14ac:dyDescent="0.3">
      <c r="A29" t="s">
        <v>13</v>
      </c>
      <c r="C29" s="32">
        <f>C23-C25-C27</f>
        <v>53896</v>
      </c>
      <c r="E29" s="32">
        <f>E23-E25-E27</f>
        <v>58558</v>
      </c>
      <c r="G29" s="32">
        <f>G23-G25-G27</f>
        <v>55440</v>
      </c>
      <c r="I29" s="32">
        <f>I23-I25-I27</f>
        <v>69666</v>
      </c>
    </row>
    <row r="30" spans="1:9" ht="13.8" thickTop="1" x14ac:dyDescent="0.25"/>
    <row r="31" spans="1:9" x14ac:dyDescent="0.25">
      <c r="A31" s="36" t="s">
        <v>91</v>
      </c>
    </row>
    <row r="33" spans="1:10" x14ac:dyDescent="0.25">
      <c r="A33" s="1" t="s">
        <v>16</v>
      </c>
    </row>
    <row r="35" spans="1:10" x14ac:dyDescent="0.25">
      <c r="A35" s="6" t="s">
        <v>17</v>
      </c>
      <c r="B35" s="6"/>
      <c r="C35" s="6"/>
      <c r="E35" s="6"/>
      <c r="G35" s="6"/>
      <c r="I35" s="6"/>
      <c r="J35" s="6"/>
    </row>
    <row r="36" spans="1:10" ht="6.75" customHeight="1" x14ac:dyDescent="0.25">
      <c r="A36" s="6"/>
      <c r="B36" s="6"/>
      <c r="C36" s="6"/>
      <c r="E36" s="6"/>
      <c r="G36" s="6"/>
      <c r="I36" s="6"/>
      <c r="J36" s="6"/>
    </row>
    <row r="37" spans="1:10" x14ac:dyDescent="0.25">
      <c r="A37" s="6" t="s">
        <v>18</v>
      </c>
      <c r="B37" s="6"/>
      <c r="C37" s="6"/>
      <c r="E37" s="6"/>
      <c r="G37" s="6"/>
      <c r="I37" s="6"/>
      <c r="J37" s="6"/>
    </row>
    <row r="38" spans="1:10" x14ac:dyDescent="0.25">
      <c r="A38" s="7" t="s">
        <v>19</v>
      </c>
      <c r="B38" s="6"/>
      <c r="C38" s="8">
        <v>4</v>
      </c>
      <c r="E38" s="8">
        <v>4</v>
      </c>
      <c r="G38" s="8">
        <v>4</v>
      </c>
      <c r="I38" s="8">
        <v>4</v>
      </c>
    </row>
    <row r="39" spans="1:10" x14ac:dyDescent="0.25">
      <c r="A39" s="7" t="s">
        <v>76</v>
      </c>
      <c r="B39" s="6"/>
      <c r="C39" s="8">
        <f>2712+364</f>
        <v>3076</v>
      </c>
      <c r="E39" s="8">
        <f>3893+471</f>
        <v>4364</v>
      </c>
      <c r="G39" s="8">
        <f>2453+918</f>
        <v>3371</v>
      </c>
      <c r="I39" s="8">
        <f>7287+293</f>
        <v>7580</v>
      </c>
    </row>
    <row r="40" spans="1:10" x14ac:dyDescent="0.25">
      <c r="A40" s="7" t="s">
        <v>20</v>
      </c>
      <c r="B40" s="6"/>
      <c r="C40" s="9">
        <v>182484</v>
      </c>
      <c r="E40" s="9">
        <v>248033</v>
      </c>
      <c r="G40" s="9">
        <v>295993</v>
      </c>
      <c r="I40" s="9">
        <v>378021</v>
      </c>
    </row>
    <row r="41" spans="1:10" x14ac:dyDescent="0.25">
      <c r="A41" s="7" t="s">
        <v>21</v>
      </c>
      <c r="B41" s="6"/>
      <c r="C41" s="8">
        <v>8679</v>
      </c>
      <c r="E41" s="8">
        <v>5923</v>
      </c>
      <c r="G41" s="8">
        <v>7578</v>
      </c>
      <c r="I41" s="8">
        <v>11991</v>
      </c>
    </row>
    <row r="42" spans="1:10" x14ac:dyDescent="0.25">
      <c r="A42" s="7" t="s">
        <v>23</v>
      </c>
      <c r="B42" s="6"/>
      <c r="C42" s="8">
        <v>6901</v>
      </c>
      <c r="E42" s="8">
        <v>6549</v>
      </c>
      <c r="G42" s="8">
        <v>6617</v>
      </c>
      <c r="I42" s="8">
        <v>6553</v>
      </c>
    </row>
    <row r="43" spans="1:10" x14ac:dyDescent="0.25">
      <c r="A43" s="7" t="s">
        <v>24</v>
      </c>
      <c r="B43" s="6"/>
      <c r="C43" s="10">
        <v>2041</v>
      </c>
      <c r="E43" s="10">
        <v>5010</v>
      </c>
      <c r="G43" s="10">
        <v>4665</v>
      </c>
      <c r="I43" s="10">
        <v>4348</v>
      </c>
    </row>
    <row r="44" spans="1:10" x14ac:dyDescent="0.25">
      <c r="A44" s="7" t="s">
        <v>25</v>
      </c>
      <c r="B44" s="6"/>
      <c r="C44" s="10">
        <f>SUM(C38:C43)</f>
        <v>203185</v>
      </c>
      <c r="E44" s="10">
        <f>SUM(E38:E43)</f>
        <v>269883</v>
      </c>
      <c r="G44" s="10">
        <f>SUM(G38:G43)</f>
        <v>318228</v>
      </c>
      <c r="I44" s="10">
        <f>SUM(I38:I43)</f>
        <v>408497</v>
      </c>
    </row>
    <row r="45" spans="1:10" ht="7.5" customHeight="1" x14ac:dyDescent="0.25"/>
    <row r="46" spans="1:10" x14ac:dyDescent="0.25">
      <c r="A46" s="7" t="s">
        <v>26</v>
      </c>
      <c r="B46" s="6"/>
      <c r="C46" s="8">
        <v>918753</v>
      </c>
      <c r="E46" s="8">
        <v>935531</v>
      </c>
      <c r="G46" s="8">
        <v>966179</v>
      </c>
      <c r="I46" s="8">
        <v>987107</v>
      </c>
    </row>
    <row r="47" spans="1:10" x14ac:dyDescent="0.25">
      <c r="A47" s="7" t="s">
        <v>32</v>
      </c>
      <c r="B47" s="6"/>
      <c r="C47" s="10">
        <v>65057</v>
      </c>
      <c r="E47" s="10">
        <v>80485</v>
      </c>
      <c r="G47" s="10">
        <v>96024</v>
      </c>
      <c r="I47" s="10">
        <v>104364</v>
      </c>
    </row>
    <row r="48" spans="1:10" x14ac:dyDescent="0.25">
      <c r="A48" s="7" t="s">
        <v>27</v>
      </c>
      <c r="B48" s="6"/>
      <c r="C48" s="10">
        <f>C46-C47</f>
        <v>853696</v>
      </c>
      <c r="E48" s="10">
        <f>E46-E47</f>
        <v>855046</v>
      </c>
      <c r="G48" s="10">
        <f>G46-G47</f>
        <v>870155</v>
      </c>
      <c r="I48" s="10">
        <f>I46-I47</f>
        <v>882743</v>
      </c>
    </row>
    <row r="49" spans="1:10" ht="6.75" customHeight="1" x14ac:dyDescent="0.25">
      <c r="A49" s="6"/>
      <c r="B49" s="6"/>
      <c r="C49" s="8"/>
      <c r="E49" s="8"/>
      <c r="G49" s="8"/>
      <c r="I49" s="8"/>
    </row>
    <row r="50" spans="1:10" x14ac:dyDescent="0.25">
      <c r="A50" s="7" t="s">
        <v>28</v>
      </c>
      <c r="B50" s="6"/>
      <c r="C50" s="8"/>
      <c r="E50" s="8"/>
      <c r="G50" s="8"/>
      <c r="I50" s="8"/>
    </row>
    <row r="51" spans="1:10" x14ac:dyDescent="0.25">
      <c r="A51" s="7" t="s">
        <v>23</v>
      </c>
      <c r="B51" s="6"/>
      <c r="C51" s="8">
        <v>98493</v>
      </c>
      <c r="E51" s="8">
        <v>89828</v>
      </c>
      <c r="G51" s="8">
        <v>84644</v>
      </c>
      <c r="I51" s="8">
        <v>79053</v>
      </c>
    </row>
    <row r="52" spans="1:10" x14ac:dyDescent="0.25">
      <c r="A52" s="7" t="s">
        <v>29</v>
      </c>
      <c r="B52" s="6"/>
      <c r="C52" s="10">
        <v>2351</v>
      </c>
      <c r="E52" s="10">
        <v>4611</v>
      </c>
      <c r="G52" s="10">
        <v>1372</v>
      </c>
      <c r="I52" s="10">
        <v>2106</v>
      </c>
    </row>
    <row r="53" spans="1:10" x14ac:dyDescent="0.25">
      <c r="A53" s="7" t="s">
        <v>30</v>
      </c>
      <c r="B53" s="6"/>
      <c r="C53" s="10">
        <f>SUM(C51:C52)</f>
        <v>100844</v>
      </c>
      <c r="E53" s="10">
        <f>SUM(E51:E52)</f>
        <v>94439</v>
      </c>
      <c r="G53" s="10">
        <f>SUM(G51:G52)</f>
        <v>86016</v>
      </c>
      <c r="I53" s="10">
        <f>SUM(I51:I52)</f>
        <v>81159</v>
      </c>
    </row>
    <row r="54" spans="1:10" ht="8.25" customHeight="1" x14ac:dyDescent="0.25"/>
    <row r="55" spans="1:10" ht="13.8" thickBot="1" x14ac:dyDescent="0.3">
      <c r="A55" s="6" t="s">
        <v>31</v>
      </c>
      <c r="B55" s="6"/>
      <c r="C55" s="11">
        <f>C44+C48+C53</f>
        <v>1157725</v>
      </c>
      <c r="E55" s="11">
        <f>E44+E48+E53</f>
        <v>1219368</v>
      </c>
      <c r="G55" s="11">
        <f>G44+G48+G53</f>
        <v>1274399</v>
      </c>
      <c r="I55" s="11">
        <f>I44+I48+I53</f>
        <v>1372399</v>
      </c>
    </row>
    <row r="56" spans="1:10" ht="13.8" thickTop="1" x14ac:dyDescent="0.25">
      <c r="A56" s="6"/>
      <c r="B56" s="6"/>
      <c r="C56" s="6"/>
      <c r="E56" s="6"/>
      <c r="G56" s="6"/>
      <c r="I56" s="6"/>
      <c r="J56" s="6"/>
    </row>
    <row r="57" spans="1:10" x14ac:dyDescent="0.25">
      <c r="A57" s="6" t="s">
        <v>34</v>
      </c>
      <c r="B57" s="6"/>
      <c r="C57" s="6"/>
      <c r="E57" s="6"/>
      <c r="G57" s="6"/>
      <c r="I57" s="6"/>
      <c r="J57" s="6"/>
    </row>
    <row r="58" spans="1:10" ht="7.5" customHeight="1" x14ac:dyDescent="0.25">
      <c r="A58" s="6"/>
      <c r="B58" s="6"/>
      <c r="C58" s="6"/>
      <c r="E58" s="6"/>
      <c r="G58" s="6"/>
      <c r="I58" s="6"/>
      <c r="J58" s="6"/>
    </row>
    <row r="59" spans="1:10" x14ac:dyDescent="0.25">
      <c r="A59" s="6" t="s">
        <v>35</v>
      </c>
      <c r="B59" s="6"/>
      <c r="C59" s="6"/>
      <c r="E59" s="6"/>
      <c r="G59" s="6"/>
      <c r="I59" s="6"/>
      <c r="J59" s="6"/>
    </row>
    <row r="60" spans="1:10" x14ac:dyDescent="0.25">
      <c r="A60" s="7" t="s">
        <v>47</v>
      </c>
      <c r="B60" s="6"/>
      <c r="C60" s="8">
        <f>3654+24</f>
        <v>3678</v>
      </c>
      <c r="E60" s="8">
        <f>4450+39</f>
        <v>4489</v>
      </c>
      <c r="G60" s="8">
        <f>4357+3874</f>
        <v>8231</v>
      </c>
      <c r="I60" s="8">
        <f>2161+1723</f>
        <v>3884</v>
      </c>
      <c r="J60" s="6"/>
    </row>
    <row r="61" spans="1:10" x14ac:dyDescent="0.25">
      <c r="A61" s="7" t="s">
        <v>36</v>
      </c>
      <c r="B61" s="6"/>
      <c r="C61" s="8">
        <v>5401</v>
      </c>
      <c r="E61" s="8">
        <v>5440</v>
      </c>
      <c r="G61" s="8">
        <v>3602</v>
      </c>
      <c r="I61" s="8">
        <v>7331</v>
      </c>
    </row>
    <row r="62" spans="1:10" x14ac:dyDescent="0.25">
      <c r="A62" s="7" t="s">
        <v>75</v>
      </c>
      <c r="B62" s="6"/>
      <c r="C62" s="8">
        <f>5450+4223</f>
        <v>9673</v>
      </c>
      <c r="E62" s="8">
        <f>5793+4164</f>
        <v>9957</v>
      </c>
      <c r="G62" s="8">
        <f>5806+4105</f>
        <v>9911</v>
      </c>
      <c r="I62" s="8">
        <f>6129+3012</f>
        <v>9141</v>
      </c>
    </row>
    <row r="63" spans="1:10" x14ac:dyDescent="0.25">
      <c r="A63" s="7" t="s">
        <v>77</v>
      </c>
      <c r="B63" s="6"/>
      <c r="C63" s="8">
        <v>3850</v>
      </c>
      <c r="E63" s="8">
        <v>3850</v>
      </c>
      <c r="G63" s="8">
        <v>126850</v>
      </c>
      <c r="I63" s="8">
        <v>3850</v>
      </c>
    </row>
    <row r="64" spans="1:10" x14ac:dyDescent="0.25">
      <c r="A64" s="7" t="s">
        <v>29</v>
      </c>
      <c r="B64" s="6"/>
      <c r="C64" s="10">
        <f>1002+2672</f>
        <v>3674</v>
      </c>
      <c r="E64" s="10">
        <f>477+2523</f>
        <v>3000</v>
      </c>
      <c r="G64" s="10">
        <f>677+2492</f>
        <v>3169</v>
      </c>
      <c r="I64" s="10">
        <f>274+2129</f>
        <v>2403</v>
      </c>
    </row>
    <row r="65" spans="1:9" x14ac:dyDescent="0.25">
      <c r="A65" s="7" t="s">
        <v>40</v>
      </c>
      <c r="B65" s="6"/>
      <c r="C65" s="10">
        <f>SUM(C60:C64)</f>
        <v>26276</v>
      </c>
      <c r="E65" s="10">
        <f>SUM(E60:E64)</f>
        <v>26736</v>
      </c>
      <c r="G65" s="10">
        <f>SUM(G60:G64)</f>
        <v>151763</v>
      </c>
      <c r="I65" s="10">
        <f>SUM(I60:I64)</f>
        <v>26609</v>
      </c>
    </row>
    <row r="66" spans="1:9" ht="6" customHeight="1" x14ac:dyDescent="0.25"/>
    <row r="67" spans="1:9" x14ac:dyDescent="0.25">
      <c r="A67" s="6" t="s">
        <v>41</v>
      </c>
      <c r="B67" s="6"/>
      <c r="C67" s="10">
        <v>146150</v>
      </c>
      <c r="E67" s="10">
        <v>142300</v>
      </c>
      <c r="G67" s="10">
        <v>15450</v>
      </c>
      <c r="I67" s="10">
        <v>161600</v>
      </c>
    </row>
    <row r="68" spans="1:9" ht="9" customHeight="1" x14ac:dyDescent="0.25">
      <c r="A68" s="6"/>
      <c r="B68" s="6"/>
      <c r="C68" s="8"/>
      <c r="E68" s="8"/>
      <c r="G68" s="8"/>
      <c r="I68" s="8"/>
    </row>
    <row r="69" spans="1:9" x14ac:dyDescent="0.25">
      <c r="A69" s="6" t="s">
        <v>42</v>
      </c>
      <c r="B69" s="6"/>
      <c r="C69" s="8"/>
      <c r="E69" s="8"/>
      <c r="G69" s="8"/>
      <c r="I69" s="8"/>
    </row>
    <row r="70" spans="1:9" x14ac:dyDescent="0.25">
      <c r="A70" s="7" t="s">
        <v>43</v>
      </c>
      <c r="B70" s="6"/>
      <c r="C70" s="8">
        <v>225938</v>
      </c>
      <c r="E70" s="8">
        <v>232611</v>
      </c>
      <c r="G70" s="8">
        <v>234025</v>
      </c>
      <c r="I70" s="8">
        <v>238702</v>
      </c>
    </row>
    <row r="71" spans="1:9" x14ac:dyDescent="0.25">
      <c r="A71" s="7" t="s">
        <v>29</v>
      </c>
      <c r="B71" s="6"/>
      <c r="C71" s="13">
        <v>198</v>
      </c>
      <c r="E71" s="13">
        <v>0</v>
      </c>
      <c r="G71" s="13">
        <v>0</v>
      </c>
      <c r="I71" s="13">
        <v>2661</v>
      </c>
    </row>
    <row r="72" spans="1:9" x14ac:dyDescent="0.25">
      <c r="A72" s="7" t="s">
        <v>44</v>
      </c>
      <c r="B72" s="6"/>
      <c r="C72" s="25">
        <f>SUM(C70:C71)</f>
        <v>226136</v>
      </c>
      <c r="E72" s="25">
        <f>SUM(E70:E71)</f>
        <v>232611</v>
      </c>
      <c r="G72" s="25">
        <f>SUM(G70:G71)</f>
        <v>234025</v>
      </c>
      <c r="I72" s="25">
        <f>SUM(I70:I71)</f>
        <v>241363</v>
      </c>
    </row>
    <row r="73" spans="1:9" ht="8.25" customHeight="1" x14ac:dyDescent="0.25"/>
    <row r="74" spans="1:9" x14ac:dyDescent="0.25">
      <c r="A74" s="6" t="s">
        <v>45</v>
      </c>
      <c r="B74" s="6"/>
      <c r="C74" s="10">
        <v>759163</v>
      </c>
      <c r="E74" s="10">
        <v>817721</v>
      </c>
      <c r="G74" s="10">
        <v>873161</v>
      </c>
      <c r="I74" s="10">
        <v>942827</v>
      </c>
    </row>
    <row r="75" spans="1:9" ht="7.5" customHeight="1" x14ac:dyDescent="0.25">
      <c r="A75" s="14"/>
      <c r="B75" s="6"/>
    </row>
    <row r="76" spans="1:9" ht="13.8" thickBot="1" x14ac:dyDescent="0.3">
      <c r="A76" s="6" t="s">
        <v>46</v>
      </c>
      <c r="B76" s="6"/>
      <c r="C76" s="11">
        <f>C65+C67+C72+C74</f>
        <v>1157725</v>
      </c>
      <c r="E76" s="11">
        <f>E65+E67+E72+E74</f>
        <v>1219368</v>
      </c>
      <c r="G76" s="11">
        <f>G65+G67+G72+G74</f>
        <v>1274399</v>
      </c>
      <c r="I76" s="11">
        <f>I65+I67+I72+I74</f>
        <v>1372399</v>
      </c>
    </row>
    <row r="77" spans="1:9" ht="13.8" thickTop="1" x14ac:dyDescent="0.25"/>
    <row r="79" spans="1:9" x14ac:dyDescent="0.25">
      <c r="A79" s="1" t="s">
        <v>74</v>
      </c>
    </row>
    <row r="80" spans="1:9" x14ac:dyDescent="0.25">
      <c r="A80" s="1"/>
    </row>
    <row r="81" spans="1:10" x14ac:dyDescent="0.25">
      <c r="A81" s="15" t="s">
        <v>48</v>
      </c>
      <c r="B81" s="15"/>
      <c r="C81" s="15"/>
      <c r="E81" s="15"/>
      <c r="G81" s="15"/>
      <c r="I81" s="15"/>
      <c r="J81" s="15"/>
    </row>
    <row r="82" spans="1:10" x14ac:dyDescent="0.25">
      <c r="A82" s="18" t="s">
        <v>49</v>
      </c>
      <c r="B82" s="15"/>
      <c r="C82" s="17">
        <v>53896</v>
      </c>
      <c r="E82" s="17">
        <v>58558</v>
      </c>
      <c r="G82" s="17">
        <v>55440</v>
      </c>
      <c r="I82" s="17">
        <v>69666</v>
      </c>
    </row>
    <row r="83" spans="1:10" x14ac:dyDescent="0.25">
      <c r="A83" s="18" t="s">
        <v>50</v>
      </c>
      <c r="B83" s="15"/>
      <c r="C83" s="17">
        <f>17429+5215</f>
        <v>22644</v>
      </c>
      <c r="E83" s="17">
        <f>18210+4927</f>
        <v>23137</v>
      </c>
      <c r="G83" s="17">
        <f>18971+4762</f>
        <v>23733</v>
      </c>
      <c r="I83" s="17">
        <f>19658+4749</f>
        <v>24407</v>
      </c>
    </row>
    <row r="84" spans="1:10" x14ac:dyDescent="0.25">
      <c r="A84" s="18" t="s">
        <v>43</v>
      </c>
      <c r="B84" s="15"/>
      <c r="C84" s="17">
        <v>-3661</v>
      </c>
      <c r="E84" s="17">
        <v>6524</v>
      </c>
      <c r="G84" s="17">
        <v>1383</v>
      </c>
      <c r="I84" s="17">
        <v>4314</v>
      </c>
    </row>
    <row r="85" spans="1:10" x14ac:dyDescent="0.25">
      <c r="A85" s="18" t="s">
        <v>52</v>
      </c>
      <c r="B85" s="15"/>
      <c r="C85" s="17"/>
      <c r="E85" s="17"/>
      <c r="G85" s="17"/>
      <c r="I85" s="17"/>
    </row>
    <row r="86" spans="1:10" x14ac:dyDescent="0.25">
      <c r="A86" s="18" t="s">
        <v>53</v>
      </c>
      <c r="B86" s="15"/>
      <c r="C86" s="17">
        <v>-1723</v>
      </c>
      <c r="E86" s="17">
        <v>5713</v>
      </c>
      <c r="G86" s="17">
        <v>-662</v>
      </c>
      <c r="I86" s="17">
        <v>-8622</v>
      </c>
    </row>
    <row r="87" spans="1:10" x14ac:dyDescent="0.25">
      <c r="A87" s="18" t="s">
        <v>54</v>
      </c>
      <c r="B87" s="15"/>
      <c r="C87" s="17">
        <v>-2658</v>
      </c>
      <c r="E87" s="17">
        <v>850</v>
      </c>
      <c r="G87" s="17">
        <v>1904</v>
      </c>
      <c r="I87" s="17">
        <v>-618</v>
      </c>
    </row>
    <row r="88" spans="1:10" x14ac:dyDescent="0.25">
      <c r="A88" s="18" t="s">
        <v>55</v>
      </c>
      <c r="B88" s="15"/>
      <c r="C88" s="17">
        <v>-3883</v>
      </c>
      <c r="E88" s="17">
        <v>-3210</v>
      </c>
      <c r="G88" s="17">
        <v>499</v>
      </c>
      <c r="I88" s="17">
        <v>-856</v>
      </c>
    </row>
    <row r="89" spans="1:10" x14ac:dyDescent="0.25">
      <c r="A89" s="18" t="s">
        <v>58</v>
      </c>
      <c r="B89" s="15"/>
      <c r="C89" s="21">
        <f>-461-146-11439</f>
        <v>-12046</v>
      </c>
      <c r="E89" s="21">
        <f>-3385-88</f>
        <v>-3473</v>
      </c>
      <c r="G89" s="21">
        <f>2718-1911</f>
        <v>807</v>
      </c>
      <c r="I89" s="21">
        <v>136</v>
      </c>
    </row>
    <row r="90" spans="1:10" ht="8.25" customHeight="1" x14ac:dyDescent="0.25">
      <c r="A90" s="15"/>
      <c r="B90" s="15"/>
      <c r="C90" s="17"/>
      <c r="E90" s="17"/>
      <c r="G90" s="17"/>
      <c r="I90" s="17"/>
    </row>
    <row r="91" spans="1:10" x14ac:dyDescent="0.25">
      <c r="A91" s="15" t="s">
        <v>59</v>
      </c>
      <c r="B91" s="15"/>
      <c r="C91" s="20">
        <f>SUM(C82:C89)</f>
        <v>52569</v>
      </c>
      <c r="E91" s="20">
        <f>SUM(E82:E89)</f>
        <v>88099</v>
      </c>
      <c r="G91" s="20">
        <f>SUM(G82:G89)</f>
        <v>83104</v>
      </c>
      <c r="I91" s="20">
        <f>SUM(I82:I89)</f>
        <v>88427</v>
      </c>
    </row>
    <row r="92" spans="1:10" x14ac:dyDescent="0.25">
      <c r="A92" s="15"/>
      <c r="B92" s="15"/>
      <c r="C92" s="17"/>
      <c r="E92" s="17"/>
      <c r="G92" s="17"/>
      <c r="I92" s="17"/>
    </row>
    <row r="93" spans="1:10" x14ac:dyDescent="0.25">
      <c r="A93" s="15" t="s">
        <v>60</v>
      </c>
      <c r="B93" s="15"/>
      <c r="C93" s="17"/>
      <c r="E93" s="17"/>
      <c r="G93" s="17"/>
      <c r="I93" s="17"/>
    </row>
    <row r="94" spans="1:10" x14ac:dyDescent="0.25">
      <c r="A94" s="18" t="s">
        <v>20</v>
      </c>
      <c r="B94" s="15"/>
      <c r="C94" s="17">
        <v>-22580</v>
      </c>
      <c r="E94" s="17">
        <v>-65549</v>
      </c>
      <c r="G94" s="17">
        <v>-47960</v>
      </c>
      <c r="I94" s="17">
        <v>-82028</v>
      </c>
    </row>
    <row r="95" spans="1:10" x14ac:dyDescent="0.25">
      <c r="A95" s="18" t="s">
        <v>61</v>
      </c>
      <c r="B95" s="15"/>
      <c r="C95" s="17">
        <v>-31812</v>
      </c>
      <c r="E95" s="17">
        <v>-18416</v>
      </c>
      <c r="G95" s="17">
        <v>-33252</v>
      </c>
      <c r="I95" s="17">
        <v>-26445</v>
      </c>
    </row>
    <row r="96" spans="1:10" x14ac:dyDescent="0.25">
      <c r="A96" s="18" t="s">
        <v>63</v>
      </c>
      <c r="B96" s="15"/>
      <c r="C96" s="20">
        <f>250+1573</f>
        <v>1823</v>
      </c>
      <c r="E96" s="20">
        <f>70-354</f>
        <v>-284</v>
      </c>
      <c r="G96" s="20">
        <f>2817-859</f>
        <v>1958</v>
      </c>
      <c r="I96" s="20">
        <f>-3221+117</f>
        <v>-3104</v>
      </c>
    </row>
    <row r="97" spans="1:9" ht="6" customHeight="1" x14ac:dyDescent="0.25">
      <c r="A97" s="15"/>
      <c r="B97" s="15"/>
      <c r="C97" s="17"/>
      <c r="E97" s="17"/>
      <c r="G97" s="17"/>
      <c r="I97" s="17"/>
    </row>
    <row r="98" spans="1:9" x14ac:dyDescent="0.25">
      <c r="A98" s="15" t="s">
        <v>64</v>
      </c>
      <c r="B98" s="15"/>
      <c r="C98" s="20">
        <f>SUM(C94:C97)</f>
        <v>-52569</v>
      </c>
      <c r="E98" s="20">
        <f>SUM(E94:E97)</f>
        <v>-84249</v>
      </c>
      <c r="G98" s="20">
        <f>SUM(G94:G97)</f>
        <v>-79254</v>
      </c>
      <c r="I98" s="20">
        <f>SUM(I94:I97)</f>
        <v>-111577</v>
      </c>
    </row>
    <row r="99" spans="1:9" x14ac:dyDescent="0.25">
      <c r="A99" s="15"/>
      <c r="B99" s="15"/>
      <c r="C99" s="17"/>
      <c r="E99" s="17"/>
      <c r="G99" s="17"/>
      <c r="I99" s="17"/>
    </row>
    <row r="100" spans="1:9" x14ac:dyDescent="0.25">
      <c r="A100" s="15" t="s">
        <v>65</v>
      </c>
      <c r="B100" s="15"/>
      <c r="C100" s="17"/>
      <c r="E100" s="17"/>
      <c r="G100" s="17"/>
      <c r="I100" s="17"/>
    </row>
    <row r="101" spans="1:9" x14ac:dyDescent="0.25">
      <c r="A101" s="15" t="s">
        <v>66</v>
      </c>
      <c r="B101" s="15"/>
      <c r="C101" s="17">
        <v>0</v>
      </c>
      <c r="E101" s="17">
        <v>0</v>
      </c>
      <c r="G101" s="17"/>
      <c r="I101" s="17">
        <v>150000</v>
      </c>
    </row>
    <row r="102" spans="1:9" hidden="1" x14ac:dyDescent="0.25">
      <c r="A102" s="15" t="s">
        <v>67</v>
      </c>
      <c r="B102" s="15"/>
      <c r="C102" s="17">
        <v>0</v>
      </c>
      <c r="E102" s="17">
        <v>0</v>
      </c>
      <c r="G102" s="17">
        <v>0</v>
      </c>
      <c r="I102" s="17">
        <v>0</v>
      </c>
    </row>
    <row r="103" spans="1:9" x14ac:dyDescent="0.25">
      <c r="A103" s="15" t="s">
        <v>68</v>
      </c>
      <c r="B103" s="15"/>
      <c r="C103" s="20">
        <v>0</v>
      </c>
      <c r="E103" s="20">
        <v>-3850</v>
      </c>
      <c r="G103" s="20">
        <v>-3850</v>
      </c>
      <c r="I103" s="20">
        <v>-126850</v>
      </c>
    </row>
    <row r="104" spans="1:9" hidden="1" x14ac:dyDescent="0.25">
      <c r="A104" s="18" t="s">
        <v>69</v>
      </c>
      <c r="B104" s="15"/>
      <c r="C104" s="22">
        <v>0</v>
      </c>
      <c r="D104" s="26"/>
      <c r="E104" s="22"/>
      <c r="F104" s="26"/>
      <c r="G104" s="22"/>
      <c r="H104" s="26"/>
      <c r="I104" s="22">
        <v>0</v>
      </c>
    </row>
    <row r="105" spans="1:9" hidden="1" x14ac:dyDescent="0.25">
      <c r="A105" s="15" t="s">
        <v>67</v>
      </c>
      <c r="B105" s="15"/>
      <c r="C105" s="20">
        <v>0</v>
      </c>
      <c r="E105" s="20"/>
      <c r="G105" s="20">
        <v>0</v>
      </c>
      <c r="I105" s="20">
        <v>0</v>
      </c>
    </row>
    <row r="106" spans="1:9" ht="6" customHeight="1" x14ac:dyDescent="0.25">
      <c r="A106" s="15"/>
      <c r="B106" s="15"/>
      <c r="C106" s="17"/>
      <c r="E106" s="17"/>
      <c r="G106" s="17"/>
      <c r="I106" s="17"/>
    </row>
    <row r="107" spans="1:9" x14ac:dyDescent="0.25">
      <c r="A107" s="15" t="s">
        <v>70</v>
      </c>
      <c r="B107" s="15"/>
      <c r="C107" s="20">
        <f>SUM(C101:C106)</f>
        <v>0</v>
      </c>
      <c r="E107" s="20">
        <f>SUM(E101:E106)</f>
        <v>-3850</v>
      </c>
      <c r="G107" s="20">
        <f>SUM(G101:G106)</f>
        <v>-3850</v>
      </c>
      <c r="I107" s="20">
        <f>SUM(I101:I106)</f>
        <v>23150</v>
      </c>
    </row>
    <row r="108" spans="1:9" ht="5.25" customHeight="1" x14ac:dyDescent="0.25">
      <c r="A108" s="15"/>
      <c r="B108" s="15"/>
      <c r="C108" s="17"/>
      <c r="E108" s="17"/>
      <c r="G108" s="17"/>
      <c r="I108" s="17"/>
    </row>
    <row r="109" spans="1:9" x14ac:dyDescent="0.25">
      <c r="A109" s="18" t="s">
        <v>71</v>
      </c>
      <c r="B109" s="15"/>
      <c r="C109" s="17">
        <f>C91+C98+C107</f>
        <v>0</v>
      </c>
      <c r="E109" s="17">
        <f>E91+E98+E107</f>
        <v>0</v>
      </c>
      <c r="G109" s="17">
        <f>G91+G98+G107</f>
        <v>0</v>
      </c>
      <c r="I109" s="17">
        <f>I91+I98+I107</f>
        <v>0</v>
      </c>
    </row>
    <row r="110" spans="1:9" ht="4.5" customHeight="1" x14ac:dyDescent="0.25">
      <c r="A110" s="23"/>
      <c r="B110" s="15"/>
      <c r="C110" s="17"/>
      <c r="E110" s="17"/>
      <c r="G110" s="17"/>
      <c r="I110" s="17"/>
    </row>
    <row r="111" spans="1:9" x14ac:dyDescent="0.25">
      <c r="A111" s="15" t="s">
        <v>72</v>
      </c>
      <c r="B111" s="15"/>
      <c r="C111" s="20">
        <v>4</v>
      </c>
      <c r="E111" s="20">
        <v>4</v>
      </c>
      <c r="G111" s="20">
        <v>4</v>
      </c>
      <c r="I111" s="20">
        <v>4</v>
      </c>
    </row>
    <row r="112" spans="1:9" ht="5.25" customHeight="1" x14ac:dyDescent="0.25">
      <c r="A112" s="15"/>
      <c r="B112" s="15"/>
      <c r="C112" s="17"/>
      <c r="E112" s="17"/>
      <c r="G112" s="17"/>
      <c r="I112" s="17"/>
    </row>
    <row r="113" spans="1:10" ht="13.8" thickBot="1" x14ac:dyDescent="0.3">
      <c r="A113" s="18" t="s">
        <v>73</v>
      </c>
      <c r="B113" s="15"/>
      <c r="C113" s="24">
        <f>SUM(C109:C111)</f>
        <v>4</v>
      </c>
      <c r="E113" s="24">
        <f>SUM(E109:E111)</f>
        <v>4</v>
      </c>
      <c r="G113" s="24">
        <f>SUM(G109:G111)</f>
        <v>4</v>
      </c>
      <c r="I113" s="24">
        <f>SUM(I109:I111)</f>
        <v>4</v>
      </c>
    </row>
    <row r="114" spans="1:10" ht="13.8" thickTop="1" x14ac:dyDescent="0.25">
      <c r="A114" s="16"/>
      <c r="B114" s="15"/>
      <c r="C114" s="17"/>
      <c r="E114" s="17"/>
      <c r="G114" s="17"/>
      <c r="I114" s="17"/>
      <c r="J114" s="22"/>
    </row>
    <row r="115" spans="1:10" x14ac:dyDescent="0.25">
      <c r="A115" s="15"/>
      <c r="B115" s="15"/>
      <c r="C115" s="15"/>
      <c r="E115" s="17"/>
      <c r="G115" s="17"/>
      <c r="I115" s="17"/>
      <c r="J115" s="17"/>
    </row>
  </sheetData>
  <phoneticPr fontId="0" type="noConversion"/>
  <pageMargins left="0.75" right="0.5" top="0.5" bottom="0.5" header="0.5" footer="0.5"/>
  <pageSetup scale="57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17"/>
  <sheetViews>
    <sheetView zoomScale="92" workbookViewId="0"/>
  </sheetViews>
  <sheetFormatPr defaultRowHeight="13.2" x14ac:dyDescent="0.25"/>
  <cols>
    <col min="1" max="1" width="4.44140625" customWidth="1"/>
    <col min="2" max="2" width="54.5546875" customWidth="1"/>
    <col min="3" max="3" width="10.33203125" customWidth="1"/>
    <col min="4" max="4" width="4.44140625" customWidth="1"/>
    <col min="5" max="5" width="10" customWidth="1"/>
    <col min="6" max="6" width="5.44140625" customWidth="1"/>
    <col min="7" max="7" width="10.88671875" bestFit="1" customWidth="1"/>
    <col min="8" max="8" width="4.44140625" customWidth="1"/>
    <col min="9" max="9" width="11.44140625" bestFit="1" customWidth="1"/>
  </cols>
  <sheetData>
    <row r="1" spans="1:9" ht="13.8" x14ac:dyDescent="0.25">
      <c r="A1" s="12" t="s">
        <v>79</v>
      </c>
    </row>
    <row r="4" spans="1:9" x14ac:dyDescent="0.25">
      <c r="A4" s="1" t="s">
        <v>0</v>
      </c>
      <c r="C4" s="27">
        <v>1997</v>
      </c>
      <c r="D4" s="28"/>
      <c r="E4" s="27">
        <v>1998</v>
      </c>
      <c r="F4" s="28"/>
      <c r="G4" s="27">
        <v>1999</v>
      </c>
      <c r="H4" s="28"/>
      <c r="I4" s="27">
        <v>2000</v>
      </c>
    </row>
    <row r="6" spans="1:9" x14ac:dyDescent="0.25">
      <c r="A6" t="s">
        <v>1</v>
      </c>
    </row>
    <row r="7" spans="1:9" x14ac:dyDescent="0.25">
      <c r="B7" t="s">
        <v>80</v>
      </c>
      <c r="C7" s="29">
        <v>308843</v>
      </c>
      <c r="E7" s="29">
        <v>306174</v>
      </c>
      <c r="G7" s="29">
        <v>304885</v>
      </c>
      <c r="I7" s="29">
        <v>307928</v>
      </c>
    </row>
    <row r="8" spans="1:9" x14ac:dyDescent="0.25">
      <c r="B8" t="s">
        <v>81</v>
      </c>
      <c r="C8" s="29">
        <v>426559</v>
      </c>
      <c r="E8" s="29">
        <v>284831</v>
      </c>
      <c r="G8" s="29">
        <v>334506</v>
      </c>
      <c r="I8" s="29">
        <v>168145</v>
      </c>
    </row>
    <row r="9" spans="1:9" x14ac:dyDescent="0.25">
      <c r="C9" s="30">
        <f>SUM(C7:C8)</f>
        <v>735402</v>
      </c>
      <c r="E9" s="30">
        <f>SUM(E7:E8)</f>
        <v>591005</v>
      </c>
      <c r="G9" s="30">
        <f>SUM(G7:G8)</f>
        <v>639391</v>
      </c>
      <c r="I9" s="30">
        <f>SUM(I7:I8)</f>
        <v>476073</v>
      </c>
    </row>
    <row r="10" spans="1:9" ht="7.5" customHeight="1" x14ac:dyDescent="0.25">
      <c r="C10" s="29"/>
      <c r="E10" s="29"/>
      <c r="G10" s="29"/>
      <c r="I10" s="29"/>
    </row>
    <row r="11" spans="1:9" x14ac:dyDescent="0.25">
      <c r="A11" t="s">
        <v>4</v>
      </c>
      <c r="C11" s="29"/>
      <c r="E11" s="29"/>
      <c r="G11" s="29"/>
      <c r="I11" s="29"/>
    </row>
    <row r="12" spans="1:9" x14ac:dyDescent="0.25">
      <c r="B12" t="s">
        <v>82</v>
      </c>
      <c r="C12" s="34">
        <v>416953</v>
      </c>
      <c r="D12" s="33"/>
      <c r="E12" s="29">
        <v>269818</v>
      </c>
      <c r="G12" s="29">
        <v>324854</v>
      </c>
      <c r="I12" s="29">
        <v>162348</v>
      </c>
    </row>
    <row r="13" spans="1:9" x14ac:dyDescent="0.25">
      <c r="B13" t="s">
        <v>6</v>
      </c>
      <c r="C13" s="29">
        <v>82653</v>
      </c>
      <c r="E13" s="29">
        <v>78061</v>
      </c>
      <c r="G13" s="29">
        <v>81667</v>
      </c>
      <c r="I13" s="29">
        <v>78982</v>
      </c>
    </row>
    <row r="14" spans="1:9" x14ac:dyDescent="0.25">
      <c r="B14" t="s">
        <v>7</v>
      </c>
      <c r="C14" s="29">
        <f>26103+34367</f>
        <v>60470</v>
      </c>
      <c r="E14" s="29">
        <f>26349+25422</f>
        <v>51771</v>
      </c>
      <c r="G14" s="29">
        <f>27230+24004</f>
        <v>51234</v>
      </c>
      <c r="I14" s="29">
        <f>29144+21295</f>
        <v>50439</v>
      </c>
    </row>
    <row r="15" spans="1:9" x14ac:dyDescent="0.25">
      <c r="B15" t="s">
        <v>8</v>
      </c>
      <c r="C15" s="29">
        <v>24717</v>
      </c>
      <c r="E15" s="29">
        <v>23940</v>
      </c>
      <c r="G15" s="29">
        <v>25423</v>
      </c>
      <c r="I15" s="29">
        <v>19700</v>
      </c>
    </row>
    <row r="16" spans="1:9" x14ac:dyDescent="0.25">
      <c r="C16" s="30">
        <f>SUM(C12:C15)</f>
        <v>584793</v>
      </c>
      <c r="E16" s="30">
        <f>SUM(E12:E15)</f>
        <v>423590</v>
      </c>
      <c r="G16" s="30">
        <f>SUM(G12:G15)</f>
        <v>483178</v>
      </c>
      <c r="I16" s="30">
        <f>SUM(I12:I15)</f>
        <v>311469</v>
      </c>
    </row>
    <row r="17" spans="1:9" ht="8.25" customHeight="1" x14ac:dyDescent="0.25">
      <c r="C17" s="29"/>
      <c r="E17" s="29"/>
      <c r="G17" s="29"/>
      <c r="I17" s="29"/>
    </row>
    <row r="18" spans="1:9" x14ac:dyDescent="0.25">
      <c r="A18" t="s">
        <v>15</v>
      </c>
      <c r="C18" s="29">
        <f>C9-C16</f>
        <v>150609</v>
      </c>
      <c r="E18" s="29">
        <f>E9-E16</f>
        <v>167415</v>
      </c>
      <c r="G18" s="29">
        <f>G9-G16</f>
        <v>156213</v>
      </c>
      <c r="I18" s="29">
        <f>I9-I16</f>
        <v>164604</v>
      </c>
    </row>
    <row r="19" spans="1:9" ht="7.5" customHeight="1" x14ac:dyDescent="0.25">
      <c r="C19" s="29"/>
      <c r="E19" s="29"/>
      <c r="G19" s="29"/>
      <c r="I19" s="29"/>
    </row>
    <row r="20" spans="1:9" x14ac:dyDescent="0.25">
      <c r="A20" t="s">
        <v>9</v>
      </c>
      <c r="C20" s="31">
        <f>599+14309</f>
        <v>14908</v>
      </c>
      <c r="E20" s="31">
        <f>1241-5667</f>
        <v>-4426</v>
      </c>
      <c r="G20" s="31">
        <f>2183+5778</f>
        <v>7961</v>
      </c>
      <c r="I20" s="31">
        <f>15176+8318</f>
        <v>23494</v>
      </c>
    </row>
    <row r="21" spans="1:9" ht="6.75" customHeight="1" x14ac:dyDescent="0.25">
      <c r="C21" s="29"/>
      <c r="E21" s="29"/>
      <c r="G21" s="29"/>
      <c r="I21" s="29"/>
    </row>
    <row r="22" spans="1:9" x14ac:dyDescent="0.25">
      <c r="A22" t="s">
        <v>10</v>
      </c>
      <c r="C22" s="29">
        <f>C18+C20</f>
        <v>165517</v>
      </c>
      <c r="E22" s="29">
        <f>E18+E20</f>
        <v>162989</v>
      </c>
      <c r="G22" s="29">
        <f>G18+G20</f>
        <v>164174</v>
      </c>
      <c r="I22" s="29">
        <f>I18+I20</f>
        <v>188098</v>
      </c>
    </row>
    <row r="23" spans="1:9" ht="6.75" customHeight="1" x14ac:dyDescent="0.25">
      <c r="C23" s="29"/>
      <c r="E23" s="29"/>
      <c r="G23" s="29"/>
      <c r="I23" s="29"/>
    </row>
    <row r="24" spans="1:9" x14ac:dyDescent="0.25">
      <c r="A24" t="s">
        <v>11</v>
      </c>
      <c r="C24" s="29">
        <v>93471</v>
      </c>
      <c r="E24" s="29">
        <v>88289</v>
      </c>
      <c r="G24" s="29">
        <v>82538</v>
      </c>
      <c r="I24" s="29">
        <v>82117</v>
      </c>
    </row>
    <row r="25" spans="1:9" ht="6.75" customHeight="1" x14ac:dyDescent="0.25">
      <c r="C25" s="29"/>
      <c r="E25" s="29"/>
      <c r="G25" s="29"/>
      <c r="I25" s="29"/>
    </row>
    <row r="26" spans="1:9" x14ac:dyDescent="0.25">
      <c r="A26" t="s">
        <v>12</v>
      </c>
      <c r="C26" s="31">
        <v>17460</v>
      </c>
      <c r="E26" s="31">
        <v>28726</v>
      </c>
      <c r="G26" s="31">
        <v>31749</v>
      </c>
      <c r="I26" s="31">
        <v>41099</v>
      </c>
    </row>
    <row r="27" spans="1:9" ht="6" customHeight="1" x14ac:dyDescent="0.25">
      <c r="C27" s="29"/>
      <c r="E27" s="29"/>
      <c r="G27" s="29"/>
      <c r="I27" s="29"/>
    </row>
    <row r="28" spans="1:9" ht="12.75" customHeight="1" x14ac:dyDescent="0.25">
      <c r="A28" t="s">
        <v>83</v>
      </c>
      <c r="C28" s="29">
        <f>C22-C24-C26</f>
        <v>54586</v>
      </c>
      <c r="E28" s="29">
        <f>E22-E24-E26</f>
        <v>45974</v>
      </c>
      <c r="G28" s="29">
        <f>G22-G24-G26</f>
        <v>49887</v>
      </c>
      <c r="I28" s="29">
        <f>I22-I24-I26</f>
        <v>64882</v>
      </c>
    </row>
    <row r="29" spans="1:9" ht="6" customHeight="1" x14ac:dyDescent="0.25">
      <c r="C29" s="29"/>
      <c r="E29" s="29"/>
      <c r="G29" s="29"/>
      <c r="I29" s="29"/>
    </row>
    <row r="30" spans="1:9" ht="12.75" customHeight="1" x14ac:dyDescent="0.25">
      <c r="A30" t="s">
        <v>84</v>
      </c>
      <c r="C30" s="29">
        <v>0</v>
      </c>
      <c r="E30" s="29">
        <v>0</v>
      </c>
      <c r="G30" s="29">
        <v>0</v>
      </c>
      <c r="I30" s="29">
        <v>35162</v>
      </c>
    </row>
    <row r="31" spans="1:9" ht="6" customHeight="1" x14ac:dyDescent="0.25">
      <c r="C31" s="29"/>
      <c r="E31" s="29"/>
      <c r="G31" s="29"/>
      <c r="I31" s="29"/>
    </row>
    <row r="32" spans="1:9" ht="12.75" customHeight="1" thickBot="1" x14ac:dyDescent="0.3">
      <c r="A32" t="s">
        <v>13</v>
      </c>
      <c r="C32" s="32">
        <f>SUM(C28:C30)</f>
        <v>54586</v>
      </c>
      <c r="E32" s="32">
        <f>SUM(E28:E30)</f>
        <v>45974</v>
      </c>
      <c r="G32" s="32">
        <f>SUM(G28:G30)</f>
        <v>49887</v>
      </c>
      <c r="I32" s="32">
        <f>SUM(I28:I30)</f>
        <v>100044</v>
      </c>
    </row>
    <row r="33" spans="1:10" ht="13.8" thickTop="1" x14ac:dyDescent="0.25"/>
    <row r="35" spans="1:10" x14ac:dyDescent="0.25">
      <c r="A35" s="1" t="s">
        <v>16</v>
      </c>
    </row>
    <row r="37" spans="1:10" x14ac:dyDescent="0.25">
      <c r="A37" s="6" t="s">
        <v>17</v>
      </c>
      <c r="B37" s="6"/>
      <c r="C37" s="6"/>
      <c r="E37" s="6"/>
      <c r="G37" s="6"/>
      <c r="I37" s="6"/>
      <c r="J37" s="6"/>
    </row>
    <row r="38" spans="1:10" ht="6.75" customHeight="1" x14ac:dyDescent="0.25">
      <c r="A38" s="6"/>
      <c r="B38" s="6"/>
      <c r="C38" s="6"/>
      <c r="E38" s="6"/>
      <c r="G38" s="6"/>
      <c r="I38" s="6"/>
      <c r="J38" s="6"/>
    </row>
    <row r="39" spans="1:10" x14ac:dyDescent="0.25">
      <c r="A39" s="6" t="s">
        <v>18</v>
      </c>
      <c r="B39" s="6"/>
      <c r="C39" s="6"/>
      <c r="E39" s="6"/>
      <c r="G39" s="6"/>
      <c r="I39" s="6"/>
      <c r="J39" s="6"/>
    </row>
    <row r="40" spans="1:10" x14ac:dyDescent="0.25">
      <c r="A40" s="7" t="s">
        <v>19</v>
      </c>
      <c r="B40" s="6"/>
      <c r="C40" s="8">
        <v>17274</v>
      </c>
      <c r="E40" s="8">
        <v>4495</v>
      </c>
      <c r="G40" s="8">
        <v>23486</v>
      </c>
      <c r="I40" s="8">
        <v>3690</v>
      </c>
    </row>
    <row r="41" spans="1:10" x14ac:dyDescent="0.25">
      <c r="A41" s="7" t="s">
        <v>76</v>
      </c>
      <c r="B41" s="6"/>
      <c r="C41" s="8">
        <f>43724+28</f>
        <v>43752</v>
      </c>
      <c r="E41" s="8">
        <f>52767+5132</f>
        <v>57899</v>
      </c>
      <c r="G41" s="8">
        <f>46783+124</f>
        <v>46907</v>
      </c>
      <c r="I41" s="8">
        <f>27054+100585</f>
        <v>127639</v>
      </c>
    </row>
    <row r="42" spans="1:10" x14ac:dyDescent="0.25">
      <c r="A42" s="7" t="s">
        <v>85</v>
      </c>
      <c r="B42" s="6"/>
      <c r="C42" s="9">
        <v>0</v>
      </c>
      <c r="E42" s="9">
        <v>0</v>
      </c>
      <c r="G42" s="9">
        <v>0</v>
      </c>
      <c r="I42" s="9">
        <v>696936</v>
      </c>
    </row>
    <row r="43" spans="1:10" x14ac:dyDescent="0.25">
      <c r="A43" s="7" t="s">
        <v>24</v>
      </c>
      <c r="B43" s="6"/>
      <c r="C43" s="10">
        <f>2730+5399+9417+818</f>
        <v>18364</v>
      </c>
      <c r="E43" s="10">
        <f>3940+3489+11578+4637</f>
        <v>23644</v>
      </c>
      <c r="G43" s="10">
        <f>4310+13219</f>
        <v>17529</v>
      </c>
      <c r="I43" s="10">
        <f>4008+18480</f>
        <v>22488</v>
      </c>
    </row>
    <row r="44" spans="1:10" x14ac:dyDescent="0.25">
      <c r="A44" s="7" t="s">
        <v>25</v>
      </c>
      <c r="B44" s="6"/>
      <c r="C44" s="10">
        <f>SUM(C40:C43)</f>
        <v>79390</v>
      </c>
      <c r="E44" s="10">
        <f>SUM(E40:E43)</f>
        <v>86038</v>
      </c>
      <c r="G44" s="10">
        <f>SUM(G40:G43)</f>
        <v>87922</v>
      </c>
      <c r="I44" s="10">
        <f>SUM(I40:I43)</f>
        <v>850753</v>
      </c>
    </row>
    <row r="45" spans="1:10" ht="7.5" customHeight="1" x14ac:dyDescent="0.25"/>
    <row r="46" spans="1:10" x14ac:dyDescent="0.25">
      <c r="A46" s="7" t="s">
        <v>26</v>
      </c>
      <c r="B46" s="6"/>
      <c r="C46" s="8">
        <v>2810061</v>
      </c>
      <c r="E46" s="8">
        <v>2850007</v>
      </c>
      <c r="G46" s="8">
        <v>3290188</v>
      </c>
      <c r="I46" s="8">
        <v>3505188</v>
      </c>
    </row>
    <row r="47" spans="1:10" x14ac:dyDescent="0.25">
      <c r="A47" s="7" t="s">
        <v>32</v>
      </c>
      <c r="B47" s="6"/>
      <c r="C47" s="10">
        <v>463938</v>
      </c>
      <c r="E47" s="10">
        <v>507366</v>
      </c>
      <c r="G47" s="10">
        <v>913557</v>
      </c>
      <c r="I47" s="10">
        <v>931496</v>
      </c>
    </row>
    <row r="48" spans="1:10" x14ac:dyDescent="0.25">
      <c r="A48" s="7" t="s">
        <v>27</v>
      </c>
      <c r="B48" s="6"/>
      <c r="C48" s="10">
        <f>C46-C47</f>
        <v>2346123</v>
      </c>
      <c r="E48" s="10">
        <f>E46-E47</f>
        <v>2342641</v>
      </c>
      <c r="G48" s="10">
        <f>G46-G47</f>
        <v>2376631</v>
      </c>
      <c r="I48" s="10">
        <f>I46-I47</f>
        <v>2573692</v>
      </c>
    </row>
    <row r="49" spans="1:10" ht="6.75" customHeight="1" x14ac:dyDescent="0.25">
      <c r="A49" s="6"/>
      <c r="B49" s="6"/>
      <c r="C49" s="8"/>
      <c r="E49" s="8"/>
      <c r="G49" s="8"/>
      <c r="I49" s="8"/>
    </row>
    <row r="50" spans="1:10" x14ac:dyDescent="0.25">
      <c r="A50" s="7" t="s">
        <v>28</v>
      </c>
      <c r="B50" s="6"/>
      <c r="C50" s="8"/>
      <c r="E50" s="8"/>
      <c r="G50" s="8"/>
      <c r="I50" s="8"/>
    </row>
    <row r="51" spans="1:10" x14ac:dyDescent="0.25">
      <c r="A51" s="7" t="s">
        <v>85</v>
      </c>
      <c r="B51" s="6"/>
      <c r="C51" s="8">
        <v>0</v>
      </c>
      <c r="E51" s="8">
        <v>0</v>
      </c>
      <c r="G51" s="8">
        <v>0</v>
      </c>
      <c r="I51" s="8">
        <v>4492055</v>
      </c>
    </row>
    <row r="52" spans="1:10" x14ac:dyDescent="0.25">
      <c r="A52" s="7" t="s">
        <v>86</v>
      </c>
      <c r="B52" s="6"/>
      <c r="C52" s="8">
        <v>29419</v>
      </c>
      <c r="E52" s="8">
        <v>25520</v>
      </c>
      <c r="G52" s="8">
        <v>22925</v>
      </c>
      <c r="I52" s="8">
        <v>0</v>
      </c>
    </row>
    <row r="53" spans="1:10" x14ac:dyDescent="0.25">
      <c r="A53" s="7" t="s">
        <v>29</v>
      </c>
      <c r="B53" s="6"/>
      <c r="C53" s="10">
        <f>6241+32011</f>
        <v>38252</v>
      </c>
      <c r="E53" s="10">
        <f>5580+52529</f>
        <v>58109</v>
      </c>
      <c r="G53" s="10">
        <f>5839+46589</f>
        <v>52428</v>
      </c>
      <c r="I53" s="10">
        <f>8587+15780</f>
        <v>24367</v>
      </c>
    </row>
    <row r="54" spans="1:10" x14ac:dyDescent="0.25">
      <c r="A54" s="7" t="s">
        <v>30</v>
      </c>
      <c r="B54" s="6"/>
      <c r="C54" s="10">
        <f>SUM(C51:C53)</f>
        <v>67671</v>
      </c>
      <c r="E54" s="10">
        <f>SUM(E51:E53)</f>
        <v>83629</v>
      </c>
      <c r="G54" s="10">
        <f>SUM(G51:G53)</f>
        <v>75353</v>
      </c>
      <c r="I54" s="10">
        <f>SUM(I51:I53)</f>
        <v>4516422</v>
      </c>
    </row>
    <row r="55" spans="1:10" ht="8.25" customHeight="1" x14ac:dyDescent="0.25"/>
    <row r="56" spans="1:10" ht="13.8" thickBot="1" x14ac:dyDescent="0.3">
      <c r="A56" s="6" t="s">
        <v>31</v>
      </c>
      <c r="B56" s="6"/>
      <c r="C56" s="11">
        <f>C44+C48+C54</f>
        <v>2493184</v>
      </c>
      <c r="E56" s="11">
        <f>E44+E48+E54</f>
        <v>2512308</v>
      </c>
      <c r="G56" s="11">
        <f>G44+G48+G54</f>
        <v>2539906</v>
      </c>
      <c r="I56" s="11">
        <f>I44+I48+I54</f>
        <v>7940867</v>
      </c>
    </row>
    <row r="57" spans="1:10" ht="13.8" thickTop="1" x14ac:dyDescent="0.25">
      <c r="A57" s="6"/>
      <c r="B57" s="6"/>
      <c r="C57" s="6"/>
      <c r="E57" s="6"/>
      <c r="G57" s="6"/>
      <c r="I57" s="6"/>
      <c r="J57" s="6"/>
    </row>
    <row r="58" spans="1:10" x14ac:dyDescent="0.25">
      <c r="A58" s="6" t="s">
        <v>34</v>
      </c>
      <c r="B58" s="6"/>
      <c r="C58" s="6"/>
      <c r="E58" s="6"/>
      <c r="G58" s="6"/>
      <c r="I58" s="6"/>
      <c r="J58" s="6"/>
    </row>
    <row r="59" spans="1:10" ht="7.5" customHeight="1" x14ac:dyDescent="0.25">
      <c r="A59" s="6"/>
      <c r="B59" s="6"/>
      <c r="C59" s="6"/>
      <c r="E59" s="6"/>
      <c r="G59" s="6"/>
      <c r="I59" s="6"/>
      <c r="J59" s="6"/>
    </row>
    <row r="60" spans="1:10" x14ac:dyDescent="0.25">
      <c r="A60" s="6" t="s">
        <v>35</v>
      </c>
      <c r="B60" s="6"/>
      <c r="C60" s="6"/>
      <c r="E60" s="6"/>
      <c r="G60" s="6"/>
      <c r="I60" s="6"/>
      <c r="J60" s="6"/>
    </row>
    <row r="61" spans="1:10" x14ac:dyDescent="0.25">
      <c r="A61" s="7" t="s">
        <v>88</v>
      </c>
      <c r="B61" s="6"/>
      <c r="C61" s="34">
        <v>20000</v>
      </c>
      <c r="D61" s="2"/>
      <c r="E61" s="34">
        <v>10300</v>
      </c>
      <c r="G61" s="6">
        <v>65000</v>
      </c>
      <c r="I61" s="6">
        <v>80000</v>
      </c>
      <c r="J61" s="6"/>
    </row>
    <row r="62" spans="1:10" x14ac:dyDescent="0.25">
      <c r="A62" s="7" t="s">
        <v>47</v>
      </c>
      <c r="B62" s="6"/>
      <c r="C62" s="8">
        <f>26650+13857</f>
        <v>40507</v>
      </c>
      <c r="E62" s="8">
        <f>23796+17556</f>
        <v>41352</v>
      </c>
      <c r="G62" s="8">
        <f>35544+9742</f>
        <v>45286</v>
      </c>
      <c r="I62" s="8">
        <f>27571+14301</f>
        <v>41872</v>
      </c>
      <c r="J62" s="6"/>
    </row>
    <row r="63" spans="1:10" x14ac:dyDescent="0.25">
      <c r="A63" s="7" t="s">
        <v>87</v>
      </c>
      <c r="B63" s="6"/>
      <c r="C63" s="8">
        <v>0</v>
      </c>
      <c r="E63" s="8">
        <v>0</v>
      </c>
      <c r="G63" s="8">
        <v>0</v>
      </c>
      <c r="I63" s="8">
        <v>689357</v>
      </c>
    </row>
    <row r="64" spans="1:10" x14ac:dyDescent="0.25">
      <c r="A64" s="7" t="s">
        <v>75</v>
      </c>
      <c r="B64" s="6"/>
      <c r="C64" s="8">
        <f>16996+6662</f>
        <v>23658</v>
      </c>
      <c r="E64" s="8">
        <f>16121+518+7850</f>
        <v>24489</v>
      </c>
      <c r="G64" s="8">
        <f>13864+586+10909</f>
        <v>25359</v>
      </c>
      <c r="I64" s="8">
        <f>14382+8840+9254</f>
        <v>32476</v>
      </c>
    </row>
    <row r="65" spans="1:9" x14ac:dyDescent="0.25">
      <c r="A65" s="7" t="s">
        <v>77</v>
      </c>
      <c r="B65" s="6"/>
      <c r="C65" s="8">
        <v>44250</v>
      </c>
      <c r="E65" s="8">
        <v>225750</v>
      </c>
      <c r="G65" s="8">
        <v>25750</v>
      </c>
      <c r="I65" s="8">
        <v>25750</v>
      </c>
    </row>
    <row r="66" spans="1:9" x14ac:dyDescent="0.25">
      <c r="A66" s="7" t="s">
        <v>29</v>
      </c>
      <c r="B66" s="6"/>
      <c r="C66" s="10">
        <v>3719</v>
      </c>
      <c r="E66" s="10">
        <v>3382</v>
      </c>
      <c r="G66" s="10">
        <v>1998</v>
      </c>
      <c r="I66" s="10">
        <v>200</v>
      </c>
    </row>
    <row r="67" spans="1:9" x14ac:dyDescent="0.25">
      <c r="A67" s="7" t="s">
        <v>40</v>
      </c>
      <c r="B67" s="6"/>
      <c r="C67" s="10">
        <f>SUM(C61:C66)</f>
        <v>132134</v>
      </c>
      <c r="E67" s="10">
        <f>SUM(E61:E66)</f>
        <v>305273</v>
      </c>
      <c r="G67" s="10">
        <f>SUM(G61:G66)</f>
        <v>163393</v>
      </c>
      <c r="I67" s="10">
        <f>SUM(I61:I66)</f>
        <v>869655</v>
      </c>
    </row>
    <row r="68" spans="1:9" ht="6" customHeight="1" x14ac:dyDescent="0.25"/>
    <row r="69" spans="1:9" x14ac:dyDescent="0.25">
      <c r="A69" s="6" t="s">
        <v>41</v>
      </c>
      <c r="B69" s="6"/>
      <c r="C69" s="10">
        <v>980750</v>
      </c>
      <c r="E69" s="10">
        <v>755000</v>
      </c>
      <c r="G69" s="10">
        <v>849250</v>
      </c>
      <c r="I69" s="10">
        <v>1028500</v>
      </c>
    </row>
    <row r="70" spans="1:9" ht="9" customHeight="1" x14ac:dyDescent="0.25">
      <c r="A70" s="6"/>
      <c r="B70" s="6"/>
      <c r="C70" s="8"/>
      <c r="E70" s="8"/>
      <c r="G70" s="8"/>
      <c r="I70" s="8"/>
    </row>
    <row r="71" spans="1:9" x14ac:dyDescent="0.25">
      <c r="A71" s="6" t="s">
        <v>42</v>
      </c>
      <c r="B71" s="6"/>
      <c r="C71" s="8"/>
      <c r="E71" s="8"/>
      <c r="G71" s="8"/>
      <c r="I71" s="8"/>
    </row>
    <row r="72" spans="1:9" x14ac:dyDescent="0.25">
      <c r="A72" s="7" t="s">
        <v>43</v>
      </c>
      <c r="B72" s="6"/>
      <c r="C72" s="8">
        <v>483190</v>
      </c>
      <c r="E72" s="8">
        <v>506585</v>
      </c>
      <c r="G72" s="8">
        <v>524959</v>
      </c>
      <c r="I72" s="8">
        <v>562330</v>
      </c>
    </row>
    <row r="73" spans="1:9" x14ac:dyDescent="0.25">
      <c r="A73" s="7" t="s">
        <v>87</v>
      </c>
      <c r="B73" s="6"/>
      <c r="C73" s="8">
        <v>0</v>
      </c>
      <c r="E73" s="8">
        <v>0</v>
      </c>
      <c r="G73" s="8">
        <v>0</v>
      </c>
      <c r="I73" s="8">
        <v>4413463</v>
      </c>
    </row>
    <row r="74" spans="1:9" x14ac:dyDescent="0.25">
      <c r="A74" s="7" t="s">
        <v>29</v>
      </c>
      <c r="B74" s="6"/>
      <c r="C74" s="13">
        <v>32784</v>
      </c>
      <c r="E74" s="13">
        <v>35150</v>
      </c>
      <c r="G74" s="13">
        <v>42117</v>
      </c>
      <c r="I74" s="13">
        <v>13380</v>
      </c>
    </row>
    <row r="75" spans="1:9" x14ac:dyDescent="0.25">
      <c r="A75" s="7" t="s">
        <v>44</v>
      </c>
      <c r="B75" s="6"/>
      <c r="C75" s="25">
        <f>SUM(C72:C74)</f>
        <v>515974</v>
      </c>
      <c r="E75" s="25">
        <f>SUM(E72:E74)</f>
        <v>541735</v>
      </c>
      <c r="G75" s="25">
        <f>SUM(G72:G74)</f>
        <v>567076</v>
      </c>
      <c r="I75" s="25">
        <f>SUM(I72:I74)</f>
        <v>4989173</v>
      </c>
    </row>
    <row r="76" spans="1:9" ht="8.25" customHeight="1" x14ac:dyDescent="0.25"/>
    <row r="77" spans="1:9" x14ac:dyDescent="0.25">
      <c r="A77" s="6" t="s">
        <v>45</v>
      </c>
      <c r="B77" s="6"/>
      <c r="C77" s="10">
        <v>864326</v>
      </c>
      <c r="E77" s="10">
        <v>910300</v>
      </c>
      <c r="G77" s="10">
        <v>960187</v>
      </c>
      <c r="I77" s="10">
        <v>1053539</v>
      </c>
    </row>
    <row r="78" spans="1:9" ht="7.5" customHeight="1" x14ac:dyDescent="0.25">
      <c r="A78" s="14"/>
      <c r="B78" s="6"/>
    </row>
    <row r="79" spans="1:9" ht="13.8" thickBot="1" x14ac:dyDescent="0.3">
      <c r="A79" s="6" t="s">
        <v>46</v>
      </c>
      <c r="B79" s="6"/>
      <c r="C79" s="11">
        <f>C67+C69+C75+C77</f>
        <v>2493184</v>
      </c>
      <c r="E79" s="11">
        <f>E67+E69+E75+E77</f>
        <v>2512308</v>
      </c>
      <c r="G79" s="11">
        <f>G67+G69+G75+G77</f>
        <v>2539906</v>
      </c>
      <c r="I79" s="11">
        <f>I67+I69+I75+I77</f>
        <v>7940867</v>
      </c>
    </row>
    <row r="80" spans="1:9" ht="13.8" thickTop="1" x14ac:dyDescent="0.25"/>
    <row r="82" spans="1:10" x14ac:dyDescent="0.25">
      <c r="A82" s="1" t="s">
        <v>74</v>
      </c>
    </row>
    <row r="83" spans="1:10" x14ac:dyDescent="0.25">
      <c r="A83" s="1"/>
    </row>
    <row r="84" spans="1:10" x14ac:dyDescent="0.25">
      <c r="A84" s="15" t="s">
        <v>48</v>
      </c>
      <c r="B84" s="15"/>
      <c r="C84" s="15"/>
      <c r="E84" s="15"/>
      <c r="G84" s="15"/>
      <c r="I84" s="15"/>
      <c r="J84" s="15"/>
    </row>
    <row r="85" spans="1:10" x14ac:dyDescent="0.25">
      <c r="A85" s="18" t="s">
        <v>49</v>
      </c>
      <c r="B85" s="15"/>
      <c r="C85" s="17">
        <v>54586</v>
      </c>
      <c r="E85" s="17">
        <v>45974</v>
      </c>
      <c r="G85" s="17">
        <v>49887</v>
      </c>
      <c r="I85" s="17">
        <v>100044</v>
      </c>
    </row>
    <row r="86" spans="1:10" x14ac:dyDescent="0.25">
      <c r="A86" s="18" t="s">
        <v>50</v>
      </c>
      <c r="B86" s="15"/>
      <c r="C86" s="17">
        <v>60470</v>
      </c>
      <c r="E86" s="17">
        <v>51771</v>
      </c>
      <c r="G86" s="17">
        <v>51234</v>
      </c>
      <c r="I86" s="17">
        <v>50439</v>
      </c>
    </row>
    <row r="87" spans="1:10" x14ac:dyDescent="0.25">
      <c r="A87" s="18" t="s">
        <v>43</v>
      </c>
      <c r="B87" s="15"/>
      <c r="C87" s="17">
        <v>8621</v>
      </c>
      <c r="E87" s="17">
        <v>23395</v>
      </c>
      <c r="G87" s="17">
        <v>18374</v>
      </c>
      <c r="I87" s="17">
        <v>37371</v>
      </c>
    </row>
    <row r="88" spans="1:10" x14ac:dyDescent="0.25">
      <c r="A88" s="18" t="s">
        <v>52</v>
      </c>
      <c r="B88" s="15"/>
      <c r="C88" s="17"/>
      <c r="E88" s="17"/>
      <c r="G88" s="17"/>
      <c r="I88" s="17"/>
    </row>
    <row r="89" spans="1:10" x14ac:dyDescent="0.25">
      <c r="A89" s="18" t="s">
        <v>53</v>
      </c>
      <c r="B89" s="15"/>
      <c r="C89" s="17">
        <v>25127</v>
      </c>
      <c r="E89" s="17">
        <v>-11237</v>
      </c>
      <c r="G89" s="17">
        <v>15273</v>
      </c>
      <c r="I89" s="17">
        <v>-80732</v>
      </c>
    </row>
    <row r="90" spans="1:10" x14ac:dyDescent="0.25">
      <c r="A90" s="18" t="s">
        <v>54</v>
      </c>
      <c r="B90" s="15"/>
      <c r="C90" s="17">
        <v>-17764</v>
      </c>
      <c r="E90" s="17">
        <v>-6255</v>
      </c>
      <c r="G90" s="17">
        <v>3855</v>
      </c>
      <c r="I90" s="17">
        <v>-3414</v>
      </c>
    </row>
    <row r="91" spans="1:10" x14ac:dyDescent="0.25">
      <c r="A91" s="18" t="s">
        <v>55</v>
      </c>
      <c r="B91" s="15"/>
      <c r="C91" s="17">
        <f>-8208+667-173</f>
        <v>-7714</v>
      </c>
      <c r="E91" s="17">
        <f>-759+831-2280</f>
        <v>-2208</v>
      </c>
      <c r="G91" s="17">
        <f>-821+870-535</f>
        <v>-486</v>
      </c>
      <c r="I91" s="17">
        <f>302+7117-7579-7059</f>
        <v>-7219</v>
      </c>
    </row>
    <row r="92" spans="1:10" x14ac:dyDescent="0.25">
      <c r="A92" s="18" t="s">
        <v>58</v>
      </c>
      <c r="B92" s="15"/>
      <c r="C92" s="21">
        <f>-599-504-1826+12244</f>
        <v>9315</v>
      </c>
      <c r="E92" s="21">
        <f>-16453-720-1241</f>
        <v>-18414</v>
      </c>
      <c r="G92" s="21">
        <f>13783-955-2183</f>
        <v>10645</v>
      </c>
      <c r="I92" s="21">
        <f>-15176-486-42970</f>
        <v>-58632</v>
      </c>
    </row>
    <row r="93" spans="1:10" ht="8.25" customHeight="1" x14ac:dyDescent="0.25">
      <c r="A93" s="15"/>
      <c r="B93" s="15"/>
      <c r="C93" s="17"/>
      <c r="E93" s="17"/>
      <c r="G93" s="17"/>
      <c r="I93" s="17"/>
    </row>
    <row r="94" spans="1:10" x14ac:dyDescent="0.25">
      <c r="A94" s="15" t="s">
        <v>59</v>
      </c>
      <c r="B94" s="15"/>
      <c r="C94" s="20">
        <f>SUM(C85:C92)</f>
        <v>132641</v>
      </c>
      <c r="E94" s="20">
        <f>SUM(E85:E92)</f>
        <v>83026</v>
      </c>
      <c r="G94" s="20">
        <f>SUM(G85:G92)</f>
        <v>148782</v>
      </c>
      <c r="I94" s="20">
        <f>SUM(I85:I92)</f>
        <v>37857</v>
      </c>
    </row>
    <row r="95" spans="1:10" x14ac:dyDescent="0.25">
      <c r="A95" s="15"/>
      <c r="B95" s="15"/>
      <c r="C95" s="17"/>
      <c r="E95" s="17"/>
      <c r="G95" s="17"/>
      <c r="I95" s="17"/>
    </row>
    <row r="96" spans="1:10" x14ac:dyDescent="0.25">
      <c r="A96" s="15" t="s">
        <v>60</v>
      </c>
      <c r="B96" s="15"/>
      <c r="C96" s="17"/>
      <c r="E96" s="17"/>
      <c r="G96" s="17"/>
      <c r="I96" s="17"/>
    </row>
    <row r="97" spans="1:9" x14ac:dyDescent="0.25">
      <c r="A97" s="18" t="s">
        <v>61</v>
      </c>
      <c r="B97" s="15"/>
      <c r="C97" s="17">
        <v>-31261</v>
      </c>
      <c r="E97" s="17">
        <v>-44639</v>
      </c>
      <c r="G97" s="17">
        <v>-80595</v>
      </c>
      <c r="I97" s="17">
        <v>-261252</v>
      </c>
    </row>
    <row r="98" spans="1:9" x14ac:dyDescent="0.25">
      <c r="A98" s="18" t="s">
        <v>63</v>
      </c>
      <c r="B98" s="15"/>
      <c r="C98" s="20">
        <f>599+504-16</f>
        <v>1087</v>
      </c>
      <c r="E98" s="20">
        <f>1241+720+823</f>
        <v>2784</v>
      </c>
      <c r="G98" s="20">
        <f>2183+955-1284</f>
        <v>1854</v>
      </c>
      <c r="I98" s="20">
        <f>15176+486+12411</f>
        <v>28073</v>
      </c>
    </row>
    <row r="99" spans="1:9" ht="6" customHeight="1" x14ac:dyDescent="0.25">
      <c r="A99" s="15"/>
      <c r="B99" s="15"/>
      <c r="C99" s="17"/>
      <c r="E99" s="17"/>
      <c r="G99" s="17"/>
      <c r="I99" s="17"/>
    </row>
    <row r="100" spans="1:9" x14ac:dyDescent="0.25">
      <c r="A100" s="15" t="s">
        <v>64</v>
      </c>
      <c r="B100" s="15"/>
      <c r="C100" s="20">
        <f>SUM(C97:C99)</f>
        <v>-30174</v>
      </c>
      <c r="E100" s="20">
        <f>SUM(E97:E99)</f>
        <v>-41855</v>
      </c>
      <c r="G100" s="20">
        <f>SUM(G97:G99)</f>
        <v>-78741</v>
      </c>
      <c r="I100" s="20">
        <f>SUM(I97:I99)</f>
        <v>-233179</v>
      </c>
    </row>
    <row r="101" spans="1:9" x14ac:dyDescent="0.25">
      <c r="A101" s="15"/>
      <c r="B101" s="15"/>
      <c r="C101" s="17"/>
      <c r="E101" s="17"/>
      <c r="G101" s="17"/>
      <c r="I101" s="17"/>
    </row>
    <row r="102" spans="1:9" x14ac:dyDescent="0.25">
      <c r="A102" s="15" t="s">
        <v>65</v>
      </c>
      <c r="B102" s="15"/>
      <c r="C102" s="17"/>
      <c r="E102" s="17"/>
      <c r="G102" s="17"/>
      <c r="I102" s="17"/>
    </row>
    <row r="103" spans="1:9" x14ac:dyDescent="0.25">
      <c r="A103" s="15" t="s">
        <v>66</v>
      </c>
      <c r="B103" s="15"/>
      <c r="C103" s="17">
        <v>0</v>
      </c>
      <c r="E103" s="17">
        <v>0</v>
      </c>
      <c r="G103" s="17">
        <v>0</v>
      </c>
      <c r="I103" s="17">
        <v>325000</v>
      </c>
    </row>
    <row r="104" spans="1:9" hidden="1" x14ac:dyDescent="0.25">
      <c r="A104" s="15" t="s">
        <v>67</v>
      </c>
      <c r="B104" s="15"/>
      <c r="C104" s="17">
        <v>0</v>
      </c>
      <c r="E104" s="17">
        <v>0</v>
      </c>
      <c r="G104" s="17">
        <v>0</v>
      </c>
      <c r="I104" s="17">
        <v>0</v>
      </c>
    </row>
    <row r="105" spans="1:9" x14ac:dyDescent="0.25">
      <c r="A105" s="15" t="s">
        <v>68</v>
      </c>
      <c r="B105" s="15"/>
      <c r="C105" s="22">
        <v>-100000</v>
      </c>
      <c r="D105" s="26"/>
      <c r="E105" s="22">
        <v>-44250</v>
      </c>
      <c r="F105" s="26"/>
      <c r="G105" s="22">
        <v>-225750</v>
      </c>
      <c r="H105" s="26"/>
      <c r="I105" s="22">
        <v>-145750</v>
      </c>
    </row>
    <row r="106" spans="1:9" x14ac:dyDescent="0.25">
      <c r="A106" s="18" t="s">
        <v>89</v>
      </c>
      <c r="B106" s="15"/>
      <c r="C106" s="22">
        <v>5000</v>
      </c>
      <c r="D106" s="26"/>
      <c r="E106" s="22">
        <v>-9700</v>
      </c>
      <c r="F106" s="26"/>
      <c r="G106" s="22">
        <v>174700</v>
      </c>
      <c r="H106" s="26"/>
      <c r="I106" s="22">
        <v>15000</v>
      </c>
    </row>
    <row r="107" spans="1:9" x14ac:dyDescent="0.25">
      <c r="A107" s="15" t="s">
        <v>29</v>
      </c>
      <c r="B107" s="15"/>
      <c r="C107" s="20">
        <v>-6256</v>
      </c>
      <c r="E107" s="20">
        <v>0</v>
      </c>
      <c r="G107" s="20">
        <v>0</v>
      </c>
      <c r="I107" s="20">
        <v>-18724</v>
      </c>
    </row>
    <row r="108" spans="1:9" ht="6" customHeight="1" x14ac:dyDescent="0.25">
      <c r="A108" s="15"/>
      <c r="B108" s="15"/>
      <c r="C108" s="17"/>
      <c r="E108" s="17"/>
      <c r="G108" s="17"/>
      <c r="I108" s="17"/>
    </row>
    <row r="109" spans="1:9" x14ac:dyDescent="0.25">
      <c r="A109" s="15" t="s">
        <v>70</v>
      </c>
      <c r="B109" s="15"/>
      <c r="C109" s="20">
        <f>SUM(C103:C108)</f>
        <v>-101256</v>
      </c>
      <c r="E109" s="20">
        <f>SUM(E103:E108)</f>
        <v>-53950</v>
      </c>
      <c r="G109" s="20">
        <f>SUM(G103:G108)</f>
        <v>-51050</v>
      </c>
      <c r="I109" s="20">
        <f>SUM(I103:I108)</f>
        <v>175526</v>
      </c>
    </row>
    <row r="110" spans="1:9" ht="5.25" customHeight="1" x14ac:dyDescent="0.25">
      <c r="A110" s="15"/>
      <c r="B110" s="15"/>
      <c r="C110" s="17"/>
      <c r="E110" s="17"/>
      <c r="G110" s="17"/>
      <c r="I110" s="17"/>
    </row>
    <row r="111" spans="1:9" x14ac:dyDescent="0.25">
      <c r="A111" s="18" t="s">
        <v>71</v>
      </c>
      <c r="B111" s="15"/>
      <c r="C111" s="17">
        <f>C94+C100+C109</f>
        <v>1211</v>
      </c>
      <c r="E111" s="17">
        <f>E94+E100+E109</f>
        <v>-12779</v>
      </c>
      <c r="G111" s="17">
        <f>G94+G100+G109</f>
        <v>18991</v>
      </c>
      <c r="I111" s="17">
        <f>I94+I100+I109</f>
        <v>-19796</v>
      </c>
    </row>
    <row r="112" spans="1:9" ht="4.5" customHeight="1" x14ac:dyDescent="0.25">
      <c r="A112" s="23"/>
      <c r="B112" s="15"/>
      <c r="C112" s="17"/>
      <c r="E112" s="17"/>
      <c r="G112" s="17"/>
      <c r="I112" s="17"/>
    </row>
    <row r="113" spans="1:10" x14ac:dyDescent="0.25">
      <c r="A113" s="15" t="s">
        <v>72</v>
      </c>
      <c r="B113" s="15"/>
      <c r="C113" s="20">
        <v>16063</v>
      </c>
      <c r="E113" s="20">
        <v>17274</v>
      </c>
      <c r="G113" s="20">
        <v>4495</v>
      </c>
      <c r="I113" s="20">
        <v>23486</v>
      </c>
    </row>
    <row r="114" spans="1:10" ht="5.25" customHeight="1" x14ac:dyDescent="0.25">
      <c r="A114" s="15"/>
      <c r="B114" s="15"/>
      <c r="C114" s="17"/>
      <c r="E114" s="17"/>
      <c r="G114" s="17"/>
      <c r="I114" s="17"/>
    </row>
    <row r="115" spans="1:10" ht="13.8" thickBot="1" x14ac:dyDescent="0.3">
      <c r="A115" s="18" t="s">
        <v>73</v>
      </c>
      <c r="B115" s="15"/>
      <c r="C115" s="24">
        <f>SUM(C111:C113)</f>
        <v>17274</v>
      </c>
      <c r="E115" s="24">
        <f>SUM(E111:E113)</f>
        <v>4495</v>
      </c>
      <c r="G115" s="24">
        <f>SUM(G111:G113)</f>
        <v>23486</v>
      </c>
      <c r="I115" s="24">
        <f>SUM(I111:I113)</f>
        <v>3690</v>
      </c>
    </row>
    <row r="116" spans="1:10" ht="13.8" thickTop="1" x14ac:dyDescent="0.25">
      <c r="A116" s="16"/>
      <c r="B116" s="15"/>
      <c r="C116" s="17"/>
      <c r="E116" s="17"/>
      <c r="G116" s="17"/>
      <c r="I116" s="17"/>
      <c r="J116" s="22"/>
    </row>
    <row r="117" spans="1:10" x14ac:dyDescent="0.25">
      <c r="A117" s="15"/>
      <c r="B117" s="15"/>
      <c r="C117" s="15"/>
      <c r="E117" s="17"/>
      <c r="G117" s="17"/>
      <c r="I117" s="17"/>
      <c r="J117" s="17"/>
    </row>
  </sheetData>
  <phoneticPr fontId="0" type="noConversion"/>
  <pageMargins left="0.75" right="0.5" top="0.5" bottom="0.5" header="0.5" footer="0.5"/>
  <pageSetup scale="56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NNG</vt:lpstr>
      <vt:lpstr>TW</vt:lpstr>
      <vt:lpstr>CITRUS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jlev</dc:creator>
  <cp:lastModifiedBy>Havlíček Jan</cp:lastModifiedBy>
  <cp:lastPrinted>2001-11-09T17:48:14Z</cp:lastPrinted>
  <dcterms:created xsi:type="dcterms:W3CDTF">2001-11-09T15:15:27Z</dcterms:created>
  <dcterms:modified xsi:type="dcterms:W3CDTF">2023-09-10T12:04:35Z</dcterms:modified>
</cp:coreProperties>
</file>