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9372" windowHeight="4968"/>
  </bookViews>
  <sheets>
    <sheet name="XYZ" sheetId="1" r:id="rId1"/>
  </sheets>
  <definedNames>
    <definedName name="_Table1_In1" localSheetId="0" hidden="1">XYZ!$C$13</definedName>
    <definedName name="_Table1_Out" localSheetId="0" hidden="1">XYZ!$E$68:$K$72</definedName>
    <definedName name="_Table2_In1" localSheetId="0" hidden="1">XYZ!$C$16:$C$16</definedName>
    <definedName name="_Table2_In2" localSheetId="0" hidden="1">XYZ!$C$11:$C$11</definedName>
    <definedName name="_Table2_Out" localSheetId="0" hidden="1">XYZ!$E$68:$J$75</definedName>
    <definedName name="_xlnm.Print_Area" localSheetId="0">XYZ!$A$1:$S$66</definedName>
    <definedName name="Print_Area_MI">XYZ!$A$79:$N$144</definedName>
  </definedNames>
  <calcPr calcId="0"/>
</workbook>
</file>

<file path=xl/calcChain.xml><?xml version="1.0" encoding="utf-8"?>
<calcChain xmlns="http://schemas.openxmlformats.org/spreadsheetml/2006/main">
  <c r="C1" i="1" l="1"/>
  <c r="C2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D16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B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B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B31" i="1"/>
  <c r="D31" i="1"/>
  <c r="I31" i="1"/>
  <c r="J31" i="1"/>
  <c r="K31" i="1"/>
  <c r="L31" i="1"/>
  <c r="M31" i="1"/>
  <c r="N31" i="1"/>
  <c r="O31" i="1"/>
  <c r="P31" i="1"/>
  <c r="Q31" i="1"/>
  <c r="R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D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C62" i="1"/>
  <c r="C64" i="1"/>
  <c r="V68" i="1"/>
</calcChain>
</file>

<file path=xl/sharedStrings.xml><?xml version="1.0" encoding="utf-8"?>
<sst xmlns="http://schemas.openxmlformats.org/spreadsheetml/2006/main" count="68" uniqueCount="51">
  <si>
    <t>TRANSWESTERN PIPELINE COMPANY</t>
  </si>
  <si>
    <t>SIMPLE DCF ($'S IN THOUSANDS)</t>
  </si>
  <si>
    <t>UNREGULATED PROJECT ANALYSIS</t>
  </si>
  <si>
    <t>TOTALS</t>
  </si>
  <si>
    <t>PROJECT LIFE (1-15)</t>
  </si>
  <si>
    <t>TAX LIFE (1=PROJ  0=TAX LIFE)</t>
  </si>
  <si>
    <t>TAX LIFE</t>
  </si>
  <si>
    <t>INVESTMENT</t>
  </si>
  <si>
    <t xml:space="preserve">           FOR DISCUSSION ONLY</t>
  </si>
  <si>
    <t xml:space="preserve">REIMBURSEMENT </t>
  </si>
  <si>
    <t>LOAD FACTOR</t>
  </si>
  <si>
    <t>FUEL (1=YEA,0=NEA)</t>
  </si>
  <si>
    <t>P&amp;G RATE</t>
  </si>
  <si>
    <t>RATE - DEMAND</t>
  </si>
  <si>
    <t>RATE - COMMODITY</t>
  </si>
  <si>
    <t>VOLUME RETENTION</t>
  </si>
  <si>
    <t>HORSEPOWER ADD  @</t>
  </si>
  <si>
    <t>MILES OF PIPE</t>
  </si>
  <si>
    <t>MMMBTU FACTOR</t>
  </si>
  <si>
    <t>VOLUMES - DEMAND (MMCF/D)</t>
  </si>
  <si>
    <t>VOLUMES  - COMMODITY (MMCF/D)</t>
  </si>
  <si>
    <t>VOLUMES - P&amp;G   (MMCF/D)</t>
  </si>
  <si>
    <t>REVENUE</t>
  </si>
  <si>
    <t>RATE - P&amp;G</t>
  </si>
  <si>
    <t xml:space="preserve">REVENUE - P&amp;G </t>
  </si>
  <si>
    <t>FUEL RETENTION VOLUMES</t>
  </si>
  <si>
    <t>FUEL RETENTION DOLLARS</t>
  </si>
  <si>
    <t>COMPRESSOR VOLUMES USED (MMMBTU/D)</t>
  </si>
  <si>
    <t>WACOG</t>
  </si>
  <si>
    <t>FUEL EXPENSE</t>
  </si>
  <si>
    <t>EXPENSES:</t>
  </si>
  <si>
    <t xml:space="preserve">  O&amp;M</t>
  </si>
  <si>
    <t xml:space="preserve">  NET FUEL EXPENSE</t>
  </si>
  <si>
    <t xml:space="preserve">  AD VALOREM</t>
  </si>
  <si>
    <t xml:space="preserve"> --------</t>
  </si>
  <si>
    <t>NET REVENUES</t>
  </si>
  <si>
    <t>TAX DEPRECIATION CALC:</t>
  </si>
  <si>
    <t xml:space="preserve">  BALANCE</t>
  </si>
  <si>
    <t>PREMATURE DEPR EXP</t>
  </si>
  <si>
    <t>NORMAL  DEPRECIATION EXP</t>
  </si>
  <si>
    <t>DEPRECIATION EXP</t>
  </si>
  <si>
    <t>TAX REIMBURSEMENT</t>
  </si>
  <si>
    <t>TAXABLE INCOME</t>
  </si>
  <si>
    <t>INCOME TAX EXPENSE</t>
  </si>
  <si>
    <t>CASH FLOW</t>
  </si>
  <si>
    <t>DCF</t>
  </si>
  <si>
    <t xml:space="preserve">NPV   @   </t>
  </si>
  <si>
    <t xml:space="preserve">GUESS  =  </t>
  </si>
  <si>
    <t>DOLLARS</t>
  </si>
  <si>
    <t>N/A</t>
  </si>
  <si>
    <t>Hp and Fuel Rate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</si>
</sst>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dd\-mmm\-yy_)"/>
    <numFmt numFmtId="165" formatCode="hh:mm\ AM/PM_)"/>
    <numFmt numFmtId="166" formatCode="0.0%"/>
    <numFmt numFmtId="167" formatCode="&quot;$&quot;#,##0.0000_);\(&quot;$&quot;#,##0.0000\)"/>
    <numFmt numFmtId="168" formatCode=";;;"/>
    <numFmt numFmtId="169" formatCode="0.00_)"/>
    <numFmt numFmtId="170" formatCode="#,##0.0_);\(#,##0.0\)"/>
    <numFmt numFmtId="171" formatCode="0_)"/>
    <numFmt numFmtId="172" formatCode="&quot;$&quot;#,##0.000_);\(&quot;$&quot;#,##0.000\)"/>
    <numFmt numFmtId="173" formatCode="0.000%"/>
    <numFmt numFmtId="174" formatCode="0.0_)"/>
    <numFmt numFmtId="175" formatCode="General_)"/>
    <numFmt numFmtId="178" formatCode="_(* #,##0_);_(* \(#,##0\);_(* &quot;-&quot;??_);_(@_)"/>
    <numFmt numFmtId="181" formatCode="#,##0.000_);\(#,##0.000\)"/>
  </numFmts>
  <fonts count="10">
    <font>
      <sz val="12"/>
      <name val="Arial MT"/>
    </font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color indexed="39"/>
      <name val="Arial"/>
      <family val="2"/>
    </font>
    <font>
      <sz val="11"/>
      <name val="Arial MT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175" fontId="0" fillId="0" borderId="0"/>
    <xf numFmtId="43" fontId="1" fillId="0" borderId="0" applyFont="0" applyFill="0" applyBorder="0" applyAlignment="0" applyProtection="0"/>
  </cellStyleXfs>
  <cellXfs count="69">
    <xf numFmtId="175" fontId="0" fillId="0" borderId="0" xfId="0"/>
    <xf numFmtId="175" fontId="2" fillId="0" borderId="0" xfId="0" applyFont="1"/>
    <xf numFmtId="175" fontId="2" fillId="0" borderId="0" xfId="0" applyFont="1" applyAlignment="1">
      <alignment horizontal="left"/>
    </xf>
    <xf numFmtId="169" fontId="2" fillId="0" borderId="0" xfId="0" applyNumberFormat="1" applyFont="1" applyProtection="1"/>
    <xf numFmtId="167" fontId="2" fillId="0" borderId="0" xfId="0" applyNumberFormat="1" applyFont="1" applyProtection="1"/>
    <xf numFmtId="9" fontId="2" fillId="0" borderId="0" xfId="0" applyNumberFormat="1" applyFont="1" applyProtection="1"/>
    <xf numFmtId="171" fontId="2" fillId="0" borderId="0" xfId="0" applyNumberFormat="1" applyFont="1" applyProtection="1"/>
    <xf numFmtId="170" fontId="2" fillId="0" borderId="0" xfId="0" applyNumberFormat="1" applyFont="1" applyProtection="1"/>
    <xf numFmtId="5" fontId="2" fillId="0" borderId="0" xfId="0" applyNumberFormat="1" applyFont="1" applyProtection="1"/>
    <xf numFmtId="37" fontId="2" fillId="0" borderId="0" xfId="0" applyNumberFormat="1" applyFont="1" applyProtection="1"/>
    <xf numFmtId="173" fontId="2" fillId="0" borderId="0" xfId="0" applyNumberFormat="1" applyFont="1" applyProtection="1"/>
    <xf numFmtId="168" fontId="2" fillId="0" borderId="0" xfId="0" applyNumberFormat="1" applyFont="1" applyProtection="1"/>
    <xf numFmtId="173" fontId="2" fillId="0" borderId="0" xfId="0" applyNumberFormat="1" applyFont="1" applyAlignment="1" applyProtection="1">
      <alignment horizontal="center"/>
    </xf>
    <xf numFmtId="175" fontId="2" fillId="0" borderId="0" xfId="0" applyFont="1" applyAlignment="1">
      <alignment horizontal="right"/>
    </xf>
    <xf numFmtId="166" fontId="2" fillId="0" borderId="0" xfId="0" applyNumberFormat="1" applyFont="1" applyAlignment="1" applyProtection="1">
      <alignment horizontal="right"/>
    </xf>
    <xf numFmtId="5" fontId="2" fillId="0" borderId="0" xfId="0" applyNumberFormat="1" applyFont="1" applyAlignment="1" applyProtection="1">
      <alignment horizontal="right"/>
    </xf>
    <xf numFmtId="37" fontId="2" fillId="0" borderId="0" xfId="0" applyNumberFormat="1" applyFont="1" applyAlignment="1" applyProtection="1">
      <alignment horizontal="right"/>
    </xf>
    <xf numFmtId="168" fontId="3" fillId="0" borderId="0" xfId="0" applyNumberFormat="1" applyFont="1" applyAlignment="1" applyProtection="1">
      <alignment horizontal="right"/>
      <protection locked="0"/>
    </xf>
    <xf numFmtId="7" fontId="2" fillId="0" borderId="0" xfId="0" applyNumberFormat="1" applyFont="1" applyProtection="1"/>
    <xf numFmtId="9" fontId="2" fillId="0" borderId="0" xfId="0" applyNumberFormat="1" applyFont="1" applyAlignment="1" applyProtection="1">
      <alignment horizontal="right"/>
    </xf>
    <xf numFmtId="170" fontId="2" fillId="0" borderId="0" xfId="0" applyNumberFormat="1" applyFont="1" applyAlignment="1" applyProtection="1">
      <alignment horizontal="right"/>
    </xf>
    <xf numFmtId="10" fontId="2" fillId="0" borderId="0" xfId="0" applyNumberFormat="1" applyFont="1" applyAlignment="1" applyProtection="1">
      <alignment horizontal="right"/>
    </xf>
    <xf numFmtId="167" fontId="2" fillId="0" borderId="0" xfId="0" applyNumberFormat="1" applyFont="1" applyAlignment="1" applyProtection="1">
      <alignment horizontal="right"/>
    </xf>
    <xf numFmtId="175" fontId="4" fillId="0" borderId="0" xfId="0" applyFont="1" applyAlignment="1">
      <alignment horizontal="left"/>
    </xf>
    <xf numFmtId="164" fontId="2" fillId="0" borderId="0" xfId="0" applyNumberFormat="1" applyFont="1" applyAlignment="1" applyProtection="1">
      <alignment horizontal="right"/>
    </xf>
    <xf numFmtId="165" fontId="2" fillId="0" borderId="0" xfId="0" applyNumberFormat="1" applyFont="1" applyAlignment="1" applyProtection="1">
      <alignment horizontal="right"/>
    </xf>
    <xf numFmtId="175" fontId="4" fillId="0" borderId="0" xfId="0" applyFont="1"/>
    <xf numFmtId="175" fontId="4" fillId="0" borderId="0" xfId="0" applyFont="1" applyAlignment="1">
      <alignment horizontal="right"/>
    </xf>
    <xf numFmtId="175" fontId="2" fillId="0" borderId="0" xfId="0" quotePrefix="1" applyFont="1" applyAlignment="1" applyProtection="1">
      <alignment horizontal="left"/>
      <protection locked="0"/>
    </xf>
    <xf numFmtId="175" fontId="2" fillId="0" borderId="1" xfId="0" applyFont="1" applyBorder="1" applyAlignment="1">
      <alignment horizontal="right"/>
    </xf>
    <xf numFmtId="175" fontId="5" fillId="0" borderId="0" xfId="0" applyFont="1" applyAlignment="1" applyProtection="1">
      <alignment horizontal="left"/>
      <protection locked="0"/>
    </xf>
    <xf numFmtId="175" fontId="5" fillId="0" borderId="0" xfId="0" applyFont="1" applyBorder="1"/>
    <xf numFmtId="175" fontId="2" fillId="0" borderId="0" xfId="0" applyFont="1" applyBorder="1" applyAlignment="1">
      <alignment horizontal="right"/>
    </xf>
    <xf numFmtId="175" fontId="5" fillId="0" borderId="0" xfId="0" quotePrefix="1" applyFont="1" applyAlignment="1" applyProtection="1">
      <alignment horizontal="left"/>
      <protection locked="0"/>
    </xf>
    <xf numFmtId="175" fontId="6" fillId="0" borderId="0" xfId="0" applyFont="1" applyAlignment="1" applyProtection="1">
      <alignment horizontal="right"/>
      <protection locked="0"/>
    </xf>
    <xf numFmtId="175" fontId="3" fillId="0" borderId="0" xfId="0" applyFont="1" applyAlignment="1" applyProtection="1">
      <alignment horizontal="right"/>
      <protection locked="0"/>
    </xf>
    <xf numFmtId="37" fontId="7" fillId="0" borderId="0" xfId="0" applyNumberFormat="1" applyFont="1" applyAlignment="1" applyProtection="1">
      <alignment horizontal="right"/>
      <protection locked="0"/>
    </xf>
    <xf numFmtId="175" fontId="4" fillId="0" borderId="2" xfId="0" quotePrefix="1" applyFont="1" applyBorder="1" applyAlignment="1">
      <alignment horizontal="left"/>
    </xf>
    <xf numFmtId="37" fontId="2" fillId="0" borderId="3" xfId="0" applyNumberFormat="1" applyFont="1" applyBorder="1" applyAlignment="1" applyProtection="1">
      <alignment horizontal="right"/>
    </xf>
    <xf numFmtId="37" fontId="2" fillId="0" borderId="4" xfId="0" applyNumberFormat="1" applyFont="1" applyBorder="1" applyAlignment="1" applyProtection="1">
      <alignment horizontal="right"/>
    </xf>
    <xf numFmtId="37" fontId="2" fillId="0" borderId="0" xfId="0" applyNumberFormat="1" applyFont="1" applyBorder="1" applyAlignment="1" applyProtection="1">
      <alignment horizontal="right"/>
    </xf>
    <xf numFmtId="9" fontId="3" fillId="0" borderId="0" xfId="0" applyNumberFormat="1" applyFont="1" applyProtection="1">
      <protection locked="0"/>
    </xf>
    <xf numFmtId="166" fontId="3" fillId="0" borderId="0" xfId="0" applyNumberFormat="1" applyFont="1" applyAlignment="1" applyProtection="1">
      <alignment horizontal="right"/>
      <protection locked="0"/>
    </xf>
    <xf numFmtId="37" fontId="3" fillId="0" borderId="0" xfId="0" applyNumberFormat="1" applyFont="1" applyAlignment="1" applyProtection="1">
      <alignment horizontal="right"/>
      <protection locked="0"/>
    </xf>
    <xf numFmtId="167" fontId="3" fillId="0" borderId="0" xfId="0" applyNumberFormat="1" applyFont="1" applyAlignment="1" applyProtection="1">
      <alignment horizontal="right"/>
      <protection locked="0"/>
    </xf>
    <xf numFmtId="175" fontId="2" fillId="0" borderId="0" xfId="0" quotePrefix="1" applyFont="1" applyAlignment="1">
      <alignment horizontal="left"/>
    </xf>
    <xf numFmtId="167" fontId="7" fillId="0" borderId="0" xfId="0" applyNumberFormat="1" applyFont="1" applyAlignment="1" applyProtection="1">
      <alignment horizontal="right"/>
      <protection locked="0"/>
    </xf>
    <xf numFmtId="10" fontId="3" fillId="0" borderId="0" xfId="0" applyNumberFormat="1" applyFont="1" applyAlignment="1" applyProtection="1">
      <alignment horizontal="right"/>
      <protection locked="0"/>
    </xf>
    <xf numFmtId="175" fontId="2" fillId="0" borderId="5" xfId="0" applyFont="1" applyBorder="1"/>
    <xf numFmtId="174" fontId="4" fillId="0" borderId="0" xfId="0" applyNumberFormat="1" applyFont="1" applyProtection="1"/>
    <xf numFmtId="178" fontId="4" fillId="0" borderId="0" xfId="1" applyNumberFormat="1" applyFont="1" applyAlignment="1" applyProtection="1">
      <alignment horizontal="right"/>
      <protection locked="0"/>
    </xf>
    <xf numFmtId="170" fontId="8" fillId="0" borderId="0" xfId="0" applyNumberFormat="1" applyFont="1" applyAlignment="1" applyProtection="1">
      <alignment horizontal="right"/>
    </xf>
    <xf numFmtId="170" fontId="3" fillId="0" borderId="0" xfId="0" applyNumberFormat="1" applyFont="1" applyAlignment="1" applyProtection="1">
      <alignment horizontal="right"/>
      <protection locked="0"/>
    </xf>
    <xf numFmtId="172" fontId="2" fillId="0" borderId="0" xfId="0" applyNumberFormat="1" applyFont="1" applyProtection="1"/>
    <xf numFmtId="169" fontId="2" fillId="0" borderId="0" xfId="0" applyNumberFormat="1" applyFont="1" applyAlignment="1" applyProtection="1">
      <alignment horizontal="right"/>
    </xf>
    <xf numFmtId="181" fontId="2" fillId="0" borderId="0" xfId="0" applyNumberFormat="1" applyFont="1" applyAlignment="1" applyProtection="1">
      <alignment horizontal="right"/>
    </xf>
    <xf numFmtId="166" fontId="3" fillId="0" borderId="0" xfId="0" applyNumberFormat="1" applyFont="1" applyProtection="1">
      <protection locked="0"/>
    </xf>
    <xf numFmtId="171" fontId="2" fillId="0" borderId="0" xfId="0" applyNumberFormat="1" applyFont="1" applyAlignment="1" applyProtection="1">
      <alignment horizontal="right"/>
    </xf>
    <xf numFmtId="175" fontId="4" fillId="0" borderId="0" xfId="0" applyFont="1" applyBorder="1" applyAlignment="1">
      <alignment horizontal="left"/>
    </xf>
    <xf numFmtId="10" fontId="4" fillId="0" borderId="0" xfId="0" applyNumberFormat="1" applyFont="1" applyBorder="1" applyAlignment="1" applyProtection="1">
      <alignment horizontal="right"/>
      <protection locked="0"/>
    </xf>
    <xf numFmtId="10" fontId="2" fillId="0" borderId="5" xfId="0" applyNumberFormat="1" applyFont="1" applyBorder="1"/>
    <xf numFmtId="5" fontId="4" fillId="0" borderId="0" xfId="0" applyNumberFormat="1" applyFont="1" applyAlignment="1" applyProtection="1">
      <alignment horizontal="right"/>
    </xf>
    <xf numFmtId="10" fontId="2" fillId="0" borderId="0" xfId="0" applyNumberFormat="1" applyFont="1" applyProtection="1">
      <protection locked="0"/>
    </xf>
    <xf numFmtId="174" fontId="2" fillId="0" borderId="0" xfId="0" applyNumberFormat="1" applyFont="1" applyAlignment="1" applyProtection="1">
      <alignment horizontal="right"/>
    </xf>
    <xf numFmtId="173" fontId="2" fillId="0" borderId="0" xfId="0" applyNumberFormat="1" applyFont="1" applyAlignment="1" applyProtection="1">
      <alignment horizontal="right"/>
    </xf>
    <xf numFmtId="175" fontId="4" fillId="0" borderId="0" xfId="0" applyFont="1" applyAlignment="1" applyProtection="1">
      <alignment horizontal="left"/>
      <protection locked="0"/>
    </xf>
    <xf numFmtId="7" fontId="0" fillId="0" borderId="0" xfId="0" applyNumberFormat="1"/>
    <xf numFmtId="7" fontId="9" fillId="0" borderId="0" xfId="0" applyNumberFormat="1" applyFont="1"/>
    <xf numFmtId="37" fontId="2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G137"/>
  <sheetViews>
    <sheetView showGridLines="0" tabSelected="1" zoomScale="75" workbookViewId="0">
      <selection activeCell="D1" sqref="D1"/>
    </sheetView>
  </sheetViews>
  <sheetFormatPr defaultColWidth="18.08984375" defaultRowHeight="13.2"/>
  <cols>
    <col min="1" max="1" width="30.81640625" style="1" customWidth="1"/>
    <col min="2" max="2" width="12.81640625" style="1" customWidth="1"/>
    <col min="3" max="19" width="10.81640625" style="13" customWidth="1"/>
    <col min="20" max="16384" width="18.08984375" style="1"/>
  </cols>
  <sheetData>
    <row r="1" spans="1:30">
      <c r="A1" s="23" t="s">
        <v>0</v>
      </c>
      <c r="C1" s="24">
        <f ca="1">NOW()</f>
        <v>36781.323609027779</v>
      </c>
      <c r="E1" s="1"/>
      <c r="AA1" s="2"/>
    </row>
    <row r="2" spans="1:30">
      <c r="A2" s="23" t="s">
        <v>1</v>
      </c>
      <c r="C2" s="25">
        <f ca="1">NOW()</f>
        <v>36781.323609027779</v>
      </c>
      <c r="E2" s="1"/>
      <c r="H2" s="26"/>
      <c r="I2" s="27"/>
      <c r="AA2" s="2"/>
    </row>
    <row r="3" spans="1:30">
      <c r="A3" s="23" t="s">
        <v>2</v>
      </c>
      <c r="E3" s="1"/>
    </row>
    <row r="4" spans="1:30">
      <c r="A4" s="65"/>
      <c r="AA4" s="2"/>
      <c r="AB4" s="2"/>
      <c r="AD4" s="2"/>
    </row>
    <row r="5" spans="1:30">
      <c r="A5" s="2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AA5" s="2"/>
      <c r="AB5" s="2"/>
      <c r="AD5" s="2"/>
    </row>
    <row r="6" spans="1:30">
      <c r="A6" s="28"/>
      <c r="C6" s="29">
        <v>0</v>
      </c>
      <c r="D6" s="29">
        <f t="shared" ref="D6:R6" si="0">C6+1</f>
        <v>1</v>
      </c>
      <c r="E6" s="29">
        <f t="shared" si="0"/>
        <v>2</v>
      </c>
      <c r="F6" s="29">
        <f t="shared" si="0"/>
        <v>3</v>
      </c>
      <c r="G6" s="29">
        <f t="shared" si="0"/>
        <v>4</v>
      </c>
      <c r="H6" s="29">
        <f t="shared" si="0"/>
        <v>5</v>
      </c>
      <c r="I6" s="29">
        <f t="shared" si="0"/>
        <v>6</v>
      </c>
      <c r="J6" s="29">
        <f t="shared" si="0"/>
        <v>7</v>
      </c>
      <c r="K6" s="29">
        <f t="shared" si="0"/>
        <v>8</v>
      </c>
      <c r="L6" s="29">
        <f t="shared" si="0"/>
        <v>9</v>
      </c>
      <c r="M6" s="29">
        <f t="shared" si="0"/>
        <v>10</v>
      </c>
      <c r="N6" s="29">
        <f t="shared" si="0"/>
        <v>11</v>
      </c>
      <c r="O6" s="29">
        <f t="shared" si="0"/>
        <v>12</v>
      </c>
      <c r="P6" s="29">
        <f t="shared" si="0"/>
        <v>13</v>
      </c>
      <c r="Q6" s="29">
        <f t="shared" si="0"/>
        <v>14</v>
      </c>
      <c r="R6" s="29">
        <f t="shared" si="0"/>
        <v>15</v>
      </c>
      <c r="S6" s="29" t="s">
        <v>3</v>
      </c>
      <c r="AA6" s="2"/>
      <c r="AB6" s="2"/>
      <c r="AD6" s="2"/>
    </row>
    <row r="7" spans="1:30">
      <c r="A7" s="30" t="s">
        <v>4</v>
      </c>
      <c r="C7" s="31">
        <v>10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AA7" s="2"/>
      <c r="AB7" s="2"/>
      <c r="AD7" s="2"/>
    </row>
    <row r="8" spans="1:30">
      <c r="A8" s="33" t="s">
        <v>5</v>
      </c>
      <c r="C8" s="31">
        <v>0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AA8" s="2"/>
      <c r="AB8" s="2"/>
      <c r="AD8" s="2"/>
    </row>
    <row r="9" spans="1:30">
      <c r="A9" s="2" t="s">
        <v>6</v>
      </c>
      <c r="C9" s="34">
        <v>15</v>
      </c>
    </row>
    <row r="10" spans="1:30" ht="13.8" thickBot="1">
      <c r="A10" s="2"/>
      <c r="B10" s="35"/>
      <c r="C10" s="1"/>
    </row>
    <row r="11" spans="1:30" ht="13.8" thickBot="1">
      <c r="A11" s="2" t="s">
        <v>7</v>
      </c>
      <c r="C11" s="36">
        <v>9000</v>
      </c>
      <c r="D11" s="16"/>
      <c r="E11" s="37" t="s">
        <v>8</v>
      </c>
      <c r="F11" s="38"/>
      <c r="G11" s="39"/>
      <c r="H11" s="40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30">
      <c r="A12" s="2" t="s">
        <v>9</v>
      </c>
      <c r="C12" s="35">
        <v>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AB12" s="2"/>
      <c r="AD12" s="2"/>
    </row>
    <row r="13" spans="1:30">
      <c r="A13" s="45" t="s">
        <v>10</v>
      </c>
      <c r="B13" s="41"/>
      <c r="C13" s="42">
        <v>0.95</v>
      </c>
      <c r="H13" s="1"/>
      <c r="J13" s="1"/>
    </row>
    <row r="14" spans="1:30">
      <c r="A14" s="2" t="s">
        <v>11</v>
      </c>
      <c r="C14" s="43">
        <v>1</v>
      </c>
    </row>
    <row r="15" spans="1:30">
      <c r="A15" s="2" t="s">
        <v>12</v>
      </c>
      <c r="C15" s="44">
        <v>0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</row>
    <row r="16" spans="1:30">
      <c r="A16" s="45" t="s">
        <v>13</v>
      </c>
      <c r="C16" s="46">
        <v>0.1</v>
      </c>
      <c r="D16" s="17">
        <f>0.0228+0.0347+0.0085+0.0126</f>
        <v>7.8600000000000003E-2</v>
      </c>
    </row>
    <row r="17" spans="1:25">
      <c r="A17" s="45" t="s">
        <v>14</v>
      </c>
      <c r="C17" s="44">
        <v>0.01</v>
      </c>
    </row>
    <row r="18" spans="1:25" ht="13.8" thickBot="1">
      <c r="A18" s="45" t="s">
        <v>15</v>
      </c>
      <c r="C18" s="47">
        <v>2.5000000000000001E-3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</row>
    <row r="19" spans="1:25" ht="13.8" thickBot="1">
      <c r="A19" s="2" t="s">
        <v>16</v>
      </c>
      <c r="B19" s="48">
        <v>1000</v>
      </c>
      <c r="C19" s="35">
        <v>8500</v>
      </c>
      <c r="D19" s="68" t="s">
        <v>50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</row>
    <row r="20" spans="1:25">
      <c r="A20" s="2" t="s">
        <v>17</v>
      </c>
      <c r="C20" s="35">
        <v>19</v>
      </c>
    </row>
    <row r="21" spans="1:25">
      <c r="A21" s="2" t="s">
        <v>18</v>
      </c>
      <c r="C21" s="35">
        <v>0.95</v>
      </c>
    </row>
    <row r="23" spans="1:25">
      <c r="A23" s="2" t="s">
        <v>19</v>
      </c>
      <c r="B23" s="49"/>
      <c r="C23" s="50"/>
      <c r="D23" s="51">
        <v>100</v>
      </c>
      <c r="E23" s="16">
        <f>IF($C$7-E6&gt;-1,D23,0)</f>
        <v>100</v>
      </c>
      <c r="F23" s="16">
        <f t="shared" ref="F23:R23" si="1">IF($C$7-F6&gt;-1,E23,0)</f>
        <v>100</v>
      </c>
      <c r="G23" s="16">
        <f t="shared" si="1"/>
        <v>100</v>
      </c>
      <c r="H23" s="16">
        <f t="shared" si="1"/>
        <v>100</v>
      </c>
      <c r="I23" s="16">
        <f t="shared" si="1"/>
        <v>100</v>
      </c>
      <c r="J23" s="16">
        <f t="shared" si="1"/>
        <v>100</v>
      </c>
      <c r="K23" s="16">
        <f t="shared" si="1"/>
        <v>100</v>
      </c>
      <c r="L23" s="16">
        <f t="shared" si="1"/>
        <v>100</v>
      </c>
      <c r="M23" s="16">
        <f t="shared" si="1"/>
        <v>100</v>
      </c>
      <c r="N23" s="16">
        <f t="shared" si="1"/>
        <v>0</v>
      </c>
      <c r="O23" s="16">
        <f t="shared" si="1"/>
        <v>0</v>
      </c>
      <c r="P23" s="16">
        <f t="shared" si="1"/>
        <v>0</v>
      </c>
      <c r="Q23" s="16">
        <f t="shared" si="1"/>
        <v>0</v>
      </c>
      <c r="R23" s="16">
        <f t="shared" si="1"/>
        <v>0</v>
      </c>
      <c r="S23" s="20"/>
      <c r="T23" s="3"/>
    </row>
    <row r="24" spans="1:25">
      <c r="A24" s="2" t="s">
        <v>20</v>
      </c>
      <c r="D24" s="52">
        <v>100</v>
      </c>
      <c r="E24" s="20">
        <f t="shared" ref="E24:R24" si="2">IF($C$7&gt;D6,$D$24,0)</f>
        <v>100</v>
      </c>
      <c r="F24" s="20">
        <f t="shared" si="2"/>
        <v>100</v>
      </c>
      <c r="G24" s="20">
        <f t="shared" si="2"/>
        <v>100</v>
      </c>
      <c r="H24" s="20">
        <f t="shared" si="2"/>
        <v>100</v>
      </c>
      <c r="I24" s="20">
        <f t="shared" si="2"/>
        <v>100</v>
      </c>
      <c r="J24" s="20">
        <f t="shared" si="2"/>
        <v>100</v>
      </c>
      <c r="K24" s="20">
        <f t="shared" si="2"/>
        <v>100</v>
      </c>
      <c r="L24" s="20">
        <f t="shared" si="2"/>
        <v>100</v>
      </c>
      <c r="M24" s="20">
        <f t="shared" si="2"/>
        <v>100</v>
      </c>
      <c r="N24" s="20">
        <f t="shared" si="2"/>
        <v>0</v>
      </c>
      <c r="O24" s="20">
        <f t="shared" si="2"/>
        <v>0</v>
      </c>
      <c r="P24" s="20">
        <f t="shared" si="2"/>
        <v>0</v>
      </c>
      <c r="Q24" s="20">
        <f t="shared" si="2"/>
        <v>0</v>
      </c>
      <c r="R24" s="20">
        <f t="shared" si="2"/>
        <v>0</v>
      </c>
      <c r="S24" s="20"/>
    </row>
    <row r="25" spans="1:25">
      <c r="A25" s="2" t="s">
        <v>21</v>
      </c>
      <c r="C25" s="13">
        <v>0</v>
      </c>
      <c r="D25" s="52">
        <v>0</v>
      </c>
      <c r="E25" s="20">
        <f t="shared" ref="E25:R25" si="3">IF($C$7&gt;D6,$D$25,0)</f>
        <v>0</v>
      </c>
      <c r="F25" s="20">
        <f t="shared" si="3"/>
        <v>0</v>
      </c>
      <c r="G25" s="20">
        <f t="shared" si="3"/>
        <v>0</v>
      </c>
      <c r="H25" s="20">
        <f t="shared" si="3"/>
        <v>0</v>
      </c>
      <c r="I25" s="20">
        <f t="shared" si="3"/>
        <v>0</v>
      </c>
      <c r="J25" s="20">
        <f t="shared" si="3"/>
        <v>0</v>
      </c>
      <c r="K25" s="20">
        <f t="shared" si="3"/>
        <v>0</v>
      </c>
      <c r="L25" s="20">
        <f t="shared" si="3"/>
        <v>0</v>
      </c>
      <c r="M25" s="20">
        <f t="shared" si="3"/>
        <v>0</v>
      </c>
      <c r="N25" s="20">
        <f t="shared" si="3"/>
        <v>0</v>
      </c>
      <c r="O25" s="20">
        <f t="shared" si="3"/>
        <v>0</v>
      </c>
      <c r="P25" s="20">
        <f t="shared" si="3"/>
        <v>0</v>
      </c>
      <c r="Q25" s="20">
        <f t="shared" si="3"/>
        <v>0</v>
      </c>
      <c r="R25" s="20">
        <f t="shared" si="3"/>
        <v>0</v>
      </c>
      <c r="S25" s="20"/>
    </row>
    <row r="27" spans="1:25">
      <c r="A27" s="2" t="s">
        <v>13</v>
      </c>
      <c r="B27" s="18">
        <f>C16</f>
        <v>0.1</v>
      </c>
      <c r="D27" s="22">
        <f>B27</f>
        <v>0.1</v>
      </c>
      <c r="E27" s="22">
        <f>D27</f>
        <v>0.1</v>
      </c>
      <c r="F27" s="22">
        <f t="shared" ref="F27:R27" si="4">E27</f>
        <v>0.1</v>
      </c>
      <c r="G27" s="22">
        <f t="shared" si="4"/>
        <v>0.1</v>
      </c>
      <c r="H27" s="22">
        <f t="shared" si="4"/>
        <v>0.1</v>
      </c>
      <c r="I27" s="22">
        <f t="shared" si="4"/>
        <v>0.1</v>
      </c>
      <c r="J27" s="22">
        <f t="shared" si="4"/>
        <v>0.1</v>
      </c>
      <c r="K27" s="22">
        <f t="shared" si="4"/>
        <v>0.1</v>
      </c>
      <c r="L27" s="22">
        <f t="shared" si="4"/>
        <v>0.1</v>
      </c>
      <c r="M27" s="22">
        <f t="shared" si="4"/>
        <v>0.1</v>
      </c>
      <c r="N27" s="22">
        <f t="shared" si="4"/>
        <v>0.1</v>
      </c>
      <c r="O27" s="22">
        <f t="shared" si="4"/>
        <v>0.1</v>
      </c>
      <c r="P27" s="22">
        <f t="shared" si="4"/>
        <v>0.1</v>
      </c>
      <c r="Q27" s="22">
        <f t="shared" si="4"/>
        <v>0.1</v>
      </c>
      <c r="R27" s="22">
        <f t="shared" si="4"/>
        <v>0.1</v>
      </c>
      <c r="S27" s="22"/>
      <c r="T27" s="4"/>
      <c r="U27" s="4"/>
      <c r="V27" s="4"/>
      <c r="W27" s="4"/>
      <c r="X27" s="4"/>
      <c r="Y27" s="4"/>
    </row>
    <row r="28" spans="1:25">
      <c r="A28" s="2" t="s">
        <v>14</v>
      </c>
      <c r="B28" s="18">
        <f>C17</f>
        <v>0.01</v>
      </c>
      <c r="D28" s="13">
        <f>B28</f>
        <v>0.01</v>
      </c>
      <c r="E28" s="13">
        <f>D28</f>
        <v>0.01</v>
      </c>
      <c r="F28" s="13">
        <f t="shared" ref="F28:R28" si="5">E28</f>
        <v>0.01</v>
      </c>
      <c r="G28" s="13">
        <f t="shared" si="5"/>
        <v>0.01</v>
      </c>
      <c r="H28" s="13">
        <f t="shared" si="5"/>
        <v>0.01</v>
      </c>
      <c r="I28" s="13">
        <f t="shared" si="5"/>
        <v>0.01</v>
      </c>
      <c r="J28" s="13">
        <f t="shared" si="5"/>
        <v>0.01</v>
      </c>
      <c r="K28" s="13">
        <f t="shared" si="5"/>
        <v>0.01</v>
      </c>
      <c r="L28" s="13">
        <f t="shared" si="5"/>
        <v>0.01</v>
      </c>
      <c r="M28" s="13">
        <f t="shared" si="5"/>
        <v>0.01</v>
      </c>
      <c r="N28" s="13">
        <f t="shared" si="5"/>
        <v>0.01</v>
      </c>
      <c r="O28" s="13">
        <f t="shared" si="5"/>
        <v>0.01</v>
      </c>
      <c r="P28" s="13">
        <f t="shared" si="5"/>
        <v>0.01</v>
      </c>
      <c r="Q28" s="13">
        <f t="shared" si="5"/>
        <v>0.01</v>
      </c>
      <c r="R28" s="13">
        <f t="shared" si="5"/>
        <v>0.01</v>
      </c>
    </row>
    <row r="29" spans="1:25">
      <c r="A29" s="2" t="s">
        <v>22</v>
      </c>
      <c r="D29" s="15">
        <f>(D23*D27*$C$21*365)+(D24*D28*$C$21*365*$C$13)</f>
        <v>3796.9124999999999</v>
      </c>
      <c r="E29" s="15">
        <f t="shared" ref="E29:R29" si="6">(E23*E27*$C$21*365)+(E24*E28*$C$21*365*$C$13)</f>
        <v>3796.9124999999999</v>
      </c>
      <c r="F29" s="15">
        <f t="shared" si="6"/>
        <v>3796.9124999999999</v>
      </c>
      <c r="G29" s="15">
        <f t="shared" si="6"/>
        <v>3796.9124999999999</v>
      </c>
      <c r="H29" s="15">
        <f t="shared" si="6"/>
        <v>3796.9124999999999</v>
      </c>
      <c r="I29" s="15">
        <f t="shared" si="6"/>
        <v>3796.9124999999999</v>
      </c>
      <c r="J29" s="15">
        <f t="shared" si="6"/>
        <v>3796.9124999999999</v>
      </c>
      <c r="K29" s="15">
        <f t="shared" si="6"/>
        <v>3796.9124999999999</v>
      </c>
      <c r="L29" s="15">
        <f t="shared" si="6"/>
        <v>3796.9124999999999</v>
      </c>
      <c r="M29" s="15">
        <f t="shared" si="6"/>
        <v>3796.9124999999999</v>
      </c>
      <c r="N29" s="15">
        <f t="shared" si="6"/>
        <v>0</v>
      </c>
      <c r="O29" s="15">
        <f t="shared" si="6"/>
        <v>0</v>
      </c>
      <c r="P29" s="15">
        <f t="shared" si="6"/>
        <v>0</v>
      </c>
      <c r="Q29" s="15">
        <f t="shared" si="6"/>
        <v>0</v>
      </c>
      <c r="R29" s="15">
        <f t="shared" si="6"/>
        <v>0</v>
      </c>
      <c r="S29" s="16">
        <f>SUM(D29:R29)</f>
        <v>37969.124999999993</v>
      </c>
      <c r="X29" s="5"/>
    </row>
    <row r="31" spans="1:25">
      <c r="A31" s="2" t="s">
        <v>23</v>
      </c>
      <c r="B31" s="4">
        <f>C15</f>
        <v>0</v>
      </c>
      <c r="D31" s="22">
        <f>B31</f>
        <v>0</v>
      </c>
      <c r="E31" s="22">
        <v>0.14499999999999999</v>
      </c>
      <c r="F31" s="22">
        <v>0.15</v>
      </c>
      <c r="G31" s="22">
        <v>0.15</v>
      </c>
      <c r="H31" s="22">
        <v>0.15</v>
      </c>
      <c r="I31" s="22">
        <f t="shared" ref="I31:R31" si="7">H31</f>
        <v>0.15</v>
      </c>
      <c r="J31" s="22">
        <f t="shared" si="7"/>
        <v>0.15</v>
      </c>
      <c r="K31" s="22">
        <f t="shared" si="7"/>
        <v>0.15</v>
      </c>
      <c r="L31" s="22">
        <f t="shared" si="7"/>
        <v>0.15</v>
      </c>
      <c r="M31" s="22">
        <f t="shared" si="7"/>
        <v>0.15</v>
      </c>
      <c r="N31" s="22">
        <f t="shared" si="7"/>
        <v>0.15</v>
      </c>
      <c r="O31" s="22">
        <f t="shared" si="7"/>
        <v>0.15</v>
      </c>
      <c r="P31" s="22">
        <f t="shared" si="7"/>
        <v>0.15</v>
      </c>
      <c r="Q31" s="22">
        <f t="shared" si="7"/>
        <v>0.15</v>
      </c>
      <c r="R31" s="22">
        <f t="shared" si="7"/>
        <v>0.15</v>
      </c>
      <c r="S31" s="22"/>
      <c r="W31" s="5"/>
      <c r="X31" s="6"/>
    </row>
    <row r="32" spans="1:25">
      <c r="A32" s="2" t="s">
        <v>24</v>
      </c>
      <c r="B32" s="53"/>
      <c r="C32" s="54"/>
      <c r="D32" s="16">
        <f>D25*$C$21*365*D31*$C$13</f>
        <v>0</v>
      </c>
      <c r="E32" s="16">
        <f t="shared" ref="E32:R32" si="8">E25*$C$21*365*E31*$C$13</f>
        <v>0</v>
      </c>
      <c r="F32" s="16">
        <f t="shared" si="8"/>
        <v>0</v>
      </c>
      <c r="G32" s="16">
        <f t="shared" si="8"/>
        <v>0</v>
      </c>
      <c r="H32" s="16">
        <f t="shared" si="8"/>
        <v>0</v>
      </c>
      <c r="I32" s="16">
        <f t="shared" si="8"/>
        <v>0</v>
      </c>
      <c r="J32" s="16">
        <f t="shared" si="8"/>
        <v>0</v>
      </c>
      <c r="K32" s="16">
        <f t="shared" si="8"/>
        <v>0</v>
      </c>
      <c r="L32" s="16">
        <f t="shared" si="8"/>
        <v>0</v>
      </c>
      <c r="M32" s="16">
        <f t="shared" si="8"/>
        <v>0</v>
      </c>
      <c r="N32" s="16">
        <f t="shared" si="8"/>
        <v>0</v>
      </c>
      <c r="O32" s="16">
        <f t="shared" si="8"/>
        <v>0</v>
      </c>
      <c r="P32" s="16">
        <f t="shared" si="8"/>
        <v>0</v>
      </c>
      <c r="Q32" s="16">
        <f t="shared" si="8"/>
        <v>0</v>
      </c>
      <c r="R32" s="16">
        <f t="shared" si="8"/>
        <v>0</v>
      </c>
      <c r="S32" s="16">
        <f>SUM(D32:R32)</f>
        <v>0</v>
      </c>
    </row>
    <row r="34" spans="1:25">
      <c r="A34" s="45" t="s">
        <v>25</v>
      </c>
      <c r="D34" s="20">
        <f>$C$18*$C$21*D23*365*$C$13</f>
        <v>82.353124999999991</v>
      </c>
      <c r="E34" s="20">
        <f t="shared" ref="E34:R34" si="9">$C$18*$C$21*E23*365*$C$13</f>
        <v>82.353124999999991</v>
      </c>
      <c r="F34" s="20">
        <f t="shared" si="9"/>
        <v>82.353124999999991</v>
      </c>
      <c r="G34" s="20">
        <f t="shared" si="9"/>
        <v>82.353124999999991</v>
      </c>
      <c r="H34" s="20">
        <f t="shared" si="9"/>
        <v>82.353124999999991</v>
      </c>
      <c r="I34" s="20">
        <f t="shared" si="9"/>
        <v>82.353124999999991</v>
      </c>
      <c r="J34" s="20">
        <f t="shared" si="9"/>
        <v>82.353124999999991</v>
      </c>
      <c r="K34" s="20">
        <f t="shared" si="9"/>
        <v>82.353124999999991</v>
      </c>
      <c r="L34" s="20">
        <f t="shared" si="9"/>
        <v>82.353124999999991</v>
      </c>
      <c r="M34" s="20">
        <f t="shared" si="9"/>
        <v>82.353124999999991</v>
      </c>
      <c r="N34" s="20">
        <f t="shared" si="9"/>
        <v>0</v>
      </c>
      <c r="O34" s="20">
        <f t="shared" si="9"/>
        <v>0</v>
      </c>
      <c r="P34" s="20">
        <f t="shared" si="9"/>
        <v>0</v>
      </c>
      <c r="Q34" s="20">
        <f t="shared" si="9"/>
        <v>0</v>
      </c>
      <c r="R34" s="20">
        <f t="shared" si="9"/>
        <v>0</v>
      </c>
      <c r="S34" s="20"/>
      <c r="T34" s="7"/>
      <c r="U34" s="7"/>
      <c r="V34" s="7"/>
      <c r="W34" s="7"/>
      <c r="X34" s="7"/>
      <c r="Y34" s="7"/>
    </row>
    <row r="35" spans="1:25">
      <c r="A35" s="45" t="s">
        <v>26</v>
      </c>
      <c r="D35" s="15">
        <f t="shared" ref="D35:R35" si="10">D34*D38</f>
        <v>164.90259501947216</v>
      </c>
      <c r="E35" s="15">
        <f t="shared" si="10"/>
        <v>164.23343325003111</v>
      </c>
      <c r="F35" s="15">
        <f t="shared" si="10"/>
        <v>164.57542139897745</v>
      </c>
      <c r="G35" s="15">
        <f t="shared" si="10"/>
        <v>164.47876731432848</v>
      </c>
      <c r="H35" s="15">
        <f t="shared" si="10"/>
        <v>167.64128152878826</v>
      </c>
      <c r="I35" s="15">
        <f t="shared" si="10"/>
        <v>168.86867998971499</v>
      </c>
      <c r="J35" s="15">
        <f t="shared" si="10"/>
        <v>169.5639268723736</v>
      </c>
      <c r="K35" s="15">
        <f t="shared" si="10"/>
        <v>172.47199934642427</v>
      </c>
      <c r="L35" s="15">
        <f t="shared" si="10"/>
        <v>178.57137755386023</v>
      </c>
      <c r="M35" s="15">
        <f t="shared" si="10"/>
        <v>187.57713925195804</v>
      </c>
      <c r="N35" s="15">
        <f t="shared" si="10"/>
        <v>0</v>
      </c>
      <c r="O35" s="15">
        <f t="shared" si="10"/>
        <v>0</v>
      </c>
      <c r="P35" s="15">
        <f t="shared" si="10"/>
        <v>0</v>
      </c>
      <c r="Q35" s="15">
        <f t="shared" si="10"/>
        <v>0</v>
      </c>
      <c r="R35" s="15">
        <f t="shared" si="10"/>
        <v>0</v>
      </c>
      <c r="S35" s="16">
        <f>SUM(D35:R35)</f>
        <v>1702.8846215259287</v>
      </c>
      <c r="X35" s="8"/>
    </row>
    <row r="36" spans="1:25">
      <c r="W36" s="8"/>
    </row>
    <row r="37" spans="1:25">
      <c r="A37" s="2" t="s">
        <v>27</v>
      </c>
      <c r="D37" s="55">
        <f>IF(C14=1,((+C19*$C$21*24*$C$13*B19)/(1000000000)),0)</f>
        <v>0.18411</v>
      </c>
      <c r="E37" s="55">
        <f>IF($C$7-E6&gt;-1,D37,0)</f>
        <v>0.18411</v>
      </c>
      <c r="F37" s="55">
        <f t="shared" ref="F37:R37" si="11">IF($C$7-F6&gt;-1,E37,0)</f>
        <v>0.18411</v>
      </c>
      <c r="G37" s="55">
        <f t="shared" si="11"/>
        <v>0.18411</v>
      </c>
      <c r="H37" s="55">
        <f t="shared" si="11"/>
        <v>0.18411</v>
      </c>
      <c r="I37" s="55">
        <f t="shared" si="11"/>
        <v>0.18411</v>
      </c>
      <c r="J37" s="55">
        <f t="shared" si="11"/>
        <v>0.18411</v>
      </c>
      <c r="K37" s="55">
        <f t="shared" si="11"/>
        <v>0.18411</v>
      </c>
      <c r="L37" s="55">
        <f t="shared" si="11"/>
        <v>0.18411</v>
      </c>
      <c r="M37" s="55">
        <f t="shared" si="11"/>
        <v>0.18411</v>
      </c>
      <c r="N37" s="55">
        <f t="shared" si="11"/>
        <v>0</v>
      </c>
      <c r="O37" s="55">
        <f t="shared" si="11"/>
        <v>0</v>
      </c>
      <c r="P37" s="55">
        <f t="shared" si="11"/>
        <v>0</v>
      </c>
      <c r="Q37" s="55">
        <f t="shared" si="11"/>
        <v>0</v>
      </c>
      <c r="R37" s="55">
        <f t="shared" si="11"/>
        <v>0</v>
      </c>
      <c r="S37" s="20"/>
      <c r="T37" s="7"/>
      <c r="U37" s="7"/>
      <c r="V37" s="7"/>
      <c r="W37" s="7"/>
      <c r="X37" s="7"/>
      <c r="Y37" s="7"/>
    </row>
    <row r="38" spans="1:25" ht="15">
      <c r="A38" s="2" t="s">
        <v>28</v>
      </c>
      <c r="B38" s="4"/>
      <c r="C38" s="66"/>
      <c r="D38" s="67">
        <v>2.0023841842003223</v>
      </c>
      <c r="E38" s="67">
        <v>1.9942586665658544</v>
      </c>
      <c r="F38" s="67">
        <v>1.9984113705336315</v>
      </c>
      <c r="G38" s="67">
        <v>1.9972377164112292</v>
      </c>
      <c r="H38" s="67">
        <v>2.0356395890112036</v>
      </c>
      <c r="I38" s="67">
        <v>2.0505436799115397</v>
      </c>
      <c r="J38" s="67">
        <v>2.0589859446423389</v>
      </c>
      <c r="K38" s="67">
        <v>2.0942981744338698</v>
      </c>
      <c r="L38" s="67">
        <v>2.1683618873462329</v>
      </c>
      <c r="M38" s="67">
        <v>2.2777173210118993</v>
      </c>
      <c r="N38" s="67">
        <v>2.3953982936248992</v>
      </c>
      <c r="O38" s="67">
        <v>2.543438003358899</v>
      </c>
      <c r="P38" s="67">
        <v>2.7149739198641805</v>
      </c>
      <c r="Q38" s="67">
        <v>2.8726584484178161</v>
      </c>
      <c r="R38" s="67">
        <v>3.0398723628534001</v>
      </c>
      <c r="T38" s="8"/>
      <c r="U38" s="8"/>
      <c r="V38" s="8"/>
      <c r="W38" s="4"/>
      <c r="X38" s="8"/>
    </row>
    <row r="39" spans="1:25">
      <c r="A39" s="1" t="s">
        <v>29</v>
      </c>
      <c r="B39" s="4"/>
      <c r="D39" s="15">
        <f>D37*D38*365</f>
        <v>134.56051753588929</v>
      </c>
      <c r="E39" s="15">
        <f t="shared" ref="E39:R39" si="12">E37*E38*365</f>
        <v>134.0144815320254</v>
      </c>
      <c r="F39" s="15">
        <f t="shared" si="12"/>
        <v>134.29354386156561</v>
      </c>
      <c r="G39" s="15">
        <f t="shared" si="12"/>
        <v>134.21467412849205</v>
      </c>
      <c r="H39" s="15">
        <f t="shared" si="12"/>
        <v>136.79528572749123</v>
      </c>
      <c r="I39" s="15">
        <f t="shared" si="12"/>
        <v>137.79684287160745</v>
      </c>
      <c r="J39" s="15">
        <f t="shared" si="12"/>
        <v>138.36416432785686</v>
      </c>
      <c r="K39" s="15">
        <f t="shared" si="12"/>
        <v>140.73715146668221</v>
      </c>
      <c r="L39" s="15">
        <f t="shared" si="12"/>
        <v>145.71424408394995</v>
      </c>
      <c r="M39" s="15">
        <f t="shared" si="12"/>
        <v>153.06294562959778</v>
      </c>
      <c r="N39" s="15">
        <f t="shared" si="12"/>
        <v>0</v>
      </c>
      <c r="O39" s="15">
        <f t="shared" si="12"/>
        <v>0</v>
      </c>
      <c r="P39" s="15">
        <f t="shared" si="12"/>
        <v>0</v>
      </c>
      <c r="Q39" s="15">
        <f t="shared" si="12"/>
        <v>0</v>
      </c>
      <c r="R39" s="15">
        <f t="shared" si="12"/>
        <v>0</v>
      </c>
      <c r="S39" s="16">
        <f>SUM(D39:R39)</f>
        <v>1389.553851165158</v>
      </c>
      <c r="W39" s="8"/>
    </row>
    <row r="40" spans="1:25">
      <c r="B40" s="4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6"/>
      <c r="W40" s="8"/>
    </row>
    <row r="41" spans="1:25">
      <c r="A41" s="2" t="s">
        <v>30</v>
      </c>
    </row>
    <row r="42" spans="1:25">
      <c r="A42" s="2" t="s">
        <v>31</v>
      </c>
      <c r="B42" s="41">
        <v>1.0249999999999999</v>
      </c>
      <c r="D42" s="16">
        <f>(C20*0.5)+(C19*0.075)</f>
        <v>647</v>
      </c>
      <c r="E42" s="16">
        <f t="shared" ref="E42:R42" si="13">IF($C$7-E6&gt;-1,D42,"  ")*$B$42</f>
        <v>663.17499999999995</v>
      </c>
      <c r="F42" s="16">
        <f t="shared" si="13"/>
        <v>679.75437499999987</v>
      </c>
      <c r="G42" s="16">
        <f t="shared" si="13"/>
        <v>696.74823437499981</v>
      </c>
      <c r="H42" s="16">
        <f t="shared" si="13"/>
        <v>714.16694023437469</v>
      </c>
      <c r="I42" s="16">
        <f t="shared" si="13"/>
        <v>732.021113740234</v>
      </c>
      <c r="J42" s="16">
        <f t="shared" si="13"/>
        <v>750.32164158373973</v>
      </c>
      <c r="K42" s="16">
        <f t="shared" si="13"/>
        <v>769.07968262333316</v>
      </c>
      <c r="L42" s="16">
        <f t="shared" si="13"/>
        <v>788.30667468891636</v>
      </c>
      <c r="M42" s="16">
        <f t="shared" si="13"/>
        <v>808.01434155613924</v>
      </c>
      <c r="N42" s="16">
        <f t="shared" si="13"/>
        <v>0</v>
      </c>
      <c r="O42" s="16">
        <f t="shared" si="13"/>
        <v>0</v>
      </c>
      <c r="P42" s="16">
        <f t="shared" si="13"/>
        <v>0</v>
      </c>
      <c r="Q42" s="16">
        <f t="shared" si="13"/>
        <v>0</v>
      </c>
      <c r="R42" s="16">
        <f t="shared" si="13"/>
        <v>0</v>
      </c>
      <c r="S42" s="16">
        <f>SUM(D42:R42)</f>
        <v>7248.5880038017367</v>
      </c>
    </row>
    <row r="43" spans="1:25">
      <c r="A43" s="2" t="s">
        <v>32</v>
      </c>
      <c r="D43" s="16">
        <f t="shared" ref="D43:R43" si="14">D39-D35</f>
        <v>-30.342077483582869</v>
      </c>
      <c r="E43" s="16">
        <f t="shared" si="14"/>
        <v>-30.218951718005712</v>
      </c>
      <c r="F43" s="16">
        <f t="shared" si="14"/>
        <v>-30.281877537411845</v>
      </c>
      <c r="G43" s="16">
        <f t="shared" si="14"/>
        <v>-30.26409318583643</v>
      </c>
      <c r="H43" s="16">
        <f t="shared" si="14"/>
        <v>-30.845995801297022</v>
      </c>
      <c r="I43" s="16">
        <f t="shared" si="14"/>
        <v>-31.071837118107538</v>
      </c>
      <c r="J43" s="16">
        <f t="shared" si="14"/>
        <v>-31.199762544516744</v>
      </c>
      <c r="K43" s="16">
        <f t="shared" si="14"/>
        <v>-31.734847879742063</v>
      </c>
      <c r="L43" s="16">
        <f t="shared" si="14"/>
        <v>-32.857133469910281</v>
      </c>
      <c r="M43" s="16">
        <f t="shared" si="14"/>
        <v>-34.514193622360267</v>
      </c>
      <c r="N43" s="16">
        <f t="shared" si="14"/>
        <v>0</v>
      </c>
      <c r="O43" s="16">
        <f t="shared" si="14"/>
        <v>0</v>
      </c>
      <c r="P43" s="16">
        <f t="shared" si="14"/>
        <v>0</v>
      </c>
      <c r="Q43" s="16">
        <f t="shared" si="14"/>
        <v>0</v>
      </c>
      <c r="R43" s="16">
        <f t="shared" si="14"/>
        <v>0</v>
      </c>
      <c r="S43" s="16">
        <f>SUM(D43:R43)</f>
        <v>-313.33077036077077</v>
      </c>
    </row>
    <row r="44" spans="1:25">
      <c r="A44" s="2" t="s">
        <v>33</v>
      </c>
      <c r="B44" s="56">
        <v>0.02</v>
      </c>
      <c r="D44" s="16">
        <f>C11*B44</f>
        <v>180</v>
      </c>
      <c r="E44" s="16">
        <f t="shared" ref="E44:R44" si="15">IF($C$7-E6&gt;-1,D44,"  ")*$B$42</f>
        <v>184.49999999999997</v>
      </c>
      <c r="F44" s="16">
        <f t="shared" si="15"/>
        <v>189.11249999999995</v>
      </c>
      <c r="G44" s="16">
        <f t="shared" si="15"/>
        <v>193.84031249999992</v>
      </c>
      <c r="H44" s="16">
        <f t="shared" si="15"/>
        <v>198.6863203124999</v>
      </c>
      <c r="I44" s="16">
        <f t="shared" si="15"/>
        <v>203.65347832031239</v>
      </c>
      <c r="J44" s="16">
        <f t="shared" si="15"/>
        <v>208.74481527832017</v>
      </c>
      <c r="K44" s="16">
        <f t="shared" si="15"/>
        <v>213.96343566027815</v>
      </c>
      <c r="L44" s="16">
        <f t="shared" si="15"/>
        <v>219.3125215517851</v>
      </c>
      <c r="M44" s="16">
        <f t="shared" si="15"/>
        <v>224.7953345905797</v>
      </c>
      <c r="N44" s="16">
        <f t="shared" si="15"/>
        <v>0</v>
      </c>
      <c r="O44" s="16">
        <f t="shared" si="15"/>
        <v>0</v>
      </c>
      <c r="P44" s="16">
        <f t="shared" si="15"/>
        <v>0</v>
      </c>
      <c r="Q44" s="16">
        <f t="shared" si="15"/>
        <v>0</v>
      </c>
      <c r="R44" s="16">
        <f t="shared" si="15"/>
        <v>0</v>
      </c>
      <c r="S44" s="16">
        <f>SUM(D44:R44)</f>
        <v>2016.6087182137753</v>
      </c>
      <c r="T44" s="9">
        <f>IF($C$9-T5&gt;-1,S44," ")</f>
        <v>2016.6087182137753</v>
      </c>
      <c r="U44" s="2" t="s">
        <v>34</v>
      </c>
      <c r="V44" s="2" t="s">
        <v>34</v>
      </c>
    </row>
    <row r="45" spans="1:25">
      <c r="T45" s="2"/>
    </row>
    <row r="46" spans="1:25">
      <c r="A46" s="2" t="s">
        <v>35</v>
      </c>
      <c r="D46" s="16">
        <f>IF(+D29+D32-D42-D43-D44&gt;0,+D29+D32-D42-D43-D44,0)</f>
        <v>3000.2545774835826</v>
      </c>
      <c r="E46" s="16">
        <f t="shared" ref="E46:R46" si="16">IF(+E29+E32-E42-E43-E44&gt;0,+E29+E32-E42-E43-E44,0)</f>
        <v>2979.4564517180061</v>
      </c>
      <c r="F46" s="16">
        <f t="shared" si="16"/>
        <v>2958.3275025374114</v>
      </c>
      <c r="G46" s="16">
        <f t="shared" si="16"/>
        <v>2936.5880463108365</v>
      </c>
      <c r="H46" s="16">
        <f t="shared" si="16"/>
        <v>2914.9052352544227</v>
      </c>
      <c r="I46" s="16">
        <f t="shared" si="16"/>
        <v>2892.309745057561</v>
      </c>
      <c r="J46" s="16">
        <f t="shared" si="16"/>
        <v>2869.0458056824573</v>
      </c>
      <c r="K46" s="16">
        <f t="shared" si="16"/>
        <v>2845.6042295961306</v>
      </c>
      <c r="L46" s="16">
        <f t="shared" si="16"/>
        <v>2822.1504372292088</v>
      </c>
      <c r="M46" s="16">
        <f t="shared" si="16"/>
        <v>2798.6170174756412</v>
      </c>
      <c r="N46" s="16">
        <f t="shared" si="16"/>
        <v>0</v>
      </c>
      <c r="O46" s="16">
        <f t="shared" si="16"/>
        <v>0</v>
      </c>
      <c r="P46" s="16">
        <f t="shared" si="16"/>
        <v>0</v>
      </c>
      <c r="Q46" s="16">
        <f t="shared" si="16"/>
        <v>0</v>
      </c>
      <c r="R46" s="16">
        <f t="shared" si="16"/>
        <v>0</v>
      </c>
      <c r="S46" s="16">
        <f>SUM(D46:R46)</f>
        <v>29017.259048345255</v>
      </c>
    </row>
    <row r="47" spans="1:25"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W47" s="2" t="s">
        <v>34</v>
      </c>
    </row>
    <row r="48" spans="1:25">
      <c r="A48" s="2" t="s">
        <v>36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spans="1:33">
      <c r="A49" s="2" t="s">
        <v>37</v>
      </c>
      <c r="D49" s="16">
        <f>C11</f>
        <v>9000</v>
      </c>
      <c r="E49" s="16">
        <f>D49-D52</f>
        <v>8100</v>
      </c>
      <c r="F49" s="16">
        <f t="shared" ref="F49:R49" si="17">E49-E52</f>
        <v>7290</v>
      </c>
      <c r="G49" s="16">
        <f t="shared" si="17"/>
        <v>6561</v>
      </c>
      <c r="H49" s="16">
        <f t="shared" si="17"/>
        <v>5904.9</v>
      </c>
      <c r="I49" s="16">
        <f t="shared" si="17"/>
        <v>5314.41</v>
      </c>
      <c r="J49" s="16">
        <f t="shared" si="17"/>
        <v>4782.9690000000001</v>
      </c>
      <c r="K49" s="16">
        <f t="shared" si="17"/>
        <v>4251.5280000000002</v>
      </c>
      <c r="L49" s="16">
        <f t="shared" si="17"/>
        <v>3720.0870000000004</v>
      </c>
      <c r="M49" s="16">
        <f t="shared" si="17"/>
        <v>3188.6460000000006</v>
      </c>
      <c r="N49" s="16">
        <f t="shared" si="17"/>
        <v>2657.2050000000008</v>
      </c>
      <c r="O49" s="16">
        <f t="shared" si="17"/>
        <v>2125.764000000001</v>
      </c>
      <c r="P49" s="16">
        <f t="shared" si="17"/>
        <v>1594.323000000001</v>
      </c>
      <c r="Q49" s="16">
        <f t="shared" si="17"/>
        <v>1062.882000000001</v>
      </c>
      <c r="R49" s="16">
        <f t="shared" si="17"/>
        <v>531.44100000000094</v>
      </c>
    </row>
    <row r="50" spans="1:33">
      <c r="A50" s="2" t="s">
        <v>38</v>
      </c>
      <c r="D50" s="16">
        <f t="shared" ref="D50:R50" si="18">IF($C$7=D6,D49,0)</f>
        <v>0</v>
      </c>
      <c r="E50" s="16">
        <f t="shared" si="18"/>
        <v>0</v>
      </c>
      <c r="F50" s="16">
        <f t="shared" si="18"/>
        <v>0</v>
      </c>
      <c r="G50" s="16">
        <f t="shared" si="18"/>
        <v>0</v>
      </c>
      <c r="H50" s="16">
        <f t="shared" si="18"/>
        <v>0</v>
      </c>
      <c r="I50" s="16">
        <f t="shared" si="18"/>
        <v>0</v>
      </c>
      <c r="J50" s="16">
        <f t="shared" si="18"/>
        <v>0</v>
      </c>
      <c r="K50" s="16">
        <f t="shared" si="18"/>
        <v>0</v>
      </c>
      <c r="L50" s="16">
        <f t="shared" si="18"/>
        <v>0</v>
      </c>
      <c r="M50" s="16">
        <f t="shared" si="18"/>
        <v>3188.6460000000006</v>
      </c>
      <c r="N50" s="16">
        <f t="shared" si="18"/>
        <v>0</v>
      </c>
      <c r="O50" s="16">
        <f t="shared" si="18"/>
        <v>0</v>
      </c>
      <c r="P50" s="16">
        <f t="shared" si="18"/>
        <v>0</v>
      </c>
      <c r="Q50" s="16">
        <f t="shared" si="18"/>
        <v>0</v>
      </c>
      <c r="R50" s="16">
        <f t="shared" si="18"/>
        <v>0</v>
      </c>
    </row>
    <row r="51" spans="1:33">
      <c r="A51" s="45" t="s">
        <v>39</v>
      </c>
      <c r="D51" s="16">
        <f>D49*0.1</f>
        <v>900</v>
      </c>
      <c r="E51" s="16">
        <f>E49*0.1</f>
        <v>810</v>
      </c>
      <c r="F51" s="16">
        <f>F49*0.1</f>
        <v>729</v>
      </c>
      <c r="G51" s="16">
        <f>G49*0.1</f>
        <v>656.1</v>
      </c>
      <c r="H51" s="16">
        <f>H49*0.1</f>
        <v>590.49</v>
      </c>
      <c r="I51" s="16">
        <f>$I$49*0.1</f>
        <v>531.44100000000003</v>
      </c>
      <c r="J51" s="16">
        <f t="shared" ref="J51:R51" si="19">$I$49*0.1</f>
        <v>531.44100000000003</v>
      </c>
      <c r="K51" s="16">
        <f t="shared" si="19"/>
        <v>531.44100000000003</v>
      </c>
      <c r="L51" s="16">
        <f t="shared" si="19"/>
        <v>531.44100000000003</v>
      </c>
      <c r="M51" s="16">
        <f t="shared" si="19"/>
        <v>531.44100000000003</v>
      </c>
      <c r="N51" s="16">
        <f t="shared" si="19"/>
        <v>531.44100000000003</v>
      </c>
      <c r="O51" s="16">
        <f t="shared" si="19"/>
        <v>531.44100000000003</v>
      </c>
      <c r="P51" s="16">
        <f t="shared" si="19"/>
        <v>531.44100000000003</v>
      </c>
      <c r="Q51" s="16">
        <f t="shared" si="19"/>
        <v>531.44100000000003</v>
      </c>
      <c r="R51" s="16">
        <f t="shared" si="19"/>
        <v>531.44100000000003</v>
      </c>
      <c r="S51" s="16">
        <f>SUM(D51:R51)</f>
        <v>9000</v>
      </c>
    </row>
    <row r="52" spans="1:33">
      <c r="A52" s="2" t="s">
        <v>40</v>
      </c>
      <c r="D52" s="16">
        <f t="shared" ref="D52:R52" si="20">IF($C$8=1,MAXA(D51,D50),D51)</f>
        <v>900</v>
      </c>
      <c r="E52" s="16">
        <f t="shared" si="20"/>
        <v>810</v>
      </c>
      <c r="F52" s="16">
        <f t="shared" si="20"/>
        <v>729</v>
      </c>
      <c r="G52" s="16">
        <f t="shared" si="20"/>
        <v>656.1</v>
      </c>
      <c r="H52" s="16">
        <f t="shared" si="20"/>
        <v>590.49</v>
      </c>
      <c r="I52" s="16">
        <f t="shared" si="20"/>
        <v>531.44100000000003</v>
      </c>
      <c r="J52" s="16">
        <f t="shared" si="20"/>
        <v>531.44100000000003</v>
      </c>
      <c r="K52" s="16">
        <f t="shared" si="20"/>
        <v>531.44100000000003</v>
      </c>
      <c r="L52" s="16">
        <f t="shared" si="20"/>
        <v>531.44100000000003</v>
      </c>
      <c r="M52" s="16">
        <f t="shared" si="20"/>
        <v>531.44100000000003</v>
      </c>
      <c r="N52" s="16">
        <f t="shared" si="20"/>
        <v>531.44100000000003</v>
      </c>
      <c r="O52" s="16">
        <f t="shared" si="20"/>
        <v>531.44100000000003</v>
      </c>
      <c r="P52" s="16">
        <f t="shared" si="20"/>
        <v>531.44100000000003</v>
      </c>
      <c r="Q52" s="16">
        <f t="shared" si="20"/>
        <v>531.44100000000003</v>
      </c>
      <c r="R52" s="16">
        <f t="shared" si="20"/>
        <v>531.44100000000003</v>
      </c>
    </row>
    <row r="53" spans="1:33"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33">
      <c r="A54" s="2" t="s">
        <v>41</v>
      </c>
      <c r="D54" s="13">
        <f>C12</f>
        <v>0</v>
      </c>
    </row>
    <row r="56" spans="1:33">
      <c r="A56" s="2" t="s">
        <v>42</v>
      </c>
      <c r="D56" s="16">
        <f>D46-D52+D54</f>
        <v>2100.2545774835826</v>
      </c>
      <c r="E56" s="16">
        <f t="shared" ref="E56:R56" si="21">E46-E52+E54</f>
        <v>2169.4564517180061</v>
      </c>
      <c r="F56" s="16">
        <f t="shared" si="21"/>
        <v>2229.3275025374114</v>
      </c>
      <c r="G56" s="16">
        <f t="shared" si="21"/>
        <v>2280.4880463108366</v>
      </c>
      <c r="H56" s="16">
        <f t="shared" si="21"/>
        <v>2324.4152352544224</v>
      </c>
      <c r="I56" s="16">
        <f t="shared" si="21"/>
        <v>2360.8687450575608</v>
      </c>
      <c r="J56" s="16">
        <f t="shared" si="21"/>
        <v>2337.6048056824575</v>
      </c>
      <c r="K56" s="16">
        <f t="shared" si="21"/>
        <v>2314.1632295961308</v>
      </c>
      <c r="L56" s="16">
        <f t="shared" si="21"/>
        <v>2290.7094372292086</v>
      </c>
      <c r="M56" s="16">
        <f t="shared" si="21"/>
        <v>2267.1760174756409</v>
      </c>
      <c r="N56" s="16">
        <f t="shared" si="21"/>
        <v>-531.44100000000003</v>
      </c>
      <c r="O56" s="16">
        <f t="shared" si="21"/>
        <v>-531.44100000000003</v>
      </c>
      <c r="P56" s="16">
        <f t="shared" si="21"/>
        <v>-531.44100000000003</v>
      </c>
      <c r="Q56" s="16">
        <f t="shared" si="21"/>
        <v>-531.44100000000003</v>
      </c>
      <c r="R56" s="16">
        <f t="shared" si="21"/>
        <v>-531.44100000000003</v>
      </c>
      <c r="S56" s="16">
        <f>SUM(D56:R56)</f>
        <v>20017.259048345266</v>
      </c>
    </row>
    <row r="57" spans="1:33"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AE57" s="5"/>
      <c r="AF57" s="5"/>
      <c r="AG57" s="5"/>
    </row>
    <row r="58" spans="1:33">
      <c r="A58" s="2" t="s">
        <v>43</v>
      </c>
      <c r="B58" s="56">
        <v>0.38879999999999998</v>
      </c>
      <c r="D58" s="16">
        <f t="shared" ref="D58:R58" si="22">D56*$B$58</f>
        <v>816.57897972561682</v>
      </c>
      <c r="E58" s="16">
        <f t="shared" si="22"/>
        <v>843.48466842796074</v>
      </c>
      <c r="F58" s="16">
        <f t="shared" si="22"/>
        <v>866.76253298654547</v>
      </c>
      <c r="G58" s="16">
        <f t="shared" si="22"/>
        <v>886.65375240565322</v>
      </c>
      <c r="H58" s="16">
        <f t="shared" si="22"/>
        <v>903.7326434669194</v>
      </c>
      <c r="I58" s="16">
        <f t="shared" si="22"/>
        <v>917.90576807837954</v>
      </c>
      <c r="J58" s="16">
        <f t="shared" si="22"/>
        <v>908.86074844933944</v>
      </c>
      <c r="K58" s="16">
        <f t="shared" si="22"/>
        <v>899.74666366697556</v>
      </c>
      <c r="L58" s="16">
        <f t="shared" si="22"/>
        <v>890.62782919471624</v>
      </c>
      <c r="M58" s="16">
        <f t="shared" si="22"/>
        <v>881.47803559452916</v>
      </c>
      <c r="N58" s="16">
        <f t="shared" si="22"/>
        <v>-206.6242608</v>
      </c>
      <c r="O58" s="16">
        <f t="shared" si="22"/>
        <v>-206.6242608</v>
      </c>
      <c r="P58" s="16">
        <f t="shared" si="22"/>
        <v>-206.6242608</v>
      </c>
      <c r="Q58" s="16">
        <f t="shared" si="22"/>
        <v>-206.6242608</v>
      </c>
      <c r="R58" s="16">
        <f t="shared" si="22"/>
        <v>-206.6242608</v>
      </c>
      <c r="S58" s="16">
        <f>SUM(D58:R58)</f>
        <v>7782.710317996638</v>
      </c>
      <c r="AE58" s="10"/>
      <c r="AF58" s="10"/>
      <c r="AG58" s="10"/>
    </row>
    <row r="59" spans="1:33"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AE59" s="10"/>
      <c r="AF59" s="10"/>
      <c r="AG59" s="10"/>
    </row>
    <row r="60" spans="1:33">
      <c r="A60" s="2" t="s">
        <v>44</v>
      </c>
      <c r="C60" s="15">
        <f>(+C11-C12)*-1</f>
        <v>-9000</v>
      </c>
      <c r="D60" s="15">
        <f t="shared" ref="D60:R60" si="23">D46-D58</f>
        <v>2183.675597757966</v>
      </c>
      <c r="E60" s="15">
        <f t="shared" si="23"/>
        <v>2135.9717832900451</v>
      </c>
      <c r="F60" s="15">
        <f t="shared" si="23"/>
        <v>2091.564969550866</v>
      </c>
      <c r="G60" s="15">
        <f t="shared" si="23"/>
        <v>2049.934293905183</v>
      </c>
      <c r="H60" s="15">
        <f t="shared" si="23"/>
        <v>2011.1725917875033</v>
      </c>
      <c r="I60" s="15">
        <f t="shared" si="23"/>
        <v>1974.4039769791816</v>
      </c>
      <c r="J60" s="15">
        <f t="shared" si="23"/>
        <v>1960.1850572331177</v>
      </c>
      <c r="K60" s="15">
        <f t="shared" si="23"/>
        <v>1945.857565929155</v>
      </c>
      <c r="L60" s="15">
        <f t="shared" si="23"/>
        <v>1931.5226080344926</v>
      </c>
      <c r="M60" s="15">
        <f t="shared" si="23"/>
        <v>1917.1389818811122</v>
      </c>
      <c r="N60" s="15">
        <f t="shared" si="23"/>
        <v>206.6242608</v>
      </c>
      <c r="O60" s="15">
        <f t="shared" si="23"/>
        <v>206.6242608</v>
      </c>
      <c r="P60" s="15">
        <f t="shared" si="23"/>
        <v>206.6242608</v>
      </c>
      <c r="Q60" s="15">
        <f t="shared" si="23"/>
        <v>206.6242608</v>
      </c>
      <c r="R60" s="15">
        <f t="shared" si="23"/>
        <v>206.6242608</v>
      </c>
      <c r="S60" s="16">
        <f>SUM(D60:R60)</f>
        <v>21234.548730348619</v>
      </c>
      <c r="AE60" s="10"/>
      <c r="AF60" s="10"/>
      <c r="AG60" s="10"/>
    </row>
    <row r="61" spans="1:33" ht="13.8" thickBot="1">
      <c r="E61" s="15"/>
      <c r="F61" s="15"/>
      <c r="G61" s="15"/>
      <c r="H61" s="15"/>
      <c r="I61" s="15"/>
      <c r="J61" s="15"/>
      <c r="K61" s="15"/>
      <c r="L61" s="15"/>
      <c r="M61" s="15"/>
      <c r="AE61" s="10"/>
      <c r="AF61" s="10"/>
      <c r="AG61" s="10"/>
    </row>
    <row r="62" spans="1:33" ht="13.8" thickBot="1">
      <c r="A62" s="58" t="s">
        <v>45</v>
      </c>
      <c r="C62" s="59">
        <f>IF(IRR(C60:R60,+B65)&gt;0,IRR(C60:R60,+B65),"   N/A")</f>
        <v>0.19192005628636277</v>
      </c>
      <c r="E62" s="37" t="s">
        <v>8</v>
      </c>
      <c r="F62" s="38"/>
      <c r="G62" s="39"/>
      <c r="H62" s="40"/>
      <c r="AE62" s="10"/>
      <c r="AF62" s="10"/>
      <c r="AG62" s="10"/>
    </row>
    <row r="63" spans="1:33" ht="13.8" thickBot="1"/>
    <row r="64" spans="1:33" ht="13.8" thickBot="1">
      <c r="A64" s="13" t="s">
        <v>46</v>
      </c>
      <c r="B64" s="60">
        <v>0.15</v>
      </c>
      <c r="C64" s="61">
        <f>NPV(+B64,C60:R60)</f>
        <v>1288.6158887040267</v>
      </c>
    </row>
    <row r="65" spans="1:33">
      <c r="A65" s="16" t="s">
        <v>47</v>
      </c>
      <c r="B65" s="62">
        <v>0.25</v>
      </c>
    </row>
    <row r="66" spans="1:33" ht="15">
      <c r="D66"/>
      <c r="E66"/>
      <c r="F66"/>
      <c r="G66"/>
      <c r="H66"/>
      <c r="I66"/>
      <c r="J66"/>
      <c r="AA66" s="5">
        <v>0.3</v>
      </c>
      <c r="AB66" s="5">
        <v>0.2</v>
      </c>
      <c r="AC66" s="5">
        <v>0.1</v>
      </c>
      <c r="AD66" s="5"/>
      <c r="AE66" s="10"/>
      <c r="AF66" s="10"/>
      <c r="AG66" s="10"/>
    </row>
    <row r="67" spans="1:33" ht="15">
      <c r="D67"/>
      <c r="E67"/>
      <c r="F67"/>
      <c r="G67"/>
      <c r="H67"/>
      <c r="I67"/>
      <c r="J67"/>
      <c r="X67" s="2" t="s">
        <v>10</v>
      </c>
      <c r="AA67" s="10">
        <v>-9.6465835749653797E-2</v>
      </c>
      <c r="AB67" s="10">
        <v>-0.109476251585869</v>
      </c>
      <c r="AC67" s="10">
        <v>-0.109476251585869</v>
      </c>
      <c r="AD67" s="10"/>
    </row>
    <row r="68" spans="1:33" ht="15">
      <c r="D68"/>
      <c r="E68"/>
      <c r="F68"/>
      <c r="G68"/>
      <c r="H68"/>
      <c r="I68"/>
      <c r="J68"/>
      <c r="K68" s="63"/>
      <c r="L68" s="15"/>
      <c r="P68" s="19"/>
      <c r="Q68" s="19"/>
      <c r="V68" s="11">
        <f>IRR(C60:R60,0.5)</f>
        <v>0.19192005628636288</v>
      </c>
      <c r="W68" s="5">
        <v>0.7</v>
      </c>
      <c r="X68" s="5">
        <v>0.6</v>
      </c>
      <c r="Y68" s="5">
        <v>0.5</v>
      </c>
      <c r="Z68" s="5">
        <v>0.4</v>
      </c>
      <c r="AA68" s="10">
        <v>-9.2293505299080397E-2</v>
      </c>
      <c r="AB68" s="10">
        <v>-0.109476251585869</v>
      </c>
      <c r="AC68" s="10">
        <v>-0.109476251585869</v>
      </c>
      <c r="AD68" s="10"/>
    </row>
    <row r="69" spans="1:33" ht="15">
      <c r="D69"/>
      <c r="E69"/>
      <c r="F69"/>
      <c r="G69"/>
      <c r="H69"/>
      <c r="I69"/>
      <c r="J69"/>
      <c r="K69" s="21"/>
      <c r="L69" s="14"/>
      <c r="P69" s="64"/>
      <c r="Q69" s="64"/>
      <c r="R69" s="64"/>
      <c r="U69" s="2" t="s">
        <v>7</v>
      </c>
      <c r="V69" s="8">
        <v>50</v>
      </c>
      <c r="W69" s="10">
        <v>0.344104406441188</v>
      </c>
      <c r="X69" s="10">
        <v>0.16585380075853901</v>
      </c>
      <c r="Y69" s="10">
        <v>2.58795205747555E-2</v>
      </c>
      <c r="Z69" s="10">
        <v>-5.8361401225665202E-2</v>
      </c>
      <c r="AA69" s="10">
        <v>-8.4878920019149706E-2</v>
      </c>
      <c r="AB69" s="10">
        <v>-0.109476251585869</v>
      </c>
      <c r="AC69" s="10">
        <v>-0.109476251585869</v>
      </c>
      <c r="AD69" s="10"/>
    </row>
    <row r="70" spans="1:33" ht="15">
      <c r="D70"/>
      <c r="E70"/>
      <c r="F70"/>
      <c r="G70"/>
      <c r="H70"/>
      <c r="I70"/>
      <c r="J70"/>
      <c r="K70" s="21"/>
      <c r="L70" s="14"/>
      <c r="P70" s="64"/>
      <c r="Q70" s="64"/>
      <c r="R70" s="64"/>
      <c r="U70" s="2" t="s">
        <v>48</v>
      </c>
      <c r="V70" s="8">
        <v>40</v>
      </c>
      <c r="W70" s="10">
        <v>0.53069331269178999</v>
      </c>
      <c r="X70" s="10">
        <v>0.30299597249130999</v>
      </c>
      <c r="Y70" s="10">
        <v>9.4972115019622202E-2</v>
      </c>
      <c r="Z70" s="10">
        <v>-3.8418648902023497E-2</v>
      </c>
      <c r="AA70" s="10">
        <v>-6.7218443337126205E-2</v>
      </c>
      <c r="AB70" s="10">
        <v>-0.109476251585869</v>
      </c>
      <c r="AC70" s="10">
        <v>-0.109476251585869</v>
      </c>
      <c r="AD70" s="10"/>
    </row>
    <row r="71" spans="1:33" ht="15">
      <c r="D71"/>
      <c r="E71"/>
      <c r="F71"/>
      <c r="G71"/>
      <c r="H71"/>
      <c r="I71"/>
      <c r="J71"/>
      <c r="K71" s="21"/>
      <c r="P71" s="64"/>
      <c r="Q71" s="64"/>
      <c r="R71" s="64"/>
      <c r="V71" s="8">
        <v>30</v>
      </c>
      <c r="W71" s="12" t="s">
        <v>49</v>
      </c>
      <c r="X71" s="10">
        <v>0.54856624931514097</v>
      </c>
      <c r="Y71" s="10">
        <v>0.24559810870819801</v>
      </c>
      <c r="Z71" s="10">
        <v>5.2627346400036896E-3</v>
      </c>
      <c r="AA71" s="10">
        <v>1.8372355648073199E-2</v>
      </c>
      <c r="AB71" s="10">
        <v>-0.109476251585869</v>
      </c>
      <c r="AC71" s="10">
        <v>-0.109476251585869</v>
      </c>
      <c r="AD71" s="10"/>
    </row>
    <row r="72" spans="1:33" ht="15">
      <c r="D72"/>
      <c r="E72"/>
      <c r="F72"/>
      <c r="G72"/>
      <c r="H72"/>
      <c r="I72"/>
      <c r="J72"/>
      <c r="K72" s="21"/>
      <c r="P72" s="64"/>
      <c r="Q72" s="64"/>
      <c r="R72" s="64"/>
      <c r="V72" s="8">
        <v>20</v>
      </c>
      <c r="W72" s="12" t="s">
        <v>49</v>
      </c>
      <c r="X72" s="12" t="s">
        <v>49</v>
      </c>
      <c r="Y72" s="10">
        <v>0.60261112364748504</v>
      </c>
      <c r="Z72" s="10">
        <v>0.144845835265249</v>
      </c>
      <c r="AA72" s="10">
        <v>0.48098166076419002</v>
      </c>
      <c r="AB72" s="10">
        <v>-0.109476251585869</v>
      </c>
      <c r="AC72" s="10">
        <v>-0.109476251585869</v>
      </c>
      <c r="AD72" s="10"/>
    </row>
    <row r="73" spans="1:33" ht="15">
      <c r="D73"/>
      <c r="E73"/>
      <c r="F73"/>
      <c r="G73"/>
      <c r="H73"/>
      <c r="I73"/>
      <c r="J73"/>
      <c r="K73" s="14"/>
      <c r="P73" s="64"/>
      <c r="Q73" s="64"/>
      <c r="R73" s="64"/>
      <c r="V73" s="8">
        <v>10</v>
      </c>
      <c r="W73" s="12" t="s">
        <v>49</v>
      </c>
      <c r="X73" s="12" t="s">
        <v>49</v>
      </c>
      <c r="Y73" s="12" t="s">
        <v>49</v>
      </c>
      <c r="Z73" s="12" t="s">
        <v>49</v>
      </c>
    </row>
    <row r="74" spans="1:33" ht="15">
      <c r="D74"/>
      <c r="E74"/>
      <c r="F74"/>
      <c r="G74"/>
      <c r="H74"/>
      <c r="I74"/>
      <c r="J74"/>
      <c r="K74" s="14"/>
      <c r="P74" s="64"/>
      <c r="Q74" s="64"/>
      <c r="R74" s="64"/>
      <c r="V74" s="8">
        <v>5</v>
      </c>
      <c r="W74" s="12" t="s">
        <v>49</v>
      </c>
      <c r="X74" s="12" t="s">
        <v>49</v>
      </c>
      <c r="Y74" s="12" t="s">
        <v>49</v>
      </c>
      <c r="Z74" s="12" t="s">
        <v>49</v>
      </c>
    </row>
    <row r="75" spans="1:33" ht="15">
      <c r="D75"/>
      <c r="E75"/>
      <c r="F75"/>
      <c r="G75"/>
      <c r="H75"/>
      <c r="I75"/>
      <c r="J75"/>
      <c r="K75" s="14"/>
    </row>
    <row r="79" spans="1:33" ht="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33" ht="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 ht="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 ht="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 ht="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  <row r="84" spans="1:25" ht="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</row>
    <row r="85" spans="1:25" ht="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</row>
    <row r="86" spans="1:25" ht="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</row>
    <row r="87" spans="1:25" ht="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</row>
    <row r="88" spans="1:25" ht="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1:25" ht="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1:25" ht="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1:25" ht="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</row>
    <row r="92" spans="1:25" ht="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1:25" ht="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1:25" ht="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1:25" ht="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1:25" ht="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</row>
    <row r="97" spans="1:25" ht="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1:25" ht="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</row>
    <row r="99" spans="1:25" ht="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</row>
    <row r="100" spans="1:25" ht="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1" spans="1:25" ht="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</row>
    <row r="102" spans="1:25" ht="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</row>
    <row r="103" spans="1:25" ht="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1:25" ht="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1:25" ht="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1:25" ht="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1:25" ht="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1:25" ht="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</row>
    <row r="109" spans="1:25" ht="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</row>
    <row r="110" spans="1:25" ht="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1:25" ht="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1:25" ht="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1:25" ht="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1:25" ht="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1:25" ht="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1:25" ht="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1:25" ht="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1:25" ht="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</row>
    <row r="119" spans="1:25" ht="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</row>
    <row r="120" spans="1:25" ht="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</row>
    <row r="137" spans="5:5">
      <c r="E137" s="19"/>
    </row>
  </sheetData>
  <printOptions horizontalCentered="1" gridLinesSet="0"/>
  <pageMargins left="0.25" right="0.24" top="0.75" bottom="0.1" header="0.5" footer="0.5"/>
  <pageSetup scale="49" orientation="landscape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XYZ</vt:lpstr>
      <vt:lpstr>XYZ!Print_Area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Transwestern Pipeline Company</dc:creator>
  <cp:lastModifiedBy>Havlíček Jan</cp:lastModifiedBy>
  <cp:lastPrinted>2000-01-20T20:33:50Z</cp:lastPrinted>
  <dcterms:created xsi:type="dcterms:W3CDTF">2023-09-10T12:04:43Z</dcterms:created>
  <dcterms:modified xsi:type="dcterms:W3CDTF">2023-09-10T12:04:43Z</dcterms:modified>
</cp:coreProperties>
</file>