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NNG" sheetId="1" r:id="rId1"/>
    <sheet name="TW" sheetId="2" r:id="rId2"/>
    <sheet name="Citrus" sheetId="3" r:id="rId3"/>
    <sheet name="NB" sheetId="4" r:id="rId4"/>
    <sheet name="CF" sheetId="5" r:id="rId5"/>
  </sheets>
  <definedNames>
    <definedName name="_xlnm.Print_Area" localSheetId="1">TW!$A$1:$H$140</definedName>
    <definedName name="_xlnm.Print_Titles" localSheetId="0">NNG!$A:$B,NNG!$1:$3</definedName>
    <definedName name="_xlnm.Print_Titles" localSheetId="1">TW!$1:$3</definedName>
  </definedNames>
  <calcPr calcId="0" fullCalcOnLoad="1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C25" i="5"/>
  <c r="D25" i="5"/>
  <c r="E25" i="5"/>
  <c r="F25" i="5"/>
  <c r="G25" i="5"/>
  <c r="H25" i="5"/>
  <c r="C26" i="5"/>
  <c r="D26" i="5"/>
  <c r="E26" i="5"/>
  <c r="F26" i="5"/>
  <c r="G26" i="5"/>
  <c r="H26" i="5"/>
  <c r="C31" i="5"/>
  <c r="D31" i="5"/>
  <c r="E31" i="5"/>
  <c r="F31" i="5"/>
  <c r="G31" i="5"/>
  <c r="H31" i="5"/>
  <c r="C32" i="5"/>
  <c r="D32" i="5"/>
  <c r="E32" i="5"/>
  <c r="F32" i="5"/>
  <c r="G32" i="5"/>
  <c r="H32" i="5"/>
  <c r="C40" i="5"/>
  <c r="D40" i="5"/>
  <c r="E40" i="5"/>
  <c r="F40" i="5"/>
  <c r="G40" i="5"/>
  <c r="H40" i="5"/>
  <c r="C41" i="5"/>
  <c r="D41" i="5"/>
  <c r="E41" i="5"/>
  <c r="F41" i="5"/>
  <c r="G41" i="5"/>
  <c r="H41" i="5"/>
  <c r="C43" i="5"/>
  <c r="D43" i="5"/>
  <c r="E43" i="5"/>
  <c r="F43" i="5"/>
  <c r="G43" i="5"/>
  <c r="H43" i="5"/>
  <c r="C55" i="5"/>
  <c r="D55" i="5"/>
  <c r="E55" i="5"/>
  <c r="F55" i="5"/>
  <c r="G55" i="5"/>
  <c r="H55" i="5"/>
  <c r="C56" i="5"/>
  <c r="D56" i="5"/>
  <c r="E56" i="5"/>
  <c r="F56" i="5"/>
  <c r="G56" i="5"/>
  <c r="H56" i="5"/>
  <c r="C66" i="5"/>
  <c r="D66" i="5"/>
  <c r="E66" i="5"/>
  <c r="F66" i="5"/>
  <c r="G66" i="5"/>
  <c r="H66" i="5"/>
  <c r="C72" i="5"/>
  <c r="D72" i="5"/>
  <c r="E72" i="5"/>
  <c r="F72" i="5"/>
  <c r="G72" i="5"/>
  <c r="H72" i="5"/>
  <c r="C73" i="5"/>
  <c r="D73" i="5"/>
  <c r="E73" i="5"/>
  <c r="F73" i="5"/>
  <c r="G73" i="5"/>
  <c r="H73" i="5"/>
  <c r="C82" i="5"/>
  <c r="D82" i="5"/>
  <c r="E82" i="5"/>
  <c r="F82" i="5"/>
  <c r="G82" i="5"/>
  <c r="H82" i="5"/>
  <c r="C83" i="5"/>
  <c r="D83" i="5"/>
  <c r="E83" i="5"/>
  <c r="F83" i="5"/>
  <c r="G83" i="5"/>
  <c r="H83" i="5"/>
  <c r="C92" i="5"/>
  <c r="D92" i="5"/>
  <c r="E92" i="5"/>
  <c r="F92" i="5"/>
  <c r="G92" i="5"/>
  <c r="H92" i="5"/>
  <c r="C93" i="5"/>
  <c r="D93" i="5"/>
  <c r="E93" i="5"/>
  <c r="F93" i="5"/>
  <c r="G93" i="5"/>
  <c r="H93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5" i="5"/>
  <c r="D115" i="5"/>
  <c r="E115" i="5"/>
  <c r="F115" i="5"/>
  <c r="G115" i="5"/>
  <c r="H115" i="5"/>
  <c r="C121" i="5"/>
  <c r="D121" i="5"/>
  <c r="E121" i="5"/>
  <c r="F121" i="5"/>
  <c r="G121" i="5"/>
  <c r="H121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35" i="5"/>
  <c r="D135" i="5"/>
  <c r="E135" i="5"/>
  <c r="F135" i="5"/>
  <c r="G135" i="5"/>
  <c r="H135" i="5"/>
  <c r="C137" i="5"/>
  <c r="D137" i="5"/>
  <c r="E137" i="5"/>
  <c r="F137" i="5"/>
  <c r="G137" i="5"/>
  <c r="H137" i="5"/>
  <c r="D18" i="3"/>
  <c r="E18" i="3"/>
  <c r="F18" i="3"/>
  <c r="G18" i="3"/>
  <c r="H18" i="3"/>
  <c r="C25" i="3"/>
  <c r="D25" i="3"/>
  <c r="E25" i="3"/>
  <c r="F25" i="3"/>
  <c r="G25" i="3"/>
  <c r="H25" i="3"/>
  <c r="C26" i="3"/>
  <c r="D26" i="3"/>
  <c r="E26" i="3"/>
  <c r="F26" i="3"/>
  <c r="G26" i="3"/>
  <c r="H26" i="3"/>
  <c r="C31" i="3"/>
  <c r="D31" i="3"/>
  <c r="E31" i="3"/>
  <c r="F31" i="3"/>
  <c r="G31" i="3"/>
  <c r="H31" i="3"/>
  <c r="C32" i="3"/>
  <c r="D32" i="3"/>
  <c r="E32" i="3"/>
  <c r="F32" i="3"/>
  <c r="G32" i="3"/>
  <c r="H32" i="3"/>
  <c r="C40" i="3"/>
  <c r="D40" i="3"/>
  <c r="E40" i="3"/>
  <c r="F40" i="3"/>
  <c r="G40" i="3"/>
  <c r="H40" i="3"/>
  <c r="C41" i="3"/>
  <c r="D41" i="3"/>
  <c r="E41" i="3"/>
  <c r="F41" i="3"/>
  <c r="G41" i="3"/>
  <c r="H41" i="3"/>
  <c r="C43" i="3"/>
  <c r="D43" i="3"/>
  <c r="E43" i="3"/>
  <c r="F43" i="3"/>
  <c r="G43" i="3"/>
  <c r="H43" i="3"/>
  <c r="C55" i="3"/>
  <c r="D55" i="3"/>
  <c r="E55" i="3"/>
  <c r="F55" i="3"/>
  <c r="G55" i="3"/>
  <c r="H55" i="3"/>
  <c r="C56" i="3"/>
  <c r="D56" i="3"/>
  <c r="E56" i="3"/>
  <c r="F56" i="3"/>
  <c r="G56" i="3"/>
  <c r="H56" i="3"/>
  <c r="C66" i="3"/>
  <c r="D66" i="3"/>
  <c r="E66" i="3"/>
  <c r="F66" i="3"/>
  <c r="G66" i="3"/>
  <c r="H66" i="3"/>
  <c r="C72" i="3"/>
  <c r="D72" i="3"/>
  <c r="E72" i="3"/>
  <c r="F72" i="3"/>
  <c r="G72" i="3"/>
  <c r="H72" i="3"/>
  <c r="C73" i="3"/>
  <c r="D73" i="3"/>
  <c r="E73" i="3"/>
  <c r="F73" i="3"/>
  <c r="G73" i="3"/>
  <c r="H73" i="3"/>
  <c r="C82" i="3"/>
  <c r="D82" i="3"/>
  <c r="E82" i="3"/>
  <c r="F82" i="3"/>
  <c r="G82" i="3"/>
  <c r="H82" i="3"/>
  <c r="C83" i="3"/>
  <c r="D83" i="3"/>
  <c r="E83" i="3"/>
  <c r="F83" i="3"/>
  <c r="G83" i="3"/>
  <c r="H83" i="3"/>
  <c r="C92" i="3"/>
  <c r="D92" i="3"/>
  <c r="E92" i="3"/>
  <c r="F92" i="3"/>
  <c r="G92" i="3"/>
  <c r="H92" i="3"/>
  <c r="C93" i="3"/>
  <c r="D93" i="3"/>
  <c r="E93" i="3"/>
  <c r="F93" i="3"/>
  <c r="G93" i="3"/>
  <c r="H93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5" i="3"/>
  <c r="D115" i="3"/>
  <c r="E115" i="3"/>
  <c r="F115" i="3"/>
  <c r="G115" i="3"/>
  <c r="H115" i="3"/>
  <c r="C121" i="3"/>
  <c r="D121" i="3"/>
  <c r="E121" i="3"/>
  <c r="F121" i="3"/>
  <c r="G121" i="3"/>
  <c r="H121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35" i="3"/>
  <c r="D135" i="3"/>
  <c r="E135" i="3"/>
  <c r="F135" i="3"/>
  <c r="G135" i="3"/>
  <c r="H135" i="3"/>
  <c r="C137" i="3"/>
  <c r="D137" i="3"/>
  <c r="E137" i="3"/>
  <c r="F137" i="3"/>
  <c r="G137" i="3"/>
  <c r="H137" i="3"/>
  <c r="D18" i="4"/>
  <c r="E18" i="4"/>
  <c r="F18" i="4"/>
  <c r="G18" i="4"/>
  <c r="H18" i="4"/>
  <c r="C25" i="4"/>
  <c r="D25" i="4"/>
  <c r="E25" i="4"/>
  <c r="F25" i="4"/>
  <c r="G25" i="4"/>
  <c r="H25" i="4"/>
  <c r="C26" i="4"/>
  <c r="D26" i="4"/>
  <c r="E26" i="4"/>
  <c r="F26" i="4"/>
  <c r="G26" i="4"/>
  <c r="H26" i="4"/>
  <c r="C31" i="4"/>
  <c r="D31" i="4"/>
  <c r="E31" i="4"/>
  <c r="F31" i="4"/>
  <c r="G31" i="4"/>
  <c r="H31" i="4"/>
  <c r="C32" i="4"/>
  <c r="D32" i="4"/>
  <c r="E32" i="4"/>
  <c r="F32" i="4"/>
  <c r="G32" i="4"/>
  <c r="H32" i="4"/>
  <c r="C40" i="4"/>
  <c r="D40" i="4"/>
  <c r="E40" i="4"/>
  <c r="F40" i="4"/>
  <c r="G40" i="4"/>
  <c r="H40" i="4"/>
  <c r="C41" i="4"/>
  <c r="D41" i="4"/>
  <c r="E41" i="4"/>
  <c r="F41" i="4"/>
  <c r="G41" i="4"/>
  <c r="H41" i="4"/>
  <c r="C43" i="4"/>
  <c r="D43" i="4"/>
  <c r="E43" i="4"/>
  <c r="F43" i="4"/>
  <c r="G43" i="4"/>
  <c r="H43" i="4"/>
  <c r="C55" i="4"/>
  <c r="D55" i="4"/>
  <c r="E55" i="4"/>
  <c r="F55" i="4"/>
  <c r="G55" i="4"/>
  <c r="H55" i="4"/>
  <c r="C56" i="4"/>
  <c r="D56" i="4"/>
  <c r="E56" i="4"/>
  <c r="F56" i="4"/>
  <c r="G56" i="4"/>
  <c r="H56" i="4"/>
  <c r="C66" i="4"/>
  <c r="D66" i="4"/>
  <c r="E66" i="4"/>
  <c r="F66" i="4"/>
  <c r="G66" i="4"/>
  <c r="H66" i="4"/>
  <c r="C72" i="4"/>
  <c r="D72" i="4"/>
  <c r="E72" i="4"/>
  <c r="F72" i="4"/>
  <c r="G72" i="4"/>
  <c r="H72" i="4"/>
  <c r="C73" i="4"/>
  <c r="D73" i="4"/>
  <c r="E73" i="4"/>
  <c r="F73" i="4"/>
  <c r="G73" i="4"/>
  <c r="H73" i="4"/>
  <c r="C82" i="4"/>
  <c r="D82" i="4"/>
  <c r="E82" i="4"/>
  <c r="F82" i="4"/>
  <c r="G82" i="4"/>
  <c r="H82" i="4"/>
  <c r="C83" i="4"/>
  <c r="D83" i="4"/>
  <c r="E83" i="4"/>
  <c r="F83" i="4"/>
  <c r="G83" i="4"/>
  <c r="H83" i="4"/>
  <c r="C92" i="4"/>
  <c r="D92" i="4"/>
  <c r="E92" i="4"/>
  <c r="F92" i="4"/>
  <c r="G92" i="4"/>
  <c r="H92" i="4"/>
  <c r="C93" i="4"/>
  <c r="D93" i="4"/>
  <c r="E93" i="4"/>
  <c r="F93" i="4"/>
  <c r="G93" i="4"/>
  <c r="H93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5" i="4"/>
  <c r="D115" i="4"/>
  <c r="E115" i="4"/>
  <c r="F115" i="4"/>
  <c r="G115" i="4"/>
  <c r="H115" i="4"/>
  <c r="C121" i="4"/>
  <c r="D121" i="4"/>
  <c r="E121" i="4"/>
  <c r="F121" i="4"/>
  <c r="G121" i="4"/>
  <c r="H121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35" i="4"/>
  <c r="D135" i="4"/>
  <c r="E135" i="4"/>
  <c r="F135" i="4"/>
  <c r="G135" i="4"/>
  <c r="H135" i="4"/>
  <c r="C137" i="4"/>
  <c r="D137" i="4"/>
  <c r="E137" i="4"/>
  <c r="F137" i="4"/>
  <c r="G137" i="4"/>
  <c r="H137" i="4"/>
  <c r="D14" i="1"/>
  <c r="F14" i="1"/>
  <c r="C15" i="1"/>
  <c r="D15" i="1"/>
  <c r="E15" i="1"/>
  <c r="F15" i="1"/>
  <c r="G15" i="1"/>
  <c r="H15" i="1"/>
  <c r="C25" i="1"/>
  <c r="D26" i="1"/>
  <c r="G26" i="1"/>
  <c r="C27" i="1"/>
  <c r="D27" i="1"/>
  <c r="E27" i="1"/>
  <c r="F27" i="1"/>
  <c r="G27" i="1"/>
  <c r="H27" i="1"/>
  <c r="C28" i="1"/>
  <c r="D28" i="1"/>
  <c r="E28" i="1"/>
  <c r="F28" i="1"/>
  <c r="G28" i="1"/>
  <c r="H28" i="1"/>
  <c r="C33" i="1"/>
  <c r="D33" i="1"/>
  <c r="E33" i="1"/>
  <c r="F33" i="1"/>
  <c r="G33" i="1"/>
  <c r="H33" i="1"/>
  <c r="C34" i="1"/>
  <c r="D34" i="1"/>
  <c r="E34" i="1"/>
  <c r="F34" i="1"/>
  <c r="G34" i="1"/>
  <c r="H34" i="1"/>
  <c r="C39" i="1"/>
  <c r="D39" i="1"/>
  <c r="E39" i="1"/>
  <c r="F39" i="1"/>
  <c r="G39" i="1"/>
  <c r="C42" i="1"/>
  <c r="D42" i="1"/>
  <c r="E42" i="1"/>
  <c r="F42" i="1"/>
  <c r="G42" i="1"/>
  <c r="H42" i="1"/>
  <c r="C43" i="1"/>
  <c r="D43" i="1"/>
  <c r="E43" i="1"/>
  <c r="F43" i="1"/>
  <c r="G43" i="1"/>
  <c r="H43" i="1"/>
  <c r="C45" i="1"/>
  <c r="D45" i="1"/>
  <c r="E45" i="1"/>
  <c r="F45" i="1"/>
  <c r="G45" i="1"/>
  <c r="H45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E53" i="1"/>
  <c r="G54" i="1"/>
  <c r="C55" i="1"/>
  <c r="D55" i="1"/>
  <c r="E55" i="1"/>
  <c r="F55" i="1"/>
  <c r="G55" i="1"/>
  <c r="H55" i="1"/>
  <c r="C56" i="1"/>
  <c r="D56" i="1"/>
  <c r="E56" i="1"/>
  <c r="F56" i="1"/>
  <c r="G56" i="1"/>
  <c r="H56" i="1"/>
  <c r="C61" i="1"/>
  <c r="D61" i="1"/>
  <c r="E61" i="1"/>
  <c r="F61" i="1"/>
  <c r="G61" i="1"/>
  <c r="F65" i="1"/>
  <c r="C66" i="1"/>
  <c r="D66" i="1"/>
  <c r="E66" i="1"/>
  <c r="F66" i="1"/>
  <c r="G66" i="1"/>
  <c r="C67" i="1"/>
  <c r="D67" i="1"/>
  <c r="E67" i="1"/>
  <c r="F67" i="1"/>
  <c r="G67" i="1"/>
  <c r="H67" i="1"/>
  <c r="C68" i="1"/>
  <c r="D68" i="1"/>
  <c r="E68" i="1"/>
  <c r="F68" i="1"/>
  <c r="G68" i="1"/>
  <c r="H68" i="1"/>
  <c r="C73" i="1"/>
  <c r="D73" i="1"/>
  <c r="E73" i="1"/>
  <c r="F73" i="1"/>
  <c r="G73" i="1"/>
  <c r="G74" i="1"/>
  <c r="E76" i="1"/>
  <c r="C77" i="1"/>
  <c r="D77" i="1"/>
  <c r="E77" i="1"/>
  <c r="F77" i="1"/>
  <c r="G77" i="1"/>
  <c r="H77" i="1"/>
  <c r="C78" i="1"/>
  <c r="D78" i="1"/>
  <c r="E78" i="1"/>
  <c r="F78" i="1"/>
  <c r="G78" i="1"/>
  <c r="H78" i="1"/>
  <c r="C83" i="1"/>
  <c r="D83" i="1"/>
  <c r="E83" i="1"/>
  <c r="F83" i="1"/>
  <c r="G83" i="1"/>
  <c r="C84" i="1"/>
  <c r="D84" i="1"/>
  <c r="E84" i="1"/>
  <c r="F84" i="1"/>
  <c r="G84" i="1"/>
  <c r="C86" i="1"/>
  <c r="D86" i="1"/>
  <c r="E86" i="1"/>
  <c r="F86" i="1"/>
  <c r="C87" i="1"/>
  <c r="D87" i="1"/>
  <c r="E87" i="1"/>
  <c r="F87" i="1"/>
  <c r="G87" i="1"/>
  <c r="H87" i="1"/>
  <c r="C88" i="1"/>
  <c r="D88" i="1"/>
  <c r="E88" i="1"/>
  <c r="F88" i="1"/>
  <c r="G88" i="1"/>
  <c r="H88" i="1"/>
  <c r="C93" i="1"/>
  <c r="D93" i="1"/>
  <c r="E93" i="1"/>
  <c r="F93" i="1"/>
  <c r="G93" i="1"/>
  <c r="C95" i="1"/>
  <c r="D95" i="1"/>
  <c r="E95" i="1"/>
  <c r="F95" i="1"/>
  <c r="G95" i="1"/>
  <c r="C98" i="1"/>
  <c r="D98" i="1"/>
  <c r="E98" i="1"/>
  <c r="F98" i="1"/>
  <c r="G98" i="1"/>
  <c r="H98" i="1"/>
  <c r="C99" i="1"/>
  <c r="D99" i="1"/>
  <c r="E99" i="1"/>
  <c r="F99" i="1"/>
  <c r="G99" i="1"/>
  <c r="H99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3" i="1"/>
  <c r="D113" i="1"/>
  <c r="E113" i="1"/>
  <c r="F113" i="1"/>
  <c r="G113" i="1"/>
  <c r="H113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C123" i="1"/>
  <c r="D123" i="1"/>
  <c r="E123" i="1"/>
  <c r="F123" i="1"/>
  <c r="G123" i="1"/>
  <c r="H123" i="1"/>
  <c r="C125" i="1"/>
  <c r="D125" i="1"/>
  <c r="E125" i="1"/>
  <c r="F125" i="1"/>
  <c r="G125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D138" i="1"/>
  <c r="E138" i="1"/>
  <c r="C139" i="1"/>
  <c r="D139" i="1"/>
  <c r="E139" i="1"/>
  <c r="F139" i="1"/>
  <c r="G139" i="1"/>
  <c r="H139" i="1"/>
  <c r="C141" i="1"/>
  <c r="D141" i="1"/>
  <c r="E141" i="1"/>
  <c r="F141" i="1"/>
  <c r="G141" i="1"/>
  <c r="H141" i="1"/>
  <c r="C6" i="2"/>
  <c r="C12" i="2"/>
  <c r="D12" i="2"/>
  <c r="E12" i="2"/>
  <c r="F12" i="2"/>
  <c r="G12" i="2"/>
  <c r="C13" i="2"/>
  <c r="D13" i="2"/>
  <c r="E13" i="2"/>
  <c r="F13" i="2"/>
  <c r="G13" i="2"/>
  <c r="H13" i="2"/>
  <c r="C17" i="2"/>
  <c r="D17" i="2"/>
  <c r="E17" i="2"/>
  <c r="F17" i="2"/>
  <c r="G17" i="2"/>
  <c r="E19" i="2"/>
  <c r="H19" i="2"/>
  <c r="D20" i="2"/>
  <c r="C21" i="2"/>
  <c r="C22" i="2"/>
  <c r="D22" i="2"/>
  <c r="G22" i="2"/>
  <c r="C23" i="2"/>
  <c r="D23" i="2"/>
  <c r="E23" i="2"/>
  <c r="F23" i="2"/>
  <c r="G23" i="2"/>
  <c r="H23" i="2"/>
  <c r="C24" i="2"/>
  <c r="D24" i="2"/>
  <c r="E24" i="2"/>
  <c r="F24" i="2"/>
  <c r="G24" i="2"/>
  <c r="H24" i="2"/>
  <c r="C29" i="2"/>
  <c r="D29" i="2"/>
  <c r="E29" i="2"/>
  <c r="F29" i="2"/>
  <c r="G29" i="2"/>
  <c r="H29" i="2"/>
  <c r="C30" i="2"/>
  <c r="D30" i="2"/>
  <c r="E30" i="2"/>
  <c r="F30" i="2"/>
  <c r="G30" i="2"/>
  <c r="H30" i="2"/>
  <c r="C35" i="2"/>
  <c r="D35" i="2"/>
  <c r="E35" i="2"/>
  <c r="F35" i="2"/>
  <c r="G35" i="2"/>
  <c r="C38" i="2"/>
  <c r="D38" i="2"/>
  <c r="E38" i="2"/>
  <c r="F38" i="2"/>
  <c r="G38" i="2"/>
  <c r="H38" i="2"/>
  <c r="C39" i="2"/>
  <c r="D39" i="2"/>
  <c r="E39" i="2"/>
  <c r="F39" i="2"/>
  <c r="G39" i="2"/>
  <c r="H39" i="2"/>
  <c r="C41" i="2"/>
  <c r="D41" i="2"/>
  <c r="E41" i="2"/>
  <c r="F41" i="2"/>
  <c r="G41" i="2"/>
  <c r="H41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52" i="2"/>
  <c r="D52" i="2"/>
  <c r="E52" i="2"/>
  <c r="F52" i="2"/>
  <c r="G52" i="2"/>
  <c r="C53" i="2"/>
  <c r="D53" i="2"/>
  <c r="E53" i="2"/>
  <c r="F53" i="2"/>
  <c r="G53" i="2"/>
  <c r="H53" i="2"/>
  <c r="C54" i="2"/>
  <c r="D54" i="2"/>
  <c r="E54" i="2"/>
  <c r="F54" i="2"/>
  <c r="G54" i="2"/>
  <c r="H54" i="2"/>
  <c r="C59" i="2"/>
  <c r="D59" i="2"/>
  <c r="E59" i="2"/>
  <c r="F59" i="2"/>
  <c r="G59" i="2"/>
  <c r="E61" i="2"/>
  <c r="C64" i="2"/>
  <c r="D64" i="2"/>
  <c r="E64" i="2"/>
  <c r="F64" i="2"/>
  <c r="G64" i="2"/>
  <c r="C65" i="2"/>
  <c r="D65" i="2"/>
  <c r="E65" i="2"/>
  <c r="F65" i="2"/>
  <c r="G65" i="2"/>
  <c r="H65" i="2"/>
  <c r="C66" i="2"/>
  <c r="D66" i="2"/>
  <c r="E66" i="2"/>
  <c r="F66" i="2"/>
  <c r="G66" i="2"/>
  <c r="H66" i="2"/>
  <c r="C71" i="2"/>
  <c r="D71" i="2"/>
  <c r="E71" i="2"/>
  <c r="F71" i="2"/>
  <c r="G71" i="2"/>
  <c r="E74" i="2"/>
  <c r="C75" i="2"/>
  <c r="D75" i="2"/>
  <c r="E75" i="2"/>
  <c r="F75" i="2"/>
  <c r="G75" i="2"/>
  <c r="H75" i="2"/>
  <c r="C76" i="2"/>
  <c r="D76" i="2"/>
  <c r="E76" i="2"/>
  <c r="F76" i="2"/>
  <c r="G76" i="2"/>
  <c r="H76" i="2"/>
  <c r="C81" i="2"/>
  <c r="D81" i="2"/>
  <c r="E81" i="2"/>
  <c r="F81" i="2"/>
  <c r="G81" i="2"/>
  <c r="C82" i="2"/>
  <c r="D82" i="2"/>
  <c r="E82" i="2"/>
  <c r="F82" i="2"/>
  <c r="G82" i="2"/>
  <c r="C85" i="2"/>
  <c r="D85" i="2"/>
  <c r="E85" i="2"/>
  <c r="F85" i="2"/>
  <c r="G85" i="2"/>
  <c r="H85" i="2"/>
  <c r="C86" i="2"/>
  <c r="D86" i="2"/>
  <c r="E86" i="2"/>
  <c r="F86" i="2"/>
  <c r="G86" i="2"/>
  <c r="H86" i="2"/>
  <c r="C91" i="2"/>
  <c r="D91" i="2"/>
  <c r="E91" i="2"/>
  <c r="F91" i="2"/>
  <c r="G91" i="2"/>
  <c r="C95" i="2"/>
  <c r="D95" i="2"/>
  <c r="E95" i="2"/>
  <c r="F95" i="2"/>
  <c r="G95" i="2"/>
  <c r="H95" i="2"/>
  <c r="C96" i="2"/>
  <c r="D96" i="2"/>
  <c r="E96" i="2"/>
  <c r="F96" i="2"/>
  <c r="G96" i="2"/>
  <c r="H96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G104" i="2"/>
  <c r="E105" i="2"/>
  <c r="C106" i="2"/>
  <c r="D106" i="2"/>
  <c r="E106" i="2"/>
  <c r="F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10" i="2"/>
  <c r="D110" i="2"/>
  <c r="E110" i="2"/>
  <c r="F110" i="2"/>
  <c r="G110" i="2"/>
  <c r="H110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D119" i="2"/>
  <c r="E119" i="2"/>
  <c r="F119" i="2"/>
  <c r="G119" i="2"/>
  <c r="C120" i="2"/>
  <c r="D120" i="2"/>
  <c r="E120" i="2"/>
  <c r="F120" i="2"/>
  <c r="G120" i="2"/>
  <c r="H120" i="2"/>
  <c r="E122" i="2"/>
  <c r="F122" i="2"/>
  <c r="G122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E135" i="2"/>
  <c r="C136" i="2"/>
  <c r="D136" i="2"/>
  <c r="E136" i="2"/>
  <c r="F136" i="2"/>
  <c r="G136" i="2"/>
  <c r="H136" i="2"/>
  <c r="C138" i="2"/>
  <c r="D138" i="2"/>
  <c r="E138" i="2"/>
  <c r="F138" i="2"/>
  <c r="G138" i="2"/>
  <c r="H138" i="2"/>
</calcChain>
</file>

<file path=xl/sharedStrings.xml><?xml version="1.0" encoding="utf-8"?>
<sst xmlns="http://schemas.openxmlformats.org/spreadsheetml/2006/main" count="652" uniqueCount="125">
  <si>
    <t>Actual</t>
  </si>
  <si>
    <t>Plan</t>
  </si>
  <si>
    <t>Estimate</t>
  </si>
  <si>
    <t>NNG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</si>
  <si>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</si>
  <si>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</si>
  <si>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</si>
  <si>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</si>
  <si>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</si>
  <si>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</si>
  <si>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</si>
  <si>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</si>
  <si>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</si>
  <si>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</si>
  <si>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</si>
  <si>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Fuel</t>
  </si>
  <si>
    <t>Revenue Management</t>
  </si>
  <si>
    <t>O&amp;M &amp; G&amp;A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</si>
  <si>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</si>
  <si>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</si>
  <si>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</si>
  <si>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</si>
  <si>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</si>
  <si>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</si>
  <si>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</si>
  <si>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</si>
  <si>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Target</t>
  </si>
  <si>
    <t>New Deals</t>
  </si>
  <si>
    <t>Citrus</t>
  </si>
  <si>
    <t>TW</t>
  </si>
  <si>
    <t>Storage</t>
  </si>
  <si>
    <t>Tranche 2&amp;3</t>
  </si>
  <si>
    <t>FTS-1</t>
  </si>
  <si>
    <t>FTS-2</t>
  </si>
  <si>
    <t>Other - IT, SFTS, PNR, Western</t>
  </si>
  <si>
    <t>TC &amp; S Costs</t>
  </si>
  <si>
    <t>CitrusNet</t>
  </si>
  <si>
    <t>Operations</t>
  </si>
  <si>
    <t>O&amp;M/G&amp;A</t>
  </si>
  <si>
    <t>Field Operations</t>
  </si>
  <si>
    <t>Other Income</t>
  </si>
  <si>
    <t xml:space="preserve">     Demand</t>
  </si>
  <si>
    <t xml:space="preserve">     Commodity</t>
  </si>
  <si>
    <t>Market Services</t>
  </si>
  <si>
    <t>Amortizations</t>
  </si>
  <si>
    <t>Other Expenses</t>
  </si>
  <si>
    <t>Group Services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</si>
  <si>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</si>
  <si>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</si>
  <si>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</si>
  <si>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</si>
  <si>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</si>
  <si>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</si>
  <si>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</si>
  <si>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</si>
  <si>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</si>
  <si>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</si>
  <si>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Net Contribution Legal</t>
  </si>
  <si>
    <t>Field Operations Support</t>
  </si>
  <si>
    <t>Commercial Support</t>
  </si>
  <si>
    <t>Human Resources/Communications</t>
  </si>
  <si>
    <t>Net Contribution HR/C</t>
  </si>
  <si>
    <t>Net Contribution FA&amp;A</t>
  </si>
  <si>
    <t>Executive &amp; Other</t>
  </si>
  <si>
    <t>Net Contribution Executive/Other</t>
  </si>
  <si>
    <t>Total Net Contribution</t>
  </si>
  <si>
    <t>Other Expenses:</t>
  </si>
  <si>
    <t>Corporate</t>
  </si>
  <si>
    <t xml:space="preserve">     Allocated</t>
  </si>
  <si>
    <t xml:space="preserve">     Direct</t>
  </si>
  <si>
    <t xml:space="preserve">CESI </t>
  </si>
  <si>
    <t>Trading</t>
  </si>
  <si>
    <t>Phase IV</t>
  </si>
  <si>
    <t>Phase V</t>
  </si>
  <si>
    <t>ACA</t>
  </si>
  <si>
    <t>DD&amp;A</t>
  </si>
  <si>
    <t>Other Taxes</t>
  </si>
  <si>
    <t xml:space="preserve">     Ad Valorem</t>
  </si>
  <si>
    <t xml:space="preserve">     Other</t>
  </si>
  <si>
    <t xml:space="preserve">     Total Other Taxes</t>
  </si>
  <si>
    <t xml:space="preserve">     Total Corporate</t>
  </si>
  <si>
    <t>Other Income(Deductions)</t>
  </si>
  <si>
    <t>Trailblazer</t>
  </si>
  <si>
    <t>Overthrust</t>
  </si>
  <si>
    <t>Discontinued Operations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</si>
  <si>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</si>
  <si>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</si>
  <si>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</si>
  <si>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</si>
  <si>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</si>
  <si>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Field Operations For Expansions</t>
  </si>
  <si>
    <t>Swap gains</t>
  </si>
  <si>
    <t>FAS 133</t>
  </si>
  <si>
    <t>Supply Credits</t>
  </si>
  <si>
    <t>AFUDC Amortization</t>
  </si>
  <si>
    <t>Total Other Income</t>
  </si>
  <si>
    <t>Electric Compression</t>
  </si>
  <si>
    <t>Clean Fuels</t>
  </si>
  <si>
    <t>Northern Border</t>
  </si>
  <si>
    <t>Skill-based Pay amortization</t>
  </si>
  <si>
    <t>Aviation</t>
  </si>
  <si>
    <t>Corporate Overhead</t>
  </si>
  <si>
    <t>EIS</t>
  </si>
  <si>
    <t>EP&amp;S</t>
  </si>
  <si>
    <t>Other Expenses - G&amp;A</t>
  </si>
  <si>
    <t>Other - G&amp;A</t>
  </si>
  <si>
    <t>Omaha Rent</t>
  </si>
  <si>
    <t>Mangement Overview</t>
  </si>
  <si>
    <t xml:space="preserve">O&amp;M </t>
  </si>
  <si>
    <t>Other -  NNG Exec</t>
  </si>
  <si>
    <t xml:space="preserve">Other </t>
  </si>
  <si>
    <t>Other - OH to Exec</t>
  </si>
  <si>
    <t>OH to Executive</t>
  </si>
  <si>
    <t>Overhead (incl.fr.Legal,F&amp;A,HR)</t>
  </si>
  <si>
    <t>To IT Technology</t>
  </si>
  <si>
    <t>To IT Technology &amp; Exec</t>
  </si>
  <si>
    <t>From OPS</t>
  </si>
  <si>
    <t>Group Operations(OTS)</t>
  </si>
  <si>
    <t>OH (incl.Legal,F&amp;A,HR)</t>
  </si>
  <si>
    <t>Corporate OH</t>
  </si>
  <si>
    <t>VP</t>
  </si>
  <si>
    <t>Other Expenses-VP,SAP</t>
  </si>
  <si>
    <t>Overview</t>
  </si>
  <si>
    <t>To Exec</t>
  </si>
  <si>
    <t>Operations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</si>
</sst>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5" formatCode="#,##0.0_);\(#,##0.0\)"/>
  </numFmts>
  <fonts count="7" x14ac:knownFonts="1"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4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5" fillId="0" borderId="0" xfId="1" applyFont="1"/>
    <xf numFmtId="164" fontId="0" fillId="0" borderId="1" xfId="0" applyNumberFormat="1" applyBorder="1"/>
    <xf numFmtId="0" fontId="6" fillId="0" borderId="0" xfId="0" applyFont="1"/>
    <xf numFmtId="165" fontId="3" fillId="0" borderId="0" xfId="1" applyFont="1"/>
    <xf numFmtId="164" fontId="5" fillId="0" borderId="0" xfId="0" applyNumberFormat="1" applyFont="1"/>
    <xf numFmtId="0" fontId="0" fillId="0" borderId="0" xfId="0" quotePrefix="1" applyAlignment="1">
      <alignment horizontal="left"/>
    </xf>
  </cellXfs>
  <cellStyles count="2">
    <cellStyle name="Normal" xfId="0" builtinId="0"/>
    <cellStyle name="Normal_DETAI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9"/>
  <sheetViews>
    <sheetView showGridLines="0" tabSelected="1" zoomScaleNormal="100" workbookViewId="0">
      <pane xSplit="2" ySplit="3" topLeftCell="C4" activePane="bottomRight" state="frozen"/>
      <selection activeCell="G135" sqref="G135"/>
      <selection pane="topRight" activeCell="G135" sqref="G135"/>
      <selection pane="bottomLeft" activeCell="G135" sqref="G135"/>
      <selection pane="bottomRight" activeCell="B5" sqref="B5"/>
    </sheetView>
  </sheetViews>
  <sheetFormatPr defaultRowHeight="13.2" x14ac:dyDescent="0.25"/>
  <cols>
    <col min="1" max="1" width="5.6640625" customWidth="1"/>
    <col min="2" max="2" width="27.109375" bestFit="1" customWidth="1"/>
  </cols>
  <sheetData>
    <row r="1" spans="1:8" x14ac:dyDescent="0.25">
      <c r="A1" s="6" t="s">
        <v>3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/>
      <c r="D6" s="3"/>
      <c r="E6" s="3"/>
      <c r="F6" s="3"/>
      <c r="G6" s="3"/>
      <c r="H6" s="3"/>
    </row>
    <row r="7" spans="1:8" x14ac:dyDescent="0.25">
      <c r="B7" t="s">
        <v>41</v>
      </c>
      <c r="C7" s="3">
        <v>351.8</v>
      </c>
      <c r="D7" s="3">
        <v>367</v>
      </c>
      <c r="E7" s="3">
        <v>350.4</v>
      </c>
      <c r="F7" s="3">
        <v>351.2</v>
      </c>
      <c r="G7" s="3">
        <v>342</v>
      </c>
      <c r="H7" s="3">
        <v>327.3</v>
      </c>
    </row>
    <row r="8" spans="1:8" x14ac:dyDescent="0.25">
      <c r="B8" t="s">
        <v>42</v>
      </c>
      <c r="C8" s="3">
        <v>43.1</v>
      </c>
      <c r="D8" s="3">
        <v>41.1</v>
      </c>
      <c r="E8" s="3">
        <v>41.6</v>
      </c>
      <c r="F8" s="3">
        <v>43.8</v>
      </c>
      <c r="G8" s="3">
        <v>36.700000000000003</v>
      </c>
      <c r="H8" s="3">
        <v>31.7</v>
      </c>
    </row>
    <row r="9" spans="1:8" x14ac:dyDescent="0.25">
      <c r="B9" t="s">
        <v>30</v>
      </c>
      <c r="C9" s="3">
        <v>36.299999999999997</v>
      </c>
      <c r="D9" s="3">
        <v>36.1</v>
      </c>
      <c r="E9" s="3">
        <v>35</v>
      </c>
      <c r="F9" s="3">
        <v>38.799999999999997</v>
      </c>
      <c r="G9" s="3">
        <v>37</v>
      </c>
      <c r="H9" s="3">
        <v>35</v>
      </c>
    </row>
    <row r="10" spans="1:8" x14ac:dyDescent="0.25">
      <c r="B10" t="s">
        <v>5</v>
      </c>
      <c r="C10" s="3">
        <v>0</v>
      </c>
      <c r="D10" s="3">
        <v>0</v>
      </c>
      <c r="E10" s="3">
        <v>10</v>
      </c>
      <c r="F10" s="3">
        <v>1.1000000000000001</v>
      </c>
      <c r="G10" s="3">
        <v>12.7</v>
      </c>
      <c r="H10" s="3">
        <v>0</v>
      </c>
    </row>
    <row r="11" spans="1:8" x14ac:dyDescent="0.25">
      <c r="B11" t="s">
        <v>31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27.6</v>
      </c>
    </row>
    <row r="12" spans="1:8" x14ac:dyDescent="0.25">
      <c r="B12" t="s">
        <v>6</v>
      </c>
      <c r="C12" s="3">
        <v>0</v>
      </c>
      <c r="D12" s="3">
        <v>0</v>
      </c>
      <c r="E12" s="3">
        <v>0</v>
      </c>
      <c r="F12" s="3">
        <v>0.8</v>
      </c>
      <c r="G12" s="3">
        <v>0</v>
      </c>
      <c r="H12" s="3">
        <v>0</v>
      </c>
    </row>
    <row r="13" spans="1:8" x14ac:dyDescent="0.25">
      <c r="B13" t="s">
        <v>27</v>
      </c>
      <c r="C13" s="3">
        <v>0</v>
      </c>
      <c r="D13" s="3">
        <v>0</v>
      </c>
      <c r="E13" s="3">
        <v>5</v>
      </c>
      <c r="F13" s="3">
        <v>0</v>
      </c>
      <c r="G13" s="3">
        <v>53.4</v>
      </c>
      <c r="H13" s="3">
        <v>40</v>
      </c>
    </row>
    <row r="14" spans="1:8" x14ac:dyDescent="0.25">
      <c r="B14" t="s">
        <v>7</v>
      </c>
      <c r="C14" s="4">
        <v>1.2</v>
      </c>
      <c r="D14" s="4">
        <f>-0.7+0.7</f>
        <v>0</v>
      </c>
      <c r="E14" s="4">
        <v>1</v>
      </c>
      <c r="F14" s="4">
        <f>0.5-0.5</f>
        <v>0</v>
      </c>
      <c r="G14" s="4">
        <v>1</v>
      </c>
      <c r="H14" s="4">
        <v>0</v>
      </c>
    </row>
    <row r="15" spans="1:8" x14ac:dyDescent="0.25">
      <c r="B15" s="6" t="s">
        <v>25</v>
      </c>
      <c r="C15" s="3">
        <f t="shared" ref="C15:H15" si="0">SUM(C6:C14)</f>
        <v>432.40000000000003</v>
      </c>
      <c r="D15" s="3">
        <f t="shared" si="0"/>
        <v>444.20000000000005</v>
      </c>
      <c r="E15" s="3">
        <f t="shared" si="0"/>
        <v>443</v>
      </c>
      <c r="F15" s="3">
        <f t="shared" si="0"/>
        <v>435.70000000000005</v>
      </c>
      <c r="G15" s="3">
        <f t="shared" si="0"/>
        <v>482.79999999999995</v>
      </c>
      <c r="H15" s="3">
        <f t="shared" si="0"/>
        <v>461.6</v>
      </c>
    </row>
    <row r="16" spans="1:8" x14ac:dyDescent="0.25">
      <c r="A16" s="6" t="s">
        <v>8</v>
      </c>
      <c r="C16" s="3"/>
      <c r="D16" s="3"/>
      <c r="E16" s="3"/>
      <c r="F16" s="3"/>
      <c r="G16" s="3"/>
      <c r="H16" s="3"/>
    </row>
    <row r="17" spans="1:8" x14ac:dyDescent="0.25">
      <c r="B17" t="s">
        <v>9</v>
      </c>
      <c r="C17" s="3">
        <v>-15.9</v>
      </c>
      <c r="D17" s="3">
        <v>-13</v>
      </c>
      <c r="E17" s="3">
        <v>-12.9</v>
      </c>
      <c r="F17" s="3">
        <v>-11.6</v>
      </c>
      <c r="G17" s="3">
        <v>-9.8000000000000007</v>
      </c>
      <c r="H17" s="3">
        <v>-12.9</v>
      </c>
    </row>
    <row r="18" spans="1:8" x14ac:dyDescent="0.25">
      <c r="B18" t="s">
        <v>10</v>
      </c>
      <c r="C18" s="3">
        <v>-1.1000000000000001</v>
      </c>
      <c r="D18" s="3">
        <v>-0.6</v>
      </c>
      <c r="E18" s="3">
        <v>-0.7</v>
      </c>
      <c r="F18" s="3">
        <v>-0.7</v>
      </c>
      <c r="G18" s="3">
        <v>-0.7</v>
      </c>
      <c r="H18" s="3">
        <v>-0.7</v>
      </c>
    </row>
    <row r="19" spans="1:8" x14ac:dyDescent="0.25">
      <c r="B19" t="s">
        <v>11</v>
      </c>
      <c r="C19" s="3">
        <v>-0.2</v>
      </c>
      <c r="D19" s="3">
        <v>-1.9</v>
      </c>
      <c r="E19" s="3">
        <v>-5.8</v>
      </c>
      <c r="F19" s="3">
        <v>-5.8</v>
      </c>
      <c r="G19" s="3">
        <v>-5.9</v>
      </c>
      <c r="H19" s="3">
        <v>-5.8</v>
      </c>
    </row>
    <row r="20" spans="1:8" x14ac:dyDescent="0.25">
      <c r="B20" t="s">
        <v>12</v>
      </c>
      <c r="C20" s="3">
        <v>7.4</v>
      </c>
      <c r="D20" s="3">
        <v>6.4</v>
      </c>
      <c r="E20" s="3">
        <v>1.7</v>
      </c>
      <c r="F20" s="3">
        <v>1.7</v>
      </c>
      <c r="G20" s="3">
        <v>0.7</v>
      </c>
      <c r="H20" s="3">
        <v>1.7</v>
      </c>
    </row>
    <row r="21" spans="1:8" x14ac:dyDescent="0.25">
      <c r="B21" t="s">
        <v>13</v>
      </c>
      <c r="C21" s="3">
        <v>-1.5</v>
      </c>
      <c r="D21" s="3">
        <v>-2.2000000000000002</v>
      </c>
      <c r="E21" s="3">
        <v>-2.1</v>
      </c>
      <c r="F21" s="3">
        <v>-2.1</v>
      </c>
      <c r="G21" s="3">
        <v>-1.7</v>
      </c>
      <c r="H21" s="3">
        <v>-2.1</v>
      </c>
    </row>
    <row r="22" spans="1:8" x14ac:dyDescent="0.25">
      <c r="B22" t="s">
        <v>14</v>
      </c>
      <c r="C22" s="3">
        <v>0</v>
      </c>
      <c r="D22" s="3">
        <v>-1.5</v>
      </c>
      <c r="E22" s="3">
        <v>-3</v>
      </c>
      <c r="F22" s="3">
        <v>-10.199999999999999</v>
      </c>
      <c r="G22" s="3">
        <v>-14.3</v>
      </c>
      <c r="H22" s="3">
        <v>-3</v>
      </c>
    </row>
    <row r="23" spans="1:8" x14ac:dyDescent="0.25">
      <c r="B23" t="s">
        <v>15</v>
      </c>
      <c r="C23" s="3">
        <v>0</v>
      </c>
      <c r="D23" s="3">
        <v>-0.5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B24" t="s">
        <v>16</v>
      </c>
      <c r="C24" s="3">
        <v>0</v>
      </c>
      <c r="D24" s="3">
        <v>-0.3</v>
      </c>
      <c r="E24" s="3">
        <v>0</v>
      </c>
      <c r="F24" s="3">
        <v>0</v>
      </c>
      <c r="G24" s="3">
        <v>-0.9</v>
      </c>
      <c r="H24" s="3">
        <v>0</v>
      </c>
    </row>
    <row r="25" spans="1:8" x14ac:dyDescent="0.25">
      <c r="B25" s="12" t="s">
        <v>108</v>
      </c>
      <c r="C25" s="3">
        <f>-11.9+2.5</f>
        <v>-9.4</v>
      </c>
      <c r="D25" s="3">
        <v>-12.4</v>
      </c>
      <c r="E25" s="3">
        <v>-13.4</v>
      </c>
      <c r="F25" s="3">
        <v>-12.2</v>
      </c>
      <c r="G25" s="3">
        <v>-12.7</v>
      </c>
      <c r="H25" s="3">
        <v>-13.6</v>
      </c>
    </row>
    <row r="26" spans="1:8" ht="15" x14ac:dyDescent="0.4">
      <c r="B26" s="12" t="s">
        <v>110</v>
      </c>
      <c r="C26" s="5">
        <v>0</v>
      </c>
      <c r="D26" s="5">
        <f>-0.3</f>
        <v>-0.3</v>
      </c>
      <c r="E26" s="5">
        <v>0</v>
      </c>
      <c r="F26" s="5">
        <v>0</v>
      </c>
      <c r="G26" s="5">
        <f>1.5</f>
        <v>1.5</v>
      </c>
      <c r="H26" s="5">
        <v>0</v>
      </c>
    </row>
    <row r="27" spans="1:8" ht="15" x14ac:dyDescent="0.4">
      <c r="B27" s="6" t="s">
        <v>19</v>
      </c>
      <c r="C27" s="5">
        <f t="shared" ref="C27:H27" si="1">SUM(C17:C26)</f>
        <v>-20.7</v>
      </c>
      <c r="D27" s="5">
        <f t="shared" si="1"/>
        <v>-26.3</v>
      </c>
      <c r="E27" s="5">
        <f t="shared" si="1"/>
        <v>-36.200000000000003</v>
      </c>
      <c r="F27" s="5">
        <f t="shared" si="1"/>
        <v>-40.9</v>
      </c>
      <c r="G27" s="5">
        <f t="shared" si="1"/>
        <v>-43.8</v>
      </c>
      <c r="H27" s="5">
        <f t="shared" si="1"/>
        <v>-36.4</v>
      </c>
    </row>
    <row r="28" spans="1:8" x14ac:dyDescent="0.25">
      <c r="A28" s="6" t="s">
        <v>18</v>
      </c>
      <c r="C28" s="3">
        <f t="shared" ref="C28:H28" si="2">+C15+C27</f>
        <v>411.70000000000005</v>
      </c>
      <c r="D28" s="3">
        <f t="shared" si="2"/>
        <v>417.90000000000003</v>
      </c>
      <c r="E28" s="3">
        <f t="shared" si="2"/>
        <v>406.8</v>
      </c>
      <c r="F28" s="3">
        <f t="shared" si="2"/>
        <v>394.80000000000007</v>
      </c>
      <c r="G28" s="3">
        <f t="shared" si="2"/>
        <v>438.99999999999994</v>
      </c>
      <c r="H28" s="3">
        <f t="shared" si="2"/>
        <v>425.20000000000005</v>
      </c>
    </row>
    <row r="29" spans="1:8" x14ac:dyDescent="0.25">
      <c r="A29" s="6" t="s">
        <v>20</v>
      </c>
      <c r="C29" s="3"/>
      <c r="D29" s="3"/>
      <c r="E29" s="3"/>
      <c r="F29" s="3"/>
      <c r="G29" s="3"/>
      <c r="H29" s="3"/>
    </row>
    <row r="30" spans="1:8" x14ac:dyDescent="0.25">
      <c r="B30" t="s">
        <v>21</v>
      </c>
      <c r="C30" s="3">
        <v>0</v>
      </c>
      <c r="D30" s="3">
        <v>22.6</v>
      </c>
      <c r="E30" s="3">
        <v>10</v>
      </c>
      <c r="F30" s="3">
        <v>42.2</v>
      </c>
      <c r="G30" s="3">
        <v>0</v>
      </c>
      <c r="H30" s="3">
        <v>0</v>
      </c>
    </row>
    <row r="31" spans="1:8" x14ac:dyDescent="0.25">
      <c r="B31" t="s">
        <v>22</v>
      </c>
      <c r="C31" s="3">
        <v>25.7</v>
      </c>
      <c r="D31" s="3">
        <v>0.7</v>
      </c>
      <c r="E31" s="3">
        <v>11.6</v>
      </c>
      <c r="F31" s="3">
        <v>1</v>
      </c>
      <c r="G31" s="3">
        <v>9.9</v>
      </c>
      <c r="H31" s="3">
        <v>10</v>
      </c>
    </row>
    <row r="32" spans="1:8" ht="15" x14ac:dyDescent="0.4">
      <c r="B32" t="s">
        <v>23</v>
      </c>
      <c r="C32" s="5">
        <v>0</v>
      </c>
      <c r="D32" s="5">
        <v>0</v>
      </c>
      <c r="E32" s="5">
        <v>3</v>
      </c>
      <c r="F32" s="5">
        <v>2</v>
      </c>
      <c r="G32" s="5">
        <v>0</v>
      </c>
      <c r="H32" s="5">
        <v>0</v>
      </c>
    </row>
    <row r="33" spans="1:8" ht="15" x14ac:dyDescent="0.4">
      <c r="B33" s="6" t="s">
        <v>24</v>
      </c>
      <c r="C33" s="5">
        <f t="shared" ref="C33:H33" si="3">SUM(C30:C32)</f>
        <v>25.7</v>
      </c>
      <c r="D33" s="5">
        <f t="shared" si="3"/>
        <v>23.3</v>
      </c>
      <c r="E33" s="5">
        <f t="shared" si="3"/>
        <v>24.6</v>
      </c>
      <c r="F33" s="5">
        <f t="shared" si="3"/>
        <v>45.2</v>
      </c>
      <c r="G33" s="5">
        <f t="shared" si="3"/>
        <v>9.9</v>
      </c>
      <c r="H33" s="5">
        <f t="shared" si="3"/>
        <v>10</v>
      </c>
    </row>
    <row r="34" spans="1:8" ht="15" x14ac:dyDescent="0.4">
      <c r="A34" s="6" t="s">
        <v>49</v>
      </c>
      <c r="C34" s="5">
        <f t="shared" ref="C34:H34" si="4">+C28+C33</f>
        <v>437.40000000000003</v>
      </c>
      <c r="D34" s="5">
        <f t="shared" si="4"/>
        <v>441.20000000000005</v>
      </c>
      <c r="E34" s="5">
        <f t="shared" si="4"/>
        <v>431.40000000000003</v>
      </c>
      <c r="F34" s="5">
        <f t="shared" si="4"/>
        <v>440.00000000000006</v>
      </c>
      <c r="G34" s="5">
        <f t="shared" si="4"/>
        <v>448.89999999999992</v>
      </c>
      <c r="H34" s="5">
        <f t="shared" si="4"/>
        <v>435.20000000000005</v>
      </c>
    </row>
    <row r="35" spans="1:8" x14ac:dyDescent="0.25">
      <c r="C35" s="3"/>
      <c r="D35" s="3"/>
      <c r="E35" s="3"/>
      <c r="F35" s="3"/>
      <c r="G35" s="3"/>
      <c r="H35" s="3"/>
    </row>
    <row r="36" spans="1:8" x14ac:dyDescent="0.25">
      <c r="A36" s="9" t="s">
        <v>43</v>
      </c>
      <c r="C36" s="3"/>
      <c r="D36" s="3"/>
      <c r="E36" s="3"/>
      <c r="F36" s="3"/>
      <c r="G36" s="3"/>
      <c r="H36" s="3"/>
    </row>
    <row r="37" spans="1:8" x14ac:dyDescent="0.25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A38" s="6" t="s">
        <v>8</v>
      </c>
      <c r="C38" s="3"/>
      <c r="D38" s="3"/>
      <c r="E38" s="3"/>
      <c r="F38" s="3"/>
      <c r="G38" s="3"/>
      <c r="H38" s="3"/>
    </row>
    <row r="39" spans="1:8" x14ac:dyDescent="0.25">
      <c r="B39" t="s">
        <v>38</v>
      </c>
      <c r="C39" s="3">
        <f>-5.2</f>
        <v>-5.2</v>
      </c>
      <c r="D39" s="3">
        <f>-5.4</f>
        <v>-5.4</v>
      </c>
      <c r="E39" s="3">
        <f>-5.2</f>
        <v>-5.2</v>
      </c>
      <c r="F39" s="3">
        <f>-5.1</f>
        <v>-5.0999999999999996</v>
      </c>
      <c r="G39" s="3">
        <f>-5</f>
        <v>-5</v>
      </c>
      <c r="H39" s="3">
        <v>0</v>
      </c>
    </row>
    <row r="40" spans="1:8" x14ac:dyDescent="0.25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4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4">
      <c r="B42" s="6" t="s">
        <v>19</v>
      </c>
      <c r="C42" s="5">
        <f t="shared" ref="C42:H42" si="5">SUM(C39:C41)</f>
        <v>-5.2</v>
      </c>
      <c r="D42" s="5">
        <f t="shared" si="5"/>
        <v>-5.4</v>
      </c>
      <c r="E42" s="5">
        <f t="shared" si="5"/>
        <v>-5.2</v>
      </c>
      <c r="F42" s="5">
        <f t="shared" si="5"/>
        <v>-5.0999999999999996</v>
      </c>
      <c r="G42" s="5">
        <f t="shared" si="5"/>
        <v>-5</v>
      </c>
      <c r="H42" s="5">
        <f t="shared" si="5"/>
        <v>0</v>
      </c>
    </row>
    <row r="43" spans="1:8" ht="15" x14ac:dyDescent="0.4">
      <c r="A43" s="6" t="s">
        <v>50</v>
      </c>
      <c r="C43" s="5">
        <f t="shared" ref="C43:H43" si="6">+C37+C42</f>
        <v>-5.2</v>
      </c>
      <c r="D43" s="5">
        <f t="shared" si="6"/>
        <v>-5.4</v>
      </c>
      <c r="E43" s="5">
        <f t="shared" si="6"/>
        <v>-5.2</v>
      </c>
      <c r="F43" s="5">
        <f t="shared" si="6"/>
        <v>-5.0999999999999996</v>
      </c>
      <c r="G43" s="5">
        <f t="shared" si="6"/>
        <v>-5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ht="15" x14ac:dyDescent="0.4">
      <c r="A45" s="6" t="s">
        <v>51</v>
      </c>
      <c r="C45" s="5">
        <f t="shared" ref="C45:H45" si="7">+C34+C43</f>
        <v>432.20000000000005</v>
      </c>
      <c r="D45" s="5">
        <f t="shared" si="7"/>
        <v>435.80000000000007</v>
      </c>
      <c r="E45" s="5">
        <f t="shared" si="7"/>
        <v>426.20000000000005</v>
      </c>
      <c r="F45" s="5">
        <f t="shared" si="7"/>
        <v>434.90000000000003</v>
      </c>
      <c r="G45" s="5">
        <f t="shared" si="7"/>
        <v>443.89999999999992</v>
      </c>
      <c r="H45" s="5">
        <f t="shared" si="7"/>
        <v>435.20000000000005</v>
      </c>
    </row>
    <row r="46" spans="1:8" ht="15" x14ac:dyDescent="0.4">
      <c r="A46" s="6"/>
      <c r="C46" s="5"/>
      <c r="D46" s="5"/>
      <c r="E46" s="5"/>
      <c r="F46" s="5"/>
      <c r="G46" s="5"/>
      <c r="H46" s="5"/>
    </row>
    <row r="47" spans="1:8" x14ac:dyDescent="0.25">
      <c r="A47" s="9" t="s">
        <v>37</v>
      </c>
      <c r="C47" s="3"/>
      <c r="D47" s="3"/>
      <c r="E47" s="3"/>
      <c r="F47" s="3"/>
      <c r="G47" s="3"/>
      <c r="H47" s="3"/>
    </row>
    <row r="48" spans="1:8" x14ac:dyDescent="0.25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6" t="s">
        <v>8</v>
      </c>
      <c r="C49" s="3"/>
      <c r="D49" s="3"/>
      <c r="E49" s="3"/>
      <c r="F49" s="3"/>
      <c r="G49" s="3"/>
      <c r="H49" s="3"/>
    </row>
    <row r="50" spans="1:8" x14ac:dyDescent="0.25">
      <c r="B50" t="s">
        <v>39</v>
      </c>
      <c r="C50" s="3">
        <f>-90.4+3.5</f>
        <v>-86.9</v>
      </c>
      <c r="D50" s="3">
        <f>-93.1+3.3</f>
        <v>-89.8</v>
      </c>
      <c r="E50" s="3">
        <f>-89.9+3.2</f>
        <v>-86.7</v>
      </c>
      <c r="F50" s="3">
        <f>-85.6+3.5</f>
        <v>-82.1</v>
      </c>
      <c r="G50" s="3">
        <f>-88.5+2.8</f>
        <v>-85.7</v>
      </c>
      <c r="H50" s="3">
        <v>0</v>
      </c>
    </row>
    <row r="51" spans="1:8" x14ac:dyDescent="0.25">
      <c r="B51" s="12" t="s">
        <v>117</v>
      </c>
      <c r="C51" s="3">
        <f>-3.4</f>
        <v>-3.4</v>
      </c>
      <c r="D51" s="3">
        <f>-4.2</f>
        <v>-4.2</v>
      </c>
      <c r="E51" s="3">
        <f>-4.6</f>
        <v>-4.5999999999999996</v>
      </c>
      <c r="F51" s="3">
        <f>-3</f>
        <v>-3</v>
      </c>
      <c r="G51" s="3">
        <f>-4.6</f>
        <v>-4.5999999999999996</v>
      </c>
      <c r="H51" s="3">
        <v>0</v>
      </c>
    </row>
    <row r="52" spans="1:8" x14ac:dyDescent="0.25">
      <c r="B52" t="s">
        <v>124</v>
      </c>
      <c r="C52" s="3">
        <f>-3.5</f>
        <v>-3.5</v>
      </c>
      <c r="D52" s="3">
        <f>-3.3</f>
        <v>-3.3</v>
      </c>
      <c r="E52" s="3">
        <f>-3.2</f>
        <v>-3.2</v>
      </c>
      <c r="F52" s="3">
        <f>-3.5</f>
        <v>-3.5</v>
      </c>
      <c r="G52" s="3">
        <f>-2.8</f>
        <v>-2.8</v>
      </c>
      <c r="H52" s="3">
        <v>0</v>
      </c>
    </row>
    <row r="53" spans="1:8" x14ac:dyDescent="0.25">
      <c r="B53" s="12" t="s">
        <v>115</v>
      </c>
      <c r="C53" s="3"/>
      <c r="D53" s="3"/>
      <c r="E53" s="3">
        <f>1.4+0.4</f>
        <v>1.7999999999999998</v>
      </c>
      <c r="F53" s="3"/>
      <c r="G53" s="3"/>
      <c r="H53" s="3"/>
    </row>
    <row r="54" spans="1:8" ht="15" x14ac:dyDescent="0.4">
      <c r="B54" s="12" t="s">
        <v>104</v>
      </c>
      <c r="C54" s="5">
        <v>0.2</v>
      </c>
      <c r="D54" s="5">
        <v>0.2</v>
      </c>
      <c r="E54" s="5">
        <v>0.4</v>
      </c>
      <c r="F54" s="5">
        <v>0.4</v>
      </c>
      <c r="G54" s="5">
        <f>-0.4</f>
        <v>-0.4</v>
      </c>
      <c r="H54" s="5">
        <v>0</v>
      </c>
    </row>
    <row r="55" spans="1:8" ht="15" x14ac:dyDescent="0.4">
      <c r="B55" s="6" t="s">
        <v>19</v>
      </c>
      <c r="C55" s="5">
        <f t="shared" ref="C55:H55" si="8">SUM(C50:C54)</f>
        <v>-93.600000000000009</v>
      </c>
      <c r="D55" s="5">
        <f t="shared" si="8"/>
        <v>-97.1</v>
      </c>
      <c r="E55" s="5">
        <f t="shared" si="8"/>
        <v>-92.3</v>
      </c>
      <c r="F55" s="5">
        <f t="shared" si="8"/>
        <v>-88.199999999999989</v>
      </c>
      <c r="G55" s="5">
        <f t="shared" si="8"/>
        <v>-93.5</v>
      </c>
      <c r="H55" s="5">
        <f t="shared" si="8"/>
        <v>0</v>
      </c>
    </row>
    <row r="56" spans="1:8" ht="15" x14ac:dyDescent="0.4">
      <c r="A56" s="6" t="s">
        <v>53</v>
      </c>
      <c r="C56" s="5">
        <f t="shared" ref="C56:H56" si="9">+C48+C55</f>
        <v>-93.600000000000009</v>
      </c>
      <c r="D56" s="5">
        <f t="shared" si="9"/>
        <v>-97.1</v>
      </c>
      <c r="E56" s="5">
        <f t="shared" si="9"/>
        <v>-92.3</v>
      </c>
      <c r="F56" s="5">
        <f t="shared" si="9"/>
        <v>-88.199999999999989</v>
      </c>
      <c r="G56" s="5">
        <f t="shared" si="9"/>
        <v>-93.5</v>
      </c>
      <c r="H56" s="5">
        <f t="shared" si="9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40</v>
      </c>
      <c r="C59" s="3">
        <v>0</v>
      </c>
      <c r="D59" s="3">
        <v>0</v>
      </c>
      <c r="E59" s="3">
        <v>2</v>
      </c>
      <c r="F59" s="3">
        <v>14.7</v>
      </c>
      <c r="G59" s="3">
        <v>0</v>
      </c>
      <c r="H59" s="3">
        <v>0</v>
      </c>
    </row>
    <row r="60" spans="1:8" x14ac:dyDescent="0.25">
      <c r="A60" s="6" t="s">
        <v>8</v>
      </c>
      <c r="C60" s="3"/>
      <c r="D60" s="3"/>
      <c r="E60" s="3"/>
      <c r="F60" s="3"/>
      <c r="G60" s="3"/>
      <c r="H60" s="3"/>
    </row>
    <row r="61" spans="1:8" x14ac:dyDescent="0.25">
      <c r="B61" t="s">
        <v>59</v>
      </c>
      <c r="C61" s="3">
        <f>-1.5-4.338</f>
        <v>-5.8380000000000001</v>
      </c>
      <c r="D61" s="3">
        <f>-1.5-4.1</f>
        <v>-5.6</v>
      </c>
      <c r="E61" s="3">
        <f>-1.6-3.7</f>
        <v>-5.3000000000000007</v>
      </c>
      <c r="F61" s="3">
        <f>-1.5-1.5</f>
        <v>-3</v>
      </c>
      <c r="G61" s="3">
        <f>-1.5-1.6</f>
        <v>-3.1</v>
      </c>
      <c r="H61" s="3">
        <v>0</v>
      </c>
    </row>
    <row r="62" spans="1:8" x14ac:dyDescent="0.25"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5">
      <c r="B64" t="s">
        <v>114</v>
      </c>
      <c r="C64" s="3"/>
      <c r="D64" s="3"/>
      <c r="E64" s="3">
        <v>2</v>
      </c>
      <c r="F64" s="3"/>
      <c r="G64" s="3"/>
      <c r="H64" s="3"/>
    </row>
    <row r="65" spans="1:8" x14ac:dyDescent="0.25">
      <c r="B65" t="s">
        <v>112</v>
      </c>
      <c r="C65" s="3">
        <v>0.3</v>
      </c>
      <c r="D65" s="3">
        <v>0.4</v>
      </c>
      <c r="E65" s="3">
        <v>0.4</v>
      </c>
      <c r="F65" s="3">
        <f>0</f>
        <v>0</v>
      </c>
      <c r="G65" s="3"/>
      <c r="H65" s="3"/>
    </row>
    <row r="66" spans="1:8" ht="15" x14ac:dyDescent="0.4">
      <c r="B66" s="12" t="s">
        <v>104</v>
      </c>
      <c r="C66" s="5">
        <f>-1.7+2.5</f>
        <v>0.8</v>
      </c>
      <c r="D66" s="5">
        <f>-4.4</f>
        <v>-4.4000000000000004</v>
      </c>
      <c r="E66" s="5">
        <f>-4.6</f>
        <v>-4.5999999999999996</v>
      </c>
      <c r="F66" s="5">
        <f>-5.5</f>
        <v>-5.5</v>
      </c>
      <c r="G66" s="5">
        <f>-4.8</f>
        <v>-4.8</v>
      </c>
      <c r="H66" s="5">
        <v>0</v>
      </c>
    </row>
    <row r="67" spans="1:8" ht="15" x14ac:dyDescent="0.4">
      <c r="B67" s="6" t="s">
        <v>19</v>
      </c>
      <c r="C67" s="5">
        <f t="shared" ref="C67:H67" si="10">SUM(C61:C66)</f>
        <v>-4.7380000000000004</v>
      </c>
      <c r="D67" s="5">
        <f t="shared" si="10"/>
        <v>-9.6</v>
      </c>
      <c r="E67" s="5">
        <f t="shared" si="10"/>
        <v>-7.5</v>
      </c>
      <c r="F67" s="5">
        <f t="shared" si="10"/>
        <v>-8.5</v>
      </c>
      <c r="G67" s="5">
        <f t="shared" si="10"/>
        <v>-7.9</v>
      </c>
      <c r="H67" s="5">
        <f t="shared" si="10"/>
        <v>0</v>
      </c>
    </row>
    <row r="68" spans="1:8" ht="15" x14ac:dyDescent="0.4">
      <c r="A68" s="6" t="s">
        <v>62</v>
      </c>
      <c r="C68" s="5">
        <f t="shared" ref="C68:H68" si="11">+C59+C67</f>
        <v>-4.7380000000000004</v>
      </c>
      <c r="D68" s="5">
        <f t="shared" si="11"/>
        <v>-9.6</v>
      </c>
      <c r="E68" s="5">
        <f t="shared" si="11"/>
        <v>-5.5</v>
      </c>
      <c r="F68" s="5">
        <f t="shared" si="11"/>
        <v>6.1999999999999993</v>
      </c>
      <c r="G68" s="5">
        <f t="shared" si="11"/>
        <v>-7.9</v>
      </c>
      <c r="H68" s="5">
        <f t="shared" si="11"/>
        <v>0</v>
      </c>
    </row>
    <row r="69" spans="1:8" x14ac:dyDescent="0.25">
      <c r="C69" s="3"/>
      <c r="D69" s="3"/>
      <c r="E69" s="3"/>
      <c r="F69" s="3"/>
      <c r="G69" s="3"/>
      <c r="H69" s="3"/>
    </row>
    <row r="70" spans="1:8" x14ac:dyDescent="0.25">
      <c r="A70" s="9" t="s">
        <v>54</v>
      </c>
      <c r="C70" s="3"/>
      <c r="D70" s="3"/>
      <c r="E70" s="3"/>
      <c r="F70" s="3"/>
      <c r="G70" s="3"/>
      <c r="H70" s="3"/>
    </row>
    <row r="71" spans="1:8" x14ac:dyDescent="0.25">
      <c r="A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5">
      <c r="A72" s="6" t="s">
        <v>8</v>
      </c>
      <c r="C72" s="3"/>
      <c r="D72" s="3"/>
      <c r="E72" s="3"/>
      <c r="F72" s="3"/>
      <c r="G72" s="3"/>
      <c r="H72" s="3"/>
    </row>
    <row r="73" spans="1:8" x14ac:dyDescent="0.25">
      <c r="B73" t="s">
        <v>59</v>
      </c>
      <c r="C73" s="3">
        <f>-6.1</f>
        <v>-6.1</v>
      </c>
      <c r="D73" s="3">
        <f>-5.4</f>
        <v>-5.4</v>
      </c>
      <c r="E73" s="3">
        <f>-6.1</f>
        <v>-6.1</v>
      </c>
      <c r="F73" s="3">
        <f>-5.7-3.8</f>
        <v>-9.5</v>
      </c>
      <c r="G73" s="3">
        <f>-10.2-2.4</f>
        <v>-12.6</v>
      </c>
      <c r="H73" s="3">
        <v>0</v>
      </c>
    </row>
    <row r="74" spans="1:8" x14ac:dyDescent="0.25">
      <c r="B74" t="s">
        <v>58</v>
      </c>
      <c r="C74" s="3">
        <v>0</v>
      </c>
      <c r="D74" s="3">
        <v>0</v>
      </c>
      <c r="E74" s="3">
        <v>0</v>
      </c>
      <c r="F74" s="3">
        <v>0</v>
      </c>
      <c r="G74" s="3">
        <f>0</f>
        <v>0</v>
      </c>
      <c r="H74" s="3">
        <v>0</v>
      </c>
    </row>
    <row r="75" spans="1:8" x14ac:dyDescent="0.25">
      <c r="B75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 ht="15" x14ac:dyDescent="0.4">
      <c r="B76" t="s">
        <v>45</v>
      </c>
      <c r="C76" s="5">
        <v>0</v>
      </c>
      <c r="D76" s="5">
        <v>0</v>
      </c>
      <c r="E76" s="5">
        <f>-2-1.4</f>
        <v>-3.4</v>
      </c>
      <c r="F76" s="5">
        <v>0</v>
      </c>
      <c r="G76" s="5">
        <v>0</v>
      </c>
      <c r="H76" s="5">
        <v>0</v>
      </c>
    </row>
    <row r="77" spans="1:8" ht="15" x14ac:dyDescent="0.4">
      <c r="B77" s="6" t="s">
        <v>19</v>
      </c>
      <c r="C77" s="5">
        <f t="shared" ref="C77:H77" si="12">SUM(C73:C76)</f>
        <v>-6.1</v>
      </c>
      <c r="D77" s="5">
        <f t="shared" si="12"/>
        <v>-5.4</v>
      </c>
      <c r="E77" s="5">
        <f t="shared" si="12"/>
        <v>-9.5</v>
      </c>
      <c r="F77" s="5">
        <f t="shared" si="12"/>
        <v>-9.5</v>
      </c>
      <c r="G77" s="5">
        <f t="shared" si="12"/>
        <v>-12.6</v>
      </c>
      <c r="H77" s="5">
        <f t="shared" si="12"/>
        <v>0</v>
      </c>
    </row>
    <row r="78" spans="1:8" ht="15" x14ac:dyDescent="0.4">
      <c r="A78" s="6" t="s">
        <v>55</v>
      </c>
      <c r="C78" s="5">
        <f t="shared" ref="C78:H78" si="13">+C71+C77</f>
        <v>-6.1</v>
      </c>
      <c r="D78" s="5">
        <f t="shared" si="13"/>
        <v>-5.4</v>
      </c>
      <c r="E78" s="5">
        <f t="shared" si="13"/>
        <v>-9.5</v>
      </c>
      <c r="F78" s="5">
        <f t="shared" si="13"/>
        <v>-9.5</v>
      </c>
      <c r="G78" s="5">
        <f t="shared" si="13"/>
        <v>-12.6</v>
      </c>
      <c r="H78" s="5">
        <f t="shared" si="13"/>
        <v>0</v>
      </c>
    </row>
    <row r="79" spans="1:8" x14ac:dyDescent="0.25">
      <c r="C79" s="3"/>
      <c r="D79" s="3"/>
      <c r="E79" s="3"/>
      <c r="F79" s="3"/>
      <c r="G79" s="3"/>
      <c r="H79" s="3"/>
    </row>
    <row r="80" spans="1:8" x14ac:dyDescent="0.25">
      <c r="A80" s="9" t="s">
        <v>56</v>
      </c>
      <c r="C80" s="3"/>
      <c r="D80" s="3"/>
      <c r="E80" s="3"/>
      <c r="F80" s="3"/>
      <c r="G80" s="3"/>
      <c r="H80" s="3"/>
    </row>
    <row r="81" spans="1:8" x14ac:dyDescent="0.25">
      <c r="A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5">
      <c r="A82" s="6" t="s">
        <v>8</v>
      </c>
      <c r="C82" s="3"/>
      <c r="D82" s="3"/>
      <c r="E82" s="3"/>
      <c r="F82" s="3"/>
      <c r="G82" s="3"/>
      <c r="H82" s="3"/>
    </row>
    <row r="83" spans="1:8" x14ac:dyDescent="0.25">
      <c r="B83" t="s">
        <v>59</v>
      </c>
      <c r="C83" s="3">
        <f>-2.3</f>
        <v>-2.2999999999999998</v>
      </c>
      <c r="D83" s="3">
        <f>-2.9</f>
        <v>-2.9</v>
      </c>
      <c r="E83" s="3">
        <f>-2</f>
        <v>-2</v>
      </c>
      <c r="F83" s="3">
        <f>-2.2</f>
        <v>-2.2000000000000002</v>
      </c>
      <c r="G83" s="3">
        <f>-1.4</f>
        <v>-1.4</v>
      </c>
      <c r="H83" s="3">
        <v>0</v>
      </c>
    </row>
    <row r="84" spans="1:8" x14ac:dyDescent="0.25">
      <c r="B84" t="s">
        <v>58</v>
      </c>
      <c r="C84" s="3">
        <f>-0.4</f>
        <v>-0.4</v>
      </c>
      <c r="D84" s="3">
        <f>-0.5</f>
        <v>-0.5</v>
      </c>
      <c r="E84" s="3">
        <f>-0.5</f>
        <v>-0.5</v>
      </c>
      <c r="F84" s="3">
        <f>-0.5</f>
        <v>-0.5</v>
      </c>
      <c r="G84" s="3">
        <f>-0.6</f>
        <v>-0.6</v>
      </c>
      <c r="H84" s="3">
        <v>0</v>
      </c>
    </row>
    <row r="85" spans="1:8" x14ac:dyDescent="0.25">
      <c r="B85" t="s">
        <v>44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ht="15" x14ac:dyDescent="0.4">
      <c r="B86" s="12" t="s">
        <v>111</v>
      </c>
      <c r="C86" s="5">
        <f>0.3</f>
        <v>0.3</v>
      </c>
      <c r="D86" s="5">
        <f>0.4</f>
        <v>0.4</v>
      </c>
      <c r="E86" s="5">
        <f>0.4</f>
        <v>0.4</v>
      </c>
      <c r="F86" s="5">
        <f>0.1</f>
        <v>0.1</v>
      </c>
      <c r="G86" s="5">
        <v>0</v>
      </c>
      <c r="H86" s="5">
        <v>0</v>
      </c>
    </row>
    <row r="87" spans="1:8" ht="15" x14ac:dyDescent="0.4">
      <c r="B87" s="6" t="s">
        <v>19</v>
      </c>
      <c r="C87" s="5">
        <f t="shared" ref="C87:H87" si="14">SUM(C83:C86)</f>
        <v>-2.4</v>
      </c>
      <c r="D87" s="5">
        <f t="shared" si="14"/>
        <v>-3</v>
      </c>
      <c r="E87" s="5">
        <f t="shared" si="14"/>
        <v>-2.1</v>
      </c>
      <c r="F87" s="5">
        <f t="shared" si="14"/>
        <v>-2.6</v>
      </c>
      <c r="G87" s="5">
        <f t="shared" si="14"/>
        <v>-2</v>
      </c>
      <c r="H87" s="5">
        <f t="shared" si="14"/>
        <v>0</v>
      </c>
    </row>
    <row r="88" spans="1:8" ht="15" x14ac:dyDescent="0.4">
      <c r="A88" s="6" t="s">
        <v>57</v>
      </c>
      <c r="C88" s="5">
        <f t="shared" ref="C88:H88" si="15">+C81+C87</f>
        <v>-2.4</v>
      </c>
      <c r="D88" s="5">
        <f t="shared" si="15"/>
        <v>-3</v>
      </c>
      <c r="E88" s="5">
        <f t="shared" si="15"/>
        <v>-2.1</v>
      </c>
      <c r="F88" s="5">
        <f t="shared" si="15"/>
        <v>-2.6</v>
      </c>
      <c r="G88" s="5">
        <f t="shared" si="15"/>
        <v>-2</v>
      </c>
      <c r="H88" s="5">
        <f t="shared" si="15"/>
        <v>0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A90" s="9" t="s">
        <v>60</v>
      </c>
      <c r="C90" s="3"/>
      <c r="D90" s="3"/>
      <c r="E90" s="3"/>
      <c r="F90" s="3"/>
      <c r="G90" s="3"/>
      <c r="H90" s="3"/>
    </row>
    <row r="91" spans="1:8" x14ac:dyDescent="0.25">
      <c r="A91" s="6" t="s">
        <v>40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5">
      <c r="A92" s="6" t="s">
        <v>8</v>
      </c>
      <c r="C92" s="3"/>
      <c r="D92" s="3"/>
      <c r="E92" s="3"/>
      <c r="F92" s="3"/>
      <c r="G92" s="3"/>
      <c r="H92" s="3"/>
    </row>
    <row r="93" spans="1:8" x14ac:dyDescent="0.25">
      <c r="B93" t="s">
        <v>59</v>
      </c>
      <c r="C93" s="3">
        <f>-1.5</f>
        <v>-1.5</v>
      </c>
      <c r="D93" s="3">
        <f>-1.5</f>
        <v>-1.5</v>
      </c>
      <c r="E93" s="3">
        <f>-2</f>
        <v>-2</v>
      </c>
      <c r="F93" s="3">
        <f>-1.1</f>
        <v>-1.1000000000000001</v>
      </c>
      <c r="G93" s="3">
        <f>-1.5</f>
        <v>-1.5</v>
      </c>
      <c r="H93" s="3">
        <v>0</v>
      </c>
    </row>
    <row r="94" spans="1:8" x14ac:dyDescent="0.25">
      <c r="B94" t="s">
        <v>58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5">
      <c r="B95" t="s">
        <v>99</v>
      </c>
      <c r="C95" s="3">
        <f>-0.4</f>
        <v>-0.4</v>
      </c>
      <c r="D95" s="3">
        <f>-0.4</f>
        <v>-0.4</v>
      </c>
      <c r="E95" s="3">
        <f>-0.4</f>
        <v>-0.4</v>
      </c>
      <c r="F95" s="3">
        <f>-0.5</f>
        <v>-0.5</v>
      </c>
      <c r="G95" s="3">
        <f>0</f>
        <v>0</v>
      </c>
      <c r="H95" s="3">
        <v>0</v>
      </c>
    </row>
    <row r="96" spans="1:8" x14ac:dyDescent="0.25">
      <c r="B96" t="s">
        <v>112</v>
      </c>
      <c r="C96" s="3">
        <v>0.4</v>
      </c>
      <c r="D96" s="3">
        <v>0.5</v>
      </c>
      <c r="E96" s="3">
        <v>0.4</v>
      </c>
      <c r="F96" s="3">
        <v>0.1</v>
      </c>
      <c r="G96" s="3"/>
      <c r="H96" s="3"/>
    </row>
    <row r="97" spans="1:8" ht="15" x14ac:dyDescent="0.4">
      <c r="B97" s="12" t="s">
        <v>104</v>
      </c>
      <c r="C97" s="5">
        <v>0.3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</row>
    <row r="98" spans="1:8" ht="15" x14ac:dyDescent="0.4">
      <c r="B98" s="6" t="s">
        <v>19</v>
      </c>
      <c r="C98" s="5">
        <f t="shared" ref="C98:H98" si="16">SUM(C93:C97)</f>
        <v>-1.2</v>
      </c>
      <c r="D98" s="5">
        <f t="shared" si="16"/>
        <v>-1.4</v>
      </c>
      <c r="E98" s="5">
        <f t="shared" si="16"/>
        <v>-2</v>
      </c>
      <c r="F98" s="5">
        <f t="shared" si="16"/>
        <v>-1.5</v>
      </c>
      <c r="G98" s="5">
        <f t="shared" si="16"/>
        <v>-1.5</v>
      </c>
      <c r="H98" s="5">
        <f t="shared" si="16"/>
        <v>0</v>
      </c>
    </row>
    <row r="99" spans="1:8" ht="15" x14ac:dyDescent="0.4">
      <c r="A99" s="6" t="s">
        <v>61</v>
      </c>
      <c r="C99" s="5">
        <f t="shared" ref="C99:H99" si="17">+C91+C98</f>
        <v>-1.2</v>
      </c>
      <c r="D99" s="5">
        <f t="shared" si="17"/>
        <v>-1.4</v>
      </c>
      <c r="E99" s="5">
        <f t="shared" si="17"/>
        <v>-2</v>
      </c>
      <c r="F99" s="5">
        <f t="shared" si="17"/>
        <v>-1.5</v>
      </c>
      <c r="G99" s="5">
        <f t="shared" si="17"/>
        <v>-1.5</v>
      </c>
      <c r="H99" s="5">
        <f t="shared" si="17"/>
        <v>0</v>
      </c>
    </row>
    <row r="100" spans="1:8" x14ac:dyDescent="0.25">
      <c r="C100" s="3"/>
      <c r="D100" s="3"/>
      <c r="E100" s="3"/>
      <c r="F100" s="3"/>
      <c r="G100" s="3"/>
      <c r="H100" s="3"/>
    </row>
    <row r="101" spans="1:8" x14ac:dyDescent="0.25">
      <c r="A101" s="9" t="s">
        <v>63</v>
      </c>
      <c r="C101" s="3"/>
      <c r="D101" s="3"/>
      <c r="E101" s="3"/>
      <c r="F101" s="3"/>
      <c r="G101" s="3"/>
      <c r="H101" s="3"/>
    </row>
    <row r="102" spans="1:8" x14ac:dyDescent="0.25">
      <c r="A102" s="6" t="s">
        <v>40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6" t="s">
        <v>8</v>
      </c>
      <c r="C103" s="3"/>
      <c r="D103" s="3"/>
      <c r="E103" s="3"/>
      <c r="F103" s="3"/>
      <c r="G103" s="3"/>
      <c r="H103" s="3"/>
    </row>
    <row r="104" spans="1:8" x14ac:dyDescent="0.25">
      <c r="B104" t="s">
        <v>59</v>
      </c>
      <c r="C104" s="3">
        <f>-1.2</f>
        <v>-1.2</v>
      </c>
      <c r="D104" s="3">
        <f>-1</f>
        <v>-1</v>
      </c>
      <c r="E104" s="3">
        <f>-0.6</f>
        <v>-0.6</v>
      </c>
      <c r="F104" s="3">
        <f>-1.7</f>
        <v>-1.7</v>
      </c>
      <c r="G104" s="3">
        <f>-1.2</f>
        <v>-1.2</v>
      </c>
      <c r="H104" s="3">
        <v>0</v>
      </c>
    </row>
    <row r="105" spans="1:8" x14ac:dyDescent="0.25">
      <c r="B105" t="s">
        <v>100</v>
      </c>
      <c r="C105" s="3">
        <f>-0.3</f>
        <v>-0.3</v>
      </c>
      <c r="D105" s="3">
        <f>-0.2</f>
        <v>-0.2</v>
      </c>
      <c r="E105" s="3">
        <f>-0.1</f>
        <v>-0.1</v>
      </c>
      <c r="F105" s="3">
        <f>-0.2</f>
        <v>-0.2</v>
      </c>
      <c r="G105" s="3">
        <f>-0.1</f>
        <v>-0.1</v>
      </c>
      <c r="H105" s="3">
        <v>0</v>
      </c>
    </row>
    <row r="106" spans="1:8" x14ac:dyDescent="0.25">
      <c r="B106" s="12" t="s">
        <v>113</v>
      </c>
      <c r="C106" s="3">
        <f>-0.4-0.3-0.3-0.4</f>
        <v>-1.4</v>
      </c>
      <c r="D106" s="3">
        <f>-1.3-0.4-0.4-0.5</f>
        <v>-2.6</v>
      </c>
      <c r="E106" s="3">
        <f>-0.9-0.4-0.4-0.4</f>
        <v>-2.1</v>
      </c>
      <c r="F106" s="3">
        <f>-2.6-0.1</f>
        <v>-2.7</v>
      </c>
      <c r="G106" s="3">
        <f>-2.1</f>
        <v>-2.1</v>
      </c>
      <c r="H106" s="3">
        <v>0</v>
      </c>
    </row>
    <row r="107" spans="1:8" x14ac:dyDescent="0.25">
      <c r="B107" t="s">
        <v>101</v>
      </c>
      <c r="C107" s="3">
        <f>0</f>
        <v>0</v>
      </c>
      <c r="D107" s="3">
        <f>0</f>
        <v>0</v>
      </c>
      <c r="E107" s="3">
        <f>0</f>
        <v>0</v>
      </c>
      <c r="F107" s="3">
        <f>0</f>
        <v>0</v>
      </c>
      <c r="G107" s="3">
        <f>-2.9</f>
        <v>-2.9</v>
      </c>
      <c r="H107" s="3">
        <v>0</v>
      </c>
    </row>
    <row r="108" spans="1:8" x14ac:dyDescent="0.25">
      <c r="B108" t="s">
        <v>116</v>
      </c>
      <c r="C108" s="3">
        <f>0</f>
        <v>0</v>
      </c>
      <c r="D108" s="3">
        <f>0</f>
        <v>0</v>
      </c>
      <c r="E108" s="3">
        <f>-0.4</f>
        <v>-0.4</v>
      </c>
      <c r="F108" s="3">
        <f>0</f>
        <v>0</v>
      </c>
      <c r="G108" s="3">
        <f>0</f>
        <v>0</v>
      </c>
      <c r="H108" s="3"/>
    </row>
    <row r="109" spans="1:8" ht="15" x14ac:dyDescent="0.4">
      <c r="B109" s="12" t="s">
        <v>109</v>
      </c>
      <c r="C109" s="5">
        <f>-4+4-0.3</f>
        <v>-0.3</v>
      </c>
      <c r="D109" s="5">
        <f>-0.8+0.8-0.3</f>
        <v>-0.3</v>
      </c>
      <c r="E109" s="5">
        <f>-0.3</f>
        <v>-0.3</v>
      </c>
      <c r="F109" s="5">
        <f>-0.2</f>
        <v>-0.2</v>
      </c>
      <c r="G109" s="5">
        <f>-0.1</f>
        <v>-0.1</v>
      </c>
      <c r="H109" s="5">
        <v>0</v>
      </c>
    </row>
    <row r="110" spans="1:8" ht="15" x14ac:dyDescent="0.4">
      <c r="B110" s="6" t="s">
        <v>19</v>
      </c>
      <c r="C110" s="5">
        <f t="shared" ref="C110:H110" si="18">SUM(C104:C109)</f>
        <v>-3.1999999999999997</v>
      </c>
      <c r="D110" s="5">
        <f t="shared" si="18"/>
        <v>-4.0999999999999996</v>
      </c>
      <c r="E110" s="5">
        <f t="shared" si="18"/>
        <v>-3.4999999999999996</v>
      </c>
      <c r="F110" s="5">
        <f t="shared" si="18"/>
        <v>-4.8</v>
      </c>
      <c r="G110" s="5">
        <f t="shared" si="18"/>
        <v>-6.4</v>
      </c>
      <c r="H110" s="5">
        <f t="shared" si="18"/>
        <v>0</v>
      </c>
    </row>
    <row r="111" spans="1:8" ht="15" x14ac:dyDescent="0.4">
      <c r="A111" s="6" t="s">
        <v>64</v>
      </c>
      <c r="C111" s="5">
        <f t="shared" ref="C111:H111" si="19">+C102+C110</f>
        <v>-3.1999999999999997</v>
      </c>
      <c r="D111" s="5">
        <f t="shared" si="19"/>
        <v>-4.0999999999999996</v>
      </c>
      <c r="E111" s="5">
        <f t="shared" si="19"/>
        <v>-3.4999999999999996</v>
      </c>
      <c r="F111" s="5">
        <f t="shared" si="19"/>
        <v>-4.8</v>
      </c>
      <c r="G111" s="5">
        <f t="shared" si="19"/>
        <v>-6.4</v>
      </c>
      <c r="H111" s="5">
        <f t="shared" si="19"/>
        <v>0</v>
      </c>
    </row>
    <row r="112" spans="1:8" x14ac:dyDescent="0.25">
      <c r="C112" s="3"/>
      <c r="D112" s="3"/>
      <c r="E112" s="3"/>
      <c r="F112" s="3"/>
      <c r="G112" s="3"/>
      <c r="H112" s="3"/>
    </row>
    <row r="113" spans="1:8" ht="15" x14ac:dyDescent="0.4">
      <c r="A113" s="6" t="s">
        <v>65</v>
      </c>
      <c r="C113" s="5">
        <f t="shared" ref="C113:H113" si="20">+C45+C56+C68+C78+C88+C99+C111</f>
        <v>320.96200000000005</v>
      </c>
      <c r="D113" s="5">
        <f t="shared" si="20"/>
        <v>315.20000000000005</v>
      </c>
      <c r="E113" s="5">
        <f t="shared" si="20"/>
        <v>311.3</v>
      </c>
      <c r="F113" s="5">
        <f t="shared" si="20"/>
        <v>334.5</v>
      </c>
      <c r="G113" s="5">
        <f t="shared" si="20"/>
        <v>319.99999999999994</v>
      </c>
      <c r="H113" s="5">
        <f t="shared" si="20"/>
        <v>435.20000000000005</v>
      </c>
    </row>
    <row r="114" spans="1:8" x14ac:dyDescent="0.25">
      <c r="C114" s="3"/>
      <c r="D114" s="3"/>
      <c r="E114" s="3"/>
      <c r="F114" s="3"/>
      <c r="G114" s="3"/>
      <c r="H114" s="3"/>
    </row>
    <row r="115" spans="1:8" x14ac:dyDescent="0.25">
      <c r="A115" s="6" t="s">
        <v>66</v>
      </c>
      <c r="C115" s="3"/>
      <c r="D115" s="3"/>
      <c r="E115" s="3"/>
      <c r="F115" s="3"/>
      <c r="G115" s="3"/>
      <c r="H115" s="3"/>
    </row>
    <row r="116" spans="1:8" x14ac:dyDescent="0.25">
      <c r="B116" t="s">
        <v>67</v>
      </c>
      <c r="C116" s="3"/>
      <c r="D116" s="3"/>
      <c r="E116" s="3"/>
      <c r="F116" s="3"/>
      <c r="G116" s="3"/>
      <c r="H116" s="3"/>
    </row>
    <row r="117" spans="1:8" x14ac:dyDescent="0.25">
      <c r="B117" t="s">
        <v>68</v>
      </c>
      <c r="C117" s="3">
        <f>-7.6</f>
        <v>-7.6</v>
      </c>
      <c r="D117" s="3">
        <f>-6.4</f>
        <v>-6.4</v>
      </c>
      <c r="E117" s="3">
        <f>-6.4</f>
        <v>-6.4</v>
      </c>
      <c r="F117" s="3">
        <f>-6.4</f>
        <v>-6.4</v>
      </c>
      <c r="G117" s="3">
        <f>-6.4</f>
        <v>-6.4</v>
      </c>
      <c r="H117" s="3">
        <v>0</v>
      </c>
    </row>
    <row r="118" spans="1:8" x14ac:dyDescent="0.25">
      <c r="B118" t="s">
        <v>69</v>
      </c>
      <c r="C118" s="11">
        <f>(0.1+0.4+3.8+6+1.2+1.5)*-1</f>
        <v>-13</v>
      </c>
      <c r="D118" s="11">
        <f>(5.3+0.4+5.4+0.1+1.7+0.5+0.8)*-1</f>
        <v>-14.200000000000001</v>
      </c>
      <c r="E118" s="11">
        <f>(5.8+0.4+7.4+0.1+1.5+0.3+0.1)*-1</f>
        <v>-15.600000000000001</v>
      </c>
      <c r="F118" s="11">
        <f>(0.2+0.4+15.6+0.1+1.2-1.1)*-1</f>
        <v>-16.399999999999999</v>
      </c>
      <c r="G118" s="11">
        <f>(0.3+0.4+14.3+0.1+1.5+0.3)*-1</f>
        <v>-16.900000000000002</v>
      </c>
      <c r="H118" s="11">
        <v>0</v>
      </c>
    </row>
    <row r="119" spans="1:8" ht="15" x14ac:dyDescent="0.4">
      <c r="B119" t="s">
        <v>102</v>
      </c>
      <c r="C119" s="11">
        <f>-2.5</f>
        <v>-2.5</v>
      </c>
      <c r="D119" s="11">
        <f>-1.9</f>
        <v>-1.9</v>
      </c>
      <c r="E119" s="11">
        <f>-1.9</f>
        <v>-1.9</v>
      </c>
      <c r="F119" s="11">
        <f>-1.5</f>
        <v>-1.5</v>
      </c>
      <c r="G119" s="11">
        <f>-1.9</f>
        <v>-1.9</v>
      </c>
      <c r="H119" s="5"/>
    </row>
    <row r="120" spans="1:8" ht="15" x14ac:dyDescent="0.4">
      <c r="B120" t="s">
        <v>103</v>
      </c>
      <c r="C120" s="11">
        <f>-3.2+1.1</f>
        <v>-2.1</v>
      </c>
      <c r="D120" s="11">
        <f>-2.4</f>
        <v>-2.4</v>
      </c>
      <c r="E120" s="11">
        <f>-2.3</f>
        <v>-2.2999999999999998</v>
      </c>
      <c r="F120" s="11">
        <f>-2.2</f>
        <v>-2.2000000000000002</v>
      </c>
      <c r="G120" s="11">
        <f>-2.3</f>
        <v>-2.2999999999999998</v>
      </c>
      <c r="H120" s="5"/>
    </row>
    <row r="121" spans="1:8" ht="15" x14ac:dyDescent="0.4">
      <c r="B121" t="s">
        <v>100</v>
      </c>
      <c r="C121" s="11">
        <f>-1.1</f>
        <v>-1.1000000000000001</v>
      </c>
      <c r="D121" s="11">
        <f>-1.5</f>
        <v>-1.5</v>
      </c>
      <c r="E121" s="11">
        <f>-1.7</f>
        <v>-1.7</v>
      </c>
      <c r="F121" s="11">
        <f>-1.7</f>
        <v>-1.7</v>
      </c>
      <c r="G121" s="11">
        <f>-1.7</f>
        <v>-1.7</v>
      </c>
      <c r="H121" s="5"/>
    </row>
    <row r="122" spans="1:8" ht="15" x14ac:dyDescent="0.4">
      <c r="B122" t="s">
        <v>105</v>
      </c>
      <c r="C122" s="11">
        <f>8+1.7</f>
        <v>9.6999999999999993</v>
      </c>
      <c r="D122" s="11"/>
      <c r="E122" s="5"/>
      <c r="F122" s="11"/>
      <c r="G122" s="11"/>
      <c r="H122" s="5"/>
    </row>
    <row r="123" spans="1:8" x14ac:dyDescent="0.25">
      <c r="B123" t="s">
        <v>80</v>
      </c>
      <c r="C123" s="3">
        <f>SUM(C117:C122)</f>
        <v>-16.600000000000005</v>
      </c>
      <c r="D123" s="3">
        <f>SUM(D117:D122)</f>
        <v>-26.4</v>
      </c>
      <c r="E123" s="3">
        <f>SUM(E117:E122)</f>
        <v>-27.9</v>
      </c>
      <c r="F123" s="3">
        <f>SUM(F117:F122)</f>
        <v>-28.199999999999996</v>
      </c>
      <c r="G123" s="3">
        <f>SUM(G117:G122)</f>
        <v>-29.200000000000003</v>
      </c>
      <c r="H123" s="3">
        <f>SUM(H117:H118)</f>
        <v>0</v>
      </c>
    </row>
    <row r="124" spans="1:8" x14ac:dyDescent="0.25">
      <c r="B124" t="s">
        <v>75</v>
      </c>
      <c r="C124" s="3">
        <v>-48.9</v>
      </c>
      <c r="D124" s="3">
        <v>-47.2</v>
      </c>
      <c r="E124" s="3">
        <v>-45.4</v>
      </c>
      <c r="F124" s="3">
        <v>-47.8</v>
      </c>
      <c r="G124" s="3">
        <v>-49.6</v>
      </c>
      <c r="H124" s="3">
        <v>0</v>
      </c>
    </row>
    <row r="125" spans="1:8" x14ac:dyDescent="0.25">
      <c r="B125" t="s">
        <v>106</v>
      </c>
      <c r="C125" s="3">
        <f>-2.5</f>
        <v>-2.5</v>
      </c>
      <c r="D125" s="3">
        <f>-2.5</f>
        <v>-2.5</v>
      </c>
      <c r="E125" s="3">
        <f>-2.5</f>
        <v>-2.5</v>
      </c>
      <c r="F125" s="3">
        <f>-2.3</f>
        <v>-2.2999999999999998</v>
      </c>
      <c r="G125" s="3">
        <f>-2.6</f>
        <v>-2.6</v>
      </c>
      <c r="H125" s="3"/>
    </row>
    <row r="126" spans="1:8" x14ac:dyDescent="0.25">
      <c r="B126" t="s">
        <v>107</v>
      </c>
      <c r="C126" s="3"/>
      <c r="D126" s="3"/>
      <c r="E126" s="3">
        <v>2</v>
      </c>
      <c r="F126" s="3"/>
      <c r="G126" s="3"/>
      <c r="H126" s="3"/>
    </row>
    <row r="127" spans="1:8" x14ac:dyDescent="0.25">
      <c r="B127" t="s">
        <v>76</v>
      </c>
      <c r="C127" s="3"/>
      <c r="D127" s="3"/>
      <c r="E127" s="3"/>
      <c r="F127" s="3"/>
      <c r="G127" s="3"/>
      <c r="H127" s="3"/>
    </row>
    <row r="128" spans="1:8" x14ac:dyDescent="0.25">
      <c r="B128" t="s">
        <v>77</v>
      </c>
      <c r="C128" s="3">
        <v>-27.3</v>
      </c>
      <c r="D128" s="3">
        <v>-27.9</v>
      </c>
      <c r="E128" s="3">
        <v>-26.9</v>
      </c>
      <c r="F128" s="3">
        <v>-27.4</v>
      </c>
      <c r="G128" s="3">
        <v>-28.3</v>
      </c>
      <c r="H128" s="3">
        <v>0</v>
      </c>
    </row>
    <row r="129" spans="1:8" ht="15" x14ac:dyDescent="0.4">
      <c r="B129" t="s">
        <v>78</v>
      </c>
      <c r="C129" s="5">
        <v>-4.5999999999999996</v>
      </c>
      <c r="D129" s="5">
        <v>-5.3</v>
      </c>
      <c r="E129" s="5">
        <v>-6.5</v>
      </c>
      <c r="F129" s="5">
        <v>-5.8</v>
      </c>
      <c r="G129" s="5">
        <v>-6.2</v>
      </c>
      <c r="H129" s="5">
        <v>0</v>
      </c>
    </row>
    <row r="130" spans="1:8" ht="15" x14ac:dyDescent="0.4">
      <c r="B130" t="s">
        <v>79</v>
      </c>
      <c r="C130" s="5">
        <f t="shared" ref="C130:H130" si="21">SUM(C128:C129)</f>
        <v>-31.9</v>
      </c>
      <c r="D130" s="5">
        <f t="shared" si="21"/>
        <v>-33.199999999999996</v>
      </c>
      <c r="E130" s="5">
        <f t="shared" si="21"/>
        <v>-33.4</v>
      </c>
      <c r="F130" s="5">
        <f t="shared" si="21"/>
        <v>-33.199999999999996</v>
      </c>
      <c r="G130" s="5">
        <f t="shared" si="21"/>
        <v>-34.5</v>
      </c>
      <c r="H130" s="5">
        <f t="shared" si="21"/>
        <v>0</v>
      </c>
    </row>
    <row r="131" spans="1:8" ht="15" x14ac:dyDescent="0.4">
      <c r="B131" s="6" t="s">
        <v>88</v>
      </c>
      <c r="C131" s="5">
        <f t="shared" ref="C131:H131" si="22">+C123+C124+C130</f>
        <v>-97.4</v>
      </c>
      <c r="D131" s="5">
        <f t="shared" si="22"/>
        <v>-106.79999999999998</v>
      </c>
      <c r="E131" s="5">
        <f t="shared" si="22"/>
        <v>-106.69999999999999</v>
      </c>
      <c r="F131" s="5">
        <f t="shared" si="22"/>
        <v>-109.19999999999999</v>
      </c>
      <c r="G131" s="5">
        <f t="shared" si="22"/>
        <v>-113.30000000000001</v>
      </c>
      <c r="H131" s="5">
        <f t="shared" si="22"/>
        <v>0</v>
      </c>
    </row>
    <row r="132" spans="1:8" x14ac:dyDescent="0.25">
      <c r="B132" s="6"/>
      <c r="C132" s="3"/>
      <c r="D132" s="3"/>
      <c r="E132" s="3"/>
      <c r="F132" s="3"/>
      <c r="G132" s="3"/>
      <c r="H132" s="3"/>
    </row>
    <row r="133" spans="1:8" x14ac:dyDescent="0.25">
      <c r="A133" s="6" t="s">
        <v>81</v>
      </c>
      <c r="C133" s="3"/>
      <c r="D133" s="3"/>
      <c r="E133" s="3"/>
      <c r="F133" s="3"/>
      <c r="G133" s="3"/>
      <c r="H133" s="3"/>
    </row>
    <row r="134" spans="1:8" x14ac:dyDescent="0.25">
      <c r="B134" t="s">
        <v>82</v>
      </c>
      <c r="C134" s="3">
        <v>4.8</v>
      </c>
      <c r="D134" s="3">
        <v>1.9</v>
      </c>
      <c r="E134" s="3">
        <v>4.8</v>
      </c>
      <c r="F134" s="3">
        <v>3.7</v>
      </c>
      <c r="G134" s="3">
        <v>3.7</v>
      </c>
      <c r="H134" s="3">
        <v>0</v>
      </c>
    </row>
    <row r="135" spans="1:8" x14ac:dyDescent="0.25">
      <c r="B135" t="s">
        <v>83</v>
      </c>
      <c r="C135" s="3">
        <v>0.4</v>
      </c>
      <c r="D135" s="3">
        <v>0.3</v>
      </c>
      <c r="E135" s="3">
        <v>0.3</v>
      </c>
      <c r="F135" s="3">
        <v>0</v>
      </c>
      <c r="G135" s="3">
        <v>0</v>
      </c>
      <c r="H135" s="3">
        <v>0</v>
      </c>
    </row>
    <row r="136" spans="1:8" x14ac:dyDescent="0.25">
      <c r="B136" t="s">
        <v>84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5">
      <c r="B137" t="s">
        <v>85</v>
      </c>
      <c r="C137" s="3">
        <v>0</v>
      </c>
      <c r="D137" s="3">
        <v>14.3</v>
      </c>
      <c r="E137" s="3">
        <v>3.1</v>
      </c>
      <c r="F137" s="3">
        <v>0</v>
      </c>
      <c r="G137" s="3">
        <v>0</v>
      </c>
      <c r="H137" s="3">
        <v>0</v>
      </c>
    </row>
    <row r="138" spans="1:8" ht="15" x14ac:dyDescent="0.4">
      <c r="B138" t="s">
        <v>7</v>
      </c>
      <c r="C138" s="5">
        <v>0.3</v>
      </c>
      <c r="D138" s="5">
        <f>2.2+0.5+1.5+0.5</f>
        <v>4.7</v>
      </c>
      <c r="E138" s="5">
        <f>2.3-0.1</f>
        <v>2.1999999999999997</v>
      </c>
      <c r="F138" s="5">
        <v>-0.5</v>
      </c>
      <c r="G138" s="5">
        <v>-0.4</v>
      </c>
      <c r="H138" s="5">
        <v>0</v>
      </c>
    </row>
    <row r="139" spans="1:8" ht="15" x14ac:dyDescent="0.4">
      <c r="B139" t="s">
        <v>86</v>
      </c>
      <c r="C139" s="5">
        <f t="shared" ref="C139:H139" si="23">SUM(C134:C138)</f>
        <v>5.5</v>
      </c>
      <c r="D139" s="5">
        <f t="shared" si="23"/>
        <v>21.2</v>
      </c>
      <c r="E139" s="5">
        <f t="shared" si="23"/>
        <v>10.399999999999999</v>
      </c>
      <c r="F139" s="5">
        <f t="shared" si="23"/>
        <v>3.2</v>
      </c>
      <c r="G139" s="5">
        <f t="shared" si="23"/>
        <v>3.3000000000000003</v>
      </c>
      <c r="H139" s="5">
        <f t="shared" si="23"/>
        <v>0</v>
      </c>
    </row>
    <row r="140" spans="1:8" x14ac:dyDescent="0.25">
      <c r="C140" s="3"/>
      <c r="D140" s="3"/>
      <c r="E140" s="3"/>
      <c r="F140" s="3"/>
      <c r="G140" s="3"/>
      <c r="H140" s="3"/>
    </row>
    <row r="141" spans="1:8" x14ac:dyDescent="0.25">
      <c r="A141" s="6" t="s">
        <v>87</v>
      </c>
      <c r="C141" s="3">
        <f t="shared" ref="C141:H141" si="24">+C113+C131+C139</f>
        <v>229.06200000000004</v>
      </c>
      <c r="D141" s="3">
        <f t="shared" si="24"/>
        <v>229.60000000000005</v>
      </c>
      <c r="E141" s="3">
        <f t="shared" si="24"/>
        <v>215.00000000000003</v>
      </c>
      <c r="F141" s="3">
        <f t="shared" si="24"/>
        <v>228.5</v>
      </c>
      <c r="G141" s="3">
        <f t="shared" si="24"/>
        <v>209.99999999999994</v>
      </c>
      <c r="H141" s="3">
        <f t="shared" si="24"/>
        <v>435.20000000000005</v>
      </c>
    </row>
    <row r="142" spans="1:8" x14ac:dyDescent="0.25">
      <c r="C142" s="3"/>
      <c r="D142" s="3"/>
      <c r="E142" s="3"/>
      <c r="F142" s="3"/>
      <c r="G142" s="3"/>
      <c r="H142" s="3"/>
    </row>
    <row r="143" spans="1:8" x14ac:dyDescent="0.25">
      <c r="C143" s="3"/>
      <c r="D143" s="3"/>
      <c r="E143" s="3"/>
      <c r="F143" s="3"/>
      <c r="G143" s="3"/>
      <c r="H143" s="3"/>
    </row>
    <row r="144" spans="1:8" x14ac:dyDescent="0.25">
      <c r="C144" s="3"/>
      <c r="D144" s="3"/>
      <c r="E144" s="3"/>
      <c r="F144" s="3"/>
      <c r="G144" s="3"/>
      <c r="H144" s="3"/>
    </row>
    <row r="145" spans="3:8" x14ac:dyDescent="0.25">
      <c r="C145" s="3"/>
      <c r="D145" s="3"/>
      <c r="E145" s="3"/>
      <c r="F145" s="3"/>
      <c r="G145" s="3"/>
      <c r="H145" s="3"/>
    </row>
    <row r="146" spans="3:8" x14ac:dyDescent="0.25">
      <c r="C146" s="3"/>
      <c r="D146" s="3"/>
      <c r="E146" s="3"/>
      <c r="F146" s="3"/>
      <c r="G146" s="3"/>
      <c r="H146" s="3"/>
    </row>
    <row r="147" spans="3:8" x14ac:dyDescent="0.25">
      <c r="C147" s="3"/>
      <c r="D147" s="3"/>
      <c r="E147" s="3"/>
      <c r="F147" s="3"/>
      <c r="G147" s="3"/>
      <c r="H147" s="3"/>
    </row>
    <row r="148" spans="3:8" x14ac:dyDescent="0.25">
      <c r="C148" s="3"/>
      <c r="D148" s="3"/>
      <c r="E148" s="3"/>
      <c r="F148" s="3"/>
      <c r="G148" s="3"/>
      <c r="H148" s="3"/>
    </row>
    <row r="149" spans="3:8" x14ac:dyDescent="0.25">
      <c r="C149" s="3"/>
      <c r="D149" s="3"/>
      <c r="E149" s="3"/>
      <c r="F149" s="3"/>
      <c r="G149" s="3"/>
      <c r="H149" s="3"/>
    </row>
    <row r="150" spans="3:8" x14ac:dyDescent="0.25">
      <c r="C150" s="3"/>
      <c r="D150" s="3"/>
      <c r="E150" s="3"/>
      <c r="F150" s="3"/>
      <c r="G150" s="3"/>
      <c r="H150" s="3"/>
    </row>
    <row r="151" spans="3:8" x14ac:dyDescent="0.25">
      <c r="C151" s="3"/>
      <c r="D151" s="3"/>
      <c r="E151" s="3"/>
      <c r="F151" s="3"/>
      <c r="G151" s="3"/>
      <c r="H151" s="3"/>
    </row>
    <row r="152" spans="3:8" x14ac:dyDescent="0.25">
      <c r="C152" s="3"/>
      <c r="D152" s="3"/>
      <c r="E152" s="3"/>
      <c r="F152" s="3"/>
      <c r="G152" s="3"/>
      <c r="H152" s="3"/>
    </row>
    <row r="153" spans="3:8" x14ac:dyDescent="0.25">
      <c r="C153" s="3"/>
      <c r="D153" s="3"/>
      <c r="E153" s="3"/>
      <c r="F153" s="3"/>
      <c r="G153" s="3"/>
      <c r="H153" s="3"/>
    </row>
    <row r="154" spans="3:8" x14ac:dyDescent="0.25">
      <c r="C154" s="3"/>
      <c r="D154" s="3"/>
      <c r="E154" s="3"/>
      <c r="F154" s="3"/>
      <c r="G154" s="3"/>
      <c r="H154" s="3"/>
    </row>
    <row r="155" spans="3:8" x14ac:dyDescent="0.25">
      <c r="C155" s="3"/>
      <c r="D155" s="3"/>
      <c r="E155" s="3"/>
      <c r="F155" s="3"/>
      <c r="G155" s="3"/>
      <c r="H155" s="3"/>
    </row>
    <row r="156" spans="3:8" x14ac:dyDescent="0.25">
      <c r="C156" s="3"/>
      <c r="D156" s="3"/>
      <c r="E156" s="3"/>
      <c r="F156" s="3"/>
      <c r="G156" s="3"/>
      <c r="H156" s="3"/>
    </row>
    <row r="157" spans="3:8" x14ac:dyDescent="0.25">
      <c r="C157" s="3"/>
      <c r="D157" s="3"/>
      <c r="E157" s="3"/>
      <c r="F157" s="3"/>
      <c r="G157" s="3"/>
      <c r="H157" s="3"/>
    </row>
    <row r="158" spans="3:8" x14ac:dyDescent="0.25">
      <c r="C158" s="3"/>
      <c r="D158" s="3"/>
      <c r="E158" s="3"/>
      <c r="F158" s="3"/>
      <c r="G158" s="3"/>
      <c r="H158" s="3"/>
    </row>
    <row r="159" spans="3:8" x14ac:dyDescent="0.25">
      <c r="C159" s="3"/>
      <c r="D159" s="3"/>
      <c r="E159" s="3"/>
      <c r="F159" s="3"/>
      <c r="G159" s="3"/>
      <c r="H159" s="3"/>
    </row>
    <row r="160" spans="3:8" x14ac:dyDescent="0.25">
      <c r="C160" s="3"/>
      <c r="D160" s="3"/>
      <c r="E160" s="3"/>
      <c r="F160" s="3"/>
      <c r="G160" s="3"/>
      <c r="H160" s="3"/>
    </row>
    <row r="161" spans="3:8" x14ac:dyDescent="0.25">
      <c r="C161" s="3"/>
      <c r="D161" s="3"/>
      <c r="E161" s="3"/>
      <c r="F161" s="3"/>
      <c r="G161" s="3"/>
      <c r="H161" s="3"/>
    </row>
    <row r="162" spans="3:8" x14ac:dyDescent="0.25">
      <c r="C162" s="3"/>
      <c r="D162" s="3"/>
      <c r="E162" s="3"/>
      <c r="F162" s="3"/>
      <c r="G162" s="3"/>
      <c r="H162" s="3"/>
    </row>
    <row r="163" spans="3:8" x14ac:dyDescent="0.25">
      <c r="C163" s="3"/>
      <c r="D163" s="3"/>
      <c r="E163" s="3"/>
      <c r="F163" s="3"/>
      <c r="G163" s="3"/>
      <c r="H163" s="3"/>
    </row>
    <row r="164" spans="3:8" x14ac:dyDescent="0.25">
      <c r="C164" s="3"/>
      <c r="D164" s="3"/>
      <c r="E164" s="3"/>
      <c r="F164" s="3"/>
      <c r="G164" s="3"/>
      <c r="H164" s="3"/>
    </row>
    <row r="165" spans="3:8" x14ac:dyDescent="0.25">
      <c r="C165" s="3"/>
      <c r="D165" s="3"/>
      <c r="E165" s="3"/>
      <c r="F165" s="3"/>
      <c r="G165" s="3"/>
      <c r="H165" s="3"/>
    </row>
    <row r="166" spans="3:8" x14ac:dyDescent="0.25">
      <c r="C166" s="3"/>
      <c r="D166" s="3"/>
      <c r="E166" s="3"/>
      <c r="F166" s="3"/>
      <c r="G166" s="3"/>
      <c r="H166" s="3"/>
    </row>
    <row r="167" spans="3:8" x14ac:dyDescent="0.25">
      <c r="C167" s="3"/>
      <c r="D167" s="3"/>
      <c r="E167" s="3"/>
      <c r="F167" s="3"/>
      <c r="G167" s="3"/>
      <c r="H167" s="3"/>
    </row>
    <row r="168" spans="3:8" x14ac:dyDescent="0.25">
      <c r="C168" s="3"/>
      <c r="D168" s="3"/>
      <c r="E168" s="3"/>
      <c r="F168" s="3"/>
      <c r="G168" s="3"/>
      <c r="H168" s="3"/>
    </row>
    <row r="169" spans="3:8" x14ac:dyDescent="0.25">
      <c r="C169" s="3"/>
      <c r="D169" s="3"/>
      <c r="E169" s="3"/>
      <c r="F169" s="3"/>
      <c r="G169" s="3"/>
      <c r="H169" s="3"/>
    </row>
    <row r="170" spans="3:8" x14ac:dyDescent="0.25">
      <c r="C170" s="3"/>
      <c r="D170" s="3"/>
      <c r="E170" s="3"/>
      <c r="F170" s="3"/>
      <c r="G170" s="3"/>
      <c r="H170" s="3"/>
    </row>
    <row r="171" spans="3:8" x14ac:dyDescent="0.25">
      <c r="C171" s="3"/>
      <c r="D171" s="3"/>
      <c r="E171" s="3"/>
      <c r="F171" s="3"/>
      <c r="G171" s="3"/>
      <c r="H171" s="3"/>
    </row>
    <row r="172" spans="3:8" x14ac:dyDescent="0.25">
      <c r="C172" s="3"/>
      <c r="D172" s="3"/>
      <c r="E172" s="3"/>
      <c r="F172" s="3"/>
      <c r="G172" s="3"/>
      <c r="H172" s="3"/>
    </row>
    <row r="173" spans="3:8" x14ac:dyDescent="0.25">
      <c r="C173" s="3"/>
      <c r="D173" s="3"/>
      <c r="E173" s="3"/>
      <c r="F173" s="3"/>
      <c r="G173" s="3"/>
      <c r="H173" s="3"/>
    </row>
    <row r="174" spans="3:8" x14ac:dyDescent="0.25">
      <c r="C174" s="3"/>
      <c r="D174" s="3"/>
      <c r="E174" s="3"/>
      <c r="F174" s="3"/>
      <c r="G174" s="3"/>
      <c r="H174" s="3"/>
    </row>
    <row r="175" spans="3:8" x14ac:dyDescent="0.25">
      <c r="C175" s="3"/>
      <c r="D175" s="3"/>
      <c r="E175" s="3"/>
      <c r="F175" s="3"/>
      <c r="G175" s="3"/>
      <c r="H175" s="3"/>
    </row>
    <row r="176" spans="3:8" x14ac:dyDescent="0.25">
      <c r="C176" s="3"/>
      <c r="D176" s="3"/>
      <c r="E176" s="3"/>
      <c r="F176" s="3"/>
      <c r="G176" s="3"/>
      <c r="H176" s="3"/>
    </row>
    <row r="177" spans="3:8" x14ac:dyDescent="0.25">
      <c r="C177" s="3"/>
      <c r="D177" s="3"/>
      <c r="E177" s="3"/>
      <c r="F177" s="3"/>
      <c r="G177" s="3"/>
      <c r="H177" s="3"/>
    </row>
    <row r="178" spans="3:8" x14ac:dyDescent="0.25">
      <c r="C178" s="3"/>
      <c r="D178" s="3"/>
      <c r="E178" s="3"/>
      <c r="F178" s="3"/>
      <c r="G178" s="3"/>
      <c r="H178" s="3"/>
    </row>
    <row r="179" spans="3:8" x14ac:dyDescent="0.25">
      <c r="C179" s="3"/>
      <c r="D179" s="3"/>
      <c r="E179" s="3"/>
      <c r="F179" s="3"/>
      <c r="G179" s="3"/>
      <c r="H179" s="3"/>
    </row>
    <row r="180" spans="3:8" x14ac:dyDescent="0.25">
      <c r="C180" s="3"/>
      <c r="D180" s="3"/>
      <c r="E180" s="3"/>
      <c r="F180" s="3"/>
      <c r="G180" s="3"/>
      <c r="H180" s="3"/>
    </row>
    <row r="181" spans="3:8" x14ac:dyDescent="0.25">
      <c r="C181" s="3"/>
      <c r="D181" s="3"/>
      <c r="E181" s="3"/>
      <c r="F181" s="3"/>
      <c r="G181" s="3"/>
      <c r="H181" s="3"/>
    </row>
    <row r="182" spans="3:8" x14ac:dyDescent="0.25">
      <c r="C182" s="3"/>
      <c r="D182" s="3"/>
      <c r="E182" s="3"/>
      <c r="F182" s="3"/>
      <c r="G182" s="3"/>
      <c r="H182" s="3"/>
    </row>
    <row r="183" spans="3:8" x14ac:dyDescent="0.25">
      <c r="C183" s="3"/>
      <c r="D183" s="3"/>
      <c r="E183" s="3"/>
      <c r="F183" s="3"/>
      <c r="G183" s="3"/>
      <c r="H183" s="3"/>
    </row>
    <row r="184" spans="3:8" x14ac:dyDescent="0.25">
      <c r="C184" s="3"/>
      <c r="D184" s="3"/>
      <c r="E184" s="3"/>
      <c r="F184" s="3"/>
      <c r="G184" s="3"/>
      <c r="H184" s="3"/>
    </row>
    <row r="185" spans="3:8" x14ac:dyDescent="0.25">
      <c r="C185" s="3"/>
      <c r="D185" s="3"/>
      <c r="E185" s="3"/>
      <c r="F185" s="3"/>
      <c r="G185" s="3"/>
      <c r="H185" s="3"/>
    </row>
    <row r="186" spans="3:8" x14ac:dyDescent="0.25">
      <c r="C186" s="3"/>
      <c r="D186" s="3"/>
      <c r="E186" s="3"/>
      <c r="F186" s="3"/>
      <c r="G186" s="3"/>
      <c r="H186" s="3"/>
    </row>
    <row r="187" spans="3:8" x14ac:dyDescent="0.25">
      <c r="C187" s="3"/>
      <c r="D187" s="3"/>
      <c r="E187" s="3"/>
      <c r="F187" s="3"/>
      <c r="G187" s="3"/>
      <c r="H187" s="3"/>
    </row>
    <row r="188" spans="3:8" x14ac:dyDescent="0.25">
      <c r="C188" s="3"/>
      <c r="D188" s="3"/>
      <c r="E188" s="3"/>
      <c r="F188" s="3"/>
      <c r="G188" s="3"/>
      <c r="H188" s="3"/>
    </row>
    <row r="189" spans="3:8" x14ac:dyDescent="0.25">
      <c r="C189" s="3"/>
      <c r="D189" s="3"/>
      <c r="E189" s="3"/>
      <c r="F189" s="3"/>
      <c r="G189" s="3"/>
      <c r="H189" s="3"/>
    </row>
  </sheetData>
  <printOptions horizontalCentered="1"/>
  <pageMargins left="0" right="0" top="0" bottom="0" header="0" footer="0"/>
  <pageSetup scale="80" fitToHeight="2" orientation="portrait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5" sqref="G135"/>
    </sheetView>
  </sheetViews>
  <sheetFormatPr defaultRowHeight="13.2" x14ac:dyDescent="0.25"/>
  <cols>
    <col min="1" max="1" width="5.6640625" customWidth="1"/>
    <col min="2" max="2" width="23" bestFit="1" customWidth="1"/>
  </cols>
  <sheetData>
    <row r="1" spans="1:8" x14ac:dyDescent="0.25">
      <c r="A1" s="6" t="s">
        <v>29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>
        <f>0</f>
        <v>0</v>
      </c>
      <c r="D6" s="3"/>
      <c r="E6" s="3"/>
      <c r="F6" s="3"/>
      <c r="G6" s="3"/>
      <c r="H6" s="3"/>
    </row>
    <row r="7" spans="1:8" x14ac:dyDescent="0.25">
      <c r="B7" t="s">
        <v>41</v>
      </c>
      <c r="C7" s="3">
        <v>120.2</v>
      </c>
      <c r="D7" s="3">
        <v>118.4</v>
      </c>
      <c r="E7" s="3">
        <v>123.9</v>
      </c>
      <c r="F7" s="3">
        <v>124.7</v>
      </c>
      <c r="G7" s="3">
        <v>129.30000000000001</v>
      </c>
      <c r="H7" s="3">
        <v>130.19999999999999</v>
      </c>
    </row>
    <row r="8" spans="1:8" x14ac:dyDescent="0.25">
      <c r="B8" t="s">
        <v>42</v>
      </c>
      <c r="C8" s="3">
        <v>13.2</v>
      </c>
      <c r="D8" s="3">
        <v>11.9</v>
      </c>
      <c r="E8" s="3">
        <v>11.4</v>
      </c>
      <c r="F8" s="3">
        <v>11.9</v>
      </c>
      <c r="G8" s="3">
        <v>12.4</v>
      </c>
      <c r="H8" s="3">
        <v>11.8</v>
      </c>
    </row>
    <row r="9" spans="1:8" x14ac:dyDescent="0.25">
      <c r="B9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5">
      <c r="B10" t="s">
        <v>89</v>
      </c>
      <c r="C10" s="3">
        <v>11.8</v>
      </c>
      <c r="D10" s="3">
        <v>11.8</v>
      </c>
      <c r="E10" s="3">
        <v>11.8</v>
      </c>
      <c r="F10" s="3">
        <v>11.8</v>
      </c>
      <c r="G10" s="3">
        <v>9.8000000000000007</v>
      </c>
      <c r="H10" s="3">
        <v>9.8000000000000007</v>
      </c>
    </row>
    <row r="11" spans="1:8" x14ac:dyDescent="0.25"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11.9</v>
      </c>
      <c r="H11" s="3">
        <v>0</v>
      </c>
    </row>
    <row r="12" spans="1:8" x14ac:dyDescent="0.25">
      <c r="B12" t="s">
        <v>7</v>
      </c>
      <c r="C12" s="4">
        <f>-0.2</f>
        <v>-0.2</v>
      </c>
      <c r="D12" s="4">
        <f>-0.5</f>
        <v>-0.5</v>
      </c>
      <c r="E12" s="4">
        <f>-0.3</f>
        <v>-0.3</v>
      </c>
      <c r="F12" s="4">
        <f>-0.3</f>
        <v>-0.3</v>
      </c>
      <c r="G12" s="4">
        <f>-0.3+0.3</f>
        <v>0</v>
      </c>
      <c r="H12" s="4">
        <v>-0.1</v>
      </c>
    </row>
    <row r="13" spans="1:8" x14ac:dyDescent="0.25">
      <c r="B13" s="6" t="s">
        <v>25</v>
      </c>
      <c r="C13" s="3">
        <f t="shared" ref="C13:H13" si="0">SUM(C6:C12)</f>
        <v>145.00000000000003</v>
      </c>
      <c r="D13" s="3">
        <f t="shared" si="0"/>
        <v>141.60000000000002</v>
      </c>
      <c r="E13" s="3">
        <f t="shared" si="0"/>
        <v>146.80000000000001</v>
      </c>
      <c r="F13" s="3">
        <f t="shared" si="0"/>
        <v>148.1</v>
      </c>
      <c r="G13" s="3">
        <f t="shared" si="0"/>
        <v>163.40000000000003</v>
      </c>
      <c r="H13" s="3">
        <f t="shared" si="0"/>
        <v>151.70000000000002</v>
      </c>
    </row>
    <row r="14" spans="1:8" x14ac:dyDescent="0.25">
      <c r="A14" s="6" t="s">
        <v>8</v>
      </c>
      <c r="C14" s="3"/>
      <c r="D14" s="3"/>
      <c r="E14" s="3"/>
      <c r="F14" s="3"/>
      <c r="G14" s="3"/>
      <c r="H14" s="3"/>
    </row>
    <row r="15" spans="1:8" x14ac:dyDescent="0.25">
      <c r="B15" t="s">
        <v>9</v>
      </c>
      <c r="C15" s="3">
        <v>-4.9000000000000004</v>
      </c>
      <c r="D15" s="3">
        <v>-3.8</v>
      </c>
      <c r="E15" s="3">
        <v>-4</v>
      </c>
      <c r="F15" s="3">
        <v>-4.0999999999999996</v>
      </c>
      <c r="G15" s="3">
        <v>-4.2</v>
      </c>
      <c r="H15" s="3">
        <v>-4.8</v>
      </c>
    </row>
    <row r="16" spans="1:8" x14ac:dyDescent="0.25">
      <c r="B16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B17" t="s">
        <v>11</v>
      </c>
      <c r="C17" s="3">
        <f>-1.3-3.1-0.5</f>
        <v>-4.9000000000000004</v>
      </c>
      <c r="D17" s="3">
        <f>-1.3-2.8-0.7</f>
        <v>-4.8</v>
      </c>
      <c r="E17" s="3">
        <f>-1.3-2.8-0.6</f>
        <v>-4.6999999999999993</v>
      </c>
      <c r="F17" s="3">
        <f>-1.3-2.8-0.5</f>
        <v>-4.5999999999999996</v>
      </c>
      <c r="G17" s="3">
        <f>-1.3-2.8-0.7</f>
        <v>-4.8</v>
      </c>
      <c r="H17" s="3">
        <v>-4.5999999999999996</v>
      </c>
    </row>
    <row r="18" spans="1:8" x14ac:dyDescent="0.25">
      <c r="B1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B19" t="s">
        <v>15</v>
      </c>
      <c r="C19" s="3">
        <v>13.9</v>
      </c>
      <c r="D19" s="3">
        <v>16.8</v>
      </c>
      <c r="E19" s="3">
        <f>24.7-3.7</f>
        <v>21</v>
      </c>
      <c r="F19" s="3">
        <v>23.8</v>
      </c>
      <c r="G19" s="3">
        <v>28.4</v>
      </c>
      <c r="H19" s="3">
        <f>23+12-4</f>
        <v>31</v>
      </c>
    </row>
    <row r="20" spans="1:8" x14ac:dyDescent="0.25">
      <c r="B20" t="s">
        <v>16</v>
      </c>
      <c r="C20" s="3">
        <v>0</v>
      </c>
      <c r="D20" s="3">
        <f>0</f>
        <v>0</v>
      </c>
      <c r="E20" s="3">
        <v>0</v>
      </c>
      <c r="F20" s="3">
        <v>0</v>
      </c>
      <c r="G20" s="3">
        <v>-0.2</v>
      </c>
      <c r="H20" s="3">
        <v>-0.2</v>
      </c>
    </row>
    <row r="21" spans="1:8" x14ac:dyDescent="0.25">
      <c r="B21" s="12" t="s">
        <v>108</v>
      </c>
      <c r="C21" s="3">
        <f>-2</f>
        <v>-2</v>
      </c>
      <c r="D21" s="3">
        <v>-2.5</v>
      </c>
      <c r="E21" s="3">
        <v>-2.6</v>
      </c>
      <c r="F21" s="3">
        <v>-2.7</v>
      </c>
      <c r="G21" s="3">
        <v>-2.4</v>
      </c>
      <c r="H21" s="3">
        <v>-2.4</v>
      </c>
    </row>
    <row r="22" spans="1:8" ht="15" x14ac:dyDescent="0.4">
      <c r="B22" s="12" t="s">
        <v>105</v>
      </c>
      <c r="C22" s="5">
        <f>-0.1</f>
        <v>-0.1</v>
      </c>
      <c r="D22" s="5">
        <f>-0.2</f>
        <v>-0.2</v>
      </c>
      <c r="E22" s="5">
        <v>0</v>
      </c>
      <c r="F22" s="5">
        <v>0</v>
      </c>
      <c r="G22" s="5">
        <f>0</f>
        <v>0</v>
      </c>
      <c r="H22" s="5">
        <v>0</v>
      </c>
    </row>
    <row r="23" spans="1:8" ht="15" x14ac:dyDescent="0.4">
      <c r="B23" s="6" t="s">
        <v>19</v>
      </c>
      <c r="C23" s="5">
        <f t="shared" ref="C23:H23" si="1">SUM(C15:C22)</f>
        <v>1.9999999999999996</v>
      </c>
      <c r="D23" s="5">
        <f t="shared" si="1"/>
        <v>5.5000000000000009</v>
      </c>
      <c r="E23" s="5">
        <f t="shared" si="1"/>
        <v>9.7000000000000011</v>
      </c>
      <c r="F23" s="5">
        <f t="shared" si="1"/>
        <v>12.400000000000002</v>
      </c>
      <c r="G23" s="5">
        <f t="shared" si="1"/>
        <v>16.8</v>
      </c>
      <c r="H23" s="5">
        <f t="shared" si="1"/>
        <v>19.000000000000004</v>
      </c>
    </row>
    <row r="24" spans="1:8" x14ac:dyDescent="0.25">
      <c r="A24" s="6" t="s">
        <v>18</v>
      </c>
      <c r="C24" s="3">
        <f t="shared" ref="C24:H24" si="2">+C13+C23</f>
        <v>147.00000000000003</v>
      </c>
      <c r="D24" s="3">
        <f t="shared" si="2"/>
        <v>147.10000000000002</v>
      </c>
      <c r="E24" s="3">
        <f t="shared" si="2"/>
        <v>156.5</v>
      </c>
      <c r="F24" s="3">
        <f t="shared" si="2"/>
        <v>160.5</v>
      </c>
      <c r="G24" s="3">
        <f t="shared" si="2"/>
        <v>180.20000000000005</v>
      </c>
      <c r="H24" s="3">
        <f t="shared" si="2"/>
        <v>170.70000000000002</v>
      </c>
    </row>
    <row r="25" spans="1:8" x14ac:dyDescent="0.25">
      <c r="A25" s="6" t="s">
        <v>20</v>
      </c>
      <c r="C25" s="3"/>
      <c r="D25" s="3"/>
      <c r="E25" s="3"/>
      <c r="F25" s="3"/>
      <c r="G25" s="3"/>
      <c r="H25" s="3"/>
    </row>
    <row r="26" spans="1:8" x14ac:dyDescent="0.25">
      <c r="B26" t="s">
        <v>21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B27" t="s">
        <v>22</v>
      </c>
      <c r="C27" s="3">
        <v>0</v>
      </c>
      <c r="D27" s="3">
        <v>1.9</v>
      </c>
      <c r="E27" s="3">
        <v>0</v>
      </c>
      <c r="F27" s="3">
        <v>0</v>
      </c>
      <c r="G27" s="3">
        <v>0</v>
      </c>
      <c r="H27" s="3">
        <v>0</v>
      </c>
    </row>
    <row r="28" spans="1:8" ht="15" x14ac:dyDescent="0.4">
      <c r="B28" t="s">
        <v>7</v>
      </c>
      <c r="C28" s="5">
        <v>3.1</v>
      </c>
      <c r="D28" s="5">
        <v>3.2</v>
      </c>
      <c r="E28" s="5">
        <v>3</v>
      </c>
      <c r="F28" s="5">
        <v>0</v>
      </c>
      <c r="G28" s="5">
        <v>0</v>
      </c>
      <c r="H28" s="5">
        <v>0</v>
      </c>
    </row>
    <row r="29" spans="1:8" ht="15" x14ac:dyDescent="0.4">
      <c r="B29" s="6" t="s">
        <v>24</v>
      </c>
      <c r="C29" s="5">
        <f t="shared" ref="C29:H29" si="3">SUM(C26:C28)</f>
        <v>3.1</v>
      </c>
      <c r="D29" s="5">
        <f t="shared" si="3"/>
        <v>5.0999999999999996</v>
      </c>
      <c r="E29" s="5">
        <f t="shared" si="3"/>
        <v>3</v>
      </c>
      <c r="F29" s="5">
        <f t="shared" si="3"/>
        <v>0</v>
      </c>
      <c r="G29" s="5">
        <f t="shared" si="3"/>
        <v>0</v>
      </c>
      <c r="H29" s="5">
        <f t="shared" si="3"/>
        <v>0</v>
      </c>
    </row>
    <row r="30" spans="1:8" ht="15" x14ac:dyDescent="0.4">
      <c r="A30" s="6" t="s">
        <v>49</v>
      </c>
      <c r="C30" s="5">
        <f t="shared" ref="C30:H30" si="4">+C24+C29</f>
        <v>150.10000000000002</v>
      </c>
      <c r="D30" s="5">
        <f t="shared" si="4"/>
        <v>152.20000000000002</v>
      </c>
      <c r="E30" s="5">
        <f t="shared" si="4"/>
        <v>159.5</v>
      </c>
      <c r="F30" s="5">
        <f t="shared" si="4"/>
        <v>160.5</v>
      </c>
      <c r="G30" s="5">
        <f t="shared" si="4"/>
        <v>180.20000000000005</v>
      </c>
      <c r="H30" s="5">
        <f t="shared" si="4"/>
        <v>170.70000000000002</v>
      </c>
    </row>
    <row r="32" spans="1:8" x14ac:dyDescent="0.25">
      <c r="A32" s="9" t="s">
        <v>43</v>
      </c>
      <c r="C32" s="3"/>
      <c r="D32" s="3"/>
      <c r="E32" s="3"/>
      <c r="F32" s="3"/>
      <c r="G32" s="3"/>
      <c r="H32" s="3"/>
    </row>
    <row r="33" spans="1:8" x14ac:dyDescent="0.25">
      <c r="A33" s="6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5">
      <c r="A34" s="6" t="s">
        <v>8</v>
      </c>
      <c r="C34" s="3"/>
      <c r="D34" s="3"/>
      <c r="E34" s="3"/>
      <c r="F34" s="3"/>
      <c r="G34" s="3"/>
      <c r="H34" s="3"/>
    </row>
    <row r="35" spans="1:8" x14ac:dyDescent="0.25">
      <c r="B35" t="s">
        <v>38</v>
      </c>
      <c r="C35" s="3">
        <f>-1.1</f>
        <v>-1.1000000000000001</v>
      </c>
      <c r="D35" s="3">
        <f>-1.3</f>
        <v>-1.3</v>
      </c>
      <c r="E35" s="3">
        <f>-1.7</f>
        <v>-1.7</v>
      </c>
      <c r="F35" s="3">
        <f>-1.3</f>
        <v>-1.3</v>
      </c>
      <c r="G35" s="3">
        <f>-1.5</f>
        <v>-1.5</v>
      </c>
      <c r="H35" s="3">
        <v>0</v>
      </c>
    </row>
    <row r="36" spans="1:8" x14ac:dyDescent="0.25">
      <c r="B36" t="s">
        <v>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ht="15" x14ac:dyDescent="0.4">
      <c r="B37" t="s">
        <v>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5" x14ac:dyDescent="0.4">
      <c r="B38" s="6" t="s">
        <v>19</v>
      </c>
      <c r="C38" s="5">
        <f t="shared" ref="C38:H38" si="5">SUM(C35:C37)</f>
        <v>-1.1000000000000001</v>
      </c>
      <c r="D38" s="5">
        <f t="shared" si="5"/>
        <v>-1.3</v>
      </c>
      <c r="E38" s="5">
        <f t="shared" si="5"/>
        <v>-1.7</v>
      </c>
      <c r="F38" s="5">
        <f t="shared" si="5"/>
        <v>-1.3</v>
      </c>
      <c r="G38" s="5">
        <f t="shared" si="5"/>
        <v>-1.5</v>
      </c>
      <c r="H38" s="5">
        <f t="shared" si="5"/>
        <v>0</v>
      </c>
    </row>
    <row r="39" spans="1:8" ht="15" x14ac:dyDescent="0.4">
      <c r="A39" s="6" t="s">
        <v>50</v>
      </c>
      <c r="C39" s="5">
        <f t="shared" ref="C39:H39" si="6">+C33+C38</f>
        <v>-1.1000000000000001</v>
      </c>
      <c r="D39" s="5">
        <f t="shared" si="6"/>
        <v>-1.3</v>
      </c>
      <c r="E39" s="5">
        <f t="shared" si="6"/>
        <v>-1.7</v>
      </c>
      <c r="F39" s="5">
        <f t="shared" si="6"/>
        <v>-1.3</v>
      </c>
      <c r="G39" s="5">
        <f t="shared" si="6"/>
        <v>-1.5</v>
      </c>
      <c r="H39" s="5">
        <f t="shared" si="6"/>
        <v>0</v>
      </c>
    </row>
    <row r="40" spans="1:8" ht="15" x14ac:dyDescent="0.4">
      <c r="A40" s="6"/>
      <c r="C40" s="5"/>
      <c r="D40" s="5"/>
      <c r="E40" s="5"/>
      <c r="F40" s="5"/>
      <c r="G40" s="5"/>
      <c r="H40" s="5"/>
    </row>
    <row r="41" spans="1:8" ht="15" x14ac:dyDescent="0.4">
      <c r="A41" s="6" t="s">
        <v>51</v>
      </c>
      <c r="C41" s="5">
        <f t="shared" ref="C41:H41" si="7">+C30+C39</f>
        <v>149.00000000000003</v>
      </c>
      <c r="D41" s="5">
        <f t="shared" si="7"/>
        <v>150.9</v>
      </c>
      <c r="E41" s="5">
        <f t="shared" si="7"/>
        <v>157.80000000000001</v>
      </c>
      <c r="F41" s="5">
        <f t="shared" si="7"/>
        <v>159.19999999999999</v>
      </c>
      <c r="G41" s="5">
        <f t="shared" si="7"/>
        <v>178.70000000000005</v>
      </c>
      <c r="H41" s="5">
        <f t="shared" si="7"/>
        <v>170.70000000000002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x14ac:dyDescent="0.25">
      <c r="A43" s="9" t="s">
        <v>37</v>
      </c>
      <c r="C43" s="3"/>
      <c r="D43" s="3"/>
      <c r="E43" s="3"/>
      <c r="F43" s="3"/>
      <c r="G43" s="3"/>
      <c r="H43" s="3"/>
    </row>
    <row r="44" spans="1:8" x14ac:dyDescent="0.25">
      <c r="A44" s="6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5">
      <c r="A45" s="6" t="s">
        <v>8</v>
      </c>
      <c r="C45" s="3"/>
      <c r="D45" s="3"/>
      <c r="E45" s="3"/>
      <c r="F45" s="3"/>
      <c r="G45" s="3"/>
      <c r="H45" s="3"/>
    </row>
    <row r="46" spans="1:8" x14ac:dyDescent="0.25">
      <c r="B46" t="s">
        <v>39</v>
      </c>
      <c r="C46" s="3">
        <f>-21.3+0.6</f>
        <v>-20.7</v>
      </c>
      <c r="D46" s="3">
        <f>-20.853+0.6</f>
        <v>-20.253</v>
      </c>
      <c r="E46" s="3">
        <f>-21.1+0.6</f>
        <v>-20.5</v>
      </c>
      <c r="F46" s="3">
        <f>-21+0.7</f>
        <v>-20.3</v>
      </c>
      <c r="G46" s="3">
        <f>-22.1+0.7</f>
        <v>-21.400000000000002</v>
      </c>
      <c r="H46" s="3">
        <v>0</v>
      </c>
    </row>
    <row r="47" spans="1:8" x14ac:dyDescent="0.25">
      <c r="B47" t="s">
        <v>46</v>
      </c>
      <c r="C47" s="3">
        <f>-0.9</f>
        <v>-0.9</v>
      </c>
      <c r="D47" s="3">
        <f>-1</f>
        <v>-1</v>
      </c>
      <c r="E47" s="3">
        <f>-1.6</f>
        <v>-1.6</v>
      </c>
      <c r="F47" s="3">
        <f>-1</f>
        <v>-1</v>
      </c>
      <c r="G47" s="3">
        <f>-0.9</f>
        <v>-0.9</v>
      </c>
      <c r="H47" s="3">
        <v>0</v>
      </c>
    </row>
    <row r="48" spans="1:8" x14ac:dyDescent="0.25">
      <c r="B48" t="s">
        <v>124</v>
      </c>
      <c r="C48" s="3">
        <f>-0.6</f>
        <v>-0.6</v>
      </c>
      <c r="D48" s="3">
        <f>-0.6</f>
        <v>-0.6</v>
      </c>
      <c r="E48" s="3">
        <f>-0.6</f>
        <v>-0.6</v>
      </c>
      <c r="F48" s="3">
        <f>-0.7</f>
        <v>-0.7</v>
      </c>
      <c r="G48" s="3">
        <f>-0.7</f>
        <v>-0.7</v>
      </c>
      <c r="H48" s="3"/>
    </row>
    <row r="49" spans="1:8" x14ac:dyDescent="0.25">
      <c r="B49" t="s">
        <v>114</v>
      </c>
      <c r="C49" s="3"/>
      <c r="D49" s="3"/>
      <c r="E49" s="3">
        <v>0.6</v>
      </c>
      <c r="F49" s="3"/>
      <c r="G49" s="3"/>
      <c r="H49" s="3"/>
    </row>
    <row r="50" spans="1:8" x14ac:dyDescent="0.25">
      <c r="B50" t="s">
        <v>123</v>
      </c>
      <c r="C50" s="3"/>
      <c r="D50" s="3"/>
      <c r="E50" s="3">
        <v>0.2</v>
      </c>
      <c r="F50" s="3"/>
      <c r="G50" s="3"/>
      <c r="H50" s="3"/>
    </row>
    <row r="51" spans="1:8" x14ac:dyDescent="0.25">
      <c r="B51" t="s">
        <v>44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ht="15" x14ac:dyDescent="0.4">
      <c r="B52" s="12" t="s">
        <v>105</v>
      </c>
      <c r="C52" s="5">
        <f>-0.4</f>
        <v>-0.4</v>
      </c>
      <c r="D52" s="5">
        <f>-0.6</f>
        <v>-0.6</v>
      </c>
      <c r="E52" s="5">
        <f>-0.9</f>
        <v>-0.9</v>
      </c>
      <c r="F52" s="5">
        <f>-0.9</f>
        <v>-0.9</v>
      </c>
      <c r="G52" s="5">
        <f>-3.4-0.3</f>
        <v>-3.6999999999999997</v>
      </c>
      <c r="H52" s="5">
        <v>0</v>
      </c>
    </row>
    <row r="53" spans="1:8" ht="15" x14ac:dyDescent="0.4">
      <c r="B53" s="6" t="s">
        <v>19</v>
      </c>
      <c r="C53" s="5">
        <f t="shared" ref="C53:H53" si="8">SUM(C46:C52)</f>
        <v>-22.599999999999998</v>
      </c>
      <c r="D53" s="5">
        <f t="shared" si="8"/>
        <v>-22.453000000000003</v>
      </c>
      <c r="E53" s="5">
        <f t="shared" si="8"/>
        <v>-22.8</v>
      </c>
      <c r="F53" s="5">
        <f t="shared" si="8"/>
        <v>-22.9</v>
      </c>
      <c r="G53" s="5">
        <f t="shared" si="8"/>
        <v>-26.7</v>
      </c>
      <c r="H53" s="5">
        <f t="shared" si="8"/>
        <v>0</v>
      </c>
    </row>
    <row r="54" spans="1:8" ht="15" x14ac:dyDescent="0.4">
      <c r="A54" s="6" t="s">
        <v>53</v>
      </c>
      <c r="C54" s="5">
        <f t="shared" ref="C54:H54" si="9">+C44+C53</f>
        <v>-22.599999999999998</v>
      </c>
      <c r="D54" s="5">
        <f t="shared" si="9"/>
        <v>-22.453000000000003</v>
      </c>
      <c r="E54" s="5">
        <f t="shared" si="9"/>
        <v>-22.8</v>
      </c>
      <c r="F54" s="5">
        <f t="shared" si="9"/>
        <v>-22.9</v>
      </c>
      <c r="G54" s="5">
        <f t="shared" si="9"/>
        <v>-26.7</v>
      </c>
      <c r="H54" s="5">
        <f t="shared" si="9"/>
        <v>0</v>
      </c>
    </row>
    <row r="55" spans="1:8" x14ac:dyDescent="0.25">
      <c r="C55" s="3"/>
      <c r="D55" s="3"/>
      <c r="E55" s="3"/>
      <c r="F55" s="3"/>
      <c r="G55" s="3"/>
      <c r="H55" s="3"/>
    </row>
    <row r="56" spans="1:8" x14ac:dyDescent="0.25">
      <c r="A56" s="9" t="s">
        <v>52</v>
      </c>
      <c r="C56" s="3"/>
      <c r="D56" s="3"/>
      <c r="E56" s="3"/>
      <c r="F56" s="3"/>
      <c r="G56" s="3"/>
      <c r="H56" s="3"/>
    </row>
    <row r="57" spans="1:8" x14ac:dyDescent="0.25">
      <c r="A57" s="6" t="s">
        <v>40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5">
      <c r="A58" s="6" t="s">
        <v>8</v>
      </c>
      <c r="C58" s="3"/>
      <c r="D58" s="3"/>
      <c r="E58" s="3"/>
      <c r="F58" s="3"/>
      <c r="G58" s="3"/>
      <c r="H58" s="3"/>
    </row>
    <row r="59" spans="1:8" x14ac:dyDescent="0.25">
      <c r="B59" t="s">
        <v>59</v>
      </c>
      <c r="C59" s="3">
        <f>-0.5-1.3</f>
        <v>-1.8</v>
      </c>
      <c r="D59" s="3">
        <f>-0.4-1.2</f>
        <v>-1.6</v>
      </c>
      <c r="E59" s="3">
        <f>-0.5-1.3+0.1</f>
        <v>-1.7</v>
      </c>
      <c r="F59" s="3">
        <f>-0.5-0.5</f>
        <v>-1</v>
      </c>
      <c r="G59" s="3">
        <f>-0.5-0.5</f>
        <v>-1</v>
      </c>
      <c r="H59" s="3">
        <v>0</v>
      </c>
    </row>
    <row r="60" spans="1:8" x14ac:dyDescent="0.25"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B61" t="s">
        <v>114</v>
      </c>
      <c r="C61" s="3"/>
      <c r="D61" s="3"/>
      <c r="E61" s="3">
        <f>0.7</f>
        <v>0.7</v>
      </c>
      <c r="F61" s="3"/>
      <c r="G61" s="3"/>
      <c r="H61" s="3"/>
    </row>
    <row r="62" spans="1:8" x14ac:dyDescent="0.25">
      <c r="B62" t="s">
        <v>112</v>
      </c>
      <c r="C62" s="3">
        <v>0.1</v>
      </c>
      <c r="D62" s="3">
        <v>0.1</v>
      </c>
      <c r="E62" s="3">
        <v>0.1</v>
      </c>
      <c r="F62" s="3"/>
      <c r="G62" s="3"/>
      <c r="H62" s="3"/>
    </row>
    <row r="63" spans="1:8" x14ac:dyDescent="0.25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ht="15" x14ac:dyDescent="0.4">
      <c r="B64" s="12" t="s">
        <v>104</v>
      </c>
      <c r="C64" s="5">
        <f>-1.6-0.3+0.2</f>
        <v>-1.7000000000000002</v>
      </c>
      <c r="D64" s="5">
        <f>-2.4</f>
        <v>-2.4</v>
      </c>
      <c r="E64" s="5">
        <f>-2.7</f>
        <v>-2.7</v>
      </c>
      <c r="F64" s="5">
        <f>-2.1</f>
        <v>-2.1</v>
      </c>
      <c r="G64" s="5">
        <f>-1.8</f>
        <v>-1.8</v>
      </c>
      <c r="H64" s="5">
        <v>0</v>
      </c>
    </row>
    <row r="65" spans="1:8" ht="15" x14ac:dyDescent="0.4">
      <c r="B65" s="6" t="s">
        <v>19</v>
      </c>
      <c r="C65" s="5">
        <f t="shared" ref="C65:H65" si="10">SUM(C59:C64)</f>
        <v>-3.4000000000000004</v>
      </c>
      <c r="D65" s="5">
        <f t="shared" si="10"/>
        <v>-3.9</v>
      </c>
      <c r="E65" s="5">
        <f t="shared" si="10"/>
        <v>-3.6</v>
      </c>
      <c r="F65" s="5">
        <f t="shared" si="10"/>
        <v>-3.1</v>
      </c>
      <c r="G65" s="5">
        <f t="shared" si="10"/>
        <v>-2.8</v>
      </c>
      <c r="H65" s="5">
        <f t="shared" si="10"/>
        <v>0</v>
      </c>
    </row>
    <row r="66" spans="1:8" ht="15" x14ac:dyDescent="0.4">
      <c r="A66" s="6" t="s">
        <v>62</v>
      </c>
      <c r="C66" s="5">
        <f t="shared" ref="C66:H66" si="11">+C57+C65</f>
        <v>-3.4000000000000004</v>
      </c>
      <c r="D66" s="5">
        <f t="shared" si="11"/>
        <v>-3.9</v>
      </c>
      <c r="E66" s="5">
        <f t="shared" si="11"/>
        <v>-3.6</v>
      </c>
      <c r="F66" s="5">
        <f t="shared" si="11"/>
        <v>-3.1</v>
      </c>
      <c r="G66" s="5">
        <f t="shared" si="11"/>
        <v>-2.8</v>
      </c>
      <c r="H66" s="5">
        <f t="shared" si="11"/>
        <v>0</v>
      </c>
    </row>
    <row r="67" spans="1:8" x14ac:dyDescent="0.25">
      <c r="C67" s="3"/>
      <c r="D67" s="3"/>
      <c r="E67" s="3"/>
      <c r="F67" s="3"/>
      <c r="G67" s="3"/>
      <c r="H67" s="3"/>
    </row>
    <row r="68" spans="1:8" x14ac:dyDescent="0.25">
      <c r="A68" s="9" t="s">
        <v>54</v>
      </c>
      <c r="C68" s="3"/>
      <c r="D68" s="3"/>
      <c r="E68" s="3"/>
      <c r="F68" s="3"/>
      <c r="G68" s="3"/>
      <c r="H68" s="3"/>
    </row>
    <row r="69" spans="1:8" x14ac:dyDescent="0.25">
      <c r="A69" s="6" t="s">
        <v>40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A70" s="6" t="s">
        <v>8</v>
      </c>
      <c r="C70" s="3"/>
      <c r="D70" s="3"/>
      <c r="E70" s="3"/>
      <c r="F70" s="3"/>
      <c r="G70" s="3"/>
      <c r="H70" s="3"/>
    </row>
    <row r="71" spans="1:8" x14ac:dyDescent="0.25">
      <c r="B71" t="s">
        <v>59</v>
      </c>
      <c r="C71" s="3">
        <f>-1.2</f>
        <v>-1.2</v>
      </c>
      <c r="D71" s="3">
        <f>-1.1</f>
        <v>-1.1000000000000001</v>
      </c>
      <c r="E71" s="3">
        <f>-1.3</f>
        <v>-1.3</v>
      </c>
      <c r="F71" s="3">
        <f>-1.2-1.5</f>
        <v>-2.7</v>
      </c>
      <c r="G71" s="3">
        <f>-2.9-0.6</f>
        <v>-3.5</v>
      </c>
      <c r="H71" s="3">
        <v>0</v>
      </c>
    </row>
    <row r="72" spans="1:8" x14ac:dyDescent="0.25">
      <c r="B72" t="s">
        <v>58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x14ac:dyDescent="0.25">
      <c r="B73" t="s">
        <v>44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 ht="15" x14ac:dyDescent="0.4">
      <c r="B74" t="s">
        <v>45</v>
      </c>
      <c r="C74" s="5">
        <v>0</v>
      </c>
      <c r="D74" s="5">
        <v>0</v>
      </c>
      <c r="E74" s="5">
        <f>-0.7-0.6</f>
        <v>-1.2999999999999998</v>
      </c>
      <c r="F74" s="5">
        <v>0</v>
      </c>
      <c r="G74" s="5">
        <v>0</v>
      </c>
      <c r="H74" s="5">
        <v>0</v>
      </c>
    </row>
    <row r="75" spans="1:8" ht="15" x14ac:dyDescent="0.4">
      <c r="B75" s="6" t="s">
        <v>19</v>
      </c>
      <c r="C75" s="5">
        <f t="shared" ref="C75:H75" si="12">SUM(C71:C74)</f>
        <v>-1.2</v>
      </c>
      <c r="D75" s="5">
        <f t="shared" si="12"/>
        <v>-1.1000000000000001</v>
      </c>
      <c r="E75" s="5">
        <f t="shared" si="12"/>
        <v>-2.5999999999999996</v>
      </c>
      <c r="F75" s="5">
        <f t="shared" si="12"/>
        <v>-2.7</v>
      </c>
      <c r="G75" s="5">
        <f t="shared" si="12"/>
        <v>-3.5</v>
      </c>
      <c r="H75" s="5">
        <f t="shared" si="12"/>
        <v>0</v>
      </c>
    </row>
    <row r="76" spans="1:8" ht="15" x14ac:dyDescent="0.4">
      <c r="A76" s="6" t="s">
        <v>55</v>
      </c>
      <c r="C76" s="5">
        <f t="shared" ref="C76:H76" si="13">+C69+C75</f>
        <v>-1.2</v>
      </c>
      <c r="D76" s="5">
        <f t="shared" si="13"/>
        <v>-1.1000000000000001</v>
      </c>
      <c r="E76" s="5">
        <f t="shared" si="13"/>
        <v>-2.5999999999999996</v>
      </c>
      <c r="F76" s="5">
        <f t="shared" si="13"/>
        <v>-2.7</v>
      </c>
      <c r="G76" s="5">
        <f t="shared" si="13"/>
        <v>-3.5</v>
      </c>
      <c r="H76" s="5">
        <f t="shared" si="13"/>
        <v>0</v>
      </c>
    </row>
    <row r="77" spans="1:8" x14ac:dyDescent="0.25">
      <c r="C77" s="3"/>
      <c r="D77" s="3"/>
      <c r="E77" s="3"/>
      <c r="F77" s="3"/>
      <c r="G77" s="3"/>
      <c r="H77" s="3"/>
    </row>
    <row r="78" spans="1:8" x14ac:dyDescent="0.25">
      <c r="A78" s="9" t="s">
        <v>56</v>
      </c>
      <c r="C78" s="3"/>
      <c r="D78" s="3"/>
      <c r="E78" s="3"/>
      <c r="F78" s="3"/>
      <c r="G78" s="3"/>
      <c r="H78" s="3"/>
    </row>
    <row r="79" spans="1:8" x14ac:dyDescent="0.25">
      <c r="A79" s="6" t="s">
        <v>40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A80" s="6" t="s">
        <v>8</v>
      </c>
      <c r="C80" s="3"/>
      <c r="D80" s="3"/>
      <c r="E80" s="3"/>
      <c r="F80" s="3"/>
      <c r="G80" s="3"/>
      <c r="H80" s="3"/>
    </row>
    <row r="81" spans="1:8" x14ac:dyDescent="0.25">
      <c r="B81" t="s">
        <v>59</v>
      </c>
      <c r="C81" s="3">
        <f>-0.7</f>
        <v>-0.7</v>
      </c>
      <c r="D81" s="3">
        <f>-1.3</f>
        <v>-1.3</v>
      </c>
      <c r="E81" s="3">
        <f>-1.3</f>
        <v>-1.3</v>
      </c>
      <c r="F81" s="3">
        <f>-0.6</f>
        <v>-0.6</v>
      </c>
      <c r="G81" s="3">
        <f>-0.9</f>
        <v>-0.9</v>
      </c>
      <c r="H81" s="3">
        <v>0</v>
      </c>
    </row>
    <row r="82" spans="1:8" x14ac:dyDescent="0.25">
      <c r="B82" t="s">
        <v>58</v>
      </c>
      <c r="C82" s="3">
        <f>-0.2</f>
        <v>-0.2</v>
      </c>
      <c r="D82" s="3">
        <f>-0.2</f>
        <v>-0.2</v>
      </c>
      <c r="E82" s="3">
        <f>-0.2</f>
        <v>-0.2</v>
      </c>
      <c r="F82" s="3">
        <f>-0.2</f>
        <v>-0.2</v>
      </c>
      <c r="G82" s="3">
        <f>-0.2</f>
        <v>-0.2</v>
      </c>
      <c r="H82" s="3">
        <v>0</v>
      </c>
    </row>
    <row r="83" spans="1:8" x14ac:dyDescent="0.25">
      <c r="B83" t="s">
        <v>44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 ht="15" x14ac:dyDescent="0.4">
      <c r="B84" t="s">
        <v>45</v>
      </c>
      <c r="C84" s="5">
        <v>0.2</v>
      </c>
      <c r="D84" s="5">
        <v>0.3</v>
      </c>
      <c r="E84" s="5">
        <v>0.3</v>
      </c>
      <c r="F84" s="5">
        <v>0</v>
      </c>
      <c r="G84" s="5">
        <v>0</v>
      </c>
      <c r="H84" s="5">
        <v>0</v>
      </c>
    </row>
    <row r="85" spans="1:8" ht="15" x14ac:dyDescent="0.4">
      <c r="B85" s="6" t="s">
        <v>19</v>
      </c>
      <c r="C85" s="5">
        <f t="shared" ref="C85:H85" si="14">SUM(C81:C84)</f>
        <v>-0.7</v>
      </c>
      <c r="D85" s="5">
        <f t="shared" si="14"/>
        <v>-1.2</v>
      </c>
      <c r="E85" s="5">
        <f t="shared" si="14"/>
        <v>-1.2</v>
      </c>
      <c r="F85" s="5">
        <f t="shared" si="14"/>
        <v>-0.8</v>
      </c>
      <c r="G85" s="5">
        <f t="shared" si="14"/>
        <v>-1.1000000000000001</v>
      </c>
      <c r="H85" s="5">
        <f t="shared" si="14"/>
        <v>0</v>
      </c>
    </row>
    <row r="86" spans="1:8" ht="15" x14ac:dyDescent="0.4">
      <c r="A86" s="6" t="s">
        <v>57</v>
      </c>
      <c r="C86" s="5">
        <f t="shared" ref="C86:H86" si="15">+C79+C85</f>
        <v>-0.7</v>
      </c>
      <c r="D86" s="5">
        <f t="shared" si="15"/>
        <v>-1.2</v>
      </c>
      <c r="E86" s="5">
        <f t="shared" si="15"/>
        <v>-1.2</v>
      </c>
      <c r="F86" s="5">
        <f t="shared" si="15"/>
        <v>-0.8</v>
      </c>
      <c r="G86" s="5">
        <f t="shared" si="15"/>
        <v>-1.1000000000000001</v>
      </c>
      <c r="H86" s="5">
        <f t="shared" si="15"/>
        <v>0</v>
      </c>
    </row>
    <row r="87" spans="1:8" x14ac:dyDescent="0.25">
      <c r="C87" s="3"/>
      <c r="D87" s="3"/>
      <c r="E87" s="3"/>
      <c r="F87" s="3"/>
      <c r="G87" s="3"/>
      <c r="H87" s="3"/>
    </row>
    <row r="88" spans="1:8" x14ac:dyDescent="0.25">
      <c r="A88" s="9" t="s">
        <v>60</v>
      </c>
      <c r="C88" s="3"/>
      <c r="D88" s="3"/>
      <c r="E88" s="3"/>
      <c r="F88" s="3"/>
      <c r="G88" s="3"/>
      <c r="H88" s="3"/>
    </row>
    <row r="89" spans="1:8" x14ac:dyDescent="0.25">
      <c r="A89" s="6" t="s">
        <v>40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A90" s="6" t="s">
        <v>8</v>
      </c>
      <c r="C90" s="3"/>
      <c r="D90" s="3"/>
      <c r="E90" s="3"/>
      <c r="F90" s="3"/>
      <c r="G90" s="3"/>
      <c r="H90" s="3"/>
    </row>
    <row r="91" spans="1:8" x14ac:dyDescent="0.25">
      <c r="B91" t="s">
        <v>59</v>
      </c>
      <c r="C91" s="3">
        <f>-0.3</f>
        <v>-0.3</v>
      </c>
      <c r="D91" s="3">
        <f>-0.4</f>
        <v>-0.4</v>
      </c>
      <c r="E91" s="3">
        <f>-0.4</f>
        <v>-0.4</v>
      </c>
      <c r="F91" s="3">
        <f>-0.3</f>
        <v>-0.3</v>
      </c>
      <c r="G91" s="3">
        <f>-0.3</f>
        <v>-0.3</v>
      </c>
      <c r="H91" s="3">
        <v>0</v>
      </c>
    </row>
    <row r="92" spans="1:8" x14ac:dyDescent="0.25">
      <c r="B92" t="s">
        <v>58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x14ac:dyDescent="0.25">
      <c r="B93" t="s">
        <v>44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 ht="15" x14ac:dyDescent="0.4">
      <c r="B94" s="12" t="s">
        <v>105</v>
      </c>
      <c r="C94" s="5">
        <v>0.1</v>
      </c>
      <c r="D94" s="5">
        <v>0.1</v>
      </c>
      <c r="E94" s="5">
        <v>0.1</v>
      </c>
      <c r="F94" s="5">
        <v>0</v>
      </c>
      <c r="G94" s="5">
        <v>0</v>
      </c>
      <c r="H94" s="5">
        <v>0</v>
      </c>
    </row>
    <row r="95" spans="1:8" ht="15" x14ac:dyDescent="0.4">
      <c r="B95" s="6" t="s">
        <v>19</v>
      </c>
      <c r="C95" s="5">
        <f t="shared" ref="C95:H95" si="16">SUM(C91:C94)</f>
        <v>-0.19999999999999998</v>
      </c>
      <c r="D95" s="5">
        <f t="shared" si="16"/>
        <v>-0.30000000000000004</v>
      </c>
      <c r="E95" s="5">
        <f t="shared" si="16"/>
        <v>-0.30000000000000004</v>
      </c>
      <c r="F95" s="5">
        <f t="shared" si="16"/>
        <v>-0.3</v>
      </c>
      <c r="G95" s="5">
        <f t="shared" si="16"/>
        <v>-0.3</v>
      </c>
      <c r="H95" s="5">
        <f t="shared" si="16"/>
        <v>0</v>
      </c>
    </row>
    <row r="96" spans="1:8" ht="15" x14ac:dyDescent="0.4">
      <c r="A96" s="6" t="s">
        <v>61</v>
      </c>
      <c r="C96" s="5">
        <f t="shared" ref="C96:H96" si="17">+C89+C95</f>
        <v>-0.19999999999999998</v>
      </c>
      <c r="D96" s="5">
        <f t="shared" si="17"/>
        <v>-0.30000000000000004</v>
      </c>
      <c r="E96" s="5">
        <f t="shared" si="17"/>
        <v>-0.30000000000000004</v>
      </c>
      <c r="F96" s="5">
        <f t="shared" si="17"/>
        <v>-0.3</v>
      </c>
      <c r="G96" s="5">
        <f t="shared" si="17"/>
        <v>-0.3</v>
      </c>
      <c r="H96" s="5">
        <f t="shared" si="17"/>
        <v>0</v>
      </c>
    </row>
    <row r="97" spans="1:9" x14ac:dyDescent="0.25">
      <c r="C97" s="3"/>
      <c r="D97" s="3"/>
      <c r="E97" s="3"/>
      <c r="F97" s="3"/>
      <c r="G97" s="3"/>
      <c r="H97" s="3"/>
    </row>
    <row r="98" spans="1:9" x14ac:dyDescent="0.25">
      <c r="A98" s="9" t="s">
        <v>63</v>
      </c>
      <c r="C98" s="3"/>
      <c r="D98" s="3"/>
      <c r="E98" s="3"/>
      <c r="F98" s="3"/>
      <c r="G98" s="3"/>
      <c r="H98" s="3"/>
    </row>
    <row r="99" spans="1:9" x14ac:dyDescent="0.25">
      <c r="A99" s="6" t="s">
        <v>40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9" x14ac:dyDescent="0.25">
      <c r="A100" s="6" t="s">
        <v>8</v>
      </c>
      <c r="C100" s="3"/>
      <c r="D100" s="3"/>
      <c r="E100" s="3"/>
      <c r="F100" s="3"/>
      <c r="G100" s="3"/>
      <c r="H100" s="3"/>
    </row>
    <row r="101" spans="1:9" x14ac:dyDescent="0.25">
      <c r="B101" t="s">
        <v>59</v>
      </c>
      <c r="C101" s="3">
        <f>-0.4</f>
        <v>-0.4</v>
      </c>
      <c r="D101" s="3">
        <f>-0.5</f>
        <v>-0.5</v>
      </c>
      <c r="E101" s="3">
        <f>-0.3</f>
        <v>-0.3</v>
      </c>
      <c r="F101" s="3">
        <f>-0.8</f>
        <v>-0.8</v>
      </c>
      <c r="G101" s="3">
        <f>-0.4</f>
        <v>-0.4</v>
      </c>
      <c r="H101" s="3">
        <v>0</v>
      </c>
    </row>
    <row r="102" spans="1:9" x14ac:dyDescent="0.25">
      <c r="B102" t="s">
        <v>100</v>
      </c>
      <c r="C102" s="3">
        <f>-0.1</f>
        <v>-0.1</v>
      </c>
      <c r="D102" s="3">
        <f>-0.1</f>
        <v>-0.1</v>
      </c>
      <c r="E102" s="3">
        <f>-0.1</f>
        <v>-0.1</v>
      </c>
      <c r="F102" s="3">
        <f>-0.1</f>
        <v>-0.1</v>
      </c>
      <c r="G102" s="3">
        <f>-0.1</f>
        <v>-0.1</v>
      </c>
      <c r="H102" s="3">
        <v>0</v>
      </c>
    </row>
    <row r="103" spans="1:9" x14ac:dyDescent="0.25">
      <c r="B103" t="s">
        <v>118</v>
      </c>
      <c r="C103" s="3">
        <f>-0.2-0.3</f>
        <v>-0.5</v>
      </c>
      <c r="D103" s="3">
        <f>-0.5-0.6</f>
        <v>-1.1000000000000001</v>
      </c>
      <c r="E103" s="3">
        <f>-0.4-0.5</f>
        <v>-0.9</v>
      </c>
      <c r="F103" s="3">
        <f>-1.1</f>
        <v>-1.1000000000000001</v>
      </c>
      <c r="G103" s="3">
        <f>-0.6</f>
        <v>-0.6</v>
      </c>
      <c r="H103" s="3">
        <v>0</v>
      </c>
      <c r="I103" t="s">
        <v>120</v>
      </c>
    </row>
    <row r="104" spans="1:9" x14ac:dyDescent="0.25">
      <c r="B104" t="s">
        <v>119</v>
      </c>
      <c r="C104" s="3"/>
      <c r="D104" s="3"/>
      <c r="E104" s="3"/>
      <c r="F104" s="3"/>
      <c r="G104" s="3">
        <f>-0.9</f>
        <v>-0.9</v>
      </c>
      <c r="H104" s="3"/>
    </row>
    <row r="105" spans="1:9" x14ac:dyDescent="0.25">
      <c r="B105" t="s">
        <v>116</v>
      </c>
      <c r="C105" s="3"/>
      <c r="D105" s="3"/>
      <c r="E105" s="3">
        <f>-0.2</f>
        <v>-0.2</v>
      </c>
      <c r="F105" s="3"/>
      <c r="G105" s="3"/>
      <c r="H105" s="3"/>
    </row>
    <row r="106" spans="1:9" ht="15" x14ac:dyDescent="0.4">
      <c r="B106" s="12" t="s">
        <v>121</v>
      </c>
      <c r="C106" s="5">
        <f>-0.3+0.3</f>
        <v>0</v>
      </c>
      <c r="D106" s="5">
        <f>-0.2-0.1+0.2</f>
        <v>-0.10000000000000003</v>
      </c>
      <c r="E106" s="5">
        <f>-0.1</f>
        <v>-0.1</v>
      </c>
      <c r="F106" s="5">
        <f>-0.1</f>
        <v>-0.1</v>
      </c>
      <c r="G106" s="5">
        <v>0</v>
      </c>
      <c r="H106" s="5">
        <v>0</v>
      </c>
    </row>
    <row r="107" spans="1:9" ht="15" x14ac:dyDescent="0.4">
      <c r="B107" s="6" t="s">
        <v>19</v>
      </c>
      <c r="C107" s="5">
        <f t="shared" ref="C107:H107" si="18">SUM(C101:C106)</f>
        <v>-1</v>
      </c>
      <c r="D107" s="5">
        <f t="shared" si="18"/>
        <v>-1.8000000000000003</v>
      </c>
      <c r="E107" s="5">
        <f t="shared" si="18"/>
        <v>-1.6</v>
      </c>
      <c r="F107" s="5">
        <f t="shared" si="18"/>
        <v>-2.1</v>
      </c>
      <c r="G107" s="5">
        <f t="shared" si="18"/>
        <v>-2</v>
      </c>
      <c r="H107" s="5">
        <f t="shared" si="18"/>
        <v>0</v>
      </c>
    </row>
    <row r="108" spans="1:9" ht="15" x14ac:dyDescent="0.4">
      <c r="A108" s="6" t="s">
        <v>64</v>
      </c>
      <c r="C108" s="5">
        <f t="shared" ref="C108:H108" si="19">+C99+C107</f>
        <v>-1</v>
      </c>
      <c r="D108" s="5">
        <f t="shared" si="19"/>
        <v>-1.8000000000000003</v>
      </c>
      <c r="E108" s="5">
        <f t="shared" si="19"/>
        <v>-1.6</v>
      </c>
      <c r="F108" s="5">
        <f t="shared" si="19"/>
        <v>-2.1</v>
      </c>
      <c r="G108" s="5">
        <f t="shared" si="19"/>
        <v>-2</v>
      </c>
      <c r="H108" s="5">
        <f t="shared" si="19"/>
        <v>0</v>
      </c>
    </row>
    <row r="109" spans="1:9" x14ac:dyDescent="0.25">
      <c r="C109" s="3"/>
      <c r="D109" s="3"/>
      <c r="E109" s="3"/>
      <c r="F109" s="3"/>
      <c r="G109" s="3"/>
      <c r="H109" s="3"/>
    </row>
    <row r="110" spans="1:9" ht="15" x14ac:dyDescent="0.4">
      <c r="A110" s="6" t="s">
        <v>65</v>
      </c>
      <c r="C110" s="5">
        <f t="shared" ref="C110:H110" si="20">+C41+C54+C66+C76+C86+C96+C108</f>
        <v>119.90000000000002</v>
      </c>
      <c r="D110" s="5">
        <f t="shared" si="20"/>
        <v>120.14700000000001</v>
      </c>
      <c r="E110" s="5">
        <f t="shared" si="20"/>
        <v>125.70000000000002</v>
      </c>
      <c r="F110" s="5">
        <f t="shared" si="20"/>
        <v>127.29999999999998</v>
      </c>
      <c r="G110" s="5">
        <f t="shared" si="20"/>
        <v>142.30000000000004</v>
      </c>
      <c r="H110" s="5">
        <f t="shared" si="20"/>
        <v>170.70000000000002</v>
      </c>
    </row>
    <row r="111" spans="1:9" x14ac:dyDescent="0.25">
      <c r="C111" s="3"/>
      <c r="D111" s="3"/>
      <c r="E111" s="3"/>
      <c r="F111" s="3"/>
      <c r="G111" s="3"/>
      <c r="H111" s="3"/>
    </row>
    <row r="112" spans="1:9" x14ac:dyDescent="0.25">
      <c r="A112" s="6" t="s">
        <v>66</v>
      </c>
      <c r="C112" s="3"/>
      <c r="D112" s="3"/>
      <c r="E112" s="3"/>
      <c r="F112" s="3"/>
      <c r="G112" s="3"/>
      <c r="H112" s="3"/>
    </row>
    <row r="113" spans="2:8" x14ac:dyDescent="0.25">
      <c r="B113" t="s">
        <v>67</v>
      </c>
      <c r="C113" s="3"/>
      <c r="D113" s="3"/>
      <c r="E113" s="3"/>
      <c r="F113" s="3"/>
      <c r="G113" s="3"/>
      <c r="H113" s="3"/>
    </row>
    <row r="114" spans="2:8" x14ac:dyDescent="0.25">
      <c r="B114" t="s">
        <v>68</v>
      </c>
      <c r="C114" s="3">
        <f>-2.4</f>
        <v>-2.4</v>
      </c>
      <c r="D114" s="3">
        <f>-1.9</f>
        <v>-1.9</v>
      </c>
      <c r="E114" s="3">
        <f>-1.9</f>
        <v>-1.9</v>
      </c>
      <c r="F114" s="3">
        <f>-1.9</f>
        <v>-1.9</v>
      </c>
      <c r="G114" s="3">
        <f>-1.9</f>
        <v>-1.9</v>
      </c>
      <c r="H114" s="3">
        <v>0</v>
      </c>
    </row>
    <row r="115" spans="2:8" x14ac:dyDescent="0.25">
      <c r="B115" t="s">
        <v>69</v>
      </c>
      <c r="C115" s="11">
        <f>-0.4-0.1-0.9+0.2+0.3-1.9-0.1-0.3-0.2+0.1</f>
        <v>-3.3</v>
      </c>
      <c r="D115" s="11">
        <f>-1.1-0.1-1.4-0.4-0.2</f>
        <v>-3.2</v>
      </c>
      <c r="E115" s="11">
        <f>-1.9-1.8-0.3</f>
        <v>-4</v>
      </c>
      <c r="F115" s="11">
        <f>-3.9-0.3+0.2+0.2</f>
        <v>-3.8</v>
      </c>
      <c r="G115" s="11">
        <f>-3.5-0.4</f>
        <v>-3.9</v>
      </c>
      <c r="H115" s="11">
        <v>0</v>
      </c>
    </row>
    <row r="116" spans="2:8" x14ac:dyDescent="0.25">
      <c r="B116" t="s">
        <v>102</v>
      </c>
      <c r="C116" s="11">
        <f>-0.2</f>
        <v>-0.2</v>
      </c>
      <c r="D116" s="11">
        <f>-0.1</f>
        <v>-0.1</v>
      </c>
      <c r="E116" s="11">
        <f>-0.2</f>
        <v>-0.2</v>
      </c>
      <c r="F116" s="11">
        <f>-0.2</f>
        <v>-0.2</v>
      </c>
      <c r="G116" s="11">
        <f>-0.2</f>
        <v>-0.2</v>
      </c>
      <c r="H116" s="11"/>
    </row>
    <row r="117" spans="2:8" x14ac:dyDescent="0.25">
      <c r="B117" t="s">
        <v>103</v>
      </c>
      <c r="C117" s="11">
        <f>-0.5</f>
        <v>-0.5</v>
      </c>
      <c r="D117" s="11">
        <f>-0.5</f>
        <v>-0.5</v>
      </c>
      <c r="E117" s="11">
        <f>-0.5</f>
        <v>-0.5</v>
      </c>
      <c r="F117" s="11">
        <f>-0.5</f>
        <v>-0.5</v>
      </c>
      <c r="G117" s="11">
        <f>-0.4</f>
        <v>-0.4</v>
      </c>
      <c r="H117" s="11"/>
    </row>
    <row r="118" spans="2:8" x14ac:dyDescent="0.25">
      <c r="B118" t="s">
        <v>100</v>
      </c>
      <c r="C118" s="11">
        <f>0</f>
        <v>0</v>
      </c>
      <c r="D118" s="11">
        <f>-0.1</f>
        <v>-0.1</v>
      </c>
      <c r="E118" s="11">
        <f>-0.4</f>
        <v>-0.4</v>
      </c>
      <c r="F118" s="11">
        <f>-0.4</f>
        <v>-0.4</v>
      </c>
      <c r="G118" s="11">
        <f>-0.4</f>
        <v>-0.4</v>
      </c>
      <c r="H118" s="11"/>
    </row>
    <row r="119" spans="2:8" ht="15" x14ac:dyDescent="0.4">
      <c r="B119" t="s">
        <v>105</v>
      </c>
      <c r="C119" s="5">
        <v>3</v>
      </c>
      <c r="D119" s="5">
        <f>0</f>
        <v>0</v>
      </c>
      <c r="E119" s="5">
        <f>0</f>
        <v>0</v>
      </c>
      <c r="F119" s="5">
        <f>0</f>
        <v>0</v>
      </c>
      <c r="G119" s="5">
        <f>0</f>
        <v>0</v>
      </c>
      <c r="H119" s="5"/>
    </row>
    <row r="120" spans="2:8" x14ac:dyDescent="0.25">
      <c r="B120" t="s">
        <v>80</v>
      </c>
      <c r="C120" s="3">
        <f>SUM(C114:C119)</f>
        <v>-3.3999999999999995</v>
      </c>
      <c r="D120" s="3">
        <f>SUM(D114:D119)</f>
        <v>-5.7999999999999989</v>
      </c>
      <c r="E120" s="3">
        <f>SUM(E114:E119)</f>
        <v>-7.0000000000000009</v>
      </c>
      <c r="F120" s="3">
        <f>SUM(F114:F119)</f>
        <v>-6.8</v>
      </c>
      <c r="G120" s="3">
        <f>SUM(G114:G119)</f>
        <v>-6.8000000000000007</v>
      </c>
      <c r="H120" s="3">
        <f>SUM(H114:H115)</f>
        <v>0</v>
      </c>
    </row>
    <row r="121" spans="2:8" x14ac:dyDescent="0.25">
      <c r="B121" t="s">
        <v>75</v>
      </c>
      <c r="C121" s="3">
        <v>-18.2</v>
      </c>
      <c r="D121" s="3">
        <v>-19</v>
      </c>
      <c r="E121" s="3">
        <v>-19.5</v>
      </c>
      <c r="F121" s="3">
        <v>-20.5</v>
      </c>
      <c r="G121" s="3">
        <v>-22</v>
      </c>
      <c r="H121" s="3">
        <v>0</v>
      </c>
    </row>
    <row r="122" spans="2:8" x14ac:dyDescent="0.25">
      <c r="B122" t="s">
        <v>106</v>
      </c>
      <c r="C122" s="3"/>
      <c r="D122" s="3"/>
      <c r="E122" s="3">
        <f>-0.2</f>
        <v>-0.2</v>
      </c>
      <c r="F122" s="3">
        <f>-0.2</f>
        <v>-0.2</v>
      </c>
      <c r="G122" s="3">
        <f>-0.2</f>
        <v>-0.2</v>
      </c>
      <c r="H122" s="3"/>
    </row>
    <row r="123" spans="2:8" x14ac:dyDescent="0.25">
      <c r="B123" t="s">
        <v>122</v>
      </c>
      <c r="C123" s="3"/>
      <c r="D123" s="3"/>
      <c r="E123" s="3">
        <v>0.2</v>
      </c>
      <c r="F123" s="3"/>
      <c r="G123" s="3"/>
      <c r="H123" s="3"/>
    </row>
    <row r="124" spans="2:8" x14ac:dyDescent="0.25">
      <c r="B124" t="s">
        <v>76</v>
      </c>
      <c r="C124" s="3"/>
      <c r="D124" s="3"/>
      <c r="E124" s="3"/>
      <c r="F124" s="3"/>
      <c r="G124" s="3"/>
      <c r="H124" s="3"/>
    </row>
    <row r="125" spans="2:8" x14ac:dyDescent="0.25">
      <c r="B125" t="s">
        <v>77</v>
      </c>
      <c r="C125" s="3">
        <v>-8.6</v>
      </c>
      <c r="D125" s="3">
        <v>-9.1999999999999993</v>
      </c>
      <c r="E125" s="3">
        <v>-8.6999999999999993</v>
      </c>
      <c r="F125" s="3">
        <v>-8.5</v>
      </c>
      <c r="G125" s="3">
        <v>-9</v>
      </c>
      <c r="H125" s="3">
        <v>0</v>
      </c>
    </row>
    <row r="126" spans="2:8" ht="15" x14ac:dyDescent="0.4">
      <c r="B126" t="s">
        <v>78</v>
      </c>
      <c r="C126" s="5">
        <v>-2.2000000000000002</v>
      </c>
      <c r="D126" s="5">
        <v>-1.9</v>
      </c>
      <c r="E126" s="5">
        <v>-2.2000000000000002</v>
      </c>
      <c r="F126" s="5">
        <v>-2.4</v>
      </c>
      <c r="G126" s="5">
        <v>-2.5</v>
      </c>
      <c r="H126" s="5">
        <v>0</v>
      </c>
    </row>
    <row r="127" spans="2:8" ht="15" x14ac:dyDescent="0.4">
      <c r="B127" t="s">
        <v>79</v>
      </c>
      <c r="C127" s="5">
        <f t="shared" ref="C127:H127" si="21">SUM(C125:C126)</f>
        <v>-10.8</v>
      </c>
      <c r="D127" s="5">
        <f t="shared" si="21"/>
        <v>-11.1</v>
      </c>
      <c r="E127" s="5">
        <f t="shared" si="21"/>
        <v>-10.899999999999999</v>
      </c>
      <c r="F127" s="5">
        <f t="shared" si="21"/>
        <v>-10.9</v>
      </c>
      <c r="G127" s="5">
        <f t="shared" si="21"/>
        <v>-11.5</v>
      </c>
      <c r="H127" s="5">
        <f t="shared" si="21"/>
        <v>0</v>
      </c>
    </row>
    <row r="128" spans="2:8" ht="15" x14ac:dyDescent="0.4">
      <c r="B128" s="6" t="s">
        <v>88</v>
      </c>
      <c r="C128" s="5">
        <f t="shared" ref="C128:H128" si="22">+C120+C121+C127</f>
        <v>-32.4</v>
      </c>
      <c r="D128" s="5">
        <f t="shared" si="22"/>
        <v>-35.9</v>
      </c>
      <c r="E128" s="5">
        <f t="shared" si="22"/>
        <v>-37.4</v>
      </c>
      <c r="F128" s="5">
        <f t="shared" si="22"/>
        <v>-38.200000000000003</v>
      </c>
      <c r="G128" s="5">
        <f t="shared" si="22"/>
        <v>-40.299999999999997</v>
      </c>
      <c r="H128" s="5">
        <f t="shared" si="22"/>
        <v>0</v>
      </c>
    </row>
    <row r="129" spans="1:8" x14ac:dyDescent="0.25">
      <c r="B129" s="6"/>
      <c r="C129" s="3"/>
      <c r="D129" s="3"/>
      <c r="E129" s="3"/>
      <c r="F129" s="3"/>
      <c r="G129" s="3"/>
      <c r="H129" s="3"/>
    </row>
    <row r="130" spans="1:8" x14ac:dyDescent="0.25">
      <c r="A130" s="6" t="s">
        <v>81</v>
      </c>
      <c r="C130" s="3"/>
      <c r="D130" s="3"/>
      <c r="E130" s="3"/>
      <c r="F130" s="3"/>
      <c r="G130" s="3"/>
      <c r="H130" s="3"/>
    </row>
    <row r="131" spans="1:8" x14ac:dyDescent="0.25">
      <c r="B131" t="s">
        <v>82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x14ac:dyDescent="0.25">
      <c r="B134" t="s">
        <v>85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 ht="15" x14ac:dyDescent="0.4">
      <c r="B135" t="s">
        <v>7</v>
      </c>
      <c r="C135" s="5">
        <v>0.5</v>
      </c>
      <c r="D135" s="5">
        <v>0.6</v>
      </c>
      <c r="E135" s="5">
        <f>2.3+0.3</f>
        <v>2.5999999999999996</v>
      </c>
      <c r="F135" s="5">
        <v>0.4</v>
      </c>
      <c r="G135" s="5">
        <v>0</v>
      </c>
      <c r="H135" s="5">
        <v>0</v>
      </c>
    </row>
    <row r="136" spans="1:8" ht="15" x14ac:dyDescent="0.4">
      <c r="B136" t="s">
        <v>86</v>
      </c>
      <c r="C136" s="5">
        <f t="shared" ref="C136:H136" si="23">SUM(C131:C135)</f>
        <v>0.5</v>
      </c>
      <c r="D136" s="5">
        <f t="shared" si="23"/>
        <v>0.6</v>
      </c>
      <c r="E136" s="5">
        <f t="shared" si="23"/>
        <v>2.5999999999999996</v>
      </c>
      <c r="F136" s="5">
        <f t="shared" si="23"/>
        <v>0.4</v>
      </c>
      <c r="G136" s="5">
        <f t="shared" si="23"/>
        <v>0</v>
      </c>
      <c r="H136" s="5">
        <f t="shared" si="23"/>
        <v>0</v>
      </c>
    </row>
    <row r="137" spans="1:8" x14ac:dyDescent="0.25">
      <c r="C137" s="3"/>
      <c r="D137" s="3"/>
      <c r="E137" s="3"/>
      <c r="F137" s="3"/>
      <c r="G137" s="3"/>
      <c r="H137" s="3"/>
    </row>
    <row r="138" spans="1:8" x14ac:dyDescent="0.25">
      <c r="A138" s="6" t="s">
        <v>87</v>
      </c>
      <c r="C138" s="3">
        <f t="shared" ref="C138:H138" si="24">+C110+C128+C136</f>
        <v>88.000000000000028</v>
      </c>
      <c r="D138" s="3">
        <f t="shared" si="24"/>
        <v>84.847000000000008</v>
      </c>
      <c r="E138" s="3">
        <f t="shared" si="24"/>
        <v>90.9</v>
      </c>
      <c r="F138" s="3">
        <f t="shared" si="24"/>
        <v>89.499999999999986</v>
      </c>
      <c r="G138" s="3">
        <f t="shared" si="24"/>
        <v>102.00000000000004</v>
      </c>
      <c r="H138" s="3">
        <f t="shared" si="24"/>
        <v>170.70000000000002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workbookViewId="0">
      <selection activeCell="G143" sqref="G143"/>
    </sheetView>
  </sheetViews>
  <sheetFormatPr defaultRowHeight="13.2" x14ac:dyDescent="0.25"/>
  <cols>
    <col min="1" max="1" width="5.6640625" customWidth="1"/>
    <col min="2" max="2" width="28.109375" bestFit="1" customWidth="1"/>
  </cols>
  <sheetData>
    <row r="1" spans="1:8" x14ac:dyDescent="0.25">
      <c r="A1" s="6" t="s">
        <v>28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5">
      <c r="A7" s="7"/>
      <c r="B7" s="7" t="s">
        <v>41</v>
      </c>
      <c r="D7" s="3"/>
      <c r="E7" s="3"/>
      <c r="F7" s="3"/>
      <c r="G7" s="3"/>
      <c r="H7" s="3"/>
    </row>
    <row r="8" spans="1:8" x14ac:dyDescent="0.25">
      <c r="A8" s="7"/>
      <c r="B8" s="7" t="s">
        <v>42</v>
      </c>
      <c r="D8" s="3"/>
      <c r="E8" s="3"/>
      <c r="F8" s="3"/>
      <c r="G8" s="3"/>
      <c r="H8" s="3"/>
    </row>
    <row r="9" spans="1:8" x14ac:dyDescent="0.25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5">
      <c r="A10" s="7"/>
      <c r="B10" s="7" t="s">
        <v>41</v>
      </c>
      <c r="D10" s="3"/>
      <c r="E10" s="3"/>
      <c r="F10" s="3"/>
      <c r="G10" s="3"/>
      <c r="H10" s="3"/>
    </row>
    <row r="11" spans="1:8" x14ac:dyDescent="0.25">
      <c r="A11" s="7"/>
      <c r="B11" s="7" t="s">
        <v>42</v>
      </c>
      <c r="D11" s="3"/>
      <c r="E11" s="3"/>
      <c r="F11" s="3"/>
      <c r="G11" s="3"/>
      <c r="H11" s="3"/>
    </row>
    <row r="12" spans="1:8" x14ac:dyDescent="0.25">
      <c r="A12" s="7"/>
      <c r="B12" s="7" t="s">
        <v>72</v>
      </c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D13" s="3"/>
      <c r="E13" s="3"/>
      <c r="F13" s="3"/>
      <c r="G13" s="3"/>
      <c r="H13" s="3"/>
    </row>
    <row r="14" spans="1:8" x14ac:dyDescent="0.25">
      <c r="A14" s="7"/>
      <c r="B14" s="7" t="s">
        <v>42</v>
      </c>
      <c r="D14" s="3"/>
      <c r="E14" s="3"/>
      <c r="F14" s="3"/>
      <c r="G14" s="3"/>
      <c r="H14" s="3"/>
    </row>
    <row r="15" spans="1:8" x14ac:dyDescent="0.25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5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17" x14ac:dyDescent="0.25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17" x14ac:dyDescent="0.25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  <c r="J18" s="7"/>
      <c r="K18" s="7"/>
      <c r="M18" s="3"/>
      <c r="N18" s="3"/>
      <c r="O18" s="3"/>
      <c r="P18" s="3"/>
      <c r="Q18" s="3"/>
    </row>
    <row r="19" spans="1:17" x14ac:dyDescent="0.25">
      <c r="A19" s="6" t="s">
        <v>8</v>
      </c>
      <c r="C19" s="3"/>
      <c r="D19" s="3"/>
      <c r="E19" s="3"/>
      <c r="F19" s="3"/>
      <c r="G19" s="3"/>
      <c r="H19" s="3"/>
      <c r="J19" s="7"/>
      <c r="L19" s="4"/>
      <c r="M19" s="4"/>
      <c r="N19" s="4"/>
      <c r="O19" s="4"/>
      <c r="P19" s="4"/>
      <c r="Q19" s="4"/>
    </row>
    <row r="20" spans="1:17" x14ac:dyDescent="0.25">
      <c r="B20" t="s">
        <v>74</v>
      </c>
      <c r="C20" s="3">
        <v>0</v>
      </c>
      <c r="D20" s="3"/>
      <c r="E20" s="3"/>
      <c r="F20" s="3"/>
      <c r="G20" s="3"/>
      <c r="H20" s="3"/>
    </row>
    <row r="21" spans="1:17" x14ac:dyDescent="0.25">
      <c r="B21" t="s">
        <v>10</v>
      </c>
      <c r="C21" s="3">
        <v>0</v>
      </c>
      <c r="D21" s="3"/>
      <c r="E21" s="3"/>
      <c r="F21" s="3"/>
      <c r="G21" s="3"/>
      <c r="H21" s="3"/>
    </row>
    <row r="22" spans="1:17" x14ac:dyDescent="0.25">
      <c r="B22" t="s">
        <v>11</v>
      </c>
      <c r="C22" s="3">
        <v>0</v>
      </c>
      <c r="D22" s="3"/>
      <c r="E22" s="3"/>
      <c r="F22" s="3"/>
      <c r="G22" s="3"/>
      <c r="H22" s="3"/>
    </row>
    <row r="23" spans="1:17" x14ac:dyDescent="0.25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17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17" ht="15" x14ac:dyDescent="0.4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17" x14ac:dyDescent="0.25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17" x14ac:dyDescent="0.25">
      <c r="A27" s="6" t="s">
        <v>20</v>
      </c>
      <c r="C27" s="3"/>
      <c r="D27" s="3"/>
      <c r="E27" s="3"/>
      <c r="F27" s="3"/>
      <c r="G27" s="3"/>
      <c r="H27" s="3"/>
    </row>
    <row r="28" spans="1:17" x14ac:dyDescent="0.25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17" x14ac:dyDescent="0.25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17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17" ht="15" x14ac:dyDescent="0.4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17" ht="15" x14ac:dyDescent="0.4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pageSetup orientation="portrait" horizontalDpi="1200" verticalDpi="1200" r:id="rId1"/>
  <headerFooter alignWithMargins="0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>
      <selection activeCell="A6" sqref="A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98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C6" s="3"/>
      <c r="D6" s="3"/>
      <c r="E6" s="3"/>
      <c r="F6" s="3"/>
      <c r="G6" s="3"/>
      <c r="H6" s="3"/>
    </row>
    <row r="7" spans="1:8" x14ac:dyDescent="0.25">
      <c r="A7" s="7"/>
      <c r="B7" s="7" t="s">
        <v>41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s="7"/>
      <c r="B8" s="7" t="s">
        <v>42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7"/>
      <c r="B9" s="7" t="s">
        <v>33</v>
      </c>
      <c r="C9" s="3"/>
      <c r="D9" s="3"/>
      <c r="E9" s="3"/>
      <c r="F9" s="3"/>
      <c r="G9" s="3"/>
      <c r="H9" s="3"/>
    </row>
    <row r="10" spans="1:8" x14ac:dyDescent="0.25">
      <c r="A10" s="7"/>
      <c r="B10" s="7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5">
      <c r="A11" s="7"/>
      <c r="B11" s="7" t="s">
        <v>42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7"/>
      <c r="B12" s="7" t="s">
        <v>72</v>
      </c>
      <c r="C12" s="3"/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7"/>
      <c r="B14" s="7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7"/>
      <c r="B15" s="7" t="s">
        <v>73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7"/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7"/>
      <c r="B17" s="7" t="s">
        <v>35</v>
      </c>
      <c r="C17" s="3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25">
      <c r="A18" s="6"/>
      <c r="B18" s="10" t="s">
        <v>25</v>
      </c>
      <c r="C18" s="3"/>
      <c r="D18" s="3">
        <f>SUM(D5:D17)</f>
        <v>0</v>
      </c>
      <c r="E18" s="3">
        <f>SUM(E5:E17)</f>
        <v>0</v>
      </c>
      <c r="F18" s="3">
        <f>SUM(F5:F17)</f>
        <v>0</v>
      </c>
      <c r="G18" s="3">
        <f>SUM(G5:G17)</f>
        <v>0</v>
      </c>
      <c r="H18" s="3">
        <f>SUM(H5:H17)</f>
        <v>0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5"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5"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B23" t="s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f t="shared" si="2"/>
        <v>0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0</v>
      </c>
      <c r="E32" s="5">
        <f t="shared" si="3"/>
        <v>0</v>
      </c>
      <c r="F32" s="5">
        <f t="shared" si="3"/>
        <v>0</v>
      </c>
      <c r="G32" s="5">
        <f t="shared" si="3"/>
        <v>0</v>
      </c>
      <c r="H32" s="5">
        <f t="shared" si="3"/>
        <v>0</v>
      </c>
    </row>
    <row r="33" spans="1:8" x14ac:dyDescent="0.25">
      <c r="C33" s="3"/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0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</v>
      </c>
      <c r="E56" s="5">
        <f t="shared" si="8"/>
        <v>0</v>
      </c>
      <c r="F56" s="5">
        <f t="shared" si="8"/>
        <v>0</v>
      </c>
      <c r="G56" s="5">
        <f t="shared" si="8"/>
        <v>0</v>
      </c>
      <c r="H56" s="5">
        <f t="shared" si="8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0</v>
      </c>
      <c r="E73" s="5">
        <f>+E66+E72+E59</f>
        <v>0</v>
      </c>
      <c r="F73" s="5">
        <f>+F66+F72+F59</f>
        <v>0</v>
      </c>
      <c r="G73" s="5">
        <f>+G66+G72+G59</f>
        <v>0</v>
      </c>
      <c r="H73" s="5">
        <f>+H66+H72+H59</f>
        <v>0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0</v>
      </c>
      <c r="E115" s="5">
        <f t="shared" si="19"/>
        <v>0</v>
      </c>
      <c r="F115" s="5">
        <f t="shared" si="19"/>
        <v>0</v>
      </c>
      <c r="G115" s="5">
        <f t="shared" si="19"/>
        <v>0</v>
      </c>
      <c r="H115" s="5">
        <f t="shared" si="19"/>
        <v>0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0</v>
      </c>
      <c r="E137" s="5">
        <f t="shared" si="24"/>
        <v>0</v>
      </c>
      <c r="F137" s="5">
        <f t="shared" si="24"/>
        <v>0</v>
      </c>
      <c r="G137" s="5">
        <f t="shared" si="24"/>
        <v>0</v>
      </c>
      <c r="H137" s="5">
        <f t="shared" si="24"/>
        <v>0</v>
      </c>
    </row>
    <row r="138" spans="1:8" x14ac:dyDescent="0.25">
      <c r="C138" s="3"/>
    </row>
    <row r="139" spans="1:8" x14ac:dyDescent="0.25">
      <c r="C139" s="3"/>
    </row>
    <row r="140" spans="1:8" x14ac:dyDescent="0.25">
      <c r="C140" s="3"/>
    </row>
    <row r="141" spans="1:8" x14ac:dyDescent="0.25">
      <c r="C141" s="3"/>
    </row>
    <row r="142" spans="1:8" x14ac:dyDescent="0.25">
      <c r="C142" s="3"/>
    </row>
    <row r="143" spans="1:8" x14ac:dyDescent="0.25">
      <c r="C143" s="3"/>
    </row>
    <row r="144" spans="1:8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" workbookViewId="0">
      <selection activeCell="B6" sqref="B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28</v>
      </c>
    </row>
    <row r="2" spans="1:8" x14ac:dyDescent="0.25">
      <c r="A2" s="6" t="s">
        <v>97</v>
      </c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5">
      <c r="A7" s="7"/>
      <c r="B7" s="7" t="s">
        <v>41</v>
      </c>
      <c r="D7" s="3"/>
      <c r="E7" s="3"/>
      <c r="F7" s="3"/>
      <c r="G7" s="3"/>
      <c r="H7" s="3"/>
    </row>
    <row r="8" spans="1:8" x14ac:dyDescent="0.25">
      <c r="A8" s="7"/>
      <c r="B8" s="7" t="s">
        <v>42</v>
      </c>
      <c r="D8" s="3"/>
      <c r="E8" s="3"/>
      <c r="F8" s="3"/>
      <c r="G8" s="3"/>
      <c r="H8" s="3"/>
    </row>
    <row r="9" spans="1:8" x14ac:dyDescent="0.25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5">
      <c r="A10" s="7"/>
      <c r="B10" s="7" t="s">
        <v>41</v>
      </c>
      <c r="D10" s="3"/>
      <c r="E10" s="3"/>
      <c r="F10" s="3"/>
      <c r="G10" s="3"/>
      <c r="H10" s="3"/>
    </row>
    <row r="11" spans="1:8" x14ac:dyDescent="0.25">
      <c r="A11" s="7"/>
      <c r="B11" s="7" t="s">
        <v>42</v>
      </c>
      <c r="D11" s="3"/>
      <c r="E11" s="3"/>
      <c r="F11" s="3"/>
      <c r="G11" s="3"/>
      <c r="H11" s="3"/>
    </row>
    <row r="12" spans="1:8" x14ac:dyDescent="0.25">
      <c r="A12" s="7"/>
      <c r="B12" s="7" t="s">
        <v>72</v>
      </c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D13" s="3"/>
      <c r="E13" s="3"/>
      <c r="F13" s="3"/>
      <c r="G13" s="3"/>
      <c r="H13" s="3"/>
    </row>
    <row r="14" spans="1:8" x14ac:dyDescent="0.25">
      <c r="A14" s="7"/>
      <c r="B14" s="7" t="s">
        <v>42</v>
      </c>
      <c r="D14" s="3"/>
      <c r="E14" s="3"/>
      <c r="F14" s="3"/>
      <c r="G14" s="3"/>
      <c r="H14" s="3"/>
    </row>
    <row r="15" spans="1:8" x14ac:dyDescent="0.25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5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8" x14ac:dyDescent="0.25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8" x14ac:dyDescent="0.25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/>
      <c r="E20" s="3"/>
      <c r="F20" s="3"/>
      <c r="G20" s="3"/>
      <c r="H20" s="3"/>
    </row>
    <row r="21" spans="1:8" x14ac:dyDescent="0.25">
      <c r="B21" t="s">
        <v>10</v>
      </c>
      <c r="C21" s="3">
        <v>0</v>
      </c>
      <c r="D21" s="3"/>
      <c r="E21" s="3"/>
      <c r="F21" s="3"/>
      <c r="G21" s="3"/>
      <c r="H21" s="3"/>
    </row>
    <row r="22" spans="1:8" x14ac:dyDescent="0.25">
      <c r="B22" t="s">
        <v>11</v>
      </c>
      <c r="C22" s="3">
        <v>0</v>
      </c>
      <c r="D22" s="3"/>
      <c r="E22" s="3"/>
      <c r="F22" s="3"/>
      <c r="G22" s="3"/>
      <c r="H22" s="3"/>
    </row>
    <row r="23" spans="1:8" x14ac:dyDescent="0.25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NNG</vt:lpstr>
      <vt:lpstr>TW</vt:lpstr>
      <vt:lpstr>Citrus</vt:lpstr>
      <vt:lpstr>NB</vt:lpstr>
      <vt:lpstr>CF</vt:lpstr>
      <vt:lpstr>TW!Print_Area</vt:lpstr>
      <vt:lpstr>NNG!Print_Titles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Havlíček Jan</cp:lastModifiedBy>
  <cp:lastPrinted>2000-10-04T21:10:10Z</cp:lastPrinted>
  <dcterms:created xsi:type="dcterms:W3CDTF">2000-09-26T12:56:26Z</dcterms:created>
  <dcterms:modified xsi:type="dcterms:W3CDTF">2023-09-10T12:04:47Z</dcterms:modified>
</cp:coreProperties>
</file>