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xl/drawings/drawing8.xml" ContentType="application/vnd.openxmlformats-officedocument.drawing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4320" windowWidth="12120" windowHeight="4380" tabRatio="771" firstSheet="1" activeTab="1"/>
  </bookViews>
  <sheets>
    <sheet name="Explaination about this model" sheetId="39" r:id="rId1"/>
    <sheet name="Assumptions" sheetId="24" r:id="rId2"/>
    <sheet name="Summary" sheetId="38" r:id="rId3"/>
    <sheet name="Lev. Consolid" sheetId="37" r:id="rId4"/>
    <sheet name="Unlev. Consolid" sheetId="9" r:id="rId5"/>
    <sheet name="Asset 1" sheetId="26" r:id="rId6"/>
    <sheet name="Asset 2" sheetId="34" r:id="rId7"/>
    <sheet name="Asset 3" sheetId="35" r:id="rId8"/>
    <sheet name="Asset 4" sheetId="41" r:id="rId9"/>
    <sheet name="Asset 5" sheetId="42" r:id="rId10"/>
    <sheet name="Asset 6" sheetId="43" r:id="rId11"/>
    <sheet name="Cons. BS" sheetId="12" r:id="rId12"/>
  </sheets>
  <externalReferences>
    <externalReference r:id="rId13"/>
    <externalReference r:id="rId14"/>
    <externalReference r:id="rId15"/>
    <externalReference r:id="rId16"/>
  </externalReferences>
  <definedNames>
    <definedName name="AACFHDRCOL">[1]JuneYTD!#REF!</definedName>
    <definedName name="AACFHDRROW">[1]JuneYTD!#REF!</definedName>
    <definedName name="AACFWKS">[1]JuneYTD!#REF!</definedName>
    <definedName name="AACFWKS1">[1]JuneYTD!#REF!</definedName>
    <definedName name="AACFWKS2">[1]JuneYTD!#REF!</definedName>
    <definedName name="AAWSSIDEWAYS">[1]JuneYTD!#REF!</definedName>
    <definedName name="ADJUSTMENTS">[1]JuneYTD!#REF!</definedName>
    <definedName name="AgLoop">[2]Agave!$J$50</definedName>
    <definedName name="AgPurPrice">[2]Agave!$K$50</definedName>
    <definedName name="ArkDRate">#REF!</definedName>
    <definedName name="ArkLoop">#REF!</definedName>
    <definedName name="ArkNPVPrice">#REF!</definedName>
    <definedName name="ArkPurPrice">#REF!</definedName>
    <definedName name="ARLoop">'[4]Antelope Ridge'!$J$73</definedName>
    <definedName name="ARPurPrice">'[4]Antelope Ridge'!$K$73</definedName>
    <definedName name="Asset1Drate">'Asset 1'!$L$34</definedName>
    <definedName name="Asset1Loop">'Asset 1'!$F$36</definedName>
    <definedName name="Asset1NPVPrice">'Asset 1'!$L$36</definedName>
    <definedName name="Asset1PurPrice">'Asset 1'!$G$36</definedName>
    <definedName name="Asset2DRate">'Asset 2'!$L$34</definedName>
    <definedName name="Asset2Loop">'Asset 2'!$F$36</definedName>
    <definedName name="Asset2NPVPrice">'Asset 2'!$L$36</definedName>
    <definedName name="Asset2PurPrice">'Asset 2'!$G$36</definedName>
    <definedName name="Asset3DRate">'Asset 3'!$L$34</definedName>
    <definedName name="Asset3Loop">'Asset 3'!$F$36</definedName>
    <definedName name="Asset3NPVPrice">'Asset 3'!$L$36</definedName>
    <definedName name="Asset3PurPrice">'Asset 3'!$G$36</definedName>
    <definedName name="Asset4DRate">'Asset 4'!$L$34</definedName>
    <definedName name="Asset4Loop">'Asset 4'!$F$36</definedName>
    <definedName name="Asset4NPVPrice">'Asset 4'!$L$36</definedName>
    <definedName name="Asset4PurPrice">'Asset 4'!$G$36</definedName>
    <definedName name="Asset5DRate">'Asset 5'!$L$34</definedName>
    <definedName name="Asset5Loop">'Asset 5'!$F$36</definedName>
    <definedName name="Asset5NPVPrice">'Asset 5'!$L$36</definedName>
    <definedName name="Asset5PurPrice">'Asset 5'!$G$36</definedName>
    <definedName name="Asset6DRate">'Asset 6'!$L$34</definedName>
    <definedName name="Asset6Loop">'Asset 6'!$F$36</definedName>
    <definedName name="Asset6NPVPrice">'Asset 6'!$L$36</definedName>
    <definedName name="Asset6PurPrice">'Asset 6'!$G$36</definedName>
    <definedName name="ASSETS">[1]JuneYTD!#REF!</definedName>
    <definedName name="AWAACF">[1]JuneYTD!#REF!</definedName>
    <definedName name="AWBALSHT">[1]JuneYTD!#REF!</definedName>
    <definedName name="AWCFWKS">[1]JuneYTD!#REF!</definedName>
    <definedName name="AWGRPCF">[1]JuneYTD!#REF!</definedName>
    <definedName name="AWGRPCF_BRDR">[1]JuneYTD!#REF!</definedName>
    <definedName name="BALSHT">[1]JuneYTD!#REF!</definedName>
    <definedName name="BB">[1]JuneYTD!#REF!</definedName>
    <definedName name="BBK">[1]JuneYTD!#REF!</definedName>
    <definedName name="_BBK1">[1]JuneYTD!#REF!</definedName>
    <definedName name="BBTITLE">[1]JuneYTD!#REF!</definedName>
    <definedName name="BLANK">[1]JuneYTD!#REF!</definedName>
    <definedName name="BLANK1">[1]JuneYTD!#REF!</definedName>
    <definedName name="BORDERC">[1]JuneYTD!#REF!</definedName>
    <definedName name="BORDERC1">[1]JuneYTD!#REF!</definedName>
    <definedName name="BORDERCAAWP">[1]JuneYTD!#REF!</definedName>
    <definedName name="BORDERNONCUR">[1]JuneYTD!#REF!</definedName>
    <definedName name="BORDERR">[1]JuneYTD!#REF!</definedName>
    <definedName name="BORDERR1">[1]JuneYTD!#REF!</definedName>
    <definedName name="BORDERRAAWP">[1]JuneYTD!#REF!</definedName>
    <definedName name="BORDERRWWAP">[1]JuneYTD!#REF!</definedName>
    <definedName name="BS_TitleRow">[1]JuneYTD!#REF!</definedName>
    <definedName name="BSTITLE">[1]JuneYTD!#REF!</definedName>
    <definedName name="BSTITLE1">[1]JuneYTD!#REF!</definedName>
    <definedName name="CASHFLOW">[1]JuneYTD!#REF!</definedName>
    <definedName name="CASHFLOW1">[1]JuneYTD!#REF!</definedName>
    <definedName name="CATEGORY">[1]JuneYTD!#REF!</definedName>
    <definedName name="CATEGORY2">[1]JuneYTD!#REF!</definedName>
    <definedName name="CDRate">'Unlev. Consolid'!$N$61</definedName>
    <definedName name="CF">[1]JuneYTD!#REF!</definedName>
    <definedName name="CF_WKS_TitleRow">[1]JuneYTD!#REF!</definedName>
    <definedName name="CFTITLE">[1]JuneYTD!#REF!</definedName>
    <definedName name="CFTITLE1">[1]JuneYTD!#REF!</definedName>
    <definedName name="CHGNONCUR">[1]JuneYTD!#REF!</definedName>
    <definedName name="CLoop">'Unlev. Consolid'!$I$63</definedName>
    <definedName name="CM">[1]JuneYTD!#REF!</definedName>
    <definedName name="CNPVPrice">'Unlev. Consolid'!$N$63</definedName>
    <definedName name="ConsDRate">Assumptions!$D$21</definedName>
    <definedName name="CPurPrice">'Unlev. Consolid'!$J$63</definedName>
    <definedName name="CurrentGasPrice">'Cons. BS'!#REF!</definedName>
    <definedName name="DATE1">[1]JuneYTD!#REF!</definedName>
    <definedName name="DATE2">[1]JuneYTD!#REF!</definedName>
    <definedName name="DATE3">[1]JuneYTD!#REF!</definedName>
    <definedName name="DATE4">[1]JuneYTD!#REF!</definedName>
    <definedName name="DATEPRYR">[1]JuneYTD!#REF!</definedName>
    <definedName name="DESC">[1]JuneYTD!#REF!</definedName>
    <definedName name="ELoop">[2]Enron!$J$50</definedName>
    <definedName name="EPurPrice">[2]Enron!$K$50</definedName>
    <definedName name="FSDRate">#REF!</definedName>
    <definedName name="FSLoop">#REF!</definedName>
    <definedName name="FSNPVPrice">#REF!</definedName>
    <definedName name="FSPurPrice">#REF!</definedName>
    <definedName name="GROUP">[1]JuneYTD!#REF!</definedName>
    <definedName name="GROUPYTD">[1]JuneYTD!#REF!</definedName>
    <definedName name="GrpPrtRng">[1]JuneYTD!#REF!</definedName>
    <definedName name="GRPTITLE">[1]JuneYTD!#REF!</definedName>
    <definedName name="GRPTITLE1">[1]JuneYTD!#REF!</definedName>
    <definedName name="GRPTITLE2">[1]JuneYTD!#REF!</definedName>
    <definedName name="GrpTitleCol">[1]JuneYTD!#REF!</definedName>
    <definedName name="GWLoop">'Cons. BS'!#REF!</definedName>
    <definedName name="HoLoop">[4]Hobbs!$J$73</definedName>
    <definedName name="LIABILITIES">[1]JuneYTD!#REF!</definedName>
    <definedName name="LlLoop">[4]Llano!$J$73</definedName>
    <definedName name="LlPurPrice">[4]Llano!$K$73</definedName>
    <definedName name="MinneDRate">#REF!</definedName>
    <definedName name="MinneLoop">#REF!</definedName>
    <definedName name="MinneNPVPrice">#REF!</definedName>
    <definedName name="MinneNPVRate">#REF!</definedName>
    <definedName name="MinPurPrice">#REF!</definedName>
    <definedName name="NAME1">[1]JuneYTD!#REF!</definedName>
    <definedName name="OLoop">[2]Orphans!$J$48</definedName>
    <definedName name="OPurPrice">[2]Orphans!$K$48</definedName>
    <definedName name="OTHERBORDER">[1]JuneYTD!#REF!</definedName>
    <definedName name="OTHERNC">[1]JuneYTD!#REF!</definedName>
    <definedName name="OTHERTITLES">[1]JuneYTD!#REF!</definedName>
    <definedName name="OtLoop">[4]Other!$J$73</definedName>
    <definedName name="OtPurPrice">[4]Other!$K$73</definedName>
    <definedName name="Print_Area_MI">[1]JuneYTD!#REF!</definedName>
    <definedName name="Print_Titles_MI">[1]JuneYTD!#REF!,[1]JuneYTD!#REF!</definedName>
    <definedName name="PRIORBB">[1]JuneYTD!#REF!</definedName>
    <definedName name="PRT_RNG_AA">[1]JuneYTD!#REF!</definedName>
    <definedName name="PTDRate">'[3]Power Tex'!$O$71</definedName>
    <definedName name="PTLoop">'[3]Power Tex'!$J$73</definedName>
    <definedName name="PTPurPrice">'[3]Power Tex'!$K$73</definedName>
    <definedName name="REPORT">[1]JuneYTD!#REF!</definedName>
    <definedName name="RTLoop">'[4]Reg Trans (311)'!$J$73</definedName>
    <definedName name="RTPurPrice">'[4]Reg Trans (311)'!$K$73</definedName>
    <definedName name="SRLoop">'[4]Sale Ranch'!$J$73</definedName>
    <definedName name="SRPurPrice">'[4]Sale Ranch'!$K$73</definedName>
    <definedName name="StLoop">[4]Storage!$J$73</definedName>
    <definedName name="StPurPrice">[4]Storage!$K$73</definedName>
    <definedName name="TaxRate">[2]CONSOLIDATED!$B$30</definedName>
    <definedName name="Titles_Rptg_Grp_Wks">[1]JuneYTD!#REF!</definedName>
    <definedName name="UCMLPEquity">'Unlev. Consolid'!#REF!</definedName>
    <definedName name="UCMLPLoop">'Unlev. Consolid'!#REF!</definedName>
    <definedName name="UCMLPNPV">'Unlev. Consolid'!#REF!</definedName>
    <definedName name="YTDBB">[1]JuneYTD!#REF!</definedName>
  </definedNames>
  <calcPr calcId="92512" iterate="1"/>
</workbook>
</file>

<file path=xl/calcChain.xml><?xml version="1.0" encoding="utf-8"?>
<calcChain xmlns="http://schemas.openxmlformats.org/spreadsheetml/2006/main">
  <c r="A1" i="26" l="1"/>
  <c r="F3" i="26"/>
  <c r="F7" i="26"/>
  <c r="G7" i="26"/>
  <c r="H7" i="26"/>
  <c r="I7" i="26"/>
  <c r="J7" i="26"/>
  <c r="K7" i="26"/>
  <c r="L7" i="26"/>
  <c r="M7" i="26"/>
  <c r="N7" i="26"/>
  <c r="O7" i="26"/>
  <c r="P7" i="26"/>
  <c r="Q7" i="26"/>
  <c r="G10" i="26"/>
  <c r="F11" i="26"/>
  <c r="G11" i="26"/>
  <c r="H11" i="26"/>
  <c r="I11" i="26"/>
  <c r="J11" i="26"/>
  <c r="K11" i="26"/>
  <c r="L11" i="26"/>
  <c r="M11" i="26"/>
  <c r="N11" i="26"/>
  <c r="O11" i="26"/>
  <c r="P11" i="26"/>
  <c r="Q11" i="26"/>
  <c r="G13" i="26"/>
  <c r="F14" i="26"/>
  <c r="G14" i="26"/>
  <c r="H14" i="26"/>
  <c r="I14" i="26"/>
  <c r="J14" i="26"/>
  <c r="K14" i="26"/>
  <c r="L14" i="26"/>
  <c r="M14" i="26"/>
  <c r="N14" i="26"/>
  <c r="O14" i="26"/>
  <c r="P14" i="26"/>
  <c r="Q14" i="26"/>
  <c r="F15" i="26"/>
  <c r="G15" i="26"/>
  <c r="H15" i="26"/>
  <c r="I15" i="26"/>
  <c r="J15" i="26"/>
  <c r="K15" i="26"/>
  <c r="L15" i="26"/>
  <c r="M15" i="26"/>
  <c r="N15" i="26"/>
  <c r="O15" i="26"/>
  <c r="P15" i="26"/>
  <c r="Q15" i="26"/>
  <c r="F16" i="26"/>
  <c r="G16" i="26"/>
  <c r="H16" i="26"/>
  <c r="I16" i="26"/>
  <c r="J16" i="26"/>
  <c r="K16" i="26"/>
  <c r="L16" i="26"/>
  <c r="M16" i="26"/>
  <c r="N16" i="26"/>
  <c r="O16" i="26"/>
  <c r="P16" i="26"/>
  <c r="Q16" i="26"/>
  <c r="G18" i="26"/>
  <c r="H18" i="26"/>
  <c r="I18" i="26"/>
  <c r="J18" i="26"/>
  <c r="K18" i="26"/>
  <c r="L18" i="26"/>
  <c r="M18" i="26"/>
  <c r="N18" i="26"/>
  <c r="O18" i="26"/>
  <c r="P18" i="26"/>
  <c r="Q18" i="26"/>
  <c r="F20" i="26"/>
  <c r="G20" i="26"/>
  <c r="H20" i="26"/>
  <c r="I20" i="26"/>
  <c r="J20" i="26"/>
  <c r="K20" i="26"/>
  <c r="L20" i="26"/>
  <c r="M20" i="26"/>
  <c r="N20" i="26"/>
  <c r="O20" i="26"/>
  <c r="P20" i="26"/>
  <c r="Q20" i="26"/>
  <c r="G22" i="26"/>
  <c r="H22" i="26"/>
  <c r="I22" i="26"/>
  <c r="J22" i="26"/>
  <c r="K22" i="26"/>
  <c r="L22" i="26"/>
  <c r="M22" i="26"/>
  <c r="N22" i="26"/>
  <c r="O22" i="26"/>
  <c r="P22" i="26"/>
  <c r="Q22" i="26"/>
  <c r="G23" i="26"/>
  <c r="H23" i="26"/>
  <c r="I23" i="26"/>
  <c r="J23" i="26"/>
  <c r="K23" i="26"/>
  <c r="L23" i="26"/>
  <c r="M23" i="26"/>
  <c r="N23" i="26"/>
  <c r="O23" i="26"/>
  <c r="P23" i="26"/>
  <c r="Q23" i="26"/>
  <c r="B24" i="26"/>
  <c r="G24" i="26"/>
  <c r="H24" i="26"/>
  <c r="I24" i="26"/>
  <c r="J24" i="26"/>
  <c r="K24" i="26"/>
  <c r="L24" i="26"/>
  <c r="M24" i="26"/>
  <c r="N24" i="26"/>
  <c r="O24" i="26"/>
  <c r="P24" i="26"/>
  <c r="Q24" i="26"/>
  <c r="F26" i="26"/>
  <c r="G26" i="26"/>
  <c r="H26" i="26"/>
  <c r="I26" i="26"/>
  <c r="J26" i="26"/>
  <c r="K26" i="26"/>
  <c r="L26" i="26"/>
  <c r="M26" i="26"/>
  <c r="N26" i="26"/>
  <c r="O26" i="26"/>
  <c r="P26" i="26"/>
  <c r="Q26" i="26"/>
  <c r="F28" i="26"/>
  <c r="G28" i="26"/>
  <c r="H28" i="26"/>
  <c r="I28" i="26"/>
  <c r="J28" i="26"/>
  <c r="K28" i="26"/>
  <c r="L28" i="26"/>
  <c r="M28" i="26"/>
  <c r="N28" i="26"/>
  <c r="O28" i="26"/>
  <c r="P28" i="26"/>
  <c r="Q28" i="26"/>
  <c r="B29" i="26"/>
  <c r="F29" i="26"/>
  <c r="G29" i="26"/>
  <c r="H29" i="26"/>
  <c r="I29" i="26"/>
  <c r="J29" i="26"/>
  <c r="K29" i="26"/>
  <c r="L29" i="26"/>
  <c r="M29" i="26"/>
  <c r="N29" i="26"/>
  <c r="O29" i="26"/>
  <c r="P29" i="26"/>
  <c r="Q29" i="26"/>
  <c r="R29" i="26"/>
  <c r="F30" i="26"/>
  <c r="G30" i="26"/>
  <c r="H30" i="26"/>
  <c r="I30" i="26"/>
  <c r="J30" i="26"/>
  <c r="K30" i="26"/>
  <c r="L30" i="26"/>
  <c r="M30" i="26"/>
  <c r="N30" i="26"/>
  <c r="O30" i="26"/>
  <c r="P30" i="26"/>
  <c r="Q30" i="26"/>
  <c r="R30" i="26"/>
  <c r="E31" i="26"/>
  <c r="F31" i="26"/>
  <c r="G31" i="26"/>
  <c r="H31" i="26"/>
  <c r="I31" i="26"/>
  <c r="J31" i="26"/>
  <c r="K31" i="26"/>
  <c r="L31" i="26"/>
  <c r="M31" i="26"/>
  <c r="N31" i="26"/>
  <c r="O31" i="26"/>
  <c r="P31" i="26"/>
  <c r="Q31" i="26"/>
  <c r="R31" i="26"/>
  <c r="H33" i="26"/>
  <c r="K34" i="26"/>
  <c r="L34" i="26"/>
  <c r="M34" i="26"/>
  <c r="F36" i="26"/>
  <c r="H36" i="26"/>
  <c r="I36" i="26"/>
  <c r="K36" i="26"/>
  <c r="L36" i="26"/>
  <c r="M36" i="26"/>
  <c r="F42" i="26"/>
  <c r="G42" i="26"/>
  <c r="H42" i="26"/>
  <c r="I42" i="26"/>
  <c r="J42" i="26"/>
  <c r="K42" i="26"/>
  <c r="L42" i="26"/>
  <c r="M42" i="26"/>
  <c r="N42" i="26"/>
  <c r="O42" i="26"/>
  <c r="P42" i="26"/>
  <c r="Q42" i="26"/>
  <c r="A43" i="26"/>
  <c r="B43" i="26"/>
  <c r="F43" i="26"/>
  <c r="G43" i="26"/>
  <c r="H43" i="26"/>
  <c r="I43" i="26"/>
  <c r="J43" i="26"/>
  <c r="K43" i="26"/>
  <c r="L43" i="26"/>
  <c r="M43" i="26"/>
  <c r="N43" i="26"/>
  <c r="O43" i="26"/>
  <c r="P43" i="26"/>
  <c r="Q43" i="26"/>
  <c r="A46" i="26"/>
  <c r="G47" i="26"/>
  <c r="H47" i="26"/>
  <c r="I47" i="26"/>
  <c r="J47" i="26"/>
  <c r="K47" i="26"/>
  <c r="L47" i="26"/>
  <c r="M47" i="26"/>
  <c r="N47" i="26"/>
  <c r="O47" i="26"/>
  <c r="P47" i="26"/>
  <c r="Q47" i="26"/>
  <c r="F48" i="26"/>
  <c r="G48" i="26"/>
  <c r="H48" i="26"/>
  <c r="I48" i="26"/>
  <c r="J48" i="26"/>
  <c r="K48" i="26"/>
  <c r="L48" i="26"/>
  <c r="M48" i="26"/>
  <c r="N48" i="26"/>
  <c r="O48" i="26"/>
  <c r="P48" i="26"/>
  <c r="Q48" i="26"/>
  <c r="I49" i="26"/>
  <c r="J49" i="26"/>
  <c r="K49" i="26"/>
  <c r="L49" i="26"/>
  <c r="M49" i="26"/>
  <c r="N49" i="26"/>
  <c r="O49" i="26"/>
  <c r="P49" i="26"/>
  <c r="Q49" i="26"/>
  <c r="A51" i="26"/>
  <c r="F51" i="26"/>
  <c r="G51" i="26"/>
  <c r="H51" i="26"/>
  <c r="I51" i="26"/>
  <c r="J51" i="26"/>
  <c r="K51" i="26"/>
  <c r="L51" i="26"/>
  <c r="M51" i="26"/>
  <c r="N51" i="26"/>
  <c r="O51" i="26"/>
  <c r="P51" i="26"/>
  <c r="Q51" i="26"/>
  <c r="I52" i="26"/>
  <c r="J52" i="26"/>
  <c r="K52" i="26"/>
  <c r="L52" i="26"/>
  <c r="M52" i="26"/>
  <c r="N52" i="26"/>
  <c r="O52" i="26"/>
  <c r="P52" i="26"/>
  <c r="Q52" i="26"/>
  <c r="A54" i="26"/>
  <c r="F54" i="26"/>
  <c r="G54" i="26"/>
  <c r="H54" i="26"/>
  <c r="I54" i="26"/>
  <c r="J54" i="26"/>
  <c r="K54" i="26"/>
  <c r="L54" i="26"/>
  <c r="M54" i="26"/>
  <c r="N54" i="26"/>
  <c r="O54" i="26"/>
  <c r="P54" i="26"/>
  <c r="Q54" i="26"/>
  <c r="I55" i="26"/>
  <c r="J55" i="26"/>
  <c r="K55" i="26"/>
  <c r="L55" i="26"/>
  <c r="M55" i="26"/>
  <c r="N55" i="26"/>
  <c r="O55" i="26"/>
  <c r="P55" i="26"/>
  <c r="Q55" i="26"/>
  <c r="F59" i="26"/>
  <c r="G59" i="26"/>
  <c r="H59" i="26"/>
  <c r="I59" i="26"/>
  <c r="J59" i="26"/>
  <c r="K59" i="26"/>
  <c r="L59" i="26"/>
  <c r="M59" i="26"/>
  <c r="N59" i="26"/>
  <c r="O59" i="26"/>
  <c r="P59" i="26"/>
  <c r="Q59" i="26"/>
  <c r="A60" i="26"/>
  <c r="B60" i="26"/>
  <c r="F60" i="26"/>
  <c r="G60" i="26"/>
  <c r="H60" i="26"/>
  <c r="I60" i="26"/>
  <c r="J60" i="26"/>
  <c r="K60" i="26"/>
  <c r="L60" i="26"/>
  <c r="M60" i="26"/>
  <c r="N60" i="26"/>
  <c r="O60" i="26"/>
  <c r="P60" i="26"/>
  <c r="Q60" i="26"/>
  <c r="A63" i="26"/>
  <c r="G64" i="26"/>
  <c r="H64" i="26"/>
  <c r="I64" i="26"/>
  <c r="J64" i="26"/>
  <c r="K64" i="26"/>
  <c r="L64" i="26"/>
  <c r="M64" i="26"/>
  <c r="N64" i="26"/>
  <c r="O64" i="26"/>
  <c r="P64" i="26"/>
  <c r="Q64" i="26"/>
  <c r="F65" i="26"/>
  <c r="G65" i="26"/>
  <c r="H65" i="26"/>
  <c r="I65" i="26"/>
  <c r="J65" i="26"/>
  <c r="K65" i="26"/>
  <c r="L65" i="26"/>
  <c r="M65" i="26"/>
  <c r="N65" i="26"/>
  <c r="O65" i="26"/>
  <c r="P65" i="26"/>
  <c r="Q65" i="26"/>
  <c r="A68" i="26"/>
  <c r="F68" i="26"/>
  <c r="G68" i="26"/>
  <c r="H68" i="26"/>
  <c r="I68" i="26"/>
  <c r="J68" i="26"/>
  <c r="K68" i="26"/>
  <c r="L68" i="26"/>
  <c r="M68" i="26"/>
  <c r="N68" i="26"/>
  <c r="O68" i="26"/>
  <c r="P68" i="26"/>
  <c r="Q68" i="26"/>
  <c r="I69" i="26"/>
  <c r="J69" i="26"/>
  <c r="K69" i="26"/>
  <c r="L69" i="26"/>
  <c r="M69" i="26"/>
  <c r="N69" i="26"/>
  <c r="O69" i="26"/>
  <c r="P69" i="26"/>
  <c r="Q69" i="26"/>
  <c r="A71" i="26"/>
  <c r="F71" i="26"/>
  <c r="G71" i="26"/>
  <c r="H71" i="26"/>
  <c r="I71" i="26"/>
  <c r="J71" i="26"/>
  <c r="K71" i="26"/>
  <c r="L71" i="26"/>
  <c r="M71" i="26"/>
  <c r="N71" i="26"/>
  <c r="O71" i="26"/>
  <c r="P71" i="26"/>
  <c r="Q71" i="26"/>
  <c r="I72" i="26"/>
  <c r="J72" i="26"/>
  <c r="K72" i="26"/>
  <c r="L72" i="26"/>
  <c r="M72" i="26"/>
  <c r="N72" i="26"/>
  <c r="O72" i="26"/>
  <c r="P72" i="26"/>
  <c r="Q72" i="26"/>
  <c r="G77" i="26"/>
  <c r="H77" i="26"/>
  <c r="I77" i="26"/>
  <c r="J77" i="26"/>
  <c r="K77" i="26"/>
  <c r="L77" i="26"/>
  <c r="M77" i="26"/>
  <c r="N77" i="26"/>
  <c r="O77" i="26"/>
  <c r="P77" i="26"/>
  <c r="Q77" i="26"/>
  <c r="B81" i="26"/>
  <c r="C81" i="26"/>
  <c r="G81" i="26"/>
  <c r="H81" i="26"/>
  <c r="I81" i="26"/>
  <c r="J81" i="26"/>
  <c r="K81" i="26"/>
  <c r="L81" i="26"/>
  <c r="M81" i="26"/>
  <c r="N81" i="26"/>
  <c r="O81" i="26"/>
  <c r="P81" i="26"/>
  <c r="Q81" i="26"/>
  <c r="G82" i="26"/>
  <c r="H82" i="26"/>
  <c r="I82" i="26"/>
  <c r="J82" i="26"/>
  <c r="K82" i="26"/>
  <c r="L82" i="26"/>
  <c r="M82" i="26"/>
  <c r="N82" i="26"/>
  <c r="O82" i="26"/>
  <c r="P82" i="26"/>
  <c r="Q82" i="26"/>
  <c r="G83" i="26"/>
  <c r="H83" i="26"/>
  <c r="I83" i="26"/>
  <c r="J83" i="26"/>
  <c r="K83" i="26"/>
  <c r="L83" i="26"/>
  <c r="M83" i="26"/>
  <c r="N83" i="26"/>
  <c r="O83" i="26"/>
  <c r="P83" i="26"/>
  <c r="Q83" i="26"/>
  <c r="G84" i="26"/>
  <c r="H84" i="26"/>
  <c r="I84" i="26"/>
  <c r="J84" i="26"/>
  <c r="K84" i="26"/>
  <c r="L84" i="26"/>
  <c r="M84" i="26"/>
  <c r="N84" i="26"/>
  <c r="O84" i="26"/>
  <c r="P84" i="26"/>
  <c r="Q84" i="26"/>
  <c r="G87" i="26"/>
  <c r="H87" i="26"/>
  <c r="I87" i="26"/>
  <c r="J87" i="26"/>
  <c r="K87" i="26"/>
  <c r="L87" i="26"/>
  <c r="M87" i="26"/>
  <c r="N87" i="26"/>
  <c r="O87" i="26"/>
  <c r="P87" i="26"/>
  <c r="Q87" i="26"/>
  <c r="G88" i="26"/>
  <c r="H88" i="26"/>
  <c r="I88" i="26"/>
  <c r="J88" i="26"/>
  <c r="K88" i="26"/>
  <c r="L88" i="26"/>
  <c r="M88" i="26"/>
  <c r="N88" i="26"/>
  <c r="O88" i="26"/>
  <c r="P88" i="26"/>
  <c r="Q88" i="26"/>
  <c r="G89" i="26"/>
  <c r="H89" i="26"/>
  <c r="I89" i="26"/>
  <c r="J89" i="26"/>
  <c r="K89" i="26"/>
  <c r="L89" i="26"/>
  <c r="M89" i="26"/>
  <c r="N89" i="26"/>
  <c r="O89" i="26"/>
  <c r="P89" i="26"/>
  <c r="Q89" i="26"/>
  <c r="A1" i="34"/>
  <c r="F3" i="34"/>
  <c r="F7" i="34"/>
  <c r="G7" i="34"/>
  <c r="H7" i="34"/>
  <c r="I7" i="34"/>
  <c r="J7" i="34"/>
  <c r="K7" i="34"/>
  <c r="L7" i="34"/>
  <c r="M7" i="34"/>
  <c r="N7" i="34"/>
  <c r="O7" i="34"/>
  <c r="P7" i="34"/>
  <c r="Q7" i="34"/>
  <c r="G10" i="34"/>
  <c r="F11" i="34"/>
  <c r="G11" i="34"/>
  <c r="H11" i="34"/>
  <c r="I11" i="34"/>
  <c r="J11" i="34"/>
  <c r="K11" i="34"/>
  <c r="L11" i="34"/>
  <c r="M11" i="34"/>
  <c r="N11" i="34"/>
  <c r="O11" i="34"/>
  <c r="P11" i="34"/>
  <c r="Q11" i="34"/>
  <c r="G13" i="34"/>
  <c r="F14" i="34"/>
  <c r="G14" i="34"/>
  <c r="H14" i="34"/>
  <c r="I14" i="34"/>
  <c r="J14" i="34"/>
  <c r="K14" i="34"/>
  <c r="L14" i="34"/>
  <c r="M14" i="34"/>
  <c r="N14" i="34"/>
  <c r="O14" i="34"/>
  <c r="P14" i="34"/>
  <c r="Q14" i="34"/>
  <c r="F15" i="34"/>
  <c r="G15" i="34"/>
  <c r="H15" i="34"/>
  <c r="I15" i="34"/>
  <c r="J15" i="34"/>
  <c r="K15" i="34"/>
  <c r="L15" i="34"/>
  <c r="M15" i="34"/>
  <c r="N15" i="34"/>
  <c r="O15" i="34"/>
  <c r="P15" i="34"/>
  <c r="Q15" i="34"/>
  <c r="F16" i="34"/>
  <c r="G16" i="34"/>
  <c r="H16" i="34"/>
  <c r="I16" i="34"/>
  <c r="J16" i="34"/>
  <c r="K16" i="34"/>
  <c r="L16" i="34"/>
  <c r="M16" i="34"/>
  <c r="N16" i="34"/>
  <c r="O16" i="34"/>
  <c r="P16" i="34"/>
  <c r="Q16" i="34"/>
  <c r="G18" i="34"/>
  <c r="H18" i="34"/>
  <c r="I18" i="34"/>
  <c r="J18" i="34"/>
  <c r="K18" i="34"/>
  <c r="L18" i="34"/>
  <c r="M18" i="34"/>
  <c r="N18" i="34"/>
  <c r="O18" i="34"/>
  <c r="P18" i="34"/>
  <c r="Q18" i="34"/>
  <c r="F20" i="34"/>
  <c r="G20" i="34"/>
  <c r="H20" i="34"/>
  <c r="I20" i="34"/>
  <c r="J20" i="34"/>
  <c r="K20" i="34"/>
  <c r="L20" i="34"/>
  <c r="M20" i="34"/>
  <c r="N20" i="34"/>
  <c r="O20" i="34"/>
  <c r="P20" i="34"/>
  <c r="Q20" i="34"/>
  <c r="G22" i="34"/>
  <c r="H22" i="34"/>
  <c r="I22" i="34"/>
  <c r="J22" i="34"/>
  <c r="K22" i="34"/>
  <c r="L22" i="34"/>
  <c r="M22" i="34"/>
  <c r="N22" i="34"/>
  <c r="O22" i="34"/>
  <c r="P22" i="34"/>
  <c r="Q22" i="34"/>
  <c r="G23" i="34"/>
  <c r="H23" i="34"/>
  <c r="I23" i="34"/>
  <c r="J23" i="34"/>
  <c r="K23" i="34"/>
  <c r="L23" i="34"/>
  <c r="M23" i="34"/>
  <c r="N23" i="34"/>
  <c r="O23" i="34"/>
  <c r="P23" i="34"/>
  <c r="Q23" i="34"/>
  <c r="B24" i="34"/>
  <c r="G24" i="34"/>
  <c r="H24" i="34"/>
  <c r="I24" i="34"/>
  <c r="J24" i="34"/>
  <c r="K24" i="34"/>
  <c r="L24" i="34"/>
  <c r="M24" i="34"/>
  <c r="N24" i="34"/>
  <c r="O24" i="34"/>
  <c r="P24" i="34"/>
  <c r="Q24" i="34"/>
  <c r="F26" i="34"/>
  <c r="G26" i="34"/>
  <c r="H26" i="34"/>
  <c r="I26" i="34"/>
  <c r="J26" i="34"/>
  <c r="K26" i="34"/>
  <c r="L26" i="34"/>
  <c r="M26" i="34"/>
  <c r="N26" i="34"/>
  <c r="O26" i="34"/>
  <c r="P26" i="34"/>
  <c r="Q26" i="34"/>
  <c r="F28" i="34"/>
  <c r="G28" i="34"/>
  <c r="H28" i="34"/>
  <c r="I28" i="34"/>
  <c r="J28" i="34"/>
  <c r="K28" i="34"/>
  <c r="L28" i="34"/>
  <c r="M28" i="34"/>
  <c r="N28" i="34"/>
  <c r="O28" i="34"/>
  <c r="P28" i="34"/>
  <c r="Q28" i="34"/>
  <c r="B29" i="34"/>
  <c r="F29" i="34"/>
  <c r="G29" i="34"/>
  <c r="H29" i="34"/>
  <c r="I29" i="34"/>
  <c r="J29" i="34"/>
  <c r="K29" i="34"/>
  <c r="L29" i="34"/>
  <c r="M29" i="34"/>
  <c r="N29" i="34"/>
  <c r="O29" i="34"/>
  <c r="P29" i="34"/>
  <c r="Q29" i="34"/>
  <c r="R29" i="34"/>
  <c r="F30" i="34"/>
  <c r="G30" i="34"/>
  <c r="H30" i="34"/>
  <c r="I30" i="34"/>
  <c r="J30" i="34"/>
  <c r="K30" i="34"/>
  <c r="L30" i="34"/>
  <c r="M30" i="34"/>
  <c r="N30" i="34"/>
  <c r="O30" i="34"/>
  <c r="P30" i="34"/>
  <c r="Q30" i="34"/>
  <c r="R30" i="34"/>
  <c r="H33" i="34"/>
  <c r="K34" i="34"/>
  <c r="L34" i="34"/>
  <c r="M34" i="34"/>
  <c r="F36" i="34"/>
  <c r="H36" i="34"/>
  <c r="I36" i="34"/>
  <c r="K36" i="34"/>
  <c r="L36" i="34"/>
  <c r="M36" i="34"/>
  <c r="F42" i="34"/>
  <c r="G42" i="34"/>
  <c r="H42" i="34"/>
  <c r="I42" i="34"/>
  <c r="J42" i="34"/>
  <c r="K42" i="34"/>
  <c r="L42" i="34"/>
  <c r="M42" i="34"/>
  <c r="N42" i="34"/>
  <c r="O42" i="34"/>
  <c r="P42" i="34"/>
  <c r="Q42" i="34"/>
  <c r="A43" i="34"/>
  <c r="B43" i="34"/>
  <c r="F43" i="34"/>
  <c r="G43" i="34"/>
  <c r="H43" i="34"/>
  <c r="I43" i="34"/>
  <c r="J43" i="34"/>
  <c r="K43" i="34"/>
  <c r="L43" i="34"/>
  <c r="M43" i="34"/>
  <c r="N43" i="34"/>
  <c r="O43" i="34"/>
  <c r="P43" i="34"/>
  <c r="Q43" i="34"/>
  <c r="A46" i="34"/>
  <c r="G47" i="34"/>
  <c r="H47" i="34"/>
  <c r="I47" i="34"/>
  <c r="J47" i="34"/>
  <c r="K47" i="34"/>
  <c r="L47" i="34"/>
  <c r="M47" i="34"/>
  <c r="N47" i="34"/>
  <c r="O47" i="34"/>
  <c r="P47" i="34"/>
  <c r="Q47" i="34"/>
  <c r="F48" i="34"/>
  <c r="G48" i="34"/>
  <c r="H48" i="34"/>
  <c r="I48" i="34"/>
  <c r="J48" i="34"/>
  <c r="K48" i="34"/>
  <c r="L48" i="34"/>
  <c r="M48" i="34"/>
  <c r="N48" i="34"/>
  <c r="O48" i="34"/>
  <c r="P48" i="34"/>
  <c r="Q48" i="34"/>
  <c r="I49" i="34"/>
  <c r="J49" i="34"/>
  <c r="K49" i="34"/>
  <c r="L49" i="34"/>
  <c r="M49" i="34"/>
  <c r="N49" i="34"/>
  <c r="O49" i="34"/>
  <c r="P49" i="34"/>
  <c r="Q49" i="34"/>
  <c r="A51" i="34"/>
  <c r="F51" i="34"/>
  <c r="G51" i="34"/>
  <c r="H51" i="34"/>
  <c r="I51" i="34"/>
  <c r="J51" i="34"/>
  <c r="K51" i="34"/>
  <c r="L51" i="34"/>
  <c r="M51" i="34"/>
  <c r="N51" i="34"/>
  <c r="O51" i="34"/>
  <c r="P51" i="34"/>
  <c r="Q51" i="34"/>
  <c r="I52" i="34"/>
  <c r="J52" i="34"/>
  <c r="K52" i="34"/>
  <c r="L52" i="34"/>
  <c r="M52" i="34"/>
  <c r="N52" i="34"/>
  <c r="O52" i="34"/>
  <c r="P52" i="34"/>
  <c r="Q52" i="34"/>
  <c r="A54" i="34"/>
  <c r="F54" i="34"/>
  <c r="G54" i="34"/>
  <c r="H54" i="34"/>
  <c r="I54" i="34"/>
  <c r="J54" i="34"/>
  <c r="K54" i="34"/>
  <c r="L54" i="34"/>
  <c r="M54" i="34"/>
  <c r="N54" i="34"/>
  <c r="O54" i="34"/>
  <c r="P54" i="34"/>
  <c r="Q54" i="34"/>
  <c r="I55" i="34"/>
  <c r="J55" i="34"/>
  <c r="K55" i="34"/>
  <c r="L55" i="34"/>
  <c r="M55" i="34"/>
  <c r="N55" i="34"/>
  <c r="O55" i="34"/>
  <c r="P55" i="34"/>
  <c r="Q55" i="34"/>
  <c r="F59" i="34"/>
  <c r="G59" i="34"/>
  <c r="H59" i="34"/>
  <c r="I59" i="34"/>
  <c r="J59" i="34"/>
  <c r="K59" i="34"/>
  <c r="L59" i="34"/>
  <c r="M59" i="34"/>
  <c r="N59" i="34"/>
  <c r="O59" i="34"/>
  <c r="P59" i="34"/>
  <c r="Q59" i="34"/>
  <c r="A60" i="34"/>
  <c r="B60" i="34"/>
  <c r="F60" i="34"/>
  <c r="G60" i="34"/>
  <c r="H60" i="34"/>
  <c r="I60" i="34"/>
  <c r="J60" i="34"/>
  <c r="K60" i="34"/>
  <c r="L60" i="34"/>
  <c r="M60" i="34"/>
  <c r="N60" i="34"/>
  <c r="O60" i="34"/>
  <c r="P60" i="34"/>
  <c r="Q60" i="34"/>
  <c r="A63" i="34"/>
  <c r="G64" i="34"/>
  <c r="H64" i="34"/>
  <c r="I64" i="34"/>
  <c r="J64" i="34"/>
  <c r="K64" i="34"/>
  <c r="L64" i="34"/>
  <c r="M64" i="34"/>
  <c r="N64" i="34"/>
  <c r="O64" i="34"/>
  <c r="P64" i="34"/>
  <c r="Q64" i="34"/>
  <c r="F65" i="34"/>
  <c r="G65" i="34"/>
  <c r="H65" i="34"/>
  <c r="I65" i="34"/>
  <c r="J65" i="34"/>
  <c r="K65" i="34"/>
  <c r="L65" i="34"/>
  <c r="M65" i="34"/>
  <c r="N65" i="34"/>
  <c r="O65" i="34"/>
  <c r="P65" i="34"/>
  <c r="Q65" i="34"/>
  <c r="A68" i="34"/>
  <c r="F68" i="34"/>
  <c r="G68" i="34"/>
  <c r="H68" i="34"/>
  <c r="I68" i="34"/>
  <c r="J68" i="34"/>
  <c r="K68" i="34"/>
  <c r="L68" i="34"/>
  <c r="M68" i="34"/>
  <c r="N68" i="34"/>
  <c r="O68" i="34"/>
  <c r="P68" i="34"/>
  <c r="Q68" i="34"/>
  <c r="I69" i="34"/>
  <c r="J69" i="34"/>
  <c r="K69" i="34"/>
  <c r="L69" i="34"/>
  <c r="M69" i="34"/>
  <c r="N69" i="34"/>
  <c r="O69" i="34"/>
  <c r="P69" i="34"/>
  <c r="Q69" i="34"/>
  <c r="A71" i="34"/>
  <c r="F71" i="34"/>
  <c r="G71" i="34"/>
  <c r="H71" i="34"/>
  <c r="I71" i="34"/>
  <c r="J71" i="34"/>
  <c r="K71" i="34"/>
  <c r="L71" i="34"/>
  <c r="M71" i="34"/>
  <c r="N71" i="34"/>
  <c r="O71" i="34"/>
  <c r="P71" i="34"/>
  <c r="Q71" i="34"/>
  <c r="I72" i="34"/>
  <c r="J72" i="34"/>
  <c r="K72" i="34"/>
  <c r="L72" i="34"/>
  <c r="M72" i="34"/>
  <c r="N72" i="34"/>
  <c r="O72" i="34"/>
  <c r="P72" i="34"/>
  <c r="Q72" i="34"/>
  <c r="G77" i="34"/>
  <c r="H77" i="34"/>
  <c r="I77" i="34"/>
  <c r="J77" i="34"/>
  <c r="K77" i="34"/>
  <c r="L77" i="34"/>
  <c r="M77" i="34"/>
  <c r="N77" i="34"/>
  <c r="O77" i="34"/>
  <c r="P77" i="34"/>
  <c r="Q77" i="34"/>
  <c r="B80" i="34"/>
  <c r="C80" i="34"/>
  <c r="G80" i="34"/>
  <c r="H80" i="34"/>
  <c r="I80" i="34"/>
  <c r="J80" i="34"/>
  <c r="K80" i="34"/>
  <c r="L80" i="34"/>
  <c r="M80" i="34"/>
  <c r="N80" i="34"/>
  <c r="O80" i="34"/>
  <c r="P80" i="34"/>
  <c r="Q80" i="34"/>
  <c r="G81" i="34"/>
  <c r="H81" i="34"/>
  <c r="I81" i="34"/>
  <c r="J81" i="34"/>
  <c r="K81" i="34"/>
  <c r="L81" i="34"/>
  <c r="M81" i="34"/>
  <c r="N81" i="34"/>
  <c r="O81" i="34"/>
  <c r="P81" i="34"/>
  <c r="Q81" i="34"/>
  <c r="G82" i="34"/>
  <c r="H82" i="34"/>
  <c r="I82" i="34"/>
  <c r="J82" i="34"/>
  <c r="K82" i="34"/>
  <c r="L82" i="34"/>
  <c r="M82" i="34"/>
  <c r="N82" i="34"/>
  <c r="O82" i="34"/>
  <c r="P82" i="34"/>
  <c r="Q82" i="34"/>
  <c r="G83" i="34"/>
  <c r="H83" i="34"/>
  <c r="I83" i="34"/>
  <c r="J83" i="34"/>
  <c r="K83" i="34"/>
  <c r="L83" i="34"/>
  <c r="M83" i="34"/>
  <c r="N83" i="34"/>
  <c r="O83" i="34"/>
  <c r="P83" i="34"/>
  <c r="Q83" i="34"/>
  <c r="G86" i="34"/>
  <c r="H86" i="34"/>
  <c r="I86" i="34"/>
  <c r="J86" i="34"/>
  <c r="K86" i="34"/>
  <c r="L86" i="34"/>
  <c r="M86" i="34"/>
  <c r="N86" i="34"/>
  <c r="O86" i="34"/>
  <c r="P86" i="34"/>
  <c r="Q86" i="34"/>
  <c r="G87" i="34"/>
  <c r="H87" i="34"/>
  <c r="I87" i="34"/>
  <c r="J87" i="34"/>
  <c r="K87" i="34"/>
  <c r="L87" i="34"/>
  <c r="M87" i="34"/>
  <c r="N87" i="34"/>
  <c r="O87" i="34"/>
  <c r="P87" i="34"/>
  <c r="Q87" i="34"/>
  <c r="G88" i="34"/>
  <c r="H88" i="34"/>
  <c r="I88" i="34"/>
  <c r="J88" i="34"/>
  <c r="K88" i="34"/>
  <c r="L88" i="34"/>
  <c r="M88" i="34"/>
  <c r="N88" i="34"/>
  <c r="O88" i="34"/>
  <c r="P88" i="34"/>
  <c r="Q88" i="34"/>
  <c r="A1" i="35"/>
  <c r="F3" i="35"/>
  <c r="F7" i="35"/>
  <c r="G7" i="35"/>
  <c r="H7" i="35"/>
  <c r="I7" i="35"/>
  <c r="J7" i="35"/>
  <c r="K7" i="35"/>
  <c r="L7" i="35"/>
  <c r="M7" i="35"/>
  <c r="N7" i="35"/>
  <c r="O7" i="35"/>
  <c r="P7" i="35"/>
  <c r="Q7" i="35"/>
  <c r="G10" i="35"/>
  <c r="F11" i="35"/>
  <c r="G11" i="35"/>
  <c r="H11" i="35"/>
  <c r="I11" i="35"/>
  <c r="J11" i="35"/>
  <c r="K11" i="35"/>
  <c r="L11" i="35"/>
  <c r="M11" i="35"/>
  <c r="N11" i="35"/>
  <c r="O11" i="35"/>
  <c r="P11" i="35"/>
  <c r="Q11" i="35"/>
  <c r="G13" i="35"/>
  <c r="F14" i="35"/>
  <c r="G14" i="35"/>
  <c r="H14" i="35"/>
  <c r="I14" i="35"/>
  <c r="J14" i="35"/>
  <c r="K14" i="35"/>
  <c r="L14" i="35"/>
  <c r="M14" i="35"/>
  <c r="N14" i="35"/>
  <c r="O14" i="35"/>
  <c r="P14" i="35"/>
  <c r="Q14" i="35"/>
  <c r="F15" i="35"/>
  <c r="G15" i="35"/>
  <c r="H15" i="35"/>
  <c r="I15" i="35"/>
  <c r="J15" i="35"/>
  <c r="K15" i="35"/>
  <c r="L15" i="35"/>
  <c r="M15" i="35"/>
  <c r="N15" i="35"/>
  <c r="O15" i="35"/>
  <c r="P15" i="35"/>
  <c r="Q15" i="35"/>
  <c r="F16" i="35"/>
  <c r="G16" i="35"/>
  <c r="H16" i="35"/>
  <c r="I16" i="35"/>
  <c r="J16" i="35"/>
  <c r="K16" i="35"/>
  <c r="L16" i="35"/>
  <c r="M16" i="35"/>
  <c r="N16" i="35"/>
  <c r="O16" i="35"/>
  <c r="P16" i="35"/>
  <c r="Q16" i="35"/>
  <c r="G18" i="35"/>
  <c r="H18" i="35"/>
  <c r="I18" i="35"/>
  <c r="J18" i="35"/>
  <c r="K18" i="35"/>
  <c r="L18" i="35"/>
  <c r="M18" i="35"/>
  <c r="N18" i="35"/>
  <c r="O18" i="35"/>
  <c r="P18" i="35"/>
  <c r="Q18" i="35"/>
  <c r="F20" i="35"/>
  <c r="G20" i="35"/>
  <c r="H20" i="35"/>
  <c r="I20" i="35"/>
  <c r="J20" i="35"/>
  <c r="K20" i="35"/>
  <c r="L20" i="35"/>
  <c r="M20" i="35"/>
  <c r="N20" i="35"/>
  <c r="O20" i="35"/>
  <c r="P20" i="35"/>
  <c r="Q20" i="35"/>
  <c r="G22" i="35"/>
  <c r="H22" i="35"/>
  <c r="I22" i="35"/>
  <c r="J22" i="35"/>
  <c r="K22" i="35"/>
  <c r="L22" i="35"/>
  <c r="M22" i="35"/>
  <c r="N22" i="35"/>
  <c r="O22" i="35"/>
  <c r="P22" i="35"/>
  <c r="Q22" i="35"/>
  <c r="G23" i="35"/>
  <c r="H23" i="35"/>
  <c r="I23" i="35"/>
  <c r="J23" i="35"/>
  <c r="K23" i="35"/>
  <c r="L23" i="35"/>
  <c r="M23" i="35"/>
  <c r="N23" i="35"/>
  <c r="O23" i="35"/>
  <c r="P23" i="35"/>
  <c r="Q23" i="35"/>
  <c r="B24" i="35"/>
  <c r="G24" i="35"/>
  <c r="H24" i="35"/>
  <c r="I24" i="35"/>
  <c r="J24" i="35"/>
  <c r="K24" i="35"/>
  <c r="L24" i="35"/>
  <c r="M24" i="35"/>
  <c r="N24" i="35"/>
  <c r="O24" i="35"/>
  <c r="P24" i="35"/>
  <c r="Q24" i="35"/>
  <c r="F26" i="35"/>
  <c r="G26" i="35"/>
  <c r="H26" i="35"/>
  <c r="I26" i="35"/>
  <c r="J26" i="35"/>
  <c r="K26" i="35"/>
  <c r="L26" i="35"/>
  <c r="M26" i="35"/>
  <c r="N26" i="35"/>
  <c r="O26" i="35"/>
  <c r="P26" i="35"/>
  <c r="Q26" i="35"/>
  <c r="F28" i="35"/>
  <c r="G28" i="35"/>
  <c r="H28" i="35"/>
  <c r="I28" i="35"/>
  <c r="J28" i="35"/>
  <c r="K28" i="35"/>
  <c r="L28" i="35"/>
  <c r="M28" i="35"/>
  <c r="N28" i="35"/>
  <c r="O28" i="35"/>
  <c r="P28" i="35"/>
  <c r="Q28" i="35"/>
  <c r="B29" i="35"/>
  <c r="F29" i="35"/>
  <c r="G29" i="35"/>
  <c r="H29" i="35"/>
  <c r="I29" i="35"/>
  <c r="J29" i="35"/>
  <c r="K29" i="35"/>
  <c r="L29" i="35"/>
  <c r="M29" i="35"/>
  <c r="N29" i="35"/>
  <c r="O29" i="35"/>
  <c r="P29" i="35"/>
  <c r="Q29" i="35"/>
  <c r="R29" i="35"/>
  <c r="F30" i="35"/>
  <c r="G30" i="35"/>
  <c r="H30" i="35"/>
  <c r="I30" i="35"/>
  <c r="J30" i="35"/>
  <c r="K30" i="35"/>
  <c r="L30" i="35"/>
  <c r="M30" i="35"/>
  <c r="N30" i="35"/>
  <c r="O30" i="35"/>
  <c r="P30" i="35"/>
  <c r="Q30" i="35"/>
  <c r="R30" i="35"/>
  <c r="H33" i="35"/>
  <c r="K34" i="35"/>
  <c r="L34" i="35"/>
  <c r="M34" i="35"/>
  <c r="F36" i="35"/>
  <c r="H36" i="35"/>
  <c r="I36" i="35"/>
  <c r="K36" i="35"/>
  <c r="L36" i="35"/>
  <c r="M36" i="35"/>
  <c r="F42" i="35"/>
  <c r="G42" i="35"/>
  <c r="H42" i="35"/>
  <c r="I42" i="35"/>
  <c r="J42" i="35"/>
  <c r="K42" i="35"/>
  <c r="L42" i="35"/>
  <c r="M42" i="35"/>
  <c r="N42" i="35"/>
  <c r="O42" i="35"/>
  <c r="P42" i="35"/>
  <c r="Q42" i="35"/>
  <c r="A43" i="35"/>
  <c r="B43" i="35"/>
  <c r="F43" i="35"/>
  <c r="G43" i="35"/>
  <c r="H43" i="35"/>
  <c r="I43" i="35"/>
  <c r="J43" i="35"/>
  <c r="K43" i="35"/>
  <c r="L43" i="35"/>
  <c r="M43" i="35"/>
  <c r="N43" i="35"/>
  <c r="O43" i="35"/>
  <c r="P43" i="35"/>
  <c r="Q43" i="35"/>
  <c r="A46" i="35"/>
  <c r="G47" i="35"/>
  <c r="H47" i="35"/>
  <c r="I47" i="35"/>
  <c r="J47" i="35"/>
  <c r="K47" i="35"/>
  <c r="L47" i="35"/>
  <c r="M47" i="35"/>
  <c r="N47" i="35"/>
  <c r="O47" i="35"/>
  <c r="P47" i="35"/>
  <c r="Q47" i="35"/>
  <c r="F48" i="35"/>
  <c r="G48" i="35"/>
  <c r="H48" i="35"/>
  <c r="I48" i="35"/>
  <c r="J48" i="35"/>
  <c r="K48" i="35"/>
  <c r="L48" i="35"/>
  <c r="M48" i="35"/>
  <c r="N48" i="35"/>
  <c r="O48" i="35"/>
  <c r="P48" i="35"/>
  <c r="Q48" i="35"/>
  <c r="I49" i="35"/>
  <c r="J49" i="35"/>
  <c r="K49" i="35"/>
  <c r="L49" i="35"/>
  <c r="M49" i="35"/>
  <c r="N49" i="35"/>
  <c r="O49" i="35"/>
  <c r="P49" i="35"/>
  <c r="Q49" i="35"/>
  <c r="A51" i="35"/>
  <c r="F51" i="35"/>
  <c r="G51" i="35"/>
  <c r="H51" i="35"/>
  <c r="I51" i="35"/>
  <c r="J51" i="35"/>
  <c r="K51" i="35"/>
  <c r="L51" i="35"/>
  <c r="M51" i="35"/>
  <c r="N51" i="35"/>
  <c r="O51" i="35"/>
  <c r="P51" i="35"/>
  <c r="Q51" i="35"/>
  <c r="I52" i="35"/>
  <c r="J52" i="35"/>
  <c r="K52" i="35"/>
  <c r="L52" i="35"/>
  <c r="M52" i="35"/>
  <c r="N52" i="35"/>
  <c r="O52" i="35"/>
  <c r="P52" i="35"/>
  <c r="Q52" i="35"/>
  <c r="A54" i="35"/>
  <c r="F54" i="35"/>
  <c r="G54" i="35"/>
  <c r="H54" i="35"/>
  <c r="I54" i="35"/>
  <c r="J54" i="35"/>
  <c r="K54" i="35"/>
  <c r="L54" i="35"/>
  <c r="M54" i="35"/>
  <c r="N54" i="35"/>
  <c r="O54" i="35"/>
  <c r="P54" i="35"/>
  <c r="Q54" i="35"/>
  <c r="I55" i="35"/>
  <c r="J55" i="35"/>
  <c r="K55" i="35"/>
  <c r="L55" i="35"/>
  <c r="M55" i="35"/>
  <c r="N55" i="35"/>
  <c r="O55" i="35"/>
  <c r="P55" i="35"/>
  <c r="Q55" i="35"/>
  <c r="F59" i="35"/>
  <c r="G59" i="35"/>
  <c r="H59" i="35"/>
  <c r="I59" i="35"/>
  <c r="J59" i="35"/>
  <c r="K59" i="35"/>
  <c r="L59" i="35"/>
  <c r="M59" i="35"/>
  <c r="N59" i="35"/>
  <c r="O59" i="35"/>
  <c r="P59" i="35"/>
  <c r="Q59" i="35"/>
  <c r="A60" i="35"/>
  <c r="B60" i="35"/>
  <c r="F60" i="35"/>
  <c r="G60" i="35"/>
  <c r="H60" i="35"/>
  <c r="I60" i="35"/>
  <c r="J60" i="35"/>
  <c r="K60" i="35"/>
  <c r="L60" i="35"/>
  <c r="M60" i="35"/>
  <c r="N60" i="35"/>
  <c r="O60" i="35"/>
  <c r="P60" i="35"/>
  <c r="Q60" i="35"/>
  <c r="A63" i="35"/>
  <c r="G64" i="35"/>
  <c r="H64" i="35"/>
  <c r="I64" i="35"/>
  <c r="J64" i="35"/>
  <c r="K64" i="35"/>
  <c r="L64" i="35"/>
  <c r="M64" i="35"/>
  <c r="N64" i="35"/>
  <c r="O64" i="35"/>
  <c r="P64" i="35"/>
  <c r="Q64" i="35"/>
  <c r="F65" i="35"/>
  <c r="G65" i="35"/>
  <c r="H65" i="35"/>
  <c r="I65" i="35"/>
  <c r="J65" i="35"/>
  <c r="K65" i="35"/>
  <c r="L65" i="35"/>
  <c r="M65" i="35"/>
  <c r="N65" i="35"/>
  <c r="O65" i="35"/>
  <c r="P65" i="35"/>
  <c r="Q65" i="35"/>
  <c r="A68" i="35"/>
  <c r="F68" i="35"/>
  <c r="G68" i="35"/>
  <c r="H68" i="35"/>
  <c r="I68" i="35"/>
  <c r="J68" i="35"/>
  <c r="K68" i="35"/>
  <c r="L68" i="35"/>
  <c r="M68" i="35"/>
  <c r="N68" i="35"/>
  <c r="O68" i="35"/>
  <c r="P68" i="35"/>
  <c r="Q68" i="35"/>
  <c r="I69" i="35"/>
  <c r="J69" i="35"/>
  <c r="K69" i="35"/>
  <c r="L69" i="35"/>
  <c r="M69" i="35"/>
  <c r="N69" i="35"/>
  <c r="O69" i="35"/>
  <c r="P69" i="35"/>
  <c r="Q69" i="35"/>
  <c r="A71" i="35"/>
  <c r="F71" i="35"/>
  <c r="G71" i="35"/>
  <c r="H71" i="35"/>
  <c r="I71" i="35"/>
  <c r="J71" i="35"/>
  <c r="K71" i="35"/>
  <c r="L71" i="35"/>
  <c r="M71" i="35"/>
  <c r="N71" i="35"/>
  <c r="O71" i="35"/>
  <c r="P71" i="35"/>
  <c r="Q71" i="35"/>
  <c r="I72" i="35"/>
  <c r="J72" i="35"/>
  <c r="K72" i="35"/>
  <c r="L72" i="35"/>
  <c r="M72" i="35"/>
  <c r="N72" i="35"/>
  <c r="O72" i="35"/>
  <c r="P72" i="35"/>
  <c r="Q72" i="35"/>
  <c r="G77" i="35"/>
  <c r="H77" i="35"/>
  <c r="I77" i="35"/>
  <c r="J77" i="35"/>
  <c r="K77" i="35"/>
  <c r="L77" i="35"/>
  <c r="M77" i="35"/>
  <c r="N77" i="35"/>
  <c r="O77" i="35"/>
  <c r="P77" i="35"/>
  <c r="Q77" i="35"/>
  <c r="B80" i="35"/>
  <c r="C80" i="35"/>
  <c r="G80" i="35"/>
  <c r="H80" i="35"/>
  <c r="I80" i="35"/>
  <c r="J80" i="35"/>
  <c r="K80" i="35"/>
  <c r="L80" i="35"/>
  <c r="M80" i="35"/>
  <c r="N80" i="35"/>
  <c r="O80" i="35"/>
  <c r="P80" i="35"/>
  <c r="Q80" i="35"/>
  <c r="G81" i="35"/>
  <c r="H81" i="35"/>
  <c r="I81" i="35"/>
  <c r="J81" i="35"/>
  <c r="K81" i="35"/>
  <c r="L81" i="35"/>
  <c r="M81" i="35"/>
  <c r="N81" i="35"/>
  <c r="O81" i="35"/>
  <c r="P81" i="35"/>
  <c r="Q81" i="35"/>
  <c r="G82" i="35"/>
  <c r="H82" i="35"/>
  <c r="I82" i="35"/>
  <c r="J82" i="35"/>
  <c r="K82" i="35"/>
  <c r="L82" i="35"/>
  <c r="M82" i="35"/>
  <c r="N82" i="35"/>
  <c r="O82" i="35"/>
  <c r="P82" i="35"/>
  <c r="Q82" i="35"/>
  <c r="G83" i="35"/>
  <c r="H83" i="35"/>
  <c r="I83" i="35"/>
  <c r="J83" i="35"/>
  <c r="K83" i="35"/>
  <c r="L83" i="35"/>
  <c r="M83" i="35"/>
  <c r="N83" i="35"/>
  <c r="O83" i="35"/>
  <c r="P83" i="35"/>
  <c r="Q83" i="35"/>
  <c r="G86" i="35"/>
  <c r="H86" i="35"/>
  <c r="I86" i="35"/>
  <c r="J86" i="35"/>
  <c r="K86" i="35"/>
  <c r="L86" i="35"/>
  <c r="M86" i="35"/>
  <c r="N86" i="35"/>
  <c r="O86" i="35"/>
  <c r="P86" i="35"/>
  <c r="Q86" i="35"/>
  <c r="G87" i="35"/>
  <c r="H87" i="35"/>
  <c r="I87" i="35"/>
  <c r="J87" i="35"/>
  <c r="K87" i="35"/>
  <c r="L87" i="35"/>
  <c r="M87" i="35"/>
  <c r="N87" i="35"/>
  <c r="O87" i="35"/>
  <c r="P87" i="35"/>
  <c r="Q87" i="35"/>
  <c r="G88" i="35"/>
  <c r="H88" i="35"/>
  <c r="I88" i="35"/>
  <c r="J88" i="35"/>
  <c r="K88" i="35"/>
  <c r="L88" i="35"/>
  <c r="M88" i="35"/>
  <c r="N88" i="35"/>
  <c r="O88" i="35"/>
  <c r="P88" i="35"/>
  <c r="Q88" i="35"/>
  <c r="A1" i="41"/>
  <c r="F3" i="41"/>
  <c r="F7" i="41"/>
  <c r="G7" i="41"/>
  <c r="H7" i="41"/>
  <c r="I7" i="41"/>
  <c r="J7" i="41"/>
  <c r="K7" i="41"/>
  <c r="L7" i="41"/>
  <c r="M7" i="41"/>
  <c r="N7" i="41"/>
  <c r="O7" i="41"/>
  <c r="P7" i="41"/>
  <c r="Q7" i="41"/>
  <c r="G10" i="41"/>
  <c r="F11" i="41"/>
  <c r="G11" i="41"/>
  <c r="H11" i="41"/>
  <c r="I11" i="41"/>
  <c r="J11" i="41"/>
  <c r="K11" i="41"/>
  <c r="L11" i="41"/>
  <c r="M11" i="41"/>
  <c r="N11" i="41"/>
  <c r="O11" i="41"/>
  <c r="P11" i="41"/>
  <c r="Q11" i="41"/>
  <c r="G13" i="41"/>
  <c r="F14" i="41"/>
  <c r="G14" i="41"/>
  <c r="H14" i="41"/>
  <c r="I14" i="41"/>
  <c r="J14" i="41"/>
  <c r="K14" i="41"/>
  <c r="L14" i="41"/>
  <c r="M14" i="41"/>
  <c r="N14" i="41"/>
  <c r="O14" i="41"/>
  <c r="P14" i="41"/>
  <c r="Q14" i="41"/>
  <c r="F15" i="41"/>
  <c r="G15" i="41"/>
  <c r="H15" i="41"/>
  <c r="I15" i="41"/>
  <c r="J15" i="41"/>
  <c r="K15" i="41"/>
  <c r="L15" i="41"/>
  <c r="M15" i="41"/>
  <c r="N15" i="41"/>
  <c r="O15" i="41"/>
  <c r="P15" i="41"/>
  <c r="Q15" i="41"/>
  <c r="F16" i="41"/>
  <c r="G16" i="41"/>
  <c r="H16" i="41"/>
  <c r="I16" i="41"/>
  <c r="J16" i="41"/>
  <c r="K16" i="41"/>
  <c r="L16" i="41"/>
  <c r="M16" i="41"/>
  <c r="N16" i="41"/>
  <c r="O16" i="41"/>
  <c r="P16" i="41"/>
  <c r="Q16" i="41"/>
  <c r="G18" i="41"/>
  <c r="H18" i="41"/>
  <c r="I18" i="41"/>
  <c r="J18" i="41"/>
  <c r="K18" i="41"/>
  <c r="L18" i="41"/>
  <c r="M18" i="41"/>
  <c r="N18" i="41"/>
  <c r="O18" i="41"/>
  <c r="P18" i="41"/>
  <c r="Q18" i="41"/>
  <c r="F20" i="41"/>
  <c r="G20" i="41"/>
  <c r="H20" i="41"/>
  <c r="I20" i="41"/>
  <c r="J20" i="41"/>
  <c r="K20" i="41"/>
  <c r="L20" i="41"/>
  <c r="M20" i="41"/>
  <c r="N20" i="41"/>
  <c r="O20" i="41"/>
  <c r="P20" i="41"/>
  <c r="Q20" i="41"/>
  <c r="G22" i="41"/>
  <c r="H22" i="41"/>
  <c r="I22" i="41"/>
  <c r="J22" i="41"/>
  <c r="K22" i="41"/>
  <c r="L22" i="41"/>
  <c r="M22" i="41"/>
  <c r="N22" i="41"/>
  <c r="O22" i="41"/>
  <c r="P22" i="41"/>
  <c r="Q22" i="41"/>
  <c r="G23" i="41"/>
  <c r="H23" i="41"/>
  <c r="I23" i="41"/>
  <c r="J23" i="41"/>
  <c r="K23" i="41"/>
  <c r="L23" i="41"/>
  <c r="M23" i="41"/>
  <c r="N23" i="41"/>
  <c r="O23" i="41"/>
  <c r="P23" i="41"/>
  <c r="Q23" i="41"/>
  <c r="B24" i="41"/>
  <c r="G24" i="41"/>
  <c r="H24" i="41"/>
  <c r="I24" i="41"/>
  <c r="J24" i="41"/>
  <c r="K24" i="41"/>
  <c r="L24" i="41"/>
  <c r="M24" i="41"/>
  <c r="N24" i="41"/>
  <c r="O24" i="41"/>
  <c r="P24" i="41"/>
  <c r="Q24" i="41"/>
  <c r="F26" i="41"/>
  <c r="G26" i="41"/>
  <c r="H26" i="41"/>
  <c r="I26" i="41"/>
  <c r="J26" i="41"/>
  <c r="K26" i="41"/>
  <c r="L26" i="41"/>
  <c r="M26" i="41"/>
  <c r="N26" i="41"/>
  <c r="O26" i="41"/>
  <c r="P26" i="41"/>
  <c r="Q26" i="41"/>
  <c r="F28" i="41"/>
  <c r="G28" i="41"/>
  <c r="H28" i="41"/>
  <c r="I28" i="41"/>
  <c r="J28" i="41"/>
  <c r="K28" i="41"/>
  <c r="L28" i="41"/>
  <c r="M28" i="41"/>
  <c r="N28" i="41"/>
  <c r="O28" i="41"/>
  <c r="P28" i="41"/>
  <c r="Q28" i="41"/>
  <c r="B29" i="41"/>
  <c r="F29" i="41"/>
  <c r="G29" i="41"/>
  <c r="H29" i="41"/>
  <c r="I29" i="41"/>
  <c r="J29" i="41"/>
  <c r="K29" i="41"/>
  <c r="L29" i="41"/>
  <c r="M29" i="41"/>
  <c r="N29" i="41"/>
  <c r="O29" i="41"/>
  <c r="P29" i="41"/>
  <c r="Q29" i="41"/>
  <c r="R29" i="41"/>
  <c r="F30" i="41"/>
  <c r="G30" i="41"/>
  <c r="H30" i="41"/>
  <c r="I30" i="41"/>
  <c r="J30" i="41"/>
  <c r="K30" i="41"/>
  <c r="L30" i="41"/>
  <c r="M30" i="41"/>
  <c r="N30" i="41"/>
  <c r="O30" i="41"/>
  <c r="P30" i="41"/>
  <c r="Q30" i="41"/>
  <c r="R30" i="41"/>
  <c r="H33" i="41"/>
  <c r="K34" i="41"/>
  <c r="L34" i="41"/>
  <c r="M34" i="41"/>
  <c r="F36" i="41"/>
  <c r="H36" i="41"/>
  <c r="I36" i="41"/>
  <c r="K36" i="41"/>
  <c r="L36" i="41"/>
  <c r="M36" i="41"/>
  <c r="F42" i="41"/>
  <c r="G42" i="41"/>
  <c r="H42" i="41"/>
  <c r="I42" i="41"/>
  <c r="J42" i="41"/>
  <c r="K42" i="41"/>
  <c r="L42" i="41"/>
  <c r="M42" i="41"/>
  <c r="N42" i="41"/>
  <c r="O42" i="41"/>
  <c r="P42" i="41"/>
  <c r="Q42" i="41"/>
  <c r="A43" i="41"/>
  <c r="B43" i="41"/>
  <c r="F43" i="41"/>
  <c r="G43" i="41"/>
  <c r="H43" i="41"/>
  <c r="I43" i="41"/>
  <c r="J43" i="41"/>
  <c r="K43" i="41"/>
  <c r="L43" i="41"/>
  <c r="M43" i="41"/>
  <c r="N43" i="41"/>
  <c r="O43" i="41"/>
  <c r="P43" i="41"/>
  <c r="Q43" i="41"/>
  <c r="A46" i="41"/>
  <c r="G47" i="41"/>
  <c r="H47" i="41"/>
  <c r="I47" i="41"/>
  <c r="J47" i="41"/>
  <c r="K47" i="41"/>
  <c r="L47" i="41"/>
  <c r="M47" i="41"/>
  <c r="N47" i="41"/>
  <c r="O47" i="41"/>
  <c r="P47" i="41"/>
  <c r="Q47" i="41"/>
  <c r="F48" i="41"/>
  <c r="G48" i="41"/>
  <c r="H48" i="41"/>
  <c r="I48" i="41"/>
  <c r="J48" i="41"/>
  <c r="K48" i="41"/>
  <c r="L48" i="41"/>
  <c r="M48" i="41"/>
  <c r="N48" i="41"/>
  <c r="O48" i="41"/>
  <c r="P48" i="41"/>
  <c r="Q48" i="41"/>
  <c r="I49" i="41"/>
  <c r="J49" i="41"/>
  <c r="K49" i="41"/>
  <c r="L49" i="41"/>
  <c r="M49" i="41"/>
  <c r="N49" i="41"/>
  <c r="O49" i="41"/>
  <c r="P49" i="41"/>
  <c r="Q49" i="41"/>
  <c r="A51" i="41"/>
  <c r="F51" i="41"/>
  <c r="G51" i="41"/>
  <c r="H51" i="41"/>
  <c r="I51" i="41"/>
  <c r="J51" i="41"/>
  <c r="K51" i="41"/>
  <c r="L51" i="41"/>
  <c r="M51" i="41"/>
  <c r="N51" i="41"/>
  <c r="O51" i="41"/>
  <c r="P51" i="41"/>
  <c r="Q51" i="41"/>
  <c r="I52" i="41"/>
  <c r="J52" i="41"/>
  <c r="K52" i="41"/>
  <c r="L52" i="41"/>
  <c r="M52" i="41"/>
  <c r="N52" i="41"/>
  <c r="O52" i="41"/>
  <c r="P52" i="41"/>
  <c r="Q52" i="41"/>
  <c r="A54" i="41"/>
  <c r="F54" i="41"/>
  <c r="G54" i="41"/>
  <c r="H54" i="41"/>
  <c r="I54" i="41"/>
  <c r="J54" i="41"/>
  <c r="K54" i="41"/>
  <c r="L54" i="41"/>
  <c r="M54" i="41"/>
  <c r="N54" i="41"/>
  <c r="O54" i="41"/>
  <c r="P54" i="41"/>
  <c r="Q54" i="41"/>
  <c r="I55" i="41"/>
  <c r="J55" i="41"/>
  <c r="K55" i="41"/>
  <c r="L55" i="41"/>
  <c r="M55" i="41"/>
  <c r="N55" i="41"/>
  <c r="O55" i="41"/>
  <c r="P55" i="41"/>
  <c r="Q55" i="41"/>
  <c r="F59" i="41"/>
  <c r="G59" i="41"/>
  <c r="H59" i="41"/>
  <c r="I59" i="41"/>
  <c r="J59" i="41"/>
  <c r="K59" i="41"/>
  <c r="L59" i="41"/>
  <c r="M59" i="41"/>
  <c r="N59" i="41"/>
  <c r="O59" i="41"/>
  <c r="P59" i="41"/>
  <c r="Q59" i="41"/>
  <c r="A60" i="41"/>
  <c r="B60" i="41"/>
  <c r="F60" i="41"/>
  <c r="G60" i="41"/>
  <c r="H60" i="41"/>
  <c r="I60" i="41"/>
  <c r="J60" i="41"/>
  <c r="K60" i="41"/>
  <c r="L60" i="41"/>
  <c r="M60" i="41"/>
  <c r="N60" i="41"/>
  <c r="O60" i="41"/>
  <c r="P60" i="41"/>
  <c r="Q60" i="41"/>
  <c r="A63" i="41"/>
  <c r="G64" i="41"/>
  <c r="H64" i="41"/>
  <c r="I64" i="41"/>
  <c r="J64" i="41"/>
  <c r="K64" i="41"/>
  <c r="L64" i="41"/>
  <c r="M64" i="41"/>
  <c r="N64" i="41"/>
  <c r="O64" i="41"/>
  <c r="P64" i="41"/>
  <c r="Q64" i="41"/>
  <c r="F65" i="41"/>
  <c r="G65" i="41"/>
  <c r="H65" i="41"/>
  <c r="I65" i="41"/>
  <c r="J65" i="41"/>
  <c r="K65" i="41"/>
  <c r="L65" i="41"/>
  <c r="M65" i="41"/>
  <c r="N65" i="41"/>
  <c r="O65" i="41"/>
  <c r="P65" i="41"/>
  <c r="Q65" i="41"/>
  <c r="A68" i="41"/>
  <c r="F68" i="41"/>
  <c r="G68" i="41"/>
  <c r="H68" i="41"/>
  <c r="I68" i="41"/>
  <c r="J68" i="41"/>
  <c r="K68" i="41"/>
  <c r="L68" i="41"/>
  <c r="M68" i="41"/>
  <c r="N68" i="41"/>
  <c r="O68" i="41"/>
  <c r="P68" i="41"/>
  <c r="Q68" i="41"/>
  <c r="I69" i="41"/>
  <c r="J69" i="41"/>
  <c r="K69" i="41"/>
  <c r="L69" i="41"/>
  <c r="M69" i="41"/>
  <c r="N69" i="41"/>
  <c r="O69" i="41"/>
  <c r="P69" i="41"/>
  <c r="Q69" i="41"/>
  <c r="A71" i="41"/>
  <c r="F71" i="41"/>
  <c r="G71" i="41"/>
  <c r="H71" i="41"/>
  <c r="I71" i="41"/>
  <c r="J71" i="41"/>
  <c r="K71" i="41"/>
  <c r="L71" i="41"/>
  <c r="M71" i="41"/>
  <c r="N71" i="41"/>
  <c r="O71" i="41"/>
  <c r="P71" i="41"/>
  <c r="Q71" i="41"/>
  <c r="I72" i="41"/>
  <c r="J72" i="41"/>
  <c r="K72" i="41"/>
  <c r="L72" i="41"/>
  <c r="M72" i="41"/>
  <c r="N72" i="41"/>
  <c r="O72" i="41"/>
  <c r="P72" i="41"/>
  <c r="Q72" i="41"/>
  <c r="G77" i="41"/>
  <c r="H77" i="41"/>
  <c r="I77" i="41"/>
  <c r="J77" i="41"/>
  <c r="K77" i="41"/>
  <c r="L77" i="41"/>
  <c r="M77" i="41"/>
  <c r="N77" i="41"/>
  <c r="O77" i="41"/>
  <c r="P77" i="41"/>
  <c r="Q77" i="41"/>
  <c r="B80" i="41"/>
  <c r="C80" i="41"/>
  <c r="G80" i="41"/>
  <c r="H80" i="41"/>
  <c r="I80" i="41"/>
  <c r="J80" i="41"/>
  <c r="K80" i="41"/>
  <c r="L80" i="41"/>
  <c r="M80" i="41"/>
  <c r="N80" i="41"/>
  <c r="O80" i="41"/>
  <c r="P80" i="41"/>
  <c r="Q80" i="41"/>
  <c r="G81" i="41"/>
  <c r="H81" i="41"/>
  <c r="I81" i="41"/>
  <c r="J81" i="41"/>
  <c r="K81" i="41"/>
  <c r="L81" i="41"/>
  <c r="M81" i="41"/>
  <c r="N81" i="41"/>
  <c r="O81" i="41"/>
  <c r="P81" i="41"/>
  <c r="Q81" i="41"/>
  <c r="G82" i="41"/>
  <c r="H82" i="41"/>
  <c r="I82" i="41"/>
  <c r="J82" i="41"/>
  <c r="K82" i="41"/>
  <c r="L82" i="41"/>
  <c r="M82" i="41"/>
  <c r="N82" i="41"/>
  <c r="O82" i="41"/>
  <c r="P82" i="41"/>
  <c r="Q82" i="41"/>
  <c r="G83" i="41"/>
  <c r="H83" i="41"/>
  <c r="I83" i="41"/>
  <c r="J83" i="41"/>
  <c r="K83" i="41"/>
  <c r="L83" i="41"/>
  <c r="M83" i="41"/>
  <c r="N83" i="41"/>
  <c r="O83" i="41"/>
  <c r="P83" i="41"/>
  <c r="Q83" i="41"/>
  <c r="G86" i="41"/>
  <c r="H86" i="41"/>
  <c r="I86" i="41"/>
  <c r="J86" i="41"/>
  <c r="K86" i="41"/>
  <c r="L86" i="41"/>
  <c r="M86" i="41"/>
  <c r="N86" i="41"/>
  <c r="O86" i="41"/>
  <c r="P86" i="41"/>
  <c r="Q86" i="41"/>
  <c r="G87" i="41"/>
  <c r="H87" i="41"/>
  <c r="I87" i="41"/>
  <c r="J87" i="41"/>
  <c r="K87" i="41"/>
  <c r="L87" i="41"/>
  <c r="M87" i="41"/>
  <c r="N87" i="41"/>
  <c r="O87" i="41"/>
  <c r="P87" i="41"/>
  <c r="Q87" i="41"/>
  <c r="G88" i="41"/>
  <c r="H88" i="41"/>
  <c r="I88" i="41"/>
  <c r="J88" i="41"/>
  <c r="K88" i="41"/>
  <c r="L88" i="41"/>
  <c r="M88" i="41"/>
  <c r="N88" i="41"/>
  <c r="O88" i="41"/>
  <c r="P88" i="41"/>
  <c r="Q88" i="41"/>
  <c r="A1" i="42"/>
  <c r="F3" i="42"/>
  <c r="F7" i="42"/>
  <c r="G7" i="42"/>
  <c r="H7" i="42"/>
  <c r="I7" i="42"/>
  <c r="J7" i="42"/>
  <c r="K7" i="42"/>
  <c r="L7" i="42"/>
  <c r="M7" i="42"/>
  <c r="N7" i="42"/>
  <c r="O7" i="42"/>
  <c r="P7" i="42"/>
  <c r="Q7" i="42"/>
  <c r="G10" i="42"/>
  <c r="F11" i="42"/>
  <c r="G11" i="42"/>
  <c r="H11" i="42"/>
  <c r="I11" i="42"/>
  <c r="J11" i="42"/>
  <c r="K11" i="42"/>
  <c r="L11" i="42"/>
  <c r="M11" i="42"/>
  <c r="N11" i="42"/>
  <c r="O11" i="42"/>
  <c r="P11" i="42"/>
  <c r="Q11" i="42"/>
  <c r="G13" i="42"/>
  <c r="F14" i="42"/>
  <c r="G14" i="42"/>
  <c r="H14" i="42"/>
  <c r="I14" i="42"/>
  <c r="J14" i="42"/>
  <c r="K14" i="42"/>
  <c r="L14" i="42"/>
  <c r="M14" i="42"/>
  <c r="N14" i="42"/>
  <c r="O14" i="42"/>
  <c r="P14" i="42"/>
  <c r="Q14" i="42"/>
  <c r="F15" i="42"/>
  <c r="G15" i="42"/>
  <c r="H15" i="42"/>
  <c r="I15" i="42"/>
  <c r="J15" i="42"/>
  <c r="K15" i="42"/>
  <c r="L15" i="42"/>
  <c r="M15" i="42"/>
  <c r="N15" i="42"/>
  <c r="O15" i="42"/>
  <c r="P15" i="42"/>
  <c r="Q15" i="42"/>
  <c r="F16" i="42"/>
  <c r="G16" i="42"/>
  <c r="H16" i="42"/>
  <c r="I16" i="42"/>
  <c r="J16" i="42"/>
  <c r="K16" i="42"/>
  <c r="L16" i="42"/>
  <c r="M16" i="42"/>
  <c r="N16" i="42"/>
  <c r="O16" i="42"/>
  <c r="P16" i="42"/>
  <c r="Q16" i="42"/>
  <c r="G18" i="42"/>
  <c r="H18" i="42"/>
  <c r="I18" i="42"/>
  <c r="J18" i="42"/>
  <c r="K18" i="42"/>
  <c r="L18" i="42"/>
  <c r="M18" i="42"/>
  <c r="N18" i="42"/>
  <c r="O18" i="42"/>
  <c r="P18" i="42"/>
  <c r="Q18" i="42"/>
  <c r="F20" i="42"/>
  <c r="G20" i="42"/>
  <c r="H20" i="42"/>
  <c r="I20" i="42"/>
  <c r="J20" i="42"/>
  <c r="K20" i="42"/>
  <c r="L20" i="42"/>
  <c r="M20" i="42"/>
  <c r="N20" i="42"/>
  <c r="O20" i="42"/>
  <c r="P20" i="42"/>
  <c r="Q20" i="42"/>
  <c r="G22" i="42"/>
  <c r="H22" i="42"/>
  <c r="I22" i="42"/>
  <c r="J22" i="42"/>
  <c r="K22" i="42"/>
  <c r="L22" i="42"/>
  <c r="M22" i="42"/>
  <c r="N22" i="42"/>
  <c r="O22" i="42"/>
  <c r="P22" i="42"/>
  <c r="Q22" i="42"/>
  <c r="G23" i="42"/>
  <c r="H23" i="42"/>
  <c r="I23" i="42"/>
  <c r="J23" i="42"/>
  <c r="K23" i="42"/>
  <c r="L23" i="42"/>
  <c r="M23" i="42"/>
  <c r="N23" i="42"/>
  <c r="O23" i="42"/>
  <c r="P23" i="42"/>
  <c r="Q23" i="42"/>
  <c r="B24" i="42"/>
  <c r="G24" i="42"/>
  <c r="H24" i="42"/>
  <c r="I24" i="42"/>
  <c r="J24" i="42"/>
  <c r="K24" i="42"/>
  <c r="L24" i="42"/>
  <c r="M24" i="42"/>
  <c r="N24" i="42"/>
  <c r="O24" i="42"/>
  <c r="P24" i="42"/>
  <c r="Q24" i="42"/>
  <c r="F26" i="42"/>
  <c r="G26" i="42"/>
  <c r="H26" i="42"/>
  <c r="I26" i="42"/>
  <c r="J26" i="42"/>
  <c r="K26" i="42"/>
  <c r="L26" i="42"/>
  <c r="M26" i="42"/>
  <c r="N26" i="42"/>
  <c r="O26" i="42"/>
  <c r="P26" i="42"/>
  <c r="Q26" i="42"/>
  <c r="F28" i="42"/>
  <c r="G28" i="42"/>
  <c r="H28" i="42"/>
  <c r="I28" i="42"/>
  <c r="J28" i="42"/>
  <c r="K28" i="42"/>
  <c r="L28" i="42"/>
  <c r="M28" i="42"/>
  <c r="N28" i="42"/>
  <c r="O28" i="42"/>
  <c r="P28" i="42"/>
  <c r="Q28" i="42"/>
  <c r="B29" i="42"/>
  <c r="F29" i="42"/>
  <c r="G29" i="42"/>
  <c r="H29" i="42"/>
  <c r="I29" i="42"/>
  <c r="J29" i="42"/>
  <c r="K29" i="42"/>
  <c r="L29" i="42"/>
  <c r="M29" i="42"/>
  <c r="N29" i="42"/>
  <c r="O29" i="42"/>
  <c r="P29" i="42"/>
  <c r="Q29" i="42"/>
  <c r="R29" i="42"/>
  <c r="F30" i="42"/>
  <c r="G30" i="42"/>
  <c r="H30" i="42"/>
  <c r="I30" i="42"/>
  <c r="J30" i="42"/>
  <c r="K30" i="42"/>
  <c r="L30" i="42"/>
  <c r="M30" i="42"/>
  <c r="N30" i="42"/>
  <c r="O30" i="42"/>
  <c r="P30" i="42"/>
  <c r="Q30" i="42"/>
  <c r="R30" i="42"/>
  <c r="H33" i="42"/>
  <c r="K34" i="42"/>
  <c r="L34" i="42"/>
  <c r="M34" i="42"/>
  <c r="F36" i="42"/>
  <c r="H36" i="42"/>
  <c r="I36" i="42"/>
  <c r="K36" i="42"/>
  <c r="L36" i="42"/>
  <c r="M36" i="42"/>
  <c r="F42" i="42"/>
  <c r="G42" i="42"/>
  <c r="H42" i="42"/>
  <c r="I42" i="42"/>
  <c r="J42" i="42"/>
  <c r="K42" i="42"/>
  <c r="L42" i="42"/>
  <c r="M42" i="42"/>
  <c r="N42" i="42"/>
  <c r="O42" i="42"/>
  <c r="P42" i="42"/>
  <c r="Q42" i="42"/>
  <c r="A43" i="42"/>
  <c r="B43" i="42"/>
  <c r="F43" i="42"/>
  <c r="G43" i="42"/>
  <c r="H43" i="42"/>
  <c r="I43" i="42"/>
  <c r="J43" i="42"/>
  <c r="K43" i="42"/>
  <c r="L43" i="42"/>
  <c r="M43" i="42"/>
  <c r="N43" i="42"/>
  <c r="O43" i="42"/>
  <c r="P43" i="42"/>
  <c r="Q43" i="42"/>
  <c r="A46" i="42"/>
  <c r="G47" i="42"/>
  <c r="H47" i="42"/>
  <c r="I47" i="42"/>
  <c r="J47" i="42"/>
  <c r="K47" i="42"/>
  <c r="L47" i="42"/>
  <c r="M47" i="42"/>
  <c r="N47" i="42"/>
  <c r="O47" i="42"/>
  <c r="P47" i="42"/>
  <c r="Q47" i="42"/>
  <c r="F48" i="42"/>
  <c r="G48" i="42"/>
  <c r="H48" i="42"/>
  <c r="I48" i="42"/>
  <c r="J48" i="42"/>
  <c r="K48" i="42"/>
  <c r="L48" i="42"/>
  <c r="M48" i="42"/>
  <c r="N48" i="42"/>
  <c r="O48" i="42"/>
  <c r="P48" i="42"/>
  <c r="Q48" i="42"/>
  <c r="I49" i="42"/>
  <c r="J49" i="42"/>
  <c r="K49" i="42"/>
  <c r="L49" i="42"/>
  <c r="M49" i="42"/>
  <c r="N49" i="42"/>
  <c r="O49" i="42"/>
  <c r="P49" i="42"/>
  <c r="Q49" i="42"/>
  <c r="A51" i="42"/>
  <c r="F51" i="42"/>
  <c r="G51" i="42"/>
  <c r="H51" i="42"/>
  <c r="I51" i="42"/>
  <c r="J51" i="42"/>
  <c r="K51" i="42"/>
  <c r="L51" i="42"/>
  <c r="M51" i="42"/>
  <c r="N51" i="42"/>
  <c r="O51" i="42"/>
  <c r="P51" i="42"/>
  <c r="Q51" i="42"/>
  <c r="I52" i="42"/>
  <c r="J52" i="42"/>
  <c r="K52" i="42"/>
  <c r="L52" i="42"/>
  <c r="M52" i="42"/>
  <c r="N52" i="42"/>
  <c r="O52" i="42"/>
  <c r="P52" i="42"/>
  <c r="Q52" i="42"/>
  <c r="A54" i="42"/>
  <c r="F54" i="42"/>
  <c r="G54" i="42"/>
  <c r="H54" i="42"/>
  <c r="I54" i="42"/>
  <c r="J54" i="42"/>
  <c r="K54" i="42"/>
  <c r="L54" i="42"/>
  <c r="M54" i="42"/>
  <c r="N54" i="42"/>
  <c r="O54" i="42"/>
  <c r="P54" i="42"/>
  <c r="Q54" i="42"/>
  <c r="I55" i="42"/>
  <c r="J55" i="42"/>
  <c r="K55" i="42"/>
  <c r="L55" i="42"/>
  <c r="M55" i="42"/>
  <c r="N55" i="42"/>
  <c r="O55" i="42"/>
  <c r="P55" i="42"/>
  <c r="Q55" i="42"/>
  <c r="F59" i="42"/>
  <c r="G59" i="42"/>
  <c r="H59" i="42"/>
  <c r="I59" i="42"/>
  <c r="J59" i="42"/>
  <c r="K59" i="42"/>
  <c r="L59" i="42"/>
  <c r="M59" i="42"/>
  <c r="N59" i="42"/>
  <c r="O59" i="42"/>
  <c r="P59" i="42"/>
  <c r="Q59" i="42"/>
  <c r="A60" i="42"/>
  <c r="B60" i="42"/>
  <c r="F60" i="42"/>
  <c r="G60" i="42"/>
  <c r="H60" i="42"/>
  <c r="I60" i="42"/>
  <c r="J60" i="42"/>
  <c r="K60" i="42"/>
  <c r="L60" i="42"/>
  <c r="M60" i="42"/>
  <c r="N60" i="42"/>
  <c r="O60" i="42"/>
  <c r="P60" i="42"/>
  <c r="Q60" i="42"/>
  <c r="A63" i="42"/>
  <c r="G64" i="42"/>
  <c r="H64" i="42"/>
  <c r="I64" i="42"/>
  <c r="J64" i="42"/>
  <c r="K64" i="42"/>
  <c r="L64" i="42"/>
  <c r="M64" i="42"/>
  <c r="N64" i="42"/>
  <c r="O64" i="42"/>
  <c r="P64" i="42"/>
  <c r="Q64" i="42"/>
  <c r="F65" i="42"/>
  <c r="G65" i="42"/>
  <c r="H65" i="42"/>
  <c r="I65" i="42"/>
  <c r="J65" i="42"/>
  <c r="K65" i="42"/>
  <c r="L65" i="42"/>
  <c r="M65" i="42"/>
  <c r="N65" i="42"/>
  <c r="O65" i="42"/>
  <c r="P65" i="42"/>
  <c r="Q65" i="42"/>
  <c r="A68" i="42"/>
  <c r="F68" i="42"/>
  <c r="G68" i="42"/>
  <c r="H68" i="42"/>
  <c r="I68" i="42"/>
  <c r="J68" i="42"/>
  <c r="K68" i="42"/>
  <c r="L68" i="42"/>
  <c r="M68" i="42"/>
  <c r="N68" i="42"/>
  <c r="O68" i="42"/>
  <c r="P68" i="42"/>
  <c r="Q68" i="42"/>
  <c r="I69" i="42"/>
  <c r="J69" i="42"/>
  <c r="K69" i="42"/>
  <c r="L69" i="42"/>
  <c r="M69" i="42"/>
  <c r="N69" i="42"/>
  <c r="O69" i="42"/>
  <c r="P69" i="42"/>
  <c r="Q69" i="42"/>
  <c r="A71" i="42"/>
  <c r="F71" i="42"/>
  <c r="G71" i="42"/>
  <c r="H71" i="42"/>
  <c r="I71" i="42"/>
  <c r="J71" i="42"/>
  <c r="K71" i="42"/>
  <c r="L71" i="42"/>
  <c r="M71" i="42"/>
  <c r="N71" i="42"/>
  <c r="O71" i="42"/>
  <c r="P71" i="42"/>
  <c r="Q71" i="42"/>
  <c r="I72" i="42"/>
  <c r="J72" i="42"/>
  <c r="K72" i="42"/>
  <c r="L72" i="42"/>
  <c r="M72" i="42"/>
  <c r="N72" i="42"/>
  <c r="O72" i="42"/>
  <c r="P72" i="42"/>
  <c r="Q72" i="42"/>
  <c r="G77" i="42"/>
  <c r="H77" i="42"/>
  <c r="I77" i="42"/>
  <c r="J77" i="42"/>
  <c r="K77" i="42"/>
  <c r="L77" i="42"/>
  <c r="M77" i="42"/>
  <c r="N77" i="42"/>
  <c r="O77" i="42"/>
  <c r="P77" i="42"/>
  <c r="Q77" i="42"/>
  <c r="B80" i="42"/>
  <c r="C80" i="42"/>
  <c r="G80" i="42"/>
  <c r="H80" i="42"/>
  <c r="I80" i="42"/>
  <c r="J80" i="42"/>
  <c r="K80" i="42"/>
  <c r="L80" i="42"/>
  <c r="M80" i="42"/>
  <c r="N80" i="42"/>
  <c r="O80" i="42"/>
  <c r="P80" i="42"/>
  <c r="Q80" i="42"/>
  <c r="G81" i="42"/>
  <c r="H81" i="42"/>
  <c r="I81" i="42"/>
  <c r="J81" i="42"/>
  <c r="K81" i="42"/>
  <c r="L81" i="42"/>
  <c r="M81" i="42"/>
  <c r="N81" i="42"/>
  <c r="O81" i="42"/>
  <c r="P81" i="42"/>
  <c r="Q81" i="42"/>
  <c r="G82" i="42"/>
  <c r="H82" i="42"/>
  <c r="I82" i="42"/>
  <c r="J82" i="42"/>
  <c r="K82" i="42"/>
  <c r="L82" i="42"/>
  <c r="M82" i="42"/>
  <c r="N82" i="42"/>
  <c r="O82" i="42"/>
  <c r="P82" i="42"/>
  <c r="Q82" i="42"/>
  <c r="G83" i="42"/>
  <c r="H83" i="42"/>
  <c r="I83" i="42"/>
  <c r="J83" i="42"/>
  <c r="K83" i="42"/>
  <c r="L83" i="42"/>
  <c r="M83" i="42"/>
  <c r="N83" i="42"/>
  <c r="O83" i="42"/>
  <c r="P83" i="42"/>
  <c r="Q83" i="42"/>
  <c r="G86" i="42"/>
  <c r="H86" i="42"/>
  <c r="I86" i="42"/>
  <c r="J86" i="42"/>
  <c r="K86" i="42"/>
  <c r="L86" i="42"/>
  <c r="M86" i="42"/>
  <c r="N86" i="42"/>
  <c r="O86" i="42"/>
  <c r="P86" i="42"/>
  <c r="Q86" i="42"/>
  <c r="G87" i="42"/>
  <c r="H87" i="42"/>
  <c r="I87" i="42"/>
  <c r="J87" i="42"/>
  <c r="K87" i="42"/>
  <c r="L87" i="42"/>
  <c r="M87" i="42"/>
  <c r="N87" i="42"/>
  <c r="O87" i="42"/>
  <c r="P87" i="42"/>
  <c r="Q87" i="42"/>
  <c r="G88" i="42"/>
  <c r="H88" i="42"/>
  <c r="I88" i="42"/>
  <c r="J88" i="42"/>
  <c r="K88" i="42"/>
  <c r="L88" i="42"/>
  <c r="M88" i="42"/>
  <c r="N88" i="42"/>
  <c r="O88" i="42"/>
  <c r="P88" i="42"/>
  <c r="Q88" i="42"/>
  <c r="A1" i="43"/>
  <c r="F3" i="43"/>
  <c r="F7" i="43"/>
  <c r="G7" i="43"/>
  <c r="H7" i="43"/>
  <c r="I7" i="43"/>
  <c r="J7" i="43"/>
  <c r="K7" i="43"/>
  <c r="L7" i="43"/>
  <c r="M7" i="43"/>
  <c r="N7" i="43"/>
  <c r="O7" i="43"/>
  <c r="P7" i="43"/>
  <c r="Q7" i="43"/>
  <c r="G10" i="43"/>
  <c r="F11" i="43"/>
  <c r="G11" i="43"/>
  <c r="H11" i="43"/>
  <c r="I11" i="43"/>
  <c r="J11" i="43"/>
  <c r="K11" i="43"/>
  <c r="L11" i="43"/>
  <c r="M11" i="43"/>
  <c r="N11" i="43"/>
  <c r="O11" i="43"/>
  <c r="P11" i="43"/>
  <c r="Q11" i="43"/>
  <c r="G13" i="43"/>
  <c r="F14" i="43"/>
  <c r="G14" i="43"/>
  <c r="H14" i="43"/>
  <c r="I14" i="43"/>
  <c r="J14" i="43"/>
  <c r="K14" i="43"/>
  <c r="L14" i="43"/>
  <c r="M14" i="43"/>
  <c r="N14" i="43"/>
  <c r="O14" i="43"/>
  <c r="P14" i="43"/>
  <c r="Q14" i="43"/>
  <c r="F15" i="43"/>
  <c r="G15" i="43"/>
  <c r="H15" i="43"/>
  <c r="I15" i="43"/>
  <c r="J15" i="43"/>
  <c r="K15" i="43"/>
  <c r="L15" i="43"/>
  <c r="M15" i="43"/>
  <c r="N15" i="43"/>
  <c r="O15" i="43"/>
  <c r="P15" i="43"/>
  <c r="Q15" i="43"/>
  <c r="F16" i="43"/>
  <c r="G16" i="43"/>
  <c r="H16" i="43"/>
  <c r="I16" i="43"/>
  <c r="J16" i="43"/>
  <c r="K16" i="43"/>
  <c r="L16" i="43"/>
  <c r="M16" i="43"/>
  <c r="N16" i="43"/>
  <c r="O16" i="43"/>
  <c r="P16" i="43"/>
  <c r="Q16" i="43"/>
  <c r="G18" i="43"/>
  <c r="H18" i="43"/>
  <c r="I18" i="43"/>
  <c r="J18" i="43"/>
  <c r="K18" i="43"/>
  <c r="L18" i="43"/>
  <c r="M18" i="43"/>
  <c r="N18" i="43"/>
  <c r="O18" i="43"/>
  <c r="P18" i="43"/>
  <c r="Q18" i="43"/>
  <c r="F20" i="43"/>
  <c r="G20" i="43"/>
  <c r="H20" i="43"/>
  <c r="I20" i="43"/>
  <c r="J20" i="43"/>
  <c r="K20" i="43"/>
  <c r="L20" i="43"/>
  <c r="M20" i="43"/>
  <c r="N20" i="43"/>
  <c r="O20" i="43"/>
  <c r="P20" i="43"/>
  <c r="Q20" i="43"/>
  <c r="G22" i="43"/>
  <c r="H22" i="43"/>
  <c r="I22" i="43"/>
  <c r="J22" i="43"/>
  <c r="K22" i="43"/>
  <c r="L22" i="43"/>
  <c r="M22" i="43"/>
  <c r="N22" i="43"/>
  <c r="O22" i="43"/>
  <c r="P22" i="43"/>
  <c r="Q22" i="43"/>
  <c r="G23" i="43"/>
  <c r="H23" i="43"/>
  <c r="I23" i="43"/>
  <c r="J23" i="43"/>
  <c r="K23" i="43"/>
  <c r="L23" i="43"/>
  <c r="M23" i="43"/>
  <c r="N23" i="43"/>
  <c r="O23" i="43"/>
  <c r="P23" i="43"/>
  <c r="Q23" i="43"/>
  <c r="B24" i="43"/>
  <c r="G24" i="43"/>
  <c r="H24" i="43"/>
  <c r="I24" i="43"/>
  <c r="J24" i="43"/>
  <c r="K24" i="43"/>
  <c r="L24" i="43"/>
  <c r="M24" i="43"/>
  <c r="N24" i="43"/>
  <c r="O24" i="43"/>
  <c r="P24" i="43"/>
  <c r="Q24" i="43"/>
  <c r="F26" i="43"/>
  <c r="G26" i="43"/>
  <c r="H26" i="43"/>
  <c r="I26" i="43"/>
  <c r="J26" i="43"/>
  <c r="K26" i="43"/>
  <c r="L26" i="43"/>
  <c r="M26" i="43"/>
  <c r="N26" i="43"/>
  <c r="O26" i="43"/>
  <c r="P26" i="43"/>
  <c r="Q26" i="43"/>
  <c r="F28" i="43"/>
  <c r="G28" i="43"/>
  <c r="H28" i="43"/>
  <c r="I28" i="43"/>
  <c r="J28" i="43"/>
  <c r="K28" i="43"/>
  <c r="L28" i="43"/>
  <c r="M28" i="43"/>
  <c r="N28" i="43"/>
  <c r="O28" i="43"/>
  <c r="P28" i="43"/>
  <c r="Q28" i="43"/>
  <c r="B29" i="43"/>
  <c r="F29" i="43"/>
  <c r="G29" i="43"/>
  <c r="H29" i="43"/>
  <c r="I29" i="43"/>
  <c r="J29" i="43"/>
  <c r="K29" i="43"/>
  <c r="L29" i="43"/>
  <c r="M29" i="43"/>
  <c r="N29" i="43"/>
  <c r="O29" i="43"/>
  <c r="P29" i="43"/>
  <c r="Q29" i="43"/>
  <c r="R29" i="43"/>
  <c r="F30" i="43"/>
  <c r="G30" i="43"/>
  <c r="H30" i="43"/>
  <c r="I30" i="43"/>
  <c r="J30" i="43"/>
  <c r="K30" i="43"/>
  <c r="L30" i="43"/>
  <c r="M30" i="43"/>
  <c r="N30" i="43"/>
  <c r="O30" i="43"/>
  <c r="P30" i="43"/>
  <c r="Q30" i="43"/>
  <c r="R30" i="43"/>
  <c r="H33" i="43"/>
  <c r="K34" i="43"/>
  <c r="L34" i="43"/>
  <c r="M34" i="43"/>
  <c r="F36" i="43"/>
  <c r="H36" i="43"/>
  <c r="I36" i="43"/>
  <c r="K36" i="43"/>
  <c r="L36" i="43"/>
  <c r="M36" i="43"/>
  <c r="F42" i="43"/>
  <c r="G42" i="43"/>
  <c r="H42" i="43"/>
  <c r="I42" i="43"/>
  <c r="J42" i="43"/>
  <c r="K42" i="43"/>
  <c r="L42" i="43"/>
  <c r="M42" i="43"/>
  <c r="N42" i="43"/>
  <c r="O42" i="43"/>
  <c r="P42" i="43"/>
  <c r="Q42" i="43"/>
  <c r="A43" i="43"/>
  <c r="B43" i="43"/>
  <c r="F43" i="43"/>
  <c r="G43" i="43"/>
  <c r="H43" i="43"/>
  <c r="I43" i="43"/>
  <c r="J43" i="43"/>
  <c r="K43" i="43"/>
  <c r="L43" i="43"/>
  <c r="M43" i="43"/>
  <c r="N43" i="43"/>
  <c r="O43" i="43"/>
  <c r="P43" i="43"/>
  <c r="Q43" i="43"/>
  <c r="A46" i="43"/>
  <c r="G47" i="43"/>
  <c r="H47" i="43"/>
  <c r="I47" i="43"/>
  <c r="J47" i="43"/>
  <c r="K47" i="43"/>
  <c r="L47" i="43"/>
  <c r="M47" i="43"/>
  <c r="N47" i="43"/>
  <c r="O47" i="43"/>
  <c r="P47" i="43"/>
  <c r="Q47" i="43"/>
  <c r="F48" i="43"/>
  <c r="G48" i="43"/>
  <c r="H48" i="43"/>
  <c r="I48" i="43"/>
  <c r="J48" i="43"/>
  <c r="K48" i="43"/>
  <c r="L48" i="43"/>
  <c r="M48" i="43"/>
  <c r="N48" i="43"/>
  <c r="O48" i="43"/>
  <c r="P48" i="43"/>
  <c r="Q48" i="43"/>
  <c r="I49" i="43"/>
  <c r="J49" i="43"/>
  <c r="K49" i="43"/>
  <c r="L49" i="43"/>
  <c r="M49" i="43"/>
  <c r="N49" i="43"/>
  <c r="O49" i="43"/>
  <c r="P49" i="43"/>
  <c r="Q49" i="43"/>
  <c r="A51" i="43"/>
  <c r="F51" i="43"/>
  <c r="G51" i="43"/>
  <c r="H51" i="43"/>
  <c r="I51" i="43"/>
  <c r="J51" i="43"/>
  <c r="K51" i="43"/>
  <c r="L51" i="43"/>
  <c r="M51" i="43"/>
  <c r="N51" i="43"/>
  <c r="O51" i="43"/>
  <c r="P51" i="43"/>
  <c r="Q51" i="43"/>
  <c r="I52" i="43"/>
  <c r="J52" i="43"/>
  <c r="K52" i="43"/>
  <c r="L52" i="43"/>
  <c r="M52" i="43"/>
  <c r="N52" i="43"/>
  <c r="O52" i="43"/>
  <c r="P52" i="43"/>
  <c r="Q52" i="43"/>
  <c r="A54" i="43"/>
  <c r="F54" i="43"/>
  <c r="G54" i="43"/>
  <c r="H54" i="43"/>
  <c r="I54" i="43"/>
  <c r="J54" i="43"/>
  <c r="K54" i="43"/>
  <c r="L54" i="43"/>
  <c r="M54" i="43"/>
  <c r="N54" i="43"/>
  <c r="O54" i="43"/>
  <c r="P54" i="43"/>
  <c r="Q54" i="43"/>
  <c r="I55" i="43"/>
  <c r="J55" i="43"/>
  <c r="K55" i="43"/>
  <c r="L55" i="43"/>
  <c r="M55" i="43"/>
  <c r="N55" i="43"/>
  <c r="O55" i="43"/>
  <c r="P55" i="43"/>
  <c r="Q55" i="43"/>
  <c r="F59" i="43"/>
  <c r="G59" i="43"/>
  <c r="H59" i="43"/>
  <c r="I59" i="43"/>
  <c r="J59" i="43"/>
  <c r="K59" i="43"/>
  <c r="L59" i="43"/>
  <c r="M59" i="43"/>
  <c r="N59" i="43"/>
  <c r="O59" i="43"/>
  <c r="P59" i="43"/>
  <c r="Q59" i="43"/>
  <c r="A60" i="43"/>
  <c r="B60" i="43"/>
  <c r="F60" i="43"/>
  <c r="G60" i="43"/>
  <c r="H60" i="43"/>
  <c r="I60" i="43"/>
  <c r="J60" i="43"/>
  <c r="K60" i="43"/>
  <c r="L60" i="43"/>
  <c r="M60" i="43"/>
  <c r="N60" i="43"/>
  <c r="O60" i="43"/>
  <c r="P60" i="43"/>
  <c r="Q60" i="43"/>
  <c r="A63" i="43"/>
  <c r="G64" i="43"/>
  <c r="H64" i="43"/>
  <c r="I64" i="43"/>
  <c r="J64" i="43"/>
  <c r="K64" i="43"/>
  <c r="L64" i="43"/>
  <c r="M64" i="43"/>
  <c r="N64" i="43"/>
  <c r="O64" i="43"/>
  <c r="P64" i="43"/>
  <c r="Q64" i="43"/>
  <c r="F65" i="43"/>
  <c r="G65" i="43"/>
  <c r="H65" i="43"/>
  <c r="I65" i="43"/>
  <c r="J65" i="43"/>
  <c r="K65" i="43"/>
  <c r="L65" i="43"/>
  <c r="M65" i="43"/>
  <c r="N65" i="43"/>
  <c r="O65" i="43"/>
  <c r="P65" i="43"/>
  <c r="Q65" i="43"/>
  <c r="A68" i="43"/>
  <c r="F68" i="43"/>
  <c r="G68" i="43"/>
  <c r="H68" i="43"/>
  <c r="I68" i="43"/>
  <c r="J68" i="43"/>
  <c r="K68" i="43"/>
  <c r="L68" i="43"/>
  <c r="M68" i="43"/>
  <c r="N68" i="43"/>
  <c r="O68" i="43"/>
  <c r="P68" i="43"/>
  <c r="Q68" i="43"/>
  <c r="I69" i="43"/>
  <c r="J69" i="43"/>
  <c r="K69" i="43"/>
  <c r="L69" i="43"/>
  <c r="M69" i="43"/>
  <c r="N69" i="43"/>
  <c r="O69" i="43"/>
  <c r="P69" i="43"/>
  <c r="Q69" i="43"/>
  <c r="A71" i="43"/>
  <c r="F71" i="43"/>
  <c r="G71" i="43"/>
  <c r="H71" i="43"/>
  <c r="I71" i="43"/>
  <c r="J71" i="43"/>
  <c r="K71" i="43"/>
  <c r="L71" i="43"/>
  <c r="M71" i="43"/>
  <c r="N71" i="43"/>
  <c r="O71" i="43"/>
  <c r="P71" i="43"/>
  <c r="Q71" i="43"/>
  <c r="I72" i="43"/>
  <c r="J72" i="43"/>
  <c r="K72" i="43"/>
  <c r="L72" i="43"/>
  <c r="M72" i="43"/>
  <c r="N72" i="43"/>
  <c r="O72" i="43"/>
  <c r="P72" i="43"/>
  <c r="Q72" i="43"/>
  <c r="G77" i="43"/>
  <c r="H77" i="43"/>
  <c r="I77" i="43"/>
  <c r="J77" i="43"/>
  <c r="K77" i="43"/>
  <c r="L77" i="43"/>
  <c r="M77" i="43"/>
  <c r="N77" i="43"/>
  <c r="O77" i="43"/>
  <c r="P77" i="43"/>
  <c r="Q77" i="43"/>
  <c r="B80" i="43"/>
  <c r="C80" i="43"/>
  <c r="G80" i="43"/>
  <c r="H80" i="43"/>
  <c r="I80" i="43"/>
  <c r="J80" i="43"/>
  <c r="K80" i="43"/>
  <c r="L80" i="43"/>
  <c r="M80" i="43"/>
  <c r="N80" i="43"/>
  <c r="O80" i="43"/>
  <c r="P80" i="43"/>
  <c r="Q80" i="43"/>
  <c r="G81" i="43"/>
  <c r="H81" i="43"/>
  <c r="I81" i="43"/>
  <c r="J81" i="43"/>
  <c r="K81" i="43"/>
  <c r="L81" i="43"/>
  <c r="M81" i="43"/>
  <c r="N81" i="43"/>
  <c r="O81" i="43"/>
  <c r="P81" i="43"/>
  <c r="Q81" i="43"/>
  <c r="G82" i="43"/>
  <c r="H82" i="43"/>
  <c r="I82" i="43"/>
  <c r="J82" i="43"/>
  <c r="K82" i="43"/>
  <c r="L82" i="43"/>
  <c r="M82" i="43"/>
  <c r="N82" i="43"/>
  <c r="O82" i="43"/>
  <c r="P82" i="43"/>
  <c r="Q82" i="43"/>
  <c r="G83" i="43"/>
  <c r="H83" i="43"/>
  <c r="I83" i="43"/>
  <c r="J83" i="43"/>
  <c r="K83" i="43"/>
  <c r="L83" i="43"/>
  <c r="M83" i="43"/>
  <c r="N83" i="43"/>
  <c r="O83" i="43"/>
  <c r="P83" i="43"/>
  <c r="Q83" i="43"/>
  <c r="G86" i="43"/>
  <c r="H86" i="43"/>
  <c r="I86" i="43"/>
  <c r="J86" i="43"/>
  <c r="K86" i="43"/>
  <c r="L86" i="43"/>
  <c r="M86" i="43"/>
  <c r="N86" i="43"/>
  <c r="O86" i="43"/>
  <c r="P86" i="43"/>
  <c r="Q86" i="43"/>
  <c r="G87" i="43"/>
  <c r="H87" i="43"/>
  <c r="I87" i="43"/>
  <c r="J87" i="43"/>
  <c r="K87" i="43"/>
  <c r="L87" i="43"/>
  <c r="M87" i="43"/>
  <c r="N87" i="43"/>
  <c r="O87" i="43"/>
  <c r="P87" i="43"/>
  <c r="Q87" i="43"/>
  <c r="G88" i="43"/>
  <c r="H88" i="43"/>
  <c r="I88" i="43"/>
  <c r="J88" i="43"/>
  <c r="K88" i="43"/>
  <c r="L88" i="43"/>
  <c r="M88" i="43"/>
  <c r="N88" i="43"/>
  <c r="O88" i="43"/>
  <c r="P88" i="43"/>
  <c r="Q88" i="43"/>
  <c r="A1" i="24"/>
  <c r="E1" i="24"/>
  <c r="F4" i="24"/>
  <c r="I8" i="24"/>
  <c r="D11" i="24"/>
  <c r="E21" i="24"/>
  <c r="D32" i="24"/>
  <c r="B37" i="24"/>
  <c r="D37" i="24"/>
  <c r="I37" i="24"/>
  <c r="B40" i="24"/>
  <c r="D40" i="24"/>
  <c r="I40" i="24"/>
  <c r="B43" i="24"/>
  <c r="D43" i="24"/>
  <c r="I43" i="24"/>
  <c r="B46" i="24"/>
  <c r="D46" i="24"/>
  <c r="I46" i="24"/>
  <c r="B49" i="24"/>
  <c r="D49" i="24"/>
  <c r="I49" i="24"/>
  <c r="B52" i="24"/>
  <c r="D52" i="24"/>
  <c r="I52" i="24"/>
  <c r="A1" i="12"/>
  <c r="D9" i="12"/>
  <c r="D10" i="12"/>
  <c r="D11" i="12"/>
  <c r="D12" i="12"/>
  <c r="D13" i="12"/>
  <c r="D14" i="12"/>
  <c r="D15" i="12"/>
  <c r="B16" i="12"/>
  <c r="C16" i="12"/>
  <c r="D16" i="12"/>
  <c r="D18" i="12"/>
  <c r="D19" i="12"/>
  <c r="B20" i="12"/>
  <c r="C20" i="12"/>
  <c r="D20" i="12"/>
  <c r="D21" i="12"/>
  <c r="B23" i="12"/>
  <c r="C23" i="12"/>
  <c r="D23" i="12"/>
  <c r="D28" i="12"/>
  <c r="D29" i="12"/>
  <c r="D30" i="12"/>
  <c r="D31" i="12"/>
  <c r="D32" i="12"/>
  <c r="D33" i="12"/>
  <c r="B34" i="12"/>
  <c r="C34" i="12"/>
  <c r="D34" i="12"/>
  <c r="C36" i="12"/>
  <c r="D36" i="12"/>
  <c r="D37" i="12"/>
  <c r="B38" i="12"/>
  <c r="C38" i="12"/>
  <c r="D38" i="12"/>
  <c r="D40" i="12"/>
  <c r="D41" i="12"/>
  <c r="D42" i="12"/>
  <c r="B43" i="12"/>
  <c r="C43" i="12"/>
  <c r="D43" i="12"/>
  <c r="B45" i="12"/>
  <c r="C45" i="12"/>
  <c r="D45" i="12"/>
  <c r="B46" i="12"/>
  <c r="C46" i="12"/>
  <c r="D46" i="12"/>
  <c r="A1" i="37"/>
  <c r="C5" i="37"/>
  <c r="D5" i="37"/>
  <c r="J5" i="37"/>
  <c r="F6" i="37"/>
  <c r="G6" i="37"/>
  <c r="H6" i="37"/>
  <c r="J6" i="37"/>
  <c r="C7" i="37"/>
  <c r="F7" i="37"/>
  <c r="G7" i="37"/>
  <c r="H7" i="37"/>
  <c r="J7" i="37"/>
  <c r="B8" i="37"/>
  <c r="C8" i="37"/>
  <c r="C9" i="37"/>
  <c r="G9" i="37"/>
  <c r="D12" i="37"/>
  <c r="E12" i="37"/>
  <c r="F12" i="37"/>
  <c r="G12" i="37"/>
  <c r="H12" i="37"/>
  <c r="I12" i="37"/>
  <c r="J12" i="37"/>
  <c r="K12" i="37"/>
  <c r="L12" i="37"/>
  <c r="M12" i="37"/>
  <c r="N12" i="37"/>
  <c r="B13" i="37"/>
  <c r="D14" i="37"/>
  <c r="E14" i="37"/>
  <c r="F14" i="37"/>
  <c r="G14" i="37"/>
  <c r="H14" i="37"/>
  <c r="I14" i="37"/>
  <c r="J14" i="37"/>
  <c r="K14" i="37"/>
  <c r="L14" i="37"/>
  <c r="M14" i="37"/>
  <c r="N14" i="37"/>
  <c r="D15" i="37"/>
  <c r="E15" i="37"/>
  <c r="F15" i="37"/>
  <c r="G15" i="37"/>
  <c r="H15" i="37"/>
  <c r="I15" i="37"/>
  <c r="J15" i="37"/>
  <c r="K15" i="37"/>
  <c r="L15" i="37"/>
  <c r="M15" i="37"/>
  <c r="N15" i="37"/>
  <c r="D16" i="37"/>
  <c r="E16" i="37"/>
  <c r="F16" i="37"/>
  <c r="G16" i="37"/>
  <c r="H16" i="37"/>
  <c r="I16" i="37"/>
  <c r="J16" i="37"/>
  <c r="K16" i="37"/>
  <c r="L16" i="37"/>
  <c r="M16" i="37"/>
  <c r="N16" i="37"/>
  <c r="D17" i="37"/>
  <c r="E17" i="37"/>
  <c r="F17" i="37"/>
  <c r="G17" i="37"/>
  <c r="H17" i="37"/>
  <c r="I17" i="37"/>
  <c r="J17" i="37"/>
  <c r="K17" i="37"/>
  <c r="L17" i="37"/>
  <c r="M17" i="37"/>
  <c r="N17" i="37"/>
  <c r="B18" i="37"/>
  <c r="D18" i="37"/>
  <c r="E18" i="37"/>
  <c r="F18" i="37"/>
  <c r="G18" i="37"/>
  <c r="H18" i="37"/>
  <c r="I18" i="37"/>
  <c r="J18" i="37"/>
  <c r="K18" i="37"/>
  <c r="L18" i="37"/>
  <c r="M18" i="37"/>
  <c r="N18" i="37"/>
  <c r="D19" i="37"/>
  <c r="E19" i="37"/>
  <c r="F19" i="37"/>
  <c r="G19" i="37"/>
  <c r="H19" i="37"/>
  <c r="I19" i="37"/>
  <c r="J19" i="37"/>
  <c r="K19" i="37"/>
  <c r="L19" i="37"/>
  <c r="M19" i="37"/>
  <c r="N19" i="37"/>
  <c r="B20" i="37"/>
  <c r="D20" i="37"/>
  <c r="E20" i="37"/>
  <c r="F20" i="37"/>
  <c r="G20" i="37"/>
  <c r="H20" i="37"/>
  <c r="I20" i="37"/>
  <c r="J20" i="37"/>
  <c r="K20" i="37"/>
  <c r="L20" i="37"/>
  <c r="M20" i="37"/>
  <c r="N20" i="37"/>
  <c r="D21" i="37"/>
  <c r="E21" i="37"/>
  <c r="F21" i="37"/>
  <c r="G21" i="37"/>
  <c r="H21" i="37"/>
  <c r="I21" i="37"/>
  <c r="J21" i="37"/>
  <c r="K21" i="37"/>
  <c r="L21" i="37"/>
  <c r="M21" i="37"/>
  <c r="N21" i="37"/>
  <c r="D24" i="37"/>
  <c r="E24" i="37"/>
  <c r="F24" i="37"/>
  <c r="G24" i="37"/>
  <c r="H24" i="37"/>
  <c r="I24" i="37"/>
  <c r="J24" i="37"/>
  <c r="K24" i="37"/>
  <c r="L24" i="37"/>
  <c r="M24" i="37"/>
  <c r="N24" i="37"/>
  <c r="D25" i="37"/>
  <c r="E25" i="37"/>
  <c r="F25" i="37"/>
  <c r="G25" i="37"/>
  <c r="H25" i="37"/>
  <c r="I25" i="37"/>
  <c r="J25" i="37"/>
  <c r="K25" i="37"/>
  <c r="L25" i="37"/>
  <c r="M25" i="37"/>
  <c r="N25" i="37"/>
  <c r="D26" i="37"/>
  <c r="E26" i="37"/>
  <c r="F26" i="37"/>
  <c r="G26" i="37"/>
  <c r="H26" i="37"/>
  <c r="I26" i="37"/>
  <c r="J26" i="37"/>
  <c r="K26" i="37"/>
  <c r="L26" i="37"/>
  <c r="M26" i="37"/>
  <c r="N26" i="37"/>
  <c r="O26" i="37"/>
  <c r="D28" i="37"/>
  <c r="E28" i="37"/>
  <c r="F28" i="37"/>
  <c r="G28" i="37"/>
  <c r="H28" i="37"/>
  <c r="I28" i="37"/>
  <c r="J28" i="37"/>
  <c r="K28" i="37"/>
  <c r="L28" i="37"/>
  <c r="M28" i="37"/>
  <c r="N28" i="37"/>
  <c r="O28" i="37"/>
  <c r="D29" i="37"/>
  <c r="E29" i="37"/>
  <c r="F29" i="37"/>
  <c r="G29" i="37"/>
  <c r="H29" i="37"/>
  <c r="I29" i="37"/>
  <c r="J29" i="37"/>
  <c r="K29" i="37"/>
  <c r="L29" i="37"/>
  <c r="M29" i="37"/>
  <c r="N29" i="37"/>
  <c r="D30" i="37"/>
  <c r="E30" i="37"/>
  <c r="F30" i="37"/>
  <c r="G30" i="37"/>
  <c r="H30" i="37"/>
  <c r="I30" i="37"/>
  <c r="J30" i="37"/>
  <c r="K30" i="37"/>
  <c r="L30" i="37"/>
  <c r="M30" i="37"/>
  <c r="N30" i="37"/>
  <c r="O30" i="37"/>
  <c r="D31" i="37"/>
  <c r="E31" i="37"/>
  <c r="F31" i="37"/>
  <c r="G31" i="37"/>
  <c r="H31" i="37"/>
  <c r="I31" i="37"/>
  <c r="J31" i="37"/>
  <c r="K31" i="37"/>
  <c r="L31" i="37"/>
  <c r="M31" i="37"/>
  <c r="N31" i="37"/>
  <c r="O31" i="37"/>
  <c r="B32" i="37"/>
  <c r="C32" i="37"/>
  <c r="D32" i="37"/>
  <c r="E32" i="37"/>
  <c r="F32" i="37"/>
  <c r="G32" i="37"/>
  <c r="H32" i="37"/>
  <c r="I32" i="37"/>
  <c r="J32" i="37"/>
  <c r="K32" i="37"/>
  <c r="L32" i="37"/>
  <c r="M32" i="37"/>
  <c r="N32" i="37"/>
  <c r="O32" i="37"/>
  <c r="D38" i="37"/>
  <c r="E38" i="37"/>
  <c r="F38" i="37"/>
  <c r="G38" i="37"/>
  <c r="H38" i="37"/>
  <c r="I38" i="37"/>
  <c r="J38" i="37"/>
  <c r="K38" i="37"/>
  <c r="L38" i="37"/>
  <c r="M38" i="37"/>
  <c r="N38" i="37"/>
  <c r="D39" i="37"/>
  <c r="E39" i="37"/>
  <c r="F39" i="37"/>
  <c r="G39" i="37"/>
  <c r="H39" i="37"/>
  <c r="I39" i="37"/>
  <c r="J39" i="37"/>
  <c r="K39" i="37"/>
  <c r="L39" i="37"/>
  <c r="M39" i="37"/>
  <c r="N39" i="37"/>
  <c r="D40" i="37"/>
  <c r="E40" i="37"/>
  <c r="F40" i="37"/>
  <c r="G40" i="37"/>
  <c r="H40" i="37"/>
  <c r="I40" i="37"/>
  <c r="J40" i="37"/>
  <c r="K40" i="37"/>
  <c r="L40" i="37"/>
  <c r="M40" i="37"/>
  <c r="N40" i="37"/>
  <c r="D42" i="37"/>
  <c r="E42" i="37"/>
  <c r="F42" i="37"/>
  <c r="G42" i="37"/>
  <c r="H42" i="37"/>
  <c r="I42" i="37"/>
  <c r="J42" i="37"/>
  <c r="K42" i="37"/>
  <c r="L42" i="37"/>
  <c r="M42" i="37"/>
  <c r="N42" i="37"/>
  <c r="D43" i="37"/>
  <c r="E43" i="37"/>
  <c r="F43" i="37"/>
  <c r="G43" i="37"/>
  <c r="H43" i="37"/>
  <c r="I43" i="37"/>
  <c r="J43" i="37"/>
  <c r="K43" i="37"/>
  <c r="L43" i="37"/>
  <c r="M43" i="37"/>
  <c r="N43" i="37"/>
  <c r="D44" i="37"/>
  <c r="E44" i="37"/>
  <c r="F44" i="37"/>
  <c r="G44" i="37"/>
  <c r="H44" i="37"/>
  <c r="I44" i="37"/>
  <c r="J44" i="37"/>
  <c r="K44" i="37"/>
  <c r="L44" i="37"/>
  <c r="M44" i="37"/>
  <c r="N44" i="37"/>
  <c r="D45" i="37"/>
  <c r="E45" i="37"/>
  <c r="F45" i="37"/>
  <c r="G45" i="37"/>
  <c r="H45" i="37"/>
  <c r="I45" i="37"/>
  <c r="J45" i="37"/>
  <c r="K45" i="37"/>
  <c r="L45" i="37"/>
  <c r="M45" i="37"/>
  <c r="N45" i="37"/>
  <c r="D46" i="37"/>
  <c r="E46" i="37"/>
  <c r="F46" i="37"/>
  <c r="G46" i="37"/>
  <c r="H46" i="37"/>
  <c r="I46" i="37"/>
  <c r="J46" i="37"/>
  <c r="K46" i="37"/>
  <c r="L46" i="37"/>
  <c r="M46" i="37"/>
  <c r="N46" i="37"/>
  <c r="D51" i="37"/>
  <c r="E51" i="37"/>
  <c r="F51" i="37"/>
  <c r="G51" i="37"/>
  <c r="H51" i="37"/>
  <c r="I51" i="37"/>
  <c r="J51" i="37"/>
  <c r="K51" i="37"/>
  <c r="L51" i="37"/>
  <c r="M51" i="37"/>
  <c r="N51" i="37"/>
  <c r="D52" i="37"/>
  <c r="E52" i="37"/>
  <c r="F52" i="37"/>
  <c r="G52" i="37"/>
  <c r="H52" i="37"/>
  <c r="I52" i="37"/>
  <c r="J52" i="37"/>
  <c r="K52" i="37"/>
  <c r="L52" i="37"/>
  <c r="M52" i="37"/>
  <c r="N52" i="37"/>
  <c r="E59" i="37"/>
  <c r="F59" i="37"/>
  <c r="G59" i="37"/>
  <c r="D60" i="37"/>
  <c r="E60" i="37"/>
  <c r="F60" i="37"/>
  <c r="G60" i="37"/>
  <c r="D62" i="37"/>
  <c r="D63" i="37"/>
  <c r="D64" i="37"/>
  <c r="D66" i="37"/>
  <c r="D67" i="37"/>
  <c r="D68" i="37"/>
  <c r="A1" i="38"/>
  <c r="D2" i="38"/>
  <c r="D3" i="38"/>
  <c r="D7" i="38"/>
  <c r="E7" i="38"/>
  <c r="F7" i="38"/>
  <c r="D8" i="38"/>
  <c r="E8" i="38"/>
  <c r="F8" i="38"/>
  <c r="C9" i="38"/>
  <c r="D13" i="38"/>
  <c r="D15" i="38"/>
  <c r="E15" i="38"/>
  <c r="F15" i="38"/>
  <c r="D16" i="38"/>
  <c r="E16" i="38"/>
  <c r="F16" i="38"/>
  <c r="C17" i="38"/>
  <c r="A1" i="9"/>
  <c r="E3" i="9"/>
  <c r="E4" i="9"/>
  <c r="F6" i="9"/>
  <c r="G6" i="9"/>
  <c r="H6" i="9"/>
  <c r="I6" i="9"/>
  <c r="J6" i="9"/>
  <c r="K6" i="9"/>
  <c r="L6" i="9"/>
  <c r="M6" i="9"/>
  <c r="N6" i="9"/>
  <c r="O6" i="9"/>
  <c r="P6" i="9"/>
  <c r="Q6" i="9"/>
  <c r="A8" i="9"/>
  <c r="B8" i="9"/>
  <c r="F8" i="9"/>
  <c r="G8" i="9"/>
  <c r="H8" i="9"/>
  <c r="I8" i="9"/>
  <c r="J8" i="9"/>
  <c r="K8" i="9"/>
  <c r="L8" i="9"/>
  <c r="M8" i="9"/>
  <c r="N8" i="9"/>
  <c r="O8" i="9"/>
  <c r="P8" i="9"/>
  <c r="Q8" i="9"/>
  <c r="A9" i="9"/>
  <c r="B9" i="9"/>
  <c r="F9" i="9"/>
  <c r="G9" i="9"/>
  <c r="H9" i="9"/>
  <c r="I9" i="9"/>
  <c r="J9" i="9"/>
  <c r="K9" i="9"/>
  <c r="L9" i="9"/>
  <c r="M9" i="9"/>
  <c r="N9" i="9"/>
  <c r="O9" i="9"/>
  <c r="P9" i="9"/>
  <c r="Q9" i="9"/>
  <c r="A10" i="9"/>
  <c r="B10" i="9"/>
  <c r="F10" i="9"/>
  <c r="G10" i="9"/>
  <c r="H10" i="9"/>
  <c r="I10" i="9"/>
  <c r="J10" i="9"/>
  <c r="K10" i="9"/>
  <c r="L10" i="9"/>
  <c r="M10" i="9"/>
  <c r="N10" i="9"/>
  <c r="O10" i="9"/>
  <c r="P10" i="9"/>
  <c r="Q10" i="9"/>
  <c r="A11" i="9"/>
  <c r="B11" i="9"/>
  <c r="F11" i="9"/>
  <c r="G11" i="9"/>
  <c r="H11" i="9"/>
  <c r="I11" i="9"/>
  <c r="J11" i="9"/>
  <c r="K11" i="9"/>
  <c r="L11" i="9"/>
  <c r="M11" i="9"/>
  <c r="N11" i="9"/>
  <c r="O11" i="9"/>
  <c r="P11" i="9"/>
  <c r="Q11" i="9"/>
  <c r="A12" i="9"/>
  <c r="B12" i="9"/>
  <c r="F12" i="9"/>
  <c r="G12" i="9"/>
  <c r="H12" i="9"/>
  <c r="I12" i="9"/>
  <c r="J12" i="9"/>
  <c r="K12" i="9"/>
  <c r="L12" i="9"/>
  <c r="M12" i="9"/>
  <c r="N12" i="9"/>
  <c r="O12" i="9"/>
  <c r="P12" i="9"/>
  <c r="Q12" i="9"/>
  <c r="A13" i="9"/>
  <c r="B13" i="9"/>
  <c r="F13" i="9"/>
  <c r="G13" i="9"/>
  <c r="H13" i="9"/>
  <c r="I13" i="9"/>
  <c r="J13" i="9"/>
  <c r="K13" i="9"/>
  <c r="L13" i="9"/>
  <c r="M13" i="9"/>
  <c r="N13" i="9"/>
  <c r="O13" i="9"/>
  <c r="P13" i="9"/>
  <c r="Q13" i="9"/>
  <c r="F14" i="9"/>
  <c r="G14" i="9"/>
  <c r="H14" i="9"/>
  <c r="I14" i="9"/>
  <c r="J14" i="9"/>
  <c r="K14" i="9"/>
  <c r="L14" i="9"/>
  <c r="M14" i="9"/>
  <c r="N14" i="9"/>
  <c r="O14" i="9"/>
  <c r="P14" i="9"/>
  <c r="Q14" i="9"/>
  <c r="A17" i="9"/>
  <c r="B17" i="9"/>
  <c r="F17" i="9"/>
  <c r="G17" i="9"/>
  <c r="H17" i="9"/>
  <c r="I17" i="9"/>
  <c r="J17" i="9"/>
  <c r="K17" i="9"/>
  <c r="L17" i="9"/>
  <c r="M17" i="9"/>
  <c r="N17" i="9"/>
  <c r="O17" i="9"/>
  <c r="P17" i="9"/>
  <c r="Q17" i="9"/>
  <c r="A18" i="9"/>
  <c r="B18" i="9"/>
  <c r="F18" i="9"/>
  <c r="G18" i="9"/>
  <c r="H18" i="9"/>
  <c r="I18" i="9"/>
  <c r="J18" i="9"/>
  <c r="K18" i="9"/>
  <c r="L18" i="9"/>
  <c r="M18" i="9"/>
  <c r="N18" i="9"/>
  <c r="O18" i="9"/>
  <c r="P18" i="9"/>
  <c r="Q18" i="9"/>
  <c r="A19" i="9"/>
  <c r="B19" i="9"/>
  <c r="F19" i="9"/>
  <c r="G19" i="9"/>
  <c r="H19" i="9"/>
  <c r="I19" i="9"/>
  <c r="J19" i="9"/>
  <c r="K19" i="9"/>
  <c r="L19" i="9"/>
  <c r="M19" i="9"/>
  <c r="N19" i="9"/>
  <c r="O19" i="9"/>
  <c r="P19" i="9"/>
  <c r="Q19" i="9"/>
  <c r="A20" i="9"/>
  <c r="B20" i="9"/>
  <c r="F20" i="9"/>
  <c r="G20" i="9"/>
  <c r="H20" i="9"/>
  <c r="I20" i="9"/>
  <c r="J20" i="9"/>
  <c r="K20" i="9"/>
  <c r="L20" i="9"/>
  <c r="M20" i="9"/>
  <c r="N20" i="9"/>
  <c r="O20" i="9"/>
  <c r="P20" i="9"/>
  <c r="Q20" i="9"/>
  <c r="A21" i="9"/>
  <c r="B21" i="9"/>
  <c r="F21" i="9"/>
  <c r="G21" i="9"/>
  <c r="H21" i="9"/>
  <c r="I21" i="9"/>
  <c r="J21" i="9"/>
  <c r="K21" i="9"/>
  <c r="L21" i="9"/>
  <c r="M21" i="9"/>
  <c r="N21" i="9"/>
  <c r="O21" i="9"/>
  <c r="P21" i="9"/>
  <c r="Q21" i="9"/>
  <c r="A22" i="9"/>
  <c r="B22" i="9"/>
  <c r="F22" i="9"/>
  <c r="G22" i="9"/>
  <c r="H22" i="9"/>
  <c r="I22" i="9"/>
  <c r="J22" i="9"/>
  <c r="K22" i="9"/>
  <c r="L22" i="9"/>
  <c r="M22" i="9"/>
  <c r="N22" i="9"/>
  <c r="O22" i="9"/>
  <c r="P22" i="9"/>
  <c r="Q22" i="9"/>
  <c r="A23" i="9"/>
  <c r="F23" i="9"/>
  <c r="G23" i="9"/>
  <c r="H23" i="9"/>
  <c r="I23" i="9"/>
  <c r="J23" i="9"/>
  <c r="K23" i="9"/>
  <c r="L23" i="9"/>
  <c r="M23" i="9"/>
  <c r="N23" i="9"/>
  <c r="O23" i="9"/>
  <c r="P23" i="9"/>
  <c r="Q23" i="9"/>
  <c r="F25" i="9"/>
  <c r="G25" i="9"/>
  <c r="H25" i="9"/>
  <c r="I25" i="9"/>
  <c r="J25" i="9"/>
  <c r="K25" i="9"/>
  <c r="L25" i="9"/>
  <c r="M25" i="9"/>
  <c r="N25" i="9"/>
  <c r="O25" i="9"/>
  <c r="P25" i="9"/>
  <c r="Q25" i="9"/>
  <c r="F26" i="9"/>
  <c r="G26" i="9"/>
  <c r="H26" i="9"/>
  <c r="I26" i="9"/>
  <c r="J26" i="9"/>
  <c r="K26" i="9"/>
  <c r="L26" i="9"/>
  <c r="M26" i="9"/>
  <c r="N26" i="9"/>
  <c r="O26" i="9"/>
  <c r="P26" i="9"/>
  <c r="Q26" i="9"/>
  <c r="F28" i="9"/>
  <c r="G28" i="9"/>
  <c r="H28" i="9"/>
  <c r="I28" i="9"/>
  <c r="J28" i="9"/>
  <c r="K28" i="9"/>
  <c r="L28" i="9"/>
  <c r="M28" i="9"/>
  <c r="N28" i="9"/>
  <c r="O28" i="9"/>
  <c r="P28" i="9"/>
  <c r="Q28" i="9"/>
  <c r="G29" i="9"/>
  <c r="H29" i="9"/>
  <c r="I29" i="9"/>
  <c r="J29" i="9"/>
  <c r="K29" i="9"/>
  <c r="L29" i="9"/>
  <c r="M29" i="9"/>
  <c r="N29" i="9"/>
  <c r="O29" i="9"/>
  <c r="P29" i="9"/>
  <c r="Q29" i="9"/>
  <c r="F30" i="9"/>
  <c r="G30" i="9"/>
  <c r="H30" i="9"/>
  <c r="I30" i="9"/>
  <c r="J30" i="9"/>
  <c r="K30" i="9"/>
  <c r="L30" i="9"/>
  <c r="M30" i="9"/>
  <c r="N30" i="9"/>
  <c r="O30" i="9"/>
  <c r="P30" i="9"/>
  <c r="Q30" i="9"/>
  <c r="F32" i="9"/>
  <c r="G32" i="9"/>
  <c r="H32" i="9"/>
  <c r="I32" i="9"/>
  <c r="J32" i="9"/>
  <c r="K32" i="9"/>
  <c r="L32" i="9"/>
  <c r="M32" i="9"/>
  <c r="N32" i="9"/>
  <c r="O32" i="9"/>
  <c r="P32" i="9"/>
  <c r="Q32" i="9"/>
  <c r="F33" i="9"/>
  <c r="G33" i="9"/>
  <c r="H33" i="9"/>
  <c r="I33" i="9"/>
  <c r="J33" i="9"/>
  <c r="K33" i="9"/>
  <c r="L33" i="9"/>
  <c r="M33" i="9"/>
  <c r="N33" i="9"/>
  <c r="O33" i="9"/>
  <c r="P33" i="9"/>
  <c r="Q33" i="9"/>
  <c r="B34" i="9"/>
  <c r="F34" i="9"/>
  <c r="G34" i="9"/>
  <c r="H34" i="9"/>
  <c r="I34" i="9"/>
  <c r="J34" i="9"/>
  <c r="K34" i="9"/>
  <c r="L34" i="9"/>
  <c r="M34" i="9"/>
  <c r="N34" i="9"/>
  <c r="O34" i="9"/>
  <c r="P34" i="9"/>
  <c r="Q34" i="9"/>
  <c r="F36" i="9"/>
  <c r="G36" i="9"/>
  <c r="H36" i="9"/>
  <c r="I36" i="9"/>
  <c r="J36" i="9"/>
  <c r="K36" i="9"/>
  <c r="L36" i="9"/>
  <c r="M36" i="9"/>
  <c r="N36" i="9"/>
  <c r="O36" i="9"/>
  <c r="P36" i="9"/>
  <c r="Q36" i="9"/>
  <c r="F38" i="9"/>
  <c r="G38" i="9"/>
  <c r="H38" i="9"/>
  <c r="I38" i="9"/>
  <c r="J38" i="9"/>
  <c r="K38" i="9"/>
  <c r="L38" i="9"/>
  <c r="M38" i="9"/>
  <c r="N38" i="9"/>
  <c r="O38" i="9"/>
  <c r="P38" i="9"/>
  <c r="Q38" i="9"/>
  <c r="F40" i="9"/>
  <c r="G40" i="9"/>
  <c r="H40" i="9"/>
  <c r="I40" i="9"/>
  <c r="J40" i="9"/>
  <c r="K40" i="9"/>
  <c r="L40" i="9"/>
  <c r="M40" i="9"/>
  <c r="N40" i="9"/>
  <c r="O40" i="9"/>
  <c r="P40" i="9"/>
  <c r="Q40" i="9"/>
  <c r="A41" i="9"/>
  <c r="B41" i="9"/>
  <c r="F41" i="9"/>
  <c r="G41" i="9"/>
  <c r="H41" i="9"/>
  <c r="I41" i="9"/>
  <c r="J41" i="9"/>
  <c r="K41" i="9"/>
  <c r="L41" i="9"/>
  <c r="M41" i="9"/>
  <c r="N41" i="9"/>
  <c r="O41" i="9"/>
  <c r="P41" i="9"/>
  <c r="Q41" i="9"/>
  <c r="A42" i="9"/>
  <c r="B42" i="9"/>
  <c r="F42" i="9"/>
  <c r="G42" i="9"/>
  <c r="H42" i="9"/>
  <c r="I42" i="9"/>
  <c r="J42" i="9"/>
  <c r="K42" i="9"/>
  <c r="L42" i="9"/>
  <c r="M42" i="9"/>
  <c r="N42" i="9"/>
  <c r="O42" i="9"/>
  <c r="P42" i="9"/>
  <c r="Q42" i="9"/>
  <c r="A43" i="9"/>
  <c r="B43" i="9"/>
  <c r="F43" i="9"/>
  <c r="G43" i="9"/>
  <c r="H43" i="9"/>
  <c r="I43" i="9"/>
  <c r="J43" i="9"/>
  <c r="K43" i="9"/>
  <c r="L43" i="9"/>
  <c r="M43" i="9"/>
  <c r="N43" i="9"/>
  <c r="O43" i="9"/>
  <c r="P43" i="9"/>
  <c r="Q43" i="9"/>
  <c r="A44" i="9"/>
  <c r="B44" i="9"/>
  <c r="F44" i="9"/>
  <c r="G44" i="9"/>
  <c r="H44" i="9"/>
  <c r="I44" i="9"/>
  <c r="J44" i="9"/>
  <c r="K44" i="9"/>
  <c r="L44" i="9"/>
  <c r="M44" i="9"/>
  <c r="N44" i="9"/>
  <c r="O44" i="9"/>
  <c r="P44" i="9"/>
  <c r="Q44" i="9"/>
  <c r="A45" i="9"/>
  <c r="B45" i="9"/>
  <c r="F45" i="9"/>
  <c r="G45" i="9"/>
  <c r="H45" i="9"/>
  <c r="I45" i="9"/>
  <c r="J45" i="9"/>
  <c r="K45" i="9"/>
  <c r="L45" i="9"/>
  <c r="M45" i="9"/>
  <c r="N45" i="9"/>
  <c r="O45" i="9"/>
  <c r="P45" i="9"/>
  <c r="Q45" i="9"/>
  <c r="A46" i="9"/>
  <c r="B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B49" i="9"/>
  <c r="D49" i="9"/>
  <c r="G49" i="9"/>
  <c r="H49" i="9"/>
  <c r="I49" i="9"/>
  <c r="J49" i="9"/>
  <c r="K49" i="9"/>
  <c r="L49" i="9"/>
  <c r="M49" i="9"/>
  <c r="N49" i="9"/>
  <c r="O49" i="9"/>
  <c r="P49" i="9"/>
  <c r="Q49" i="9"/>
  <c r="G50" i="9"/>
  <c r="H50" i="9"/>
  <c r="I50" i="9"/>
  <c r="J50" i="9"/>
  <c r="K50" i="9"/>
  <c r="L50" i="9"/>
  <c r="M50" i="9"/>
  <c r="N50" i="9"/>
  <c r="O50" i="9"/>
  <c r="P50" i="9"/>
  <c r="Q50" i="9"/>
  <c r="G51" i="9"/>
  <c r="H51" i="9"/>
  <c r="I51" i="9"/>
  <c r="J51" i="9"/>
  <c r="K51" i="9"/>
  <c r="L51" i="9"/>
  <c r="M51" i="9"/>
  <c r="N51" i="9"/>
  <c r="O51" i="9"/>
  <c r="P51" i="9"/>
  <c r="Q51" i="9"/>
  <c r="G52" i="9"/>
  <c r="H52" i="9"/>
  <c r="I52" i="9"/>
  <c r="J52" i="9"/>
  <c r="K52" i="9"/>
  <c r="L52" i="9"/>
  <c r="M52" i="9"/>
  <c r="N52" i="9"/>
  <c r="O52" i="9"/>
  <c r="P52" i="9"/>
  <c r="Q52" i="9"/>
  <c r="G55" i="9"/>
  <c r="H55" i="9"/>
  <c r="I55" i="9"/>
  <c r="J55" i="9"/>
  <c r="K55" i="9"/>
  <c r="L55" i="9"/>
  <c r="M55" i="9"/>
  <c r="N55" i="9"/>
  <c r="O55" i="9"/>
  <c r="P55" i="9"/>
  <c r="Q55" i="9"/>
  <c r="G56" i="9"/>
  <c r="H56" i="9"/>
  <c r="I56" i="9"/>
  <c r="J56" i="9"/>
  <c r="K56" i="9"/>
  <c r="L56" i="9"/>
  <c r="M56" i="9"/>
  <c r="N56" i="9"/>
  <c r="O56" i="9"/>
  <c r="P56" i="9"/>
  <c r="Q56" i="9"/>
  <c r="G57" i="9"/>
  <c r="H57" i="9"/>
  <c r="I57" i="9"/>
  <c r="J57" i="9"/>
  <c r="K57" i="9"/>
  <c r="L57" i="9"/>
  <c r="M57" i="9"/>
  <c r="N57" i="9"/>
  <c r="O57" i="9"/>
  <c r="P57" i="9"/>
  <c r="Q57" i="9"/>
  <c r="K60" i="9"/>
  <c r="M61" i="9"/>
  <c r="N61" i="9"/>
  <c r="O61" i="9"/>
  <c r="I63" i="9"/>
  <c r="K63" i="9"/>
  <c r="L63" i="9"/>
  <c r="M63" i="9"/>
  <c r="N63" i="9"/>
  <c r="O63" i="9"/>
  <c r="J64" i="9"/>
  <c r="K66" i="9"/>
</calcChain>
</file>

<file path=xl/comments1.xml><?xml version="1.0" encoding="utf-8"?>
<comments xmlns="http://schemas.openxmlformats.org/spreadsheetml/2006/main">
  <authors>
    <author>ET&amp;S</author>
    <author>MLR</author>
  </authors>
  <commentList>
    <comment ref="D49" authorId="0" shapeId="0">
      <text>
        <r>
          <rPr>
            <sz val="8"/>
            <color indexed="81"/>
            <rFont val="Tahoma"/>
          </rPr>
          <t xml:space="preserve">Yuan:
The Purchase Price is assumed as the depreciation basis. 
</t>
        </r>
      </text>
    </comment>
    <comment ref="K60" authorId="1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1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3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  <comment ref="C80" authorId="0" shapeId="0">
      <text>
        <r>
          <rPr>
            <b/>
            <sz val="8"/>
            <color indexed="81"/>
            <rFont val="Tahoma"/>
          </rPr>
          <t>MLR: This comes from the Balance Sheet, Pro Forma Property, Equipment &amp; Improvements Net.</t>
        </r>
        <r>
          <rPr>
            <sz val="8"/>
            <color indexed="81"/>
            <rFont val="Tahoma"/>
          </rPr>
          <t xml:space="preserve">
</t>
        </r>
      </text>
    </comment>
    <comment ref="C81" authorId="0" shapeId="0">
      <text>
        <r>
          <rPr>
            <b/>
            <sz val="8"/>
            <color indexed="81"/>
            <rFont val="Tahoma"/>
          </rPr>
          <t>MLR: This is just this assets percent of total for Property, Equipment &amp; Improvements Net from Balance Sheet page.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4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5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6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comments7.xml><?xml version="1.0" encoding="utf-8"?>
<comments xmlns="http://schemas.openxmlformats.org/spreadsheetml/2006/main">
  <authors>
    <author>MLR</author>
  </authors>
  <commentList>
    <comment ref="A16" authorId="0" shapeId="0">
      <text>
        <r>
          <rPr>
            <b/>
            <sz val="8"/>
            <color indexed="81"/>
            <rFont val="Tahoma"/>
          </rPr>
          <t>MLR: (Rev-Exp) Earnings before interest, tax, depreciation, and amortization.</t>
        </r>
        <r>
          <rPr>
            <sz val="8"/>
            <color indexed="81"/>
            <rFont val="Tahoma"/>
          </rPr>
          <t xml:space="preserve">
</t>
        </r>
      </text>
    </comment>
    <comment ref="A20" authorId="0" shapeId="0">
      <text>
        <r>
          <rPr>
            <b/>
            <sz val="8"/>
            <color indexed="81"/>
            <rFont val="Tahoma"/>
          </rPr>
          <t>MLR: (EBITDA-DD&amp;A) Earnings before interest and taxes.</t>
        </r>
        <r>
          <rPr>
            <sz val="8"/>
            <color indexed="81"/>
            <rFont val="Tahoma"/>
          </rPr>
          <t xml:space="preserve">
</t>
        </r>
      </text>
    </comment>
    <comment ref="A28" authorId="0" shapeId="0">
      <text>
        <r>
          <rPr>
            <b/>
            <sz val="8"/>
            <color indexed="81"/>
            <rFont val="Tahoma"/>
          </rPr>
          <t>MLR: Net Income + Deferred Taxes + DD&amp;A.</t>
        </r>
        <r>
          <rPr>
            <sz val="8"/>
            <color indexed="81"/>
            <rFont val="Tahoma"/>
          </rPr>
          <t xml:space="preserve">
</t>
        </r>
      </text>
    </comment>
    <comment ref="A30" authorId="0" shapeId="0">
      <text>
        <r>
          <rPr>
            <b/>
            <sz val="8"/>
            <color indexed="81"/>
            <rFont val="Tahoma"/>
          </rPr>
          <t>MLR: NPV based on this cash stream.</t>
        </r>
        <r>
          <rPr>
            <sz val="8"/>
            <color indexed="81"/>
            <rFont val="Tahoma"/>
          </rPr>
          <t xml:space="preserve">
</t>
        </r>
      </text>
    </comment>
    <comment ref="R30" authorId="0" shapeId="0">
      <text>
        <r>
          <rPr>
            <b/>
            <sz val="8"/>
            <color indexed="81"/>
            <rFont val="Tahoma"/>
          </rPr>
          <t>MLR: Salvage value of the asset.  The EBITDA multiple can vary.</t>
        </r>
        <r>
          <rPr>
            <sz val="8"/>
            <color indexed="81"/>
            <rFont val="Tahoma"/>
          </rPr>
          <t xml:space="preserve">
</t>
        </r>
      </text>
    </comment>
    <comment ref="H33" authorId="0" shapeId="0">
      <text>
        <r>
          <rPr>
            <b/>
            <sz val="8"/>
            <color indexed="81"/>
            <rFont val="Tahoma"/>
          </rPr>
          <t>MLR: This is the last year of actual data.</t>
        </r>
        <r>
          <rPr>
            <sz val="8"/>
            <color indexed="81"/>
            <rFont val="Tahoma"/>
          </rPr>
          <t xml:space="preserve">
</t>
        </r>
      </text>
    </comment>
    <comment ref="L34" authorId="0" shapeId="0">
      <text>
        <r>
          <rPr>
            <b/>
            <sz val="8"/>
            <color indexed="81"/>
            <rFont val="Tahoma"/>
          </rPr>
          <t>MLR: Primary discount rate for calculation.  The NPVs for the other rates are approximations as the purchase price feeds into the Tax Depreciation calculation.  THIS FIGURE IS DEFINED IN ITS MACRO.</t>
        </r>
        <r>
          <rPr>
            <sz val="8"/>
            <color indexed="81"/>
            <rFont val="Tahoma"/>
          </rPr>
          <t xml:space="preserve">
</t>
        </r>
      </text>
    </comment>
    <comment ref="H36" authorId="0" shapeId="0">
      <text>
        <r>
          <rPr>
            <b/>
            <sz val="8"/>
            <color indexed="81"/>
            <rFont val="Tahoma"/>
          </rPr>
          <t>MLR: This figure should be compared to the EBITDA Multiple used for salvage value.  They should be close.</t>
        </r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<sst xmlns="http://schemas.openxmlformats.org/spreadsheetml/2006/main" count="607" uniqueCount="232">
  <si>
    <t>TOTAL</t>
  </si>
  <si>
    <t>EBITDA</t>
  </si>
  <si>
    <t>EBIT</t>
  </si>
  <si>
    <t>Current Taxes</t>
  </si>
  <si>
    <t>Deferred Taxes</t>
  </si>
  <si>
    <t>ASSETS</t>
  </si>
  <si>
    <t>OPER. EXPENSES</t>
  </si>
  <si>
    <t>DD&amp;A</t>
  </si>
  <si>
    <t>TOTAL LIAB. &amp; EQ.</t>
  </si>
  <si>
    <t>Tax Depreciation</t>
  </si>
  <si>
    <t xml:space="preserve">  Purchase Price</t>
  </si>
  <si>
    <t xml:space="preserve">  Capital Expenditures</t>
  </si>
  <si>
    <t>Purchase</t>
  </si>
  <si>
    <t>Net Present Value</t>
  </si>
  <si>
    <t>Price</t>
  </si>
  <si>
    <t>Cash Flow From Operations</t>
  </si>
  <si>
    <t>NET INCOME</t>
  </si>
  <si>
    <t>CASH FLOW</t>
  </si>
  <si>
    <t>Revenues</t>
  </si>
  <si>
    <t>Expenses</t>
  </si>
  <si>
    <t>Other Income</t>
  </si>
  <si>
    <t>Multiple X</t>
  </si>
  <si>
    <t>Loop</t>
  </si>
  <si>
    <t>CAPEX</t>
  </si>
  <si>
    <t>Multiple</t>
  </si>
  <si>
    <t xml:space="preserve">   Less DD&amp;A</t>
  </si>
  <si>
    <t xml:space="preserve">   Less/Add Other Income</t>
  </si>
  <si>
    <t xml:space="preserve">   Less Interest Expense</t>
  </si>
  <si>
    <t>Unlevered</t>
  </si>
  <si>
    <t>Debt Financed</t>
  </si>
  <si>
    <t>Equity Financed</t>
  </si>
  <si>
    <t>Pre-Tax Income</t>
  </si>
  <si>
    <t>Net Cash Flow</t>
  </si>
  <si>
    <t>EOI Offer Price</t>
  </si>
  <si>
    <t>Debt Retirement</t>
  </si>
  <si>
    <t>Elim.</t>
  </si>
  <si>
    <t>Pro Forma</t>
  </si>
  <si>
    <t>Valuations - Purchase Price</t>
  </si>
  <si>
    <t>Return on Equity Invested</t>
  </si>
  <si>
    <t>Dividend Tax</t>
  </si>
  <si>
    <t>Adjusted Net Income</t>
  </si>
  <si>
    <t>Additional Debt After Tax @</t>
  </si>
  <si>
    <t>SUBTOTAL</t>
  </si>
  <si>
    <t>Consolidated Balance Sheet</t>
  </si>
  <si>
    <t>Book Depreciation</t>
  </si>
  <si>
    <t>Discretionary Adjustment Factor</t>
  </si>
  <si>
    <r>
      <t>C</t>
    </r>
    <r>
      <rPr>
        <sz val="10"/>
        <rFont val="Arial"/>
      </rPr>
      <t>ash</t>
    </r>
    <r>
      <rPr>
        <b/>
        <sz val="10"/>
        <rFont val="Arial"/>
        <family val="2"/>
      </rPr>
      <t xml:space="preserve"> F</t>
    </r>
    <r>
      <rPr>
        <sz val="10"/>
        <rFont val="Arial"/>
      </rPr>
      <t xml:space="preserve">low </t>
    </r>
    <r>
      <rPr>
        <b/>
        <sz val="10"/>
        <rFont val="Arial"/>
        <family val="2"/>
      </rPr>
      <t>F</t>
    </r>
    <r>
      <rPr>
        <sz val="10"/>
        <rFont val="Arial"/>
      </rPr>
      <t xml:space="preserve">rom </t>
    </r>
    <r>
      <rPr>
        <b/>
        <sz val="10"/>
        <rFont val="Arial"/>
        <family val="2"/>
      </rPr>
      <t>O</t>
    </r>
    <r>
      <rPr>
        <sz val="10"/>
        <rFont val="Arial"/>
      </rPr>
      <t>perations</t>
    </r>
  </si>
  <si>
    <t>Choose Case</t>
  </si>
  <si>
    <t>Name of project:</t>
  </si>
  <si>
    <t>Revenue Scenario</t>
  </si>
  <si>
    <t>Expense Scenario</t>
  </si>
  <si>
    <t>Year of Acquisition</t>
  </si>
  <si>
    <t>EXPENSE PROJECTIONS</t>
  </si>
  <si>
    <t>ASSET ASSUMPTIONS</t>
  </si>
  <si>
    <t>Corporate Income Tax</t>
  </si>
  <si>
    <t>Book Depreciation (Years)</t>
  </si>
  <si>
    <t>PROJECT LOGISTICS</t>
  </si>
  <si>
    <t>ECONOMIC ASSUMPTIONS</t>
  </si>
  <si>
    <t>Assumptions</t>
  </si>
  <si>
    <t>Enron Shares Outstanding</t>
  </si>
  <si>
    <t>DEBT</t>
  </si>
  <si>
    <t>Salvage Multiple (x EBITDA)</t>
  </si>
  <si>
    <t>Enron Share Price</t>
  </si>
  <si>
    <t>Interest Rate</t>
  </si>
  <si>
    <t>Retirement (Years)</t>
  </si>
  <si>
    <t>REVENUES</t>
  </si>
  <si>
    <t>Partner(s):</t>
  </si>
  <si>
    <t>Potential Owner</t>
  </si>
  <si>
    <t>Enron Owner</t>
  </si>
  <si>
    <t>% Chng Factor</t>
  </si>
  <si>
    <t>X</t>
  </si>
  <si>
    <t>Multiple of</t>
  </si>
  <si>
    <t>Potential</t>
  </si>
  <si>
    <t>Buyer</t>
  </si>
  <si>
    <t>NPV Core Rate</t>
  </si>
  <si>
    <t>REVENUE PROJECTIONS ($000)</t>
  </si>
  <si>
    <t>TOTAL Assets</t>
  </si>
  <si>
    <t>None</t>
  </si>
  <si>
    <t>Macros</t>
  </si>
  <si>
    <t>Consolidated NPV Core Rate</t>
  </si>
  <si>
    <t>Project Premium</t>
  </si>
  <si>
    <t>Length of Contract (yrs.)</t>
  </si>
  <si>
    <t xml:space="preserve">  Rev per Exp $</t>
  </si>
  <si>
    <t xml:space="preserve">  Enron Financial Partner</t>
  </si>
  <si>
    <t>Partner % Ownership</t>
  </si>
  <si>
    <t xml:space="preserve">  Enron % Equity Ownership</t>
  </si>
  <si>
    <t xml:space="preserve">  Financial Partner Return</t>
  </si>
  <si>
    <t>Dividend Tax Rate</t>
  </si>
  <si>
    <t>Structured Dividend Tax Rate</t>
  </si>
  <si>
    <t>Cost of 3rd Party Equity</t>
  </si>
  <si>
    <t>DEPRECIATION</t>
  </si>
  <si>
    <t>INCOME STATEMENT ($000)</t>
  </si>
  <si>
    <t>Figures</t>
  </si>
  <si>
    <t>US$ '000s</t>
  </si>
  <si>
    <t>Levered IRR</t>
  </si>
  <si>
    <t>Include in Valuation (1=Yes, 0=No)</t>
  </si>
  <si>
    <t>% Involvement</t>
  </si>
  <si>
    <t>1=On, 0=Off</t>
  </si>
  <si>
    <t>Other Expense</t>
  </si>
  <si>
    <t xml:space="preserve">  Inventories</t>
  </si>
  <si>
    <t xml:space="preserve">  Materials &amp; Supplies</t>
  </si>
  <si>
    <t xml:space="preserve">  Prepayments - other</t>
  </si>
  <si>
    <t xml:space="preserve">  Accounts &amp; Notes Receivable</t>
  </si>
  <si>
    <t xml:space="preserve">    Employee</t>
  </si>
  <si>
    <t>Current Assets</t>
  </si>
  <si>
    <t xml:space="preserve">    Assoc Co</t>
  </si>
  <si>
    <t xml:space="preserve">    Other</t>
  </si>
  <si>
    <t xml:space="preserve">  Misc. Other Current Assets</t>
  </si>
  <si>
    <t>Investments and Other Assets</t>
  </si>
  <si>
    <t xml:space="preserve">  PP&amp;E</t>
  </si>
  <si>
    <t xml:space="preserve">  Accum. Dep. - PP&amp;E</t>
  </si>
  <si>
    <t>Deferred Charges</t>
  </si>
  <si>
    <t>Current Liabilities</t>
  </si>
  <si>
    <t xml:space="preserve">  Accounts Payable - Assoc Cos.</t>
  </si>
  <si>
    <t xml:space="preserve">  Accounts Payable - Other</t>
  </si>
  <si>
    <t xml:space="preserve">  Income Taxes Payable</t>
  </si>
  <si>
    <t xml:space="preserve">  Accrued Taxes</t>
  </si>
  <si>
    <t xml:space="preserve">  Deferred Income Taxes - Current</t>
  </si>
  <si>
    <t xml:space="preserve">  Other Misc Liability - Current</t>
  </si>
  <si>
    <t>Deferred Credits &amp; Other Liab.</t>
  </si>
  <si>
    <t xml:space="preserve">  Deferred Credits - Other</t>
  </si>
  <si>
    <t xml:space="preserve">  Deferred Income Taxes</t>
  </si>
  <si>
    <t>LIABILITIES &amp; CAPITAL</t>
  </si>
  <si>
    <t>Capital</t>
  </si>
  <si>
    <t xml:space="preserve">  Payable to/(Rec. from) Co 535</t>
  </si>
  <si>
    <t xml:space="preserve">  Payable to/(Rec. from) Corp</t>
  </si>
  <si>
    <t xml:space="preserve">  Capitalization</t>
  </si>
  <si>
    <t xml:space="preserve"> Growth Capital</t>
  </si>
  <si>
    <t xml:space="preserve"> Maintenance Capital</t>
  </si>
  <si>
    <t xml:space="preserve"> Maintence Capital</t>
  </si>
  <si>
    <t>FINANCED WITH EQUITY @</t>
  </si>
  <si>
    <t xml:space="preserve">   Less Tax</t>
  </si>
  <si>
    <t>Enron Equity Cash Flow</t>
  </si>
  <si>
    <t>IRR=</t>
  </si>
  <si>
    <t>Capital Structure Balancing</t>
  </si>
  <si>
    <t>Pre-Current Debt</t>
  </si>
  <si>
    <t>Pre-Current Equity</t>
  </si>
  <si>
    <t>Pre-Total</t>
  </si>
  <si>
    <t>Beg. Year Debt</t>
  </si>
  <si>
    <t>End Year Debt</t>
  </si>
  <si>
    <t>End Year Equity</t>
  </si>
  <si>
    <t>EBIT/Interest</t>
  </si>
  <si>
    <t>EBITDA/Debt Services</t>
  </si>
  <si>
    <t>System Check : % Debt Financed</t>
  </si>
  <si>
    <t>Financial Leverage Rate</t>
  </si>
  <si>
    <t>Primium</t>
  </si>
  <si>
    <t>Equity NPV Value</t>
  </si>
  <si>
    <t>Potential Buyer</t>
  </si>
  <si>
    <t>ETS</t>
  </si>
  <si>
    <t>Template  Asset</t>
  </si>
  <si>
    <t>1. Base Case</t>
  </si>
  <si>
    <t>2. Optimistic</t>
  </si>
  <si>
    <t>3. Pessimistic</t>
  </si>
  <si>
    <t>Unlevered Cash Flow Analysis</t>
  </si>
  <si>
    <t>IRR =</t>
  </si>
  <si>
    <t>Discounted@</t>
  </si>
  <si>
    <t>NPV</t>
  </si>
  <si>
    <t>Levered Cash Flow Analyais</t>
  </si>
  <si>
    <t>Debt Financing @</t>
  </si>
  <si>
    <t>Equity NPV</t>
  </si>
  <si>
    <t>Summary</t>
  </si>
  <si>
    <t>Levered Cash Flow Analysis - Consolidated</t>
  </si>
  <si>
    <t xml:space="preserve">  Unlevered Cash Flow Analysis -Consolidated</t>
  </si>
  <si>
    <t>Sensitivity Analysis on the Financial Leverage Rate</t>
  </si>
  <si>
    <t>Leverage</t>
  </si>
  <si>
    <t>Equity NPV discounted @</t>
  </si>
  <si>
    <t>Keep Flat</t>
  </si>
  <si>
    <t>Revenue Scenario Assumption- Scenario Discription</t>
  </si>
  <si>
    <t>Expense Scenario  Assumption - Scenario Discription</t>
  </si>
  <si>
    <t>Asset 1</t>
  </si>
  <si>
    <t>Asset 2</t>
  </si>
  <si>
    <t>Asset 3</t>
  </si>
  <si>
    <t>Warning Flag:</t>
  </si>
  <si>
    <t xml:space="preserve">Developed by </t>
  </si>
  <si>
    <t>Michael Ratner</t>
  </si>
  <si>
    <t xml:space="preserve">Modified by </t>
  </si>
  <si>
    <t>Yuan Tian</t>
  </si>
  <si>
    <t>Date:</t>
  </si>
  <si>
    <t>Feb.08,2001</t>
  </si>
  <si>
    <t>Unlevered cash flow analysis</t>
  </si>
  <si>
    <t>a.</t>
  </si>
  <si>
    <t>b.</t>
  </si>
  <si>
    <t>c.</t>
  </si>
  <si>
    <t xml:space="preserve">Please pay attention to the "Warning Flag" on these separate "Asset" sheets and the "unlev. Consolid" sheet  </t>
  </si>
  <si>
    <t xml:space="preserve">so that the model gives valid and accurate forecast. </t>
  </si>
  <si>
    <t>Levered cash flow analysis</t>
  </si>
  <si>
    <t>The levered cash flow analysis considers the costs ( e.g. interest expenses) and benefits ( e.g. tax benefits) from</t>
  </si>
  <si>
    <t>Pre-Current Debt = Beg. Yr. Debt- Debt Retirement</t>
  </si>
  <si>
    <t>Pre-Current Equity = Beg. Yr. Equity + Adj. Net Income - Net Cash Flow</t>
  </si>
  <si>
    <t>Pre - Total Capital = Pre-Current Debt + Pre- Current Equity</t>
  </si>
  <si>
    <t>Debt Retirement = End.Yr.Debt- Beg. Yr Debt</t>
  </si>
  <si>
    <t>assets.  To maintain a constant capital structure, the following relationships must be satisfied in the "Lev. Consolid" sheet:</t>
  </si>
  <si>
    <t>Beg. Year Equity</t>
  </si>
  <si>
    <t>Net Cash Flow = Beg. Yr. Equity -End. Yr.Equity +Adj. Net Income</t>
  </si>
  <si>
    <t>(please see the above terms in the "Lev.Consolid"sheet)</t>
  </si>
  <si>
    <t>created in this model.  When opening the Excel, please go to "Tools"-"Options", Click on "Calculation"tab and check "Iteration" box.</t>
  </si>
  <si>
    <t>As shown on the above formula, there exits circular relationships between these data. Therefore, a circular reference is intentionally</t>
  </si>
  <si>
    <t xml:space="preserve">The unlevered cash flow analysis mainly values the assets based on their business risks.  It does not consider the financial </t>
  </si>
  <si>
    <t xml:space="preserve">risks from the financial leverage.  </t>
  </si>
  <si>
    <t xml:space="preserve">financial leverage. </t>
  </si>
  <si>
    <t>Ext.58927</t>
  </si>
  <si>
    <t>Ext.53579</t>
  </si>
  <si>
    <t>IRR</t>
  </si>
  <si>
    <t>Format</t>
  </si>
  <si>
    <t>The assumption cells are in yellow background</t>
  </si>
  <si>
    <t>The forecast cells are in green background</t>
  </si>
  <si>
    <t>The historical data are in gray background</t>
  </si>
  <si>
    <t>Before the valuation, please determine what will be the main variables that impact the cash flow. Based on historical data</t>
  </si>
  <si>
    <t>If there is more than one asset, input the different asset data in the separate "Asset" sheets, and the "Unlev. Consolid" sheet will</t>
  </si>
  <si>
    <t>automatically consolidate the valuation for the whole package of the assets.</t>
  </si>
  <si>
    <t>In this model, it is important that the target capital structure is constant over the life of the assets. For example, if the financial</t>
  </si>
  <si>
    <t xml:space="preserve">leverage rate is 50% of debt financing, the 50% debt financing rate must be maintained over the lift of the </t>
  </si>
  <si>
    <t>End. Yr Equity= (1-Leverage rate) * Pre-Total Capital</t>
  </si>
  <si>
    <t>End. Yr Debt = Leverage rate* Pre-Total Capital</t>
  </si>
  <si>
    <t>UPDATED by</t>
  </si>
  <si>
    <t>Explaination about this model</t>
  </si>
  <si>
    <t xml:space="preserve">Asset Valuation Model -  </t>
  </si>
  <si>
    <t>and specific market research, hard input the values for these variables on the "Assumptions" sheet.  These variables</t>
  </si>
  <si>
    <t>might be furthur tested in Sensitivity Analysis by using "Data"- "Table" function in Excel and Risk Analysis by using Crystal Ball.</t>
  </si>
  <si>
    <t>Warning Flags:</t>
  </si>
  <si>
    <t>Oneok</t>
  </si>
  <si>
    <t xml:space="preserve">  Gath. &amp; Proc. - Cash Flow Analysis</t>
  </si>
  <si>
    <t xml:space="preserve">  Production - Cash Flow Analysis</t>
  </si>
  <si>
    <t xml:space="preserve">  Marketing - Cash Flow Analysis</t>
  </si>
  <si>
    <t xml:space="preserve">  T&amp;S - Cash Flow Analysis</t>
  </si>
  <si>
    <t xml:space="preserve">  Distribution - Cash Flow Analysis</t>
  </si>
  <si>
    <t>1999 Projected</t>
  </si>
  <si>
    <t xml:space="preserve">  Other - Cash Flow Analysis</t>
  </si>
  <si>
    <t>Revenues decrease by 1% a year</t>
  </si>
  <si>
    <t>Revenues increase by 2% a year</t>
  </si>
  <si>
    <t>Expenses decrease by 1% a year</t>
  </si>
  <si>
    <t>Expenses increase by 1% a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</si>
</sst>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* #,##0_);_(* \(#,##0\);_(* &quot;-&quot;??_);_(@_)"/>
    <numFmt numFmtId="166" formatCode="0.0%"/>
    <numFmt numFmtId="167" formatCode="_(&quot;$&quot;* #,##0_);_(&quot;$&quot;* \(#,##0\);_(&quot;$&quot;* &quot;-&quot;??_);_(@_)"/>
    <numFmt numFmtId="168" formatCode="0.0"/>
    <numFmt numFmtId="169" formatCode="0.0000"/>
    <numFmt numFmtId="171" formatCode="_(* #,##0.0000_);_(* \(#,##0.0000\);_(* &quot;-&quot;??_);_(@_)"/>
  </numFmts>
  <fonts count="2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u/>
      <sz val="10"/>
      <name val="Arial"/>
      <family val="2"/>
    </font>
    <font>
      <b/>
      <i/>
      <sz val="10"/>
      <name val="Arial"/>
      <family val="2"/>
    </font>
    <font>
      <u val="singleAccounting"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48"/>
      <name val="Arial"/>
      <family val="2"/>
    </font>
    <font>
      <b/>
      <sz val="8"/>
      <color indexed="81"/>
      <name val="Tahoma"/>
    </font>
    <font>
      <sz val="8"/>
      <color indexed="81"/>
      <name val="Tahoma"/>
    </font>
    <font>
      <sz val="10"/>
      <color indexed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u/>
      <sz val="10"/>
      <name val="Arial"/>
      <family val="2"/>
    </font>
    <font>
      <i/>
      <sz val="10"/>
      <color indexed="10"/>
      <name val="Arial"/>
      <family val="2"/>
    </font>
    <font>
      <i/>
      <sz val="10"/>
      <color indexed="9"/>
      <name val="Arial"/>
      <family val="2"/>
    </font>
    <font>
      <sz val="10"/>
      <color indexed="9"/>
      <name val="Arial"/>
      <family val="2"/>
    </font>
    <font>
      <sz val="10"/>
      <color indexed="58"/>
      <name val="Arial"/>
      <family val="2"/>
    </font>
    <font>
      <b/>
      <u val="singleAccounting"/>
      <sz val="10"/>
      <name val="Arial"/>
      <family val="2"/>
    </font>
    <font>
      <b/>
      <sz val="14"/>
      <name val="Arial"/>
      <family val="2"/>
    </font>
    <font>
      <b/>
      <i/>
      <sz val="12"/>
      <name val="Arial"/>
      <family val="2"/>
    </font>
    <font>
      <sz val="8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b/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02">
    <xf numFmtId="0" fontId="0" fillId="0" borderId="0" xfId="0"/>
    <xf numFmtId="165" fontId="1" fillId="0" borderId="0" xfId="1" applyNumberFormat="1"/>
    <xf numFmtId="165" fontId="1" fillId="0" borderId="0" xfId="1" applyNumberFormat="1" applyFont="1"/>
    <xf numFmtId="165" fontId="6" fillId="0" borderId="0" xfId="1" applyNumberFormat="1" applyFont="1"/>
    <xf numFmtId="165" fontId="1" fillId="0" borderId="0" xfId="1" applyNumberFormat="1" applyFont="1" applyAlignment="1">
      <alignment horizontal="right"/>
    </xf>
    <xf numFmtId="165" fontId="7" fillId="0" borderId="0" xfId="1" applyNumberFormat="1" applyFont="1"/>
    <xf numFmtId="165" fontId="6" fillId="0" borderId="0" xfId="1" applyNumberFormat="1" applyFont="1" applyFill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5" fillId="0" borderId="0" xfId="0" applyFont="1"/>
    <xf numFmtId="165" fontId="0" fillId="0" borderId="0" xfId="1" applyNumberFormat="1" applyFont="1"/>
    <xf numFmtId="165" fontId="0" fillId="0" borderId="0" xfId="1" applyNumberFormat="1" applyFont="1" applyAlignment="1">
      <alignment horizontal="right"/>
    </xf>
    <xf numFmtId="165" fontId="1" fillId="0" borderId="0" xfId="1" applyNumberFormat="1" applyFill="1"/>
    <xf numFmtId="166" fontId="9" fillId="0" borderId="0" xfId="0" applyNumberFormat="1" applyFont="1"/>
    <xf numFmtId="9" fontId="9" fillId="0" borderId="0" xfId="0" applyNumberFormat="1" applyFont="1"/>
    <xf numFmtId="0" fontId="9" fillId="0" borderId="0" xfId="0" applyFont="1"/>
    <xf numFmtId="0" fontId="0" fillId="2" borderId="0" xfId="0" applyFill="1"/>
    <xf numFmtId="165" fontId="6" fillId="2" borderId="0" xfId="1" applyNumberFormat="1" applyFont="1" applyFill="1"/>
    <xf numFmtId="165" fontId="1" fillId="2" borderId="0" xfId="1" applyNumberFormat="1" applyFill="1"/>
    <xf numFmtId="165" fontId="1" fillId="2" borderId="0" xfId="1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0" fontId="7" fillId="0" borderId="0" xfId="0" applyFont="1"/>
    <xf numFmtId="0" fontId="0" fillId="0" borderId="0" xfId="0" applyFill="1"/>
    <xf numFmtId="165" fontId="0" fillId="0" borderId="0" xfId="1" applyNumberFormat="1" applyFont="1" applyFill="1"/>
    <xf numFmtId="165" fontId="0" fillId="0" borderId="0" xfId="0" applyNumberFormat="1"/>
    <xf numFmtId="165" fontId="0" fillId="0" borderId="0" xfId="1" applyNumberFormat="1" applyFont="1" applyAlignment="1">
      <alignment horizontal="left"/>
    </xf>
    <xf numFmtId="165" fontId="1" fillId="0" borderId="0" xfId="1" applyNumberFormat="1" applyFont="1" applyFill="1"/>
    <xf numFmtId="165" fontId="0" fillId="2" borderId="0" xfId="0" applyNumberFormat="1" applyFill="1"/>
    <xf numFmtId="165" fontId="3" fillId="0" borderId="0" xfId="1" applyNumberFormat="1" applyFont="1" applyFill="1"/>
    <xf numFmtId="165" fontId="7" fillId="0" borderId="0" xfId="1" applyNumberFormat="1" applyFont="1" applyFill="1"/>
    <xf numFmtId="165" fontId="1" fillId="2" borderId="0" xfId="1" applyNumberFormat="1" applyFill="1" applyBorder="1"/>
    <xf numFmtId="165" fontId="1" fillId="0" borderId="0" xfId="1" applyNumberFormat="1" applyFont="1" applyFill="1" applyAlignment="1">
      <alignment horizontal="center"/>
    </xf>
    <xf numFmtId="1" fontId="2" fillId="0" borderId="0" xfId="0" applyNumberFormat="1" applyFont="1"/>
    <xf numFmtId="1" fontId="2" fillId="2" borderId="0" xfId="0" applyNumberFormat="1" applyFont="1" applyFill="1"/>
    <xf numFmtId="165" fontId="6" fillId="0" borderId="0" xfId="0" applyNumberFormat="1" applyFont="1"/>
    <xf numFmtId="0" fontId="0" fillId="0" borderId="1" xfId="0" applyBorder="1"/>
    <xf numFmtId="0" fontId="0" fillId="0" borderId="0" xfId="0" applyBorder="1"/>
    <xf numFmtId="0" fontId="3" fillId="0" borderId="0" xfId="0" applyFont="1" applyAlignment="1">
      <alignment horizontal="right"/>
    </xf>
    <xf numFmtId="165" fontId="3" fillId="0" borderId="0" xfId="1" applyNumberFormat="1" applyFont="1" applyFill="1" applyAlignment="1">
      <alignment horizontal="right"/>
    </xf>
    <xf numFmtId="0" fontId="2" fillId="0" borderId="2" xfId="0" applyFont="1" applyBorder="1" applyAlignment="1">
      <alignment horizontal="center"/>
    </xf>
    <xf numFmtId="167" fontId="0" fillId="0" borderId="0" xfId="2" applyNumberFormat="1" applyFont="1" applyFill="1"/>
    <xf numFmtId="9" fontId="0" fillId="0" borderId="0" xfId="3" applyFont="1"/>
    <xf numFmtId="0" fontId="0" fillId="0" borderId="0" xfId="0" applyAlignment="1">
      <alignment horizontal="center"/>
    </xf>
    <xf numFmtId="165" fontId="6" fillId="0" borderId="0" xfId="1" applyNumberFormat="1" applyFont="1" applyBorder="1"/>
    <xf numFmtId="0" fontId="15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10" fontId="0" fillId="0" borderId="0" xfId="0" applyNumberFormat="1"/>
    <xf numFmtId="0" fontId="15" fillId="0" borderId="0" xfId="0" applyFont="1"/>
    <xf numFmtId="0" fontId="0" fillId="0" borderId="4" xfId="0" applyBorder="1"/>
    <xf numFmtId="165" fontId="0" fillId="0" borderId="1" xfId="1" applyNumberFormat="1" applyFont="1" applyBorder="1"/>
    <xf numFmtId="0" fontId="0" fillId="0" borderId="0" xfId="0" applyFill="1" applyBorder="1"/>
    <xf numFmtId="0" fontId="0" fillId="0" borderId="4" xfId="0" applyBorder="1" applyAlignment="1">
      <alignment horizontal="right"/>
    </xf>
    <xf numFmtId="165" fontId="1" fillId="0" borderId="1" xfId="1" applyNumberFormat="1" applyFill="1" applyBorder="1"/>
    <xf numFmtId="165" fontId="1" fillId="0" borderId="5" xfId="1" applyNumberFormat="1" applyFill="1" applyBorder="1"/>
    <xf numFmtId="0" fontId="0" fillId="0" borderId="0" xfId="0" applyFill="1" applyAlignment="1">
      <alignment horizontal="center"/>
    </xf>
    <xf numFmtId="165" fontId="1" fillId="2" borderId="1" xfId="1" applyNumberFormat="1" applyFill="1" applyBorder="1"/>
    <xf numFmtId="165" fontId="1" fillId="0" borderId="1" xfId="1" applyNumberFormat="1" applyBorder="1"/>
    <xf numFmtId="165" fontId="1" fillId="0" borderId="5" xfId="1" applyNumberFormat="1" applyBorder="1"/>
    <xf numFmtId="165" fontId="7" fillId="0" borderId="1" xfId="1" applyNumberFormat="1" applyFont="1" applyFill="1" applyBorder="1"/>
    <xf numFmtId="165" fontId="0" fillId="0" borderId="1" xfId="1" applyNumberFormat="1" applyFont="1" applyFill="1" applyBorder="1"/>
    <xf numFmtId="165" fontId="0" fillId="0" borderId="1" xfId="0" applyNumberFormat="1" applyFill="1" applyBorder="1"/>
    <xf numFmtId="165" fontId="0" fillId="0" borderId="5" xfId="0" applyNumberFormat="1" applyFill="1" applyBorder="1"/>
    <xf numFmtId="165" fontId="0" fillId="0" borderId="1" xfId="0" applyNumberFormat="1" applyBorder="1"/>
    <xf numFmtId="165" fontId="0" fillId="0" borderId="5" xfId="0" applyNumberFormat="1" applyBorder="1"/>
    <xf numFmtId="0" fontId="12" fillId="0" borderId="0" xfId="0" applyFont="1"/>
    <xf numFmtId="165" fontId="0" fillId="0" borderId="0" xfId="1" applyNumberFormat="1" applyFont="1" applyBorder="1"/>
    <xf numFmtId="171" fontId="1" fillId="0" borderId="4" xfId="1" applyNumberFormat="1" applyBorder="1"/>
    <xf numFmtId="171" fontId="1" fillId="0" borderId="1" xfId="1" applyNumberFormat="1" applyBorder="1"/>
    <xf numFmtId="171" fontId="1" fillId="0" borderId="5" xfId="1" applyNumberFormat="1" applyBorder="1"/>
    <xf numFmtId="165" fontId="0" fillId="0" borderId="5" xfId="1" applyNumberFormat="1" applyFont="1" applyFill="1" applyBorder="1"/>
    <xf numFmtId="0" fontId="0" fillId="0" borderId="0" xfId="0" applyAlignment="1"/>
    <xf numFmtId="0" fontId="0" fillId="0" borderId="0" xfId="0" applyBorder="1" applyAlignment="1">
      <alignment horizontal="right"/>
    </xf>
    <xf numFmtId="165" fontId="0" fillId="0" borderId="0" xfId="1" applyNumberFormat="1" applyFont="1" applyAlignment="1"/>
    <xf numFmtId="0" fontId="2" fillId="0" borderId="0" xfId="0" applyFont="1" applyAlignment="1">
      <alignment horizontal="left"/>
    </xf>
    <xf numFmtId="169" fontId="0" fillId="0" borderId="1" xfId="0" applyNumberFormat="1" applyBorder="1"/>
    <xf numFmtId="169" fontId="0" fillId="0" borderId="5" xfId="0" applyNumberFormat="1" applyBorder="1"/>
    <xf numFmtId="165" fontId="1" fillId="0" borderId="4" xfId="1" applyNumberFormat="1" applyFont="1" applyBorder="1"/>
    <xf numFmtId="0" fontId="2" fillId="0" borderId="0" xfId="0" applyFont="1" applyFill="1"/>
    <xf numFmtId="165" fontId="7" fillId="0" borderId="0" xfId="1" applyNumberFormat="1" applyFont="1" applyFill="1" applyBorder="1"/>
    <xf numFmtId="0" fontId="0" fillId="0" borderId="6" xfId="0" applyFill="1" applyBorder="1"/>
    <xf numFmtId="165" fontId="7" fillId="0" borderId="6" xfId="1" applyNumberFormat="1" applyFont="1" applyFill="1" applyBorder="1"/>
    <xf numFmtId="165" fontId="12" fillId="0" borderId="0" xfId="1" applyNumberFormat="1" applyFont="1"/>
    <xf numFmtId="165" fontId="12" fillId="0" borderId="0" xfId="1" applyNumberFormat="1" applyFont="1" applyFill="1"/>
    <xf numFmtId="9" fontId="2" fillId="0" borderId="0" xfId="0" applyNumberFormat="1" applyFont="1" applyAlignment="1">
      <alignment horizontal="center" wrapText="1"/>
    </xf>
    <xf numFmtId="165" fontId="0" fillId="0" borderId="0" xfId="0" applyNumberFormat="1" applyAlignment="1"/>
    <xf numFmtId="165" fontId="6" fillId="0" borderId="0" xfId="0" applyNumberFormat="1" applyFont="1" applyAlignment="1"/>
    <xf numFmtId="0" fontId="12" fillId="0" borderId="0" xfId="0" applyFont="1" applyBorder="1"/>
    <xf numFmtId="0" fontId="0" fillId="0" borderId="1" xfId="0" applyFill="1" applyBorder="1"/>
    <xf numFmtId="165" fontId="16" fillId="0" borderId="0" xfId="1" applyNumberFormat="1" applyFont="1" applyFill="1"/>
    <xf numFmtId="9" fontId="0" fillId="0" borderId="0" xfId="0" applyNumberFormat="1"/>
    <xf numFmtId="165" fontId="2" fillId="0" borderId="4" xfId="1" applyNumberFormat="1" applyFont="1" applyBorder="1"/>
    <xf numFmtId="165" fontId="2" fillId="0" borderId="0" xfId="1" applyNumberFormat="1" applyFont="1" applyAlignment="1">
      <alignment horizontal="left"/>
    </xf>
    <xf numFmtId="0" fontId="8" fillId="0" borderId="0" xfId="0" applyFont="1"/>
    <xf numFmtId="0" fontId="0" fillId="0" borderId="0" xfId="0" applyFill="1" applyBorder="1" applyAlignment="1">
      <alignment horizontal="right"/>
    </xf>
    <xf numFmtId="165" fontId="2" fillId="0" borderId="0" xfId="1" applyNumberFormat="1" applyFont="1"/>
    <xf numFmtId="165" fontId="1" fillId="0" borderId="0" xfId="1" applyNumberFormat="1" applyFill="1" applyBorder="1"/>
    <xf numFmtId="0" fontId="0" fillId="0" borderId="0" xfId="0" applyAlignment="1">
      <alignment horizontal="left"/>
    </xf>
    <xf numFmtId="169" fontId="0" fillId="0" borderId="4" xfId="0" applyNumberFormat="1" applyBorder="1"/>
    <xf numFmtId="9" fontId="1" fillId="0" borderId="0" xfId="3"/>
    <xf numFmtId="0" fontId="0" fillId="0" borderId="0" xfId="0" applyFill="1" applyBorder="1" applyAlignment="1">
      <alignment horizontal="center"/>
    </xf>
    <xf numFmtId="165" fontId="6" fillId="0" borderId="0" xfId="1" applyNumberFormat="1" applyFont="1" applyFill="1" applyAlignment="1">
      <alignment horizontal="center"/>
    </xf>
    <xf numFmtId="0" fontId="3" fillId="0" borderId="4" xfId="0" applyFont="1" applyBorder="1"/>
    <xf numFmtId="1" fontId="0" fillId="0" borderId="0" xfId="0" applyNumberFormat="1" applyFill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0" xfId="0" applyNumberFormat="1" applyFill="1"/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2" fillId="2" borderId="0" xfId="0" applyFont="1" applyFill="1"/>
    <xf numFmtId="165" fontId="0" fillId="2" borderId="1" xfId="0" applyNumberFormat="1" applyFill="1" applyBorder="1"/>
    <xf numFmtId="165" fontId="1" fillId="0" borderId="4" xfId="1" applyNumberFormat="1" applyFont="1" applyBorder="1" applyAlignment="1">
      <alignment horizontal="right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2" fillId="0" borderId="8" xfId="0" applyFont="1" applyBorder="1"/>
    <xf numFmtId="0" fontId="0" fillId="0" borderId="9" xfId="0" applyBorder="1"/>
    <xf numFmtId="164" fontId="8" fillId="2" borderId="0" xfId="1" applyNumberFormat="1" applyFont="1" applyFill="1" applyAlignment="1">
      <alignment horizontal="center"/>
    </xf>
    <xf numFmtId="0" fontId="0" fillId="0" borderId="0" xfId="0" applyBorder="1" applyAlignment="1">
      <alignment horizontal="left"/>
    </xf>
    <xf numFmtId="9" fontId="7" fillId="0" borderId="0" xfId="3" applyFont="1" applyFill="1" applyBorder="1"/>
    <xf numFmtId="166" fontId="0" fillId="3" borderId="0" xfId="3" applyNumberFormat="1" applyFont="1" applyFill="1" applyAlignment="1">
      <alignment horizontal="center"/>
    </xf>
    <xf numFmtId="0" fontId="2" fillId="0" borderId="2" xfId="0" applyFont="1" applyBorder="1" applyAlignment="1">
      <alignment horizontal="center" wrapText="1"/>
    </xf>
    <xf numFmtId="9" fontId="1" fillId="0" borderId="0" xfId="3" applyBorder="1" applyAlignment="1">
      <alignment horizontal="right"/>
    </xf>
    <xf numFmtId="165" fontId="1" fillId="2" borderId="0" xfId="1" applyNumberFormat="1" applyFill="1" applyAlignment="1">
      <alignment horizontal="right"/>
    </xf>
    <xf numFmtId="9" fontId="1" fillId="0" borderId="0" xfId="3" applyAlignment="1">
      <alignment horizontal="right"/>
    </xf>
    <xf numFmtId="165" fontId="1" fillId="0" borderId="0" xfId="1" applyNumberFormat="1" applyFill="1" applyAlignment="1">
      <alignment horizontal="center"/>
    </xf>
    <xf numFmtId="165" fontId="1" fillId="0" borderId="1" xfId="1" applyNumberFormat="1" applyFill="1" applyBorder="1" applyAlignment="1">
      <alignment horizontal="center"/>
    </xf>
    <xf numFmtId="165" fontId="1" fillId="0" borderId="0" xfId="1" applyNumberFormat="1" applyFill="1" applyAlignment="1">
      <alignment horizontal="right"/>
    </xf>
    <xf numFmtId="9" fontId="1" fillId="0" borderId="0" xfId="3" applyFill="1"/>
    <xf numFmtId="9" fontId="8" fillId="0" borderId="0" xfId="0" applyNumberFormat="1" applyFont="1" applyBorder="1"/>
    <xf numFmtId="9" fontId="8" fillId="0" borderId="0" xfId="3" applyFont="1" applyFill="1" applyBorder="1"/>
    <xf numFmtId="10" fontId="1" fillId="0" borderId="0" xfId="1" applyNumberFormat="1"/>
    <xf numFmtId="43" fontId="3" fillId="0" borderId="0" xfId="1" applyFont="1" applyAlignment="1">
      <alignment horizontal="right"/>
    </xf>
    <xf numFmtId="0" fontId="3" fillId="0" borderId="0" xfId="0" applyFont="1" applyFill="1"/>
    <xf numFmtId="43" fontId="3" fillId="2" borderId="0" xfId="1" applyFont="1" applyFill="1"/>
    <xf numFmtId="43" fontId="3" fillId="0" borderId="0" xfId="1" applyFont="1" applyFill="1"/>
    <xf numFmtId="166" fontId="8" fillId="0" borderId="0" xfId="0" applyNumberFormat="1" applyFont="1"/>
    <xf numFmtId="165" fontId="0" fillId="0" borderId="4" xfId="1" applyNumberFormat="1" applyFont="1" applyBorder="1" applyAlignment="1">
      <alignment horizontal="left"/>
    </xf>
    <xf numFmtId="165" fontId="1" fillId="2" borderId="5" xfId="1" applyNumberFormat="1" applyFill="1" applyBorder="1"/>
    <xf numFmtId="165" fontId="0" fillId="0" borderId="10" xfId="1" applyNumberFormat="1" applyFont="1" applyBorder="1" applyAlignment="1">
      <alignment horizontal="right"/>
    </xf>
    <xf numFmtId="165" fontId="0" fillId="0" borderId="11" xfId="0" applyNumberFormat="1" applyBorder="1" applyAlignment="1"/>
    <xf numFmtId="165" fontId="0" fillId="0" borderId="0" xfId="0" applyNumberFormat="1" applyBorder="1"/>
    <xf numFmtId="165" fontId="16" fillId="0" borderId="0" xfId="1" applyNumberFormat="1" applyFont="1" applyFill="1" applyBorder="1"/>
    <xf numFmtId="167" fontId="16" fillId="0" borderId="0" xfId="2" applyNumberFormat="1" applyFont="1" applyFill="1"/>
    <xf numFmtId="0" fontId="18" fillId="0" borderId="0" xfId="0" applyFont="1"/>
    <xf numFmtId="0" fontId="0" fillId="3" borderId="0" xfId="1" applyNumberFormat="1" applyFont="1" applyFill="1" applyAlignment="1">
      <alignment horizontal="center"/>
    </xf>
    <xf numFmtId="0" fontId="8" fillId="0" borderId="0" xfId="0" applyNumberFormat="1" applyFont="1" applyAlignment="1">
      <alignment horizontal="center"/>
    </xf>
    <xf numFmtId="10" fontId="0" fillId="3" borderId="0" xfId="3" applyNumberFormat="1" applyFont="1" applyFill="1" applyAlignment="1">
      <alignment horizontal="center"/>
    </xf>
    <xf numFmtId="43" fontId="0" fillId="0" borderId="0" xfId="0" applyNumberFormat="1"/>
    <xf numFmtId="9" fontId="1" fillId="3" borderId="0" xfId="3" applyFill="1" applyBorder="1"/>
    <xf numFmtId="9" fontId="4" fillId="0" borderId="0" xfId="3" applyFont="1" applyAlignment="1">
      <alignment horizontal="right"/>
    </xf>
    <xf numFmtId="9" fontId="7" fillId="3" borderId="0" xfId="3" applyFont="1" applyFill="1"/>
    <xf numFmtId="9" fontId="4" fillId="0" borderId="0" xfId="3" applyFont="1" applyFill="1"/>
    <xf numFmtId="0" fontId="7" fillId="0" borderId="0" xfId="0" applyFont="1" applyAlignment="1">
      <alignment horizontal="right"/>
    </xf>
    <xf numFmtId="165" fontId="0" fillId="0" borderId="0" xfId="1" applyNumberFormat="1" applyFont="1" applyFill="1" applyBorder="1"/>
    <xf numFmtId="0" fontId="7" fillId="0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0" applyNumberFormat="1" applyFont="1"/>
    <xf numFmtId="165" fontId="0" fillId="0" borderId="12" xfId="0" applyNumberFormat="1" applyBorder="1" applyAlignment="1"/>
    <xf numFmtId="17" fontId="2" fillId="0" borderId="0" xfId="0" applyNumberFormat="1" applyFont="1" applyAlignment="1">
      <alignment horizontal="center" wrapText="1"/>
    </xf>
    <xf numFmtId="165" fontId="7" fillId="0" borderId="0" xfId="0" applyNumberFormat="1" applyFont="1" applyAlignment="1"/>
    <xf numFmtId="166" fontId="7" fillId="0" borderId="0" xfId="0" applyNumberFormat="1" applyFont="1"/>
    <xf numFmtId="9" fontId="7" fillId="0" borderId="0" xfId="0" applyNumberFormat="1" applyFont="1"/>
    <xf numFmtId="0" fontId="19" fillId="2" borderId="0" xfId="0" applyFont="1" applyFill="1" applyAlignment="1">
      <alignment horizontal="center"/>
    </xf>
    <xf numFmtId="165" fontId="1" fillId="0" borderId="0" xfId="1" applyNumberFormat="1" applyBorder="1"/>
    <xf numFmtId="6" fontId="0" fillId="0" borderId="0" xfId="0" applyNumberFormat="1" applyBorder="1"/>
    <xf numFmtId="164" fontId="19" fillId="2" borderId="0" xfId="1" applyNumberFormat="1" applyFont="1" applyFill="1" applyAlignment="1">
      <alignment horizontal="center"/>
    </xf>
    <xf numFmtId="9" fontId="7" fillId="0" borderId="1" xfId="3" applyFont="1" applyBorder="1"/>
    <xf numFmtId="0" fontId="2" fillId="0" borderId="3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7" fillId="0" borderId="1" xfId="0" applyFont="1" applyBorder="1"/>
    <xf numFmtId="9" fontId="2" fillId="0" borderId="0" xfId="0" applyNumberFormat="1" applyFont="1" applyAlignment="1">
      <alignment horizontal="left"/>
    </xf>
    <xf numFmtId="1" fontId="0" fillId="0" borderId="0" xfId="0" applyNumberFormat="1"/>
    <xf numFmtId="0" fontId="2" fillId="0" borderId="1" xfId="0" applyFont="1" applyBorder="1"/>
    <xf numFmtId="10" fontId="2" fillId="0" borderId="1" xfId="1" applyNumberFormat="1" applyFont="1" applyBorder="1" applyAlignment="1">
      <alignment horizontal="right"/>
    </xf>
    <xf numFmtId="0" fontId="2" fillId="0" borderId="0" xfId="0" applyFont="1" applyBorder="1"/>
    <xf numFmtId="0" fontId="7" fillId="0" borderId="0" xfId="0" applyFont="1" applyFill="1"/>
    <xf numFmtId="168" fontId="2" fillId="2" borderId="1" xfId="0" applyNumberFormat="1" applyFont="1" applyFill="1" applyBorder="1"/>
    <xf numFmtId="9" fontId="0" fillId="0" borderId="1" xfId="0" applyNumberFormat="1" applyFill="1" applyBorder="1"/>
    <xf numFmtId="10" fontId="2" fillId="0" borderId="0" xfId="0" applyNumberFormat="1" applyFont="1" applyFill="1"/>
    <xf numFmtId="9" fontId="0" fillId="0" borderId="0" xfId="0" applyNumberFormat="1" applyFill="1" applyBorder="1"/>
    <xf numFmtId="2" fontId="1" fillId="0" borderId="0" xfId="2" applyNumberFormat="1" applyAlignment="1">
      <alignment horizontal="right"/>
    </xf>
    <xf numFmtId="2" fontId="1" fillId="0" borderId="0" xfId="2" applyNumberFormat="1"/>
    <xf numFmtId="43" fontId="1" fillId="0" borderId="0" xfId="1" applyNumberFormat="1"/>
    <xf numFmtId="9" fontId="7" fillId="0" borderId="0" xfId="0" applyNumberFormat="1" applyFont="1" applyFill="1"/>
    <xf numFmtId="166" fontId="0" fillId="0" borderId="0" xfId="0" applyNumberFormat="1" applyFill="1"/>
    <xf numFmtId="10" fontId="0" fillId="0" borderId="0" xfId="0" applyNumberFormat="1" applyFill="1"/>
    <xf numFmtId="166" fontId="0" fillId="0" borderId="0" xfId="3" applyNumberFormat="1" applyFont="1" applyFill="1"/>
    <xf numFmtId="9" fontId="0" fillId="0" borderId="0" xfId="3" applyFont="1" applyFill="1"/>
    <xf numFmtId="2" fontId="0" fillId="0" borderId="0" xfId="0" applyNumberFormat="1" applyFill="1"/>
    <xf numFmtId="10" fontId="0" fillId="0" borderId="0" xfId="3" applyNumberFormat="1" applyFont="1" applyFill="1"/>
    <xf numFmtId="0" fontId="2" fillId="0" borderId="13" xfId="0" applyFont="1" applyBorder="1"/>
    <xf numFmtId="0" fontId="0" fillId="0" borderId="14" xfId="0" applyBorder="1"/>
    <xf numFmtId="0" fontId="0" fillId="0" borderId="15" xfId="0" applyBorder="1"/>
    <xf numFmtId="0" fontId="12" fillId="0" borderId="16" xfId="0" applyFont="1" applyBorder="1"/>
    <xf numFmtId="0" fontId="0" fillId="0" borderId="17" xfId="0" applyBorder="1"/>
    <xf numFmtId="0" fontId="0" fillId="0" borderId="16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3" xfId="0" applyBorder="1"/>
    <xf numFmtId="0" fontId="2" fillId="0" borderId="21" xfId="0" applyFont="1" applyBorder="1"/>
    <xf numFmtId="0" fontId="0" fillId="0" borderId="22" xfId="0" applyBorder="1"/>
    <xf numFmtId="166" fontId="0" fillId="0" borderId="23" xfId="3" applyNumberFormat="1" applyFont="1" applyFill="1" applyBorder="1"/>
    <xf numFmtId="166" fontId="0" fillId="0" borderId="2" xfId="3" applyNumberFormat="1" applyFont="1" applyFill="1" applyBorder="1"/>
    <xf numFmtId="166" fontId="0" fillId="0" borderId="24" xfId="3" applyNumberFormat="1" applyFont="1" applyFill="1" applyBorder="1"/>
    <xf numFmtId="165" fontId="0" fillId="4" borderId="18" xfId="0" applyNumberFormat="1" applyFill="1" applyBorder="1"/>
    <xf numFmtId="165" fontId="0" fillId="4" borderId="19" xfId="0" applyNumberFormat="1" applyFill="1" applyBorder="1"/>
    <xf numFmtId="165" fontId="0" fillId="4" borderId="20" xfId="0" applyNumberFormat="1" applyFill="1" applyBorder="1"/>
    <xf numFmtId="0" fontId="0" fillId="0" borderId="21" xfId="0" applyBorder="1" applyAlignment="1">
      <alignment horizontal="right"/>
    </xf>
    <xf numFmtId="0" fontId="0" fillId="0" borderId="22" xfId="0" applyBorder="1" applyAlignment="1">
      <alignment horizontal="right"/>
    </xf>
    <xf numFmtId="0" fontId="0" fillId="0" borderId="16" xfId="0" applyBorder="1" applyAlignment="1">
      <alignment wrapText="1"/>
    </xf>
    <xf numFmtId="9" fontId="0" fillId="0" borderId="0" xfId="0" applyNumberFormat="1" applyBorder="1"/>
    <xf numFmtId="165" fontId="0" fillId="0" borderId="14" xfId="0" applyNumberFormat="1" applyBorder="1"/>
    <xf numFmtId="0" fontId="0" fillId="0" borderId="19" xfId="0" applyFill="1" applyBorder="1" applyAlignment="1">
      <alignment horizontal="right"/>
    </xf>
    <xf numFmtId="0" fontId="0" fillId="0" borderId="19" xfId="0" applyFill="1" applyBorder="1" applyAlignment="1">
      <alignment horizontal="left"/>
    </xf>
    <xf numFmtId="0" fontId="0" fillId="0" borderId="19" xfId="0" applyFill="1" applyBorder="1"/>
    <xf numFmtId="0" fontId="0" fillId="0" borderId="0" xfId="0" applyFill="1" applyBorder="1" applyAlignment="1">
      <alignment horizontal="left"/>
    </xf>
    <xf numFmtId="0" fontId="2" fillId="5" borderId="0" xfId="0" applyFont="1" applyFill="1" applyAlignment="1">
      <alignment horizontal="center"/>
    </xf>
    <xf numFmtId="1" fontId="2" fillId="5" borderId="0" xfId="0" applyNumberFormat="1" applyFont="1" applyFill="1"/>
    <xf numFmtId="0" fontId="15" fillId="5" borderId="0" xfId="0" applyFont="1" applyFill="1" applyAlignment="1">
      <alignment horizontal="center"/>
    </xf>
    <xf numFmtId="0" fontId="0" fillId="5" borderId="6" xfId="0" applyFill="1" applyBorder="1"/>
    <xf numFmtId="9" fontId="0" fillId="5" borderId="0" xfId="3" applyFont="1" applyFill="1"/>
    <xf numFmtId="165" fontId="0" fillId="5" borderId="6" xfId="1" applyNumberFormat="1" applyFont="1" applyFill="1" applyBorder="1"/>
    <xf numFmtId="165" fontId="0" fillId="5" borderId="25" xfId="1" applyNumberFormat="1" applyFont="1" applyFill="1" applyBorder="1"/>
    <xf numFmtId="9" fontId="0" fillId="5" borderId="1" xfId="0" applyNumberFormat="1" applyFill="1" applyBorder="1"/>
    <xf numFmtId="165" fontId="0" fillId="5" borderId="1" xfId="1" applyNumberFormat="1" applyFont="1" applyFill="1" applyBorder="1"/>
    <xf numFmtId="165" fontId="16" fillId="5" borderId="0" xfId="1" applyNumberFormat="1" applyFont="1" applyFill="1"/>
    <xf numFmtId="167" fontId="16" fillId="5" borderId="6" xfId="2" applyNumberFormat="1" applyFont="1" applyFill="1" applyBorder="1"/>
    <xf numFmtId="165" fontId="7" fillId="5" borderId="0" xfId="1" applyNumberFormat="1" applyFont="1" applyFill="1"/>
    <xf numFmtId="165" fontId="7" fillId="5" borderId="6" xfId="1" applyNumberFormat="1" applyFont="1" applyFill="1" applyBorder="1"/>
    <xf numFmtId="9" fontId="7" fillId="5" borderId="0" xfId="3" applyFont="1" applyFill="1"/>
    <xf numFmtId="165" fontId="16" fillId="5" borderId="26" xfId="1" applyNumberFormat="1" applyFont="1" applyFill="1" applyBorder="1"/>
    <xf numFmtId="0" fontId="3" fillId="5" borderId="0" xfId="0" applyFont="1" applyFill="1"/>
    <xf numFmtId="43" fontId="3" fillId="5" borderId="25" xfId="1" applyFont="1" applyFill="1" applyBorder="1"/>
    <xf numFmtId="165" fontId="3" fillId="5" borderId="0" xfId="1" applyNumberFormat="1" applyFont="1" applyFill="1"/>
    <xf numFmtId="165" fontId="3" fillId="5" borderId="6" xfId="1" applyNumberFormat="1" applyFont="1" applyFill="1" applyBorder="1"/>
    <xf numFmtId="165" fontId="0" fillId="5" borderId="0" xfId="1" applyNumberFormat="1" applyFont="1" applyFill="1"/>
    <xf numFmtId="165" fontId="6" fillId="5" borderId="0" xfId="1" applyNumberFormat="1" applyFont="1" applyFill="1"/>
    <xf numFmtId="165" fontId="0" fillId="5" borderId="1" xfId="0" applyNumberFormat="1" applyFill="1" applyBorder="1"/>
    <xf numFmtId="165" fontId="0" fillId="5" borderId="5" xfId="0" applyNumberFormat="1" applyFill="1" applyBorder="1"/>
    <xf numFmtId="165" fontId="6" fillId="5" borderId="6" xfId="1" applyNumberFormat="1" applyFont="1" applyFill="1" applyBorder="1"/>
    <xf numFmtId="0" fontId="0" fillId="5" borderId="0" xfId="0" applyFill="1"/>
    <xf numFmtId="165" fontId="7" fillId="5" borderId="1" xfId="1" applyNumberFormat="1" applyFont="1" applyFill="1" applyBorder="1"/>
    <xf numFmtId="165" fontId="7" fillId="5" borderId="5" xfId="1" applyNumberFormat="1" applyFont="1" applyFill="1" applyBorder="1"/>
    <xf numFmtId="165" fontId="0" fillId="4" borderId="0" xfId="1" applyNumberFormat="1" applyFont="1" applyFill="1" applyBorder="1"/>
    <xf numFmtId="0" fontId="4" fillId="4" borderId="0" xfId="0" applyFont="1" applyFill="1" applyBorder="1"/>
    <xf numFmtId="165" fontId="0" fillId="4" borderId="16" xfId="1" applyNumberFormat="1" applyFont="1" applyFill="1" applyBorder="1"/>
    <xf numFmtId="165" fontId="0" fillId="4" borderId="17" xfId="1" applyNumberFormat="1" applyFont="1" applyFill="1" applyBorder="1"/>
    <xf numFmtId="0" fontId="0" fillId="4" borderId="19" xfId="0" applyFill="1" applyBorder="1"/>
    <xf numFmtId="164" fontId="12" fillId="0" borderId="0" xfId="1" applyNumberFormat="1" applyFont="1" applyFill="1" applyBorder="1" applyAlignment="1">
      <alignment horizontal="left"/>
    </xf>
    <xf numFmtId="165" fontId="3" fillId="0" borderId="0" xfId="1" applyNumberFormat="1" applyFont="1" applyFill="1" applyAlignment="1">
      <alignment horizontal="center"/>
    </xf>
    <xf numFmtId="165" fontId="2" fillId="4" borderId="13" xfId="1" applyNumberFormat="1" applyFont="1" applyFill="1" applyBorder="1" applyAlignment="1">
      <alignment horizontal="center"/>
    </xf>
    <xf numFmtId="165" fontId="2" fillId="4" borderId="14" xfId="1" applyNumberFormat="1" applyFont="1" applyFill="1" applyBorder="1" applyAlignment="1">
      <alignment horizontal="center"/>
    </xf>
    <xf numFmtId="0" fontId="2" fillId="4" borderId="14" xfId="0" applyFont="1" applyFill="1" applyBorder="1"/>
    <xf numFmtId="165" fontId="20" fillId="4" borderId="16" xfId="1" applyNumberFormat="1" applyFont="1" applyFill="1" applyBorder="1" applyAlignment="1">
      <alignment horizontal="center"/>
    </xf>
    <xf numFmtId="165" fontId="20" fillId="4" borderId="0" xfId="1" applyNumberFormat="1" applyFont="1" applyFill="1" applyBorder="1" applyAlignment="1">
      <alignment horizontal="center"/>
    </xf>
    <xf numFmtId="0" fontId="15" fillId="4" borderId="0" xfId="0" applyFont="1" applyFill="1" applyBorder="1"/>
    <xf numFmtId="166" fontId="15" fillId="4" borderId="0" xfId="3" applyNumberFormat="1" applyFont="1" applyFill="1" applyBorder="1"/>
    <xf numFmtId="166" fontId="15" fillId="4" borderId="17" xfId="3" applyNumberFormat="1" applyFont="1" applyFill="1" applyBorder="1"/>
    <xf numFmtId="166" fontId="15" fillId="4" borderId="16" xfId="3" applyNumberFormat="1" applyFont="1" applyFill="1" applyBorder="1"/>
    <xf numFmtId="0" fontId="12" fillId="0" borderId="18" xfId="0" applyFont="1" applyFill="1" applyBorder="1" applyAlignment="1">
      <alignment horizontal="left"/>
    </xf>
    <xf numFmtId="0" fontId="12" fillId="0" borderId="18" xfId="0" applyFont="1" applyBorder="1"/>
    <xf numFmtId="0" fontId="12" fillId="0" borderId="0" xfId="0" applyFont="1" applyBorder="1" applyAlignment="1">
      <alignment horizontal="center"/>
    </xf>
    <xf numFmtId="0" fontId="3" fillId="0" borderId="0" xfId="0" applyFont="1" applyFill="1" applyBorder="1"/>
    <xf numFmtId="165" fontId="1" fillId="4" borderId="0" xfId="1" applyNumberFormat="1" applyFill="1" applyBorder="1"/>
    <xf numFmtId="168" fontId="0" fillId="0" borderId="0" xfId="0" applyNumberFormat="1" applyFill="1"/>
    <xf numFmtId="165" fontId="1" fillId="4" borderId="13" xfId="1" applyNumberFormat="1" applyFont="1" applyFill="1" applyBorder="1" applyAlignment="1">
      <alignment horizontal="center"/>
    </xf>
    <xf numFmtId="165" fontId="1" fillId="4" borderId="14" xfId="1" applyNumberFormat="1" applyFill="1" applyBorder="1" applyAlignment="1">
      <alignment horizontal="center"/>
    </xf>
    <xf numFmtId="165" fontId="1" fillId="4" borderId="14" xfId="1" applyNumberFormat="1" applyFill="1" applyBorder="1"/>
    <xf numFmtId="165" fontId="6" fillId="4" borderId="16" xfId="1" applyNumberFormat="1" applyFont="1" applyFill="1" applyBorder="1" applyAlignment="1">
      <alignment horizontal="center"/>
    </xf>
    <xf numFmtId="0" fontId="4" fillId="4" borderId="0" xfId="0" applyFont="1" applyFill="1" applyBorder="1" applyAlignment="1">
      <alignment horizontal="center"/>
    </xf>
    <xf numFmtId="165" fontId="6" fillId="4" borderId="0" xfId="1" applyNumberFormat="1" applyFont="1" applyFill="1" applyBorder="1" applyAlignment="1">
      <alignment horizontal="center"/>
    </xf>
    <xf numFmtId="166" fontId="4" fillId="4" borderId="0" xfId="3" applyNumberFormat="1" applyFont="1" applyFill="1" applyBorder="1"/>
    <xf numFmtId="166" fontId="4" fillId="4" borderId="17" xfId="3" applyNumberFormat="1" applyFont="1" applyFill="1" applyBorder="1"/>
    <xf numFmtId="165" fontId="1" fillId="4" borderId="16" xfId="1" applyNumberFormat="1" applyFill="1" applyBorder="1"/>
    <xf numFmtId="0" fontId="0" fillId="4" borderId="0" xfId="0" applyFill="1" applyBorder="1" applyAlignment="1">
      <alignment horizontal="center"/>
    </xf>
    <xf numFmtId="165" fontId="1" fillId="4" borderId="17" xfId="1" applyNumberFormat="1" applyFill="1" applyBorder="1"/>
    <xf numFmtId="165" fontId="1" fillId="4" borderId="19" xfId="1" applyNumberFormat="1" applyFill="1" applyBorder="1"/>
    <xf numFmtId="165" fontId="1" fillId="4" borderId="27" xfId="1" applyNumberFormat="1" applyFill="1" applyBorder="1"/>
    <xf numFmtId="165" fontId="1" fillId="4" borderId="20" xfId="1" applyNumberFormat="1" applyFill="1" applyBorder="1"/>
    <xf numFmtId="0" fontId="0" fillId="0" borderId="14" xfId="0" applyBorder="1" applyAlignment="1">
      <alignment horizontal="right"/>
    </xf>
    <xf numFmtId="0" fontId="0" fillId="0" borderId="15" xfId="0" applyBorder="1" applyAlignment="1">
      <alignment horizontal="right"/>
    </xf>
    <xf numFmtId="0" fontId="12" fillId="0" borderId="16" xfId="0" applyFont="1" applyFill="1" applyBorder="1"/>
    <xf numFmtId="0" fontId="0" fillId="0" borderId="17" xfId="0" applyBorder="1" applyAlignment="1">
      <alignment horizontal="right"/>
    </xf>
    <xf numFmtId="0" fontId="0" fillId="0" borderId="18" xfId="0" applyFill="1" applyBorder="1"/>
    <xf numFmtId="0" fontId="0" fillId="0" borderId="19" xfId="0" applyBorder="1" applyAlignment="1">
      <alignment horizontal="right"/>
    </xf>
    <xf numFmtId="0" fontId="0" fillId="0" borderId="20" xfId="0" applyBorder="1" applyAlignment="1">
      <alignment horizontal="right"/>
    </xf>
    <xf numFmtId="0" fontId="21" fillId="0" borderId="0" xfId="0" applyFont="1"/>
    <xf numFmtId="0" fontId="21" fillId="0" borderId="0" xfId="0" applyFont="1" applyAlignment="1">
      <alignment horizontal="left"/>
    </xf>
    <xf numFmtId="0" fontId="0" fillId="4" borderId="14" xfId="0" applyFill="1" applyBorder="1"/>
    <xf numFmtId="0" fontId="0" fillId="4" borderId="18" xfId="0" applyFill="1" applyBorder="1"/>
    <xf numFmtId="166" fontId="3" fillId="4" borderId="14" xfId="3" applyNumberFormat="1" applyFont="1" applyFill="1" applyBorder="1"/>
    <xf numFmtId="166" fontId="3" fillId="4" borderId="15" xfId="3" applyNumberFormat="1" applyFont="1" applyFill="1" applyBorder="1"/>
    <xf numFmtId="0" fontId="3" fillId="4" borderId="13" xfId="0" applyFont="1" applyFill="1" applyBorder="1"/>
    <xf numFmtId="0" fontId="3" fillId="4" borderId="14" xfId="0" applyFont="1" applyFill="1" applyBorder="1"/>
    <xf numFmtId="9" fontId="3" fillId="0" borderId="0" xfId="0" applyNumberFormat="1" applyFont="1"/>
    <xf numFmtId="0" fontId="13" fillId="0" borderId="0" xfId="0" applyFont="1"/>
    <xf numFmtId="0" fontId="13" fillId="0" borderId="0" xfId="0" applyFont="1" applyFill="1"/>
    <xf numFmtId="0" fontId="15" fillId="0" borderId="14" xfId="0" applyFont="1" applyBorder="1"/>
    <xf numFmtId="9" fontId="18" fillId="6" borderId="16" xfId="0" applyNumberFormat="1" applyFont="1" applyFill="1" applyBorder="1"/>
    <xf numFmtId="165" fontId="18" fillId="6" borderId="0" xfId="0" applyNumberFormat="1" applyFont="1" applyFill="1" applyBorder="1"/>
    <xf numFmtId="165" fontId="18" fillId="6" borderId="17" xfId="0" applyNumberFormat="1" applyFont="1" applyFill="1" applyBorder="1"/>
    <xf numFmtId="1" fontId="0" fillId="0" borderId="0" xfId="0" applyNumberFormat="1" applyBorder="1"/>
    <xf numFmtId="1" fontId="0" fillId="0" borderId="17" xfId="0" applyNumberFormat="1" applyBorder="1"/>
    <xf numFmtId="1" fontId="0" fillId="0" borderId="19" xfId="0" applyNumberFormat="1" applyBorder="1"/>
    <xf numFmtId="1" fontId="0" fillId="0" borderId="20" xfId="0" applyNumberFormat="1" applyBorder="1"/>
    <xf numFmtId="0" fontId="0" fillId="0" borderId="23" xfId="0" applyBorder="1"/>
    <xf numFmtId="166" fontId="0" fillId="0" borderId="2" xfId="0" applyNumberFormat="1" applyBorder="1"/>
    <xf numFmtId="166" fontId="0" fillId="0" borderId="24" xfId="0" applyNumberFormat="1" applyBorder="1"/>
    <xf numFmtId="0" fontId="22" fillId="0" borderId="0" xfId="0" applyFont="1"/>
    <xf numFmtId="0" fontId="23" fillId="0" borderId="0" xfId="0" applyFont="1"/>
    <xf numFmtId="0" fontId="3" fillId="0" borderId="16" xfId="0" applyFont="1" applyBorder="1"/>
    <xf numFmtId="0" fontId="3" fillId="0" borderId="18" xfId="0" applyFont="1" applyBorder="1"/>
    <xf numFmtId="0" fontId="3" fillId="0" borderId="14" xfId="0" applyFont="1" applyBorder="1"/>
    <xf numFmtId="0" fontId="3" fillId="0" borderId="15" xfId="0" applyFont="1" applyBorder="1"/>
    <xf numFmtId="0" fontId="2" fillId="0" borderId="13" xfId="0" applyFont="1" applyFill="1" applyBorder="1"/>
    <xf numFmtId="22" fontId="15" fillId="0" borderId="0" xfId="0" applyNumberFormat="1" applyFont="1"/>
    <xf numFmtId="0" fontId="5" fillId="0" borderId="13" xfId="0" applyFont="1" applyBorder="1"/>
    <xf numFmtId="0" fontId="7" fillId="3" borderId="17" xfId="0" applyFont="1" applyFill="1" applyBorder="1" applyAlignment="1">
      <alignment horizontal="center"/>
    </xf>
    <xf numFmtId="9" fontId="7" fillId="3" borderId="17" xfId="3" applyFont="1" applyFill="1" applyBorder="1" applyAlignment="1">
      <alignment horizontal="center"/>
    </xf>
    <xf numFmtId="165" fontId="7" fillId="3" borderId="17" xfId="1" applyNumberFormat="1" applyFont="1" applyFill="1" applyBorder="1" applyAlignment="1">
      <alignment horizontal="center"/>
    </xf>
    <xf numFmtId="165" fontId="7" fillId="3" borderId="20" xfId="1" applyNumberFormat="1" applyFont="1" applyFill="1" applyBorder="1" applyAlignment="1">
      <alignment horizontal="center"/>
    </xf>
    <xf numFmtId="166" fontId="0" fillId="3" borderId="17" xfId="3" applyNumberFormat="1" applyFont="1" applyFill="1" applyBorder="1" applyAlignment="1">
      <alignment horizontal="right"/>
    </xf>
    <xf numFmtId="0" fontId="0" fillId="3" borderId="17" xfId="0" applyFill="1" applyBorder="1" applyAlignment="1">
      <alignment horizontal="right"/>
    </xf>
    <xf numFmtId="10" fontId="0" fillId="3" borderId="17" xfId="3" applyNumberFormat="1" applyFont="1" applyFill="1" applyBorder="1" applyAlignment="1">
      <alignment horizontal="right"/>
    </xf>
    <xf numFmtId="1" fontId="0" fillId="3" borderId="20" xfId="1" applyNumberFormat="1" applyFont="1" applyFill="1" applyBorder="1" applyAlignment="1">
      <alignment horizontal="right"/>
    </xf>
    <xf numFmtId="9" fontId="0" fillId="3" borderId="17" xfId="3" applyFont="1" applyFill="1" applyBorder="1"/>
    <xf numFmtId="166" fontId="0" fillId="3" borderId="17" xfId="3" applyNumberFormat="1" applyFont="1" applyFill="1" applyBorder="1"/>
    <xf numFmtId="0" fontId="0" fillId="3" borderId="20" xfId="0" applyFill="1" applyBorder="1"/>
    <xf numFmtId="165" fontId="1" fillId="0" borderId="7" xfId="1" applyNumberFormat="1" applyFill="1" applyBorder="1"/>
    <xf numFmtId="0" fontId="0" fillId="4" borderId="10" xfId="0" applyFill="1" applyBorder="1" applyAlignment="1">
      <alignment horizontal="center"/>
    </xf>
    <xf numFmtId="10" fontId="2" fillId="4" borderId="12" xfId="0" applyNumberFormat="1" applyFont="1" applyFill="1" applyBorder="1"/>
    <xf numFmtId="0" fontId="0" fillId="4" borderId="16" xfId="0" applyFill="1" applyBorder="1"/>
    <xf numFmtId="0" fontId="0" fillId="4" borderId="0" xfId="0" applyFill="1" applyBorder="1"/>
    <xf numFmtId="1" fontId="0" fillId="4" borderId="0" xfId="0" applyNumberFormat="1" applyFill="1" applyBorder="1"/>
    <xf numFmtId="1" fontId="0" fillId="4" borderId="17" xfId="0" applyNumberFormat="1" applyFill="1" applyBorder="1"/>
    <xf numFmtId="9" fontId="0" fillId="4" borderId="19" xfId="0" applyNumberFormat="1" applyFill="1" applyBorder="1"/>
    <xf numFmtId="0" fontId="0" fillId="4" borderId="20" xfId="0" applyFill="1" applyBorder="1"/>
    <xf numFmtId="10" fontId="0" fillId="4" borderId="19" xfId="0" applyNumberFormat="1" applyFill="1" applyBorder="1"/>
    <xf numFmtId="165" fontId="7" fillId="4" borderId="7" xfId="1" applyNumberFormat="1" applyFont="1" applyFill="1" applyBorder="1"/>
    <xf numFmtId="164" fontId="7" fillId="4" borderId="19" xfId="1" applyNumberFormat="1" applyFont="1" applyFill="1" applyBorder="1" applyAlignment="1">
      <alignment horizontal="left"/>
    </xf>
    <xf numFmtId="0" fontId="7" fillId="4" borderId="19" xfId="0" applyFont="1" applyFill="1" applyBorder="1"/>
    <xf numFmtId="165" fontId="7" fillId="4" borderId="18" xfId="1" applyNumberFormat="1" applyFont="1" applyFill="1" applyBorder="1"/>
    <xf numFmtId="165" fontId="7" fillId="4" borderId="28" xfId="1" applyNumberFormat="1" applyFont="1" applyFill="1" applyBorder="1"/>
    <xf numFmtId="165" fontId="7" fillId="4" borderId="20" xfId="1" applyNumberFormat="1" applyFont="1" applyFill="1" applyBorder="1"/>
    <xf numFmtId="165" fontId="7" fillId="4" borderId="29" xfId="1" applyNumberFormat="1" applyFont="1" applyFill="1" applyBorder="1"/>
    <xf numFmtId="164" fontId="7" fillId="4" borderId="19" xfId="1" applyNumberFormat="1" applyFont="1" applyFill="1" applyBorder="1" applyAlignment="1">
      <alignment horizontal="center"/>
    </xf>
    <xf numFmtId="165" fontId="7" fillId="4" borderId="19" xfId="1" applyNumberFormat="1" applyFont="1" applyFill="1" applyBorder="1" applyAlignment="1">
      <alignment horizontal="center"/>
    </xf>
    <xf numFmtId="10" fontId="7" fillId="4" borderId="19" xfId="3" applyNumberFormat="1" applyFont="1" applyFill="1" applyBorder="1"/>
    <xf numFmtId="165" fontId="7" fillId="4" borderId="19" xfId="1" applyNumberFormat="1" applyFont="1" applyFill="1" applyBorder="1"/>
    <xf numFmtId="165" fontId="7" fillId="4" borderId="27" xfId="1" applyNumberFormat="1" applyFont="1" applyFill="1" applyBorder="1"/>
    <xf numFmtId="0" fontId="13" fillId="0" borderId="0" xfId="0" applyFont="1" applyFill="1" applyAlignment="1">
      <alignment horizontal="right"/>
    </xf>
    <xf numFmtId="9" fontId="1" fillId="3" borderId="0" xfId="3" applyFont="1" applyFill="1" applyBorder="1"/>
    <xf numFmtId="0" fontId="2" fillId="4" borderId="10" xfId="0" applyFont="1" applyFill="1" applyBorder="1"/>
    <xf numFmtId="9" fontId="2" fillId="4" borderId="12" xfId="0" applyNumberFormat="1" applyFont="1" applyFill="1" applyBorder="1"/>
    <xf numFmtId="0" fontId="25" fillId="0" borderId="13" xfId="0" applyFont="1" applyBorder="1"/>
    <xf numFmtId="0" fontId="25" fillId="0" borderId="14" xfId="0" applyFont="1" applyBorder="1"/>
    <xf numFmtId="0" fontId="25" fillId="0" borderId="15" xfId="0" applyFont="1" applyBorder="1"/>
    <xf numFmtId="0" fontId="25" fillId="0" borderId="18" xfId="0" applyFont="1" applyBorder="1"/>
    <xf numFmtId="0" fontId="25" fillId="0" borderId="19" xfId="0" applyFont="1" applyBorder="1"/>
    <xf numFmtId="0" fontId="25" fillId="0" borderId="20" xfId="0" applyFont="1" applyBorder="1"/>
    <xf numFmtId="0" fontId="26" fillId="0" borderId="0" xfId="0" applyFont="1"/>
    <xf numFmtId="0" fontId="23" fillId="3" borderId="0" xfId="0" applyFont="1" applyFill="1" applyBorder="1" applyAlignment="1">
      <alignment wrapText="1"/>
    </xf>
    <xf numFmtId="0" fontId="23" fillId="3" borderId="17" xfId="0" applyFont="1" applyFill="1" applyBorder="1" applyAlignment="1">
      <alignment wrapText="1"/>
    </xf>
    <xf numFmtId="0" fontId="23" fillId="3" borderId="19" xfId="0" applyFont="1" applyFill="1" applyBorder="1" applyAlignment="1">
      <alignment wrapText="1"/>
    </xf>
    <xf numFmtId="0" fontId="23" fillId="3" borderId="20" xfId="0" applyFont="1" applyFill="1" applyBorder="1" applyAlignment="1">
      <alignment wrapText="1"/>
    </xf>
    <xf numFmtId="9" fontId="0" fillId="3" borderId="16" xfId="0" applyNumberFormat="1" applyFill="1" applyBorder="1"/>
    <xf numFmtId="9" fontId="0" fillId="3" borderId="18" xfId="0" applyNumberFormat="1" applyFill="1" applyBorder="1"/>
    <xf numFmtId="165" fontId="0" fillId="3" borderId="0" xfId="1" applyNumberFormat="1" applyFont="1" applyFill="1"/>
    <xf numFmtId="165" fontId="1" fillId="3" borderId="0" xfId="1" applyNumberFormat="1" applyFill="1"/>
    <xf numFmtId="0" fontId="2" fillId="0" borderId="17" xfId="0" applyFont="1" applyBorder="1"/>
    <xf numFmtId="0" fontId="21" fillId="0" borderId="0" xfId="0" applyFont="1" applyBorder="1"/>
    <xf numFmtId="0" fontId="13" fillId="0" borderId="0" xfId="0" applyFont="1" applyFill="1" applyBorder="1" applyAlignment="1">
      <alignment horizontal="left"/>
    </xf>
    <xf numFmtId="165" fontId="17" fillId="0" borderId="0" xfId="1" applyNumberFormat="1" applyFont="1" applyFill="1" applyBorder="1"/>
    <xf numFmtId="0" fontId="13" fillId="0" borderId="0" xfId="0" applyFont="1" applyFill="1" applyBorder="1"/>
    <xf numFmtId="0" fontId="0" fillId="6" borderId="0" xfId="0" applyFill="1"/>
    <xf numFmtId="0" fontId="2" fillId="6" borderId="0" xfId="0" applyFont="1" applyFill="1"/>
    <xf numFmtId="0" fontId="21" fillId="6" borderId="0" xfId="0" applyFont="1" applyFill="1"/>
    <xf numFmtId="0" fontId="24" fillId="6" borderId="0" xfId="0" applyFont="1" applyFill="1"/>
    <xf numFmtId="0" fontId="3" fillId="6" borderId="0" xfId="0" applyFont="1" applyFill="1"/>
    <xf numFmtId="0" fontId="14" fillId="6" borderId="0" xfId="0" applyFont="1" applyFill="1"/>
    <xf numFmtId="0" fontId="3" fillId="6" borderId="0" xfId="0" applyFont="1" applyFill="1" applyAlignment="1">
      <alignment horizontal="right"/>
    </xf>
    <xf numFmtId="166" fontId="0" fillId="0" borderId="0" xfId="0" applyNumberFormat="1" applyFill="1" applyAlignment="1">
      <alignment horizontal="center"/>
    </xf>
    <xf numFmtId="168" fontId="1" fillId="2" borderId="0" xfId="1" applyNumberFormat="1" applyFont="1" applyFill="1" applyAlignment="1">
      <alignment horizontal="center"/>
    </xf>
    <xf numFmtId="0" fontId="12" fillId="0" borderId="0" xfId="0" applyFont="1" applyFill="1" applyBorder="1"/>
    <xf numFmtId="0" fontId="0" fillId="5" borderId="0" xfId="0" applyFill="1" applyBorder="1"/>
    <xf numFmtId="165" fontId="0" fillId="5" borderId="5" xfId="1" applyNumberFormat="1" applyFont="1" applyFill="1" applyBorder="1"/>
    <xf numFmtId="165" fontId="0" fillId="0" borderId="5" xfId="1" applyNumberFormat="1" applyFont="1" applyBorder="1"/>
    <xf numFmtId="165" fontId="7" fillId="0" borderId="5" xfId="1" applyNumberFormat="1" applyFont="1" applyFill="1" applyBorder="1"/>
    <xf numFmtId="164" fontId="7" fillId="2" borderId="0" xfId="1" applyNumberFormat="1" applyFont="1" applyFill="1" applyAlignment="1">
      <alignment horizontal="center"/>
    </xf>
    <xf numFmtId="165" fontId="2" fillId="0" borderId="0" xfId="1" applyNumberFormat="1" applyFont="1" applyBorder="1"/>
    <xf numFmtId="165" fontId="0" fillId="0" borderId="19" xfId="1" applyNumberFormat="1" applyFont="1" applyBorder="1"/>
    <xf numFmtId="3" fontId="12" fillId="0" borderId="0" xfId="1" applyNumberFormat="1" applyFont="1" applyFill="1" applyAlignment="1">
      <alignment horizontal="center"/>
    </xf>
    <xf numFmtId="165" fontId="7" fillId="0" borderId="4" xfId="1" applyNumberFormat="1" applyFont="1" applyFill="1" applyBorder="1"/>
    <xf numFmtId="165" fontId="20" fillId="4" borderId="13" xfId="1" applyNumberFormat="1" applyFont="1" applyFill="1" applyBorder="1" applyAlignment="1">
      <alignment horizontal="center"/>
    </xf>
    <xf numFmtId="165" fontId="20" fillId="4" borderId="14" xfId="1" applyNumberFormat="1" applyFont="1" applyFill="1" applyBorder="1" applyAlignment="1">
      <alignment horizontal="center"/>
    </xf>
    <xf numFmtId="165" fontId="20" fillId="4" borderId="15" xfId="1" applyNumberFormat="1" applyFont="1" applyFill="1" applyBorder="1" applyAlignment="1">
      <alignment horizontal="center"/>
    </xf>
    <xf numFmtId="165" fontId="6" fillId="4" borderId="14" xfId="1" applyNumberFormat="1" applyFont="1" applyFill="1" applyBorder="1" applyAlignment="1">
      <alignment horizontal="center"/>
    </xf>
    <xf numFmtId="165" fontId="6" fillId="4" borderId="15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7"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  <dxf>
      <font>
        <condense val="0"/>
        <extend val="0"/>
        <color indexed="1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4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ctrlProps/ctrlProp1.xml><?xml version="1.0" encoding="utf-8"?>
<formControlPr xmlns="http://schemas.microsoft.com/office/spreadsheetml/2009/9/main" objectType="Drop" dropStyle="combo" dx="26" fmlaLink="'Asset 1'!$C$43" fmlaRange="$B$58:$B$60" noThreeD="1" sel="1" val="0"/>
</file>

<file path=xl/ctrlProps/ctrlProp2.xml><?xml version="1.0" encoding="utf-8"?>
<formControlPr xmlns="http://schemas.microsoft.com/office/spreadsheetml/2009/9/main" objectType="Drop" dropStyle="combo" dx="26" fmlaLink="'Asset 2'!$C$43" fmlaRange="$B$58:$B$60" noThreeD="1" sel="1" val="0"/>
</file>

<file path=xl/ctrlProps/ctrlProp3.xml><?xml version="1.0" encoding="utf-8"?>
<formControlPr xmlns="http://schemas.microsoft.com/office/spreadsheetml/2009/9/main" objectType="Drop" dropStyle="combo" dx="26" fmlaLink="'Asset 3'!$C$43" fmlaRange="$B$58:$B$60" noThreeD="1" sel="1" val="0"/>
</file>

<file path=xl/ctrlProps/ctrlProp4.xml><?xml version="1.0" encoding="utf-8"?>
<formControlPr xmlns="http://schemas.microsoft.com/office/spreadsheetml/2009/9/main" objectType="Drop" dropStyle="combo" dx="26" fmlaLink="'Asset 1'!$C$60" fmlaRange="$B$64:$B$66" noThreeD="1" sel="1" val="0"/>
</file>

<file path=xl/ctrlProps/ctrlProp5.xml><?xml version="1.0" encoding="utf-8"?>
<formControlPr xmlns="http://schemas.microsoft.com/office/spreadsheetml/2009/9/main" objectType="Drop" dropStyle="combo" dx="26" fmlaLink="'Asset 2'!$C$60" fmlaRange="$B$64:$B$66" noThreeD="1" sel="1" val="0"/>
</file>

<file path=xl/ctrlProps/ctrlProp6.xml><?xml version="1.0" encoding="utf-8"?>
<formControlPr xmlns="http://schemas.microsoft.com/office/spreadsheetml/2009/9/main" objectType="Drop" dropStyle="combo" dx="26" fmlaLink="'Asset 3'!$C$60" fmlaRange="$B$64:$B$66" noThreeD="1" sel="1" val="0"/>
</file>

<file path=xl/ctrlProps/ctrlProp7.xml><?xml version="1.0" encoding="utf-8"?>
<formControlPr xmlns="http://schemas.microsoft.com/office/spreadsheetml/2009/9/main" objectType="Drop" dropStyle="combo" dx="26" fmlaLink="'Asset 4'!$C$43" fmlaRange="$B$58:$B$60" noThreeD="1" sel="1" val="0"/>
</file>

<file path=xl/ctrlProps/ctrlProp8.xml><?xml version="1.0" encoding="utf-8"?>
<formControlPr xmlns="http://schemas.microsoft.com/office/spreadsheetml/2009/9/main" objectType="Drop" dropStyle="combo" dx="26" fmlaLink="'Asset 4'!$C$60" fmlaRange="$B$64:$B$66" noThreeD="1" sel="1" val="0"/>
</file>

<file path=xl/ctrlProps/ctrlProp9.xml><?xml version="1.0" encoding="utf-8"?>
<formControlPr xmlns="http://schemas.microsoft.com/office/spreadsheetml/2009/9/main" objectType="Drop" dropStyle="combo" dx="26" fmlaLink="'Asset 5'!$C$43" fmlaRange="$B$58:$B$60" noThreeD="1" sel="1" val="0"/>
</file>

<file path=xl/ctrlProps/ctrlProp10.xml><?xml version="1.0" encoding="utf-8"?>
<formControlPr xmlns="http://schemas.microsoft.com/office/spreadsheetml/2009/9/main" objectType="Drop" dropStyle="combo" dx="26" fmlaLink="'Asset 5'!$C$60" fmlaRange="$B$64:$B$66" noThreeD="1" sel="1" val="0"/>
</file>

<file path=xl/ctrlProps/ctrlProp11.xml><?xml version="1.0" encoding="utf-8"?>
<formControlPr xmlns="http://schemas.microsoft.com/office/spreadsheetml/2009/9/main" objectType="Drop" dropStyle="combo" dx="26" fmlaLink="'Asset 6'!$C$43" fmlaRange="$B$58:$B$60" noThreeD="1" sel="1" val="0"/>
</file>

<file path=xl/ctrlProps/ctrlProp12.xml><?xml version="1.0" encoding="utf-8"?>
<formControlPr xmlns="http://schemas.microsoft.com/office/spreadsheetml/2009/9/main" objectType="Drop" dropStyle="combo" dx="26" fmlaLink="'Asset 6'!$C$60" fmlaRange="$B$64:$B$66" noThreeD="1" sel="1" val="0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22860</xdr:colOff>
      <xdr:row>40</xdr:row>
      <xdr:rowOff>22860</xdr:rowOff>
    </xdr:from>
    <xdr:to>
      <xdr:col>9</xdr:col>
      <xdr:colOff>198120</xdr:colOff>
      <xdr:row>41</xdr:row>
      <xdr:rowOff>144780</xdr:rowOff>
    </xdr:to>
    <xdr:sp macro="[0]!Asset2" textlink="">
      <xdr:nvSpPr>
        <xdr:cNvPr id="22549" name="Rectangle 21"/>
        <xdr:cNvSpPr>
          <a:spLocks noChangeArrowheads="1"/>
        </xdr:cNvSpPr>
      </xdr:nvSpPr>
      <xdr:spPr bwMode="auto">
        <a:xfrm>
          <a:off x="8694420" y="7208520"/>
          <a:ext cx="78486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7620</xdr:colOff>
      <xdr:row>43</xdr:row>
      <xdr:rowOff>30480</xdr:rowOff>
    </xdr:from>
    <xdr:to>
      <xdr:col>9</xdr:col>
      <xdr:colOff>220980</xdr:colOff>
      <xdr:row>44</xdr:row>
      <xdr:rowOff>137160</xdr:rowOff>
    </xdr:to>
    <xdr:sp macro="[0]!Asset3" textlink="">
      <xdr:nvSpPr>
        <xdr:cNvPr id="22551" name="Rectangle 23"/>
        <xdr:cNvSpPr>
          <a:spLocks noChangeArrowheads="1"/>
        </xdr:cNvSpPr>
      </xdr:nvSpPr>
      <xdr:spPr bwMode="auto">
        <a:xfrm>
          <a:off x="8679180" y="7719060"/>
          <a:ext cx="82296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xdr:twoCellAnchor>
    <xdr:from>
      <xdr:col>8</xdr:col>
      <xdr:colOff>7620</xdr:colOff>
      <xdr:row>37</xdr:row>
      <xdr:rowOff>22860</xdr:rowOff>
    </xdr:from>
    <xdr:to>
      <xdr:col>9</xdr:col>
      <xdr:colOff>198120</xdr:colOff>
      <xdr:row>38</xdr:row>
      <xdr:rowOff>137160</xdr:rowOff>
    </xdr:to>
    <xdr:sp macro="[0]!Asset1" textlink="">
      <xdr:nvSpPr>
        <xdr:cNvPr id="22552" name="Rectangle 24"/>
        <xdr:cNvSpPr>
          <a:spLocks noChangeArrowheads="1"/>
        </xdr:cNvSpPr>
      </xdr:nvSpPr>
      <xdr:spPr bwMode="auto">
        <a:xfrm>
          <a:off x="8679180" y="6705600"/>
          <a:ext cx="800100" cy="2819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22860</xdr:colOff>
          <xdr:row>35</xdr:row>
          <xdr:rowOff>495300</xdr:rowOff>
        </xdr:from>
        <xdr:to>
          <xdr:col>5</xdr:col>
          <xdr:colOff>1623060</xdr:colOff>
          <xdr:row>37</xdr:row>
          <xdr:rowOff>30480</xdr:rowOff>
        </xdr:to>
        <xdr:sp macro="" textlink="">
          <xdr:nvSpPr>
            <xdr:cNvPr id="22555" name="Drop Down 27" hidden="1">
              <a:extLst>
                <a:ext uri="{63B3BB69-23CF-44E3-9099-C40C66FF867C}">
                  <a14:compatExt spid="_x0000_s225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30480</xdr:colOff>
          <xdr:row>39</xdr:row>
          <xdr:rowOff>7620</xdr:rowOff>
        </xdr:from>
        <xdr:to>
          <xdr:col>5</xdr:col>
          <xdr:colOff>1607820</xdr:colOff>
          <xdr:row>40</xdr:row>
          <xdr:rowOff>45720</xdr:rowOff>
        </xdr:to>
        <xdr:sp macro="" textlink="">
          <xdr:nvSpPr>
            <xdr:cNvPr id="22558" name="Drop Down 30" hidden="1">
              <a:extLst>
                <a:ext uri="{63B3BB69-23CF-44E3-9099-C40C66FF867C}">
                  <a14:compatExt spid="_x0000_s2255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42</xdr:row>
          <xdr:rowOff>7620</xdr:rowOff>
        </xdr:from>
        <xdr:to>
          <xdr:col>5</xdr:col>
          <xdr:colOff>1623060</xdr:colOff>
          <xdr:row>43</xdr:row>
          <xdr:rowOff>45720</xdr:rowOff>
        </xdr:to>
        <xdr:sp macro="" textlink="">
          <xdr:nvSpPr>
            <xdr:cNvPr id="22559" name="Drop Down 31" hidden="1">
              <a:extLst>
                <a:ext uri="{63B3BB69-23CF-44E3-9099-C40C66FF867C}">
                  <a14:compatExt spid="_x0000_s225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106680</xdr:colOff>
          <xdr:row>36</xdr:row>
          <xdr:rowOff>7620</xdr:rowOff>
        </xdr:from>
        <xdr:to>
          <xdr:col>6</xdr:col>
          <xdr:colOff>1257300</xdr:colOff>
          <xdr:row>37</xdr:row>
          <xdr:rowOff>68580</xdr:rowOff>
        </xdr:to>
        <xdr:sp macro="" textlink="">
          <xdr:nvSpPr>
            <xdr:cNvPr id="22560" name="Drop Down 32" hidden="1">
              <a:extLst>
                <a:ext uri="{63B3BB69-23CF-44E3-9099-C40C66FF867C}">
                  <a14:compatExt spid="_x0000_s2256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91440</xdr:colOff>
          <xdr:row>39</xdr:row>
          <xdr:rowOff>7620</xdr:rowOff>
        </xdr:from>
        <xdr:to>
          <xdr:col>6</xdr:col>
          <xdr:colOff>1272540</xdr:colOff>
          <xdr:row>40</xdr:row>
          <xdr:rowOff>76200</xdr:rowOff>
        </xdr:to>
        <xdr:sp macro="" textlink="">
          <xdr:nvSpPr>
            <xdr:cNvPr id="22561" name="Drop Down 33" hidden="1">
              <a:extLst>
                <a:ext uri="{63B3BB69-23CF-44E3-9099-C40C66FF867C}">
                  <a14:compatExt spid="_x0000_s225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42</xdr:row>
          <xdr:rowOff>7620</xdr:rowOff>
        </xdr:from>
        <xdr:to>
          <xdr:col>6</xdr:col>
          <xdr:colOff>1264920</xdr:colOff>
          <xdr:row>43</xdr:row>
          <xdr:rowOff>68580</xdr:rowOff>
        </xdr:to>
        <xdr:sp macro="" textlink="">
          <xdr:nvSpPr>
            <xdr:cNvPr id="22562" name="Drop Down 34" hidden="1">
              <a:extLst>
                <a:ext uri="{63B3BB69-23CF-44E3-9099-C40C66FF867C}">
                  <a14:compatExt spid="_x0000_s2256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7620</xdr:colOff>
      <xdr:row>46</xdr:row>
      <xdr:rowOff>30480</xdr:rowOff>
    </xdr:from>
    <xdr:to>
      <xdr:col>9</xdr:col>
      <xdr:colOff>220980</xdr:colOff>
      <xdr:row>47</xdr:row>
      <xdr:rowOff>137160</xdr:rowOff>
    </xdr:to>
    <xdr:sp macro="[0]!Asset4" textlink="">
      <xdr:nvSpPr>
        <xdr:cNvPr id="22564" name="Rectangle 36"/>
        <xdr:cNvSpPr>
          <a:spLocks noChangeArrowheads="1"/>
        </xdr:cNvSpPr>
      </xdr:nvSpPr>
      <xdr:spPr bwMode="auto">
        <a:xfrm>
          <a:off x="8679180" y="8221980"/>
          <a:ext cx="82296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45</xdr:row>
          <xdr:rowOff>7620</xdr:rowOff>
        </xdr:from>
        <xdr:to>
          <xdr:col>5</xdr:col>
          <xdr:colOff>1623060</xdr:colOff>
          <xdr:row>46</xdr:row>
          <xdr:rowOff>45720</xdr:rowOff>
        </xdr:to>
        <xdr:sp macro="" textlink="">
          <xdr:nvSpPr>
            <xdr:cNvPr id="22565" name="Drop Down 37" hidden="1">
              <a:extLst>
                <a:ext uri="{63B3BB69-23CF-44E3-9099-C40C66FF867C}">
                  <a14:compatExt spid="_x0000_s2256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45</xdr:row>
          <xdr:rowOff>7620</xdr:rowOff>
        </xdr:from>
        <xdr:to>
          <xdr:col>6</xdr:col>
          <xdr:colOff>1264920</xdr:colOff>
          <xdr:row>46</xdr:row>
          <xdr:rowOff>68580</xdr:rowOff>
        </xdr:to>
        <xdr:sp macro="" textlink="">
          <xdr:nvSpPr>
            <xdr:cNvPr id="22566" name="Drop Down 38" hidden="1">
              <a:extLst>
                <a:ext uri="{63B3BB69-23CF-44E3-9099-C40C66FF867C}">
                  <a14:compatExt spid="_x0000_s2256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7620</xdr:colOff>
      <xdr:row>49</xdr:row>
      <xdr:rowOff>30480</xdr:rowOff>
    </xdr:from>
    <xdr:to>
      <xdr:col>9</xdr:col>
      <xdr:colOff>220980</xdr:colOff>
      <xdr:row>50</xdr:row>
      <xdr:rowOff>137160</xdr:rowOff>
    </xdr:to>
    <xdr:sp macro="[0]!Asset5" textlink="">
      <xdr:nvSpPr>
        <xdr:cNvPr id="22570" name="Rectangle 42"/>
        <xdr:cNvSpPr>
          <a:spLocks noChangeArrowheads="1"/>
        </xdr:cNvSpPr>
      </xdr:nvSpPr>
      <xdr:spPr bwMode="auto">
        <a:xfrm>
          <a:off x="8679180" y="8724900"/>
          <a:ext cx="82296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48</xdr:row>
          <xdr:rowOff>7620</xdr:rowOff>
        </xdr:from>
        <xdr:to>
          <xdr:col>5</xdr:col>
          <xdr:colOff>1623060</xdr:colOff>
          <xdr:row>49</xdr:row>
          <xdr:rowOff>45720</xdr:rowOff>
        </xdr:to>
        <xdr:sp macro="" textlink="">
          <xdr:nvSpPr>
            <xdr:cNvPr id="22571" name="Drop Down 43" hidden="1">
              <a:extLst>
                <a:ext uri="{63B3BB69-23CF-44E3-9099-C40C66FF867C}">
                  <a14:compatExt spid="_x0000_s225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48</xdr:row>
          <xdr:rowOff>7620</xdr:rowOff>
        </xdr:from>
        <xdr:to>
          <xdr:col>6</xdr:col>
          <xdr:colOff>1264920</xdr:colOff>
          <xdr:row>49</xdr:row>
          <xdr:rowOff>68580</xdr:rowOff>
        </xdr:to>
        <xdr:sp macro="" textlink="">
          <xdr:nvSpPr>
            <xdr:cNvPr id="22572" name="Drop Down 44" hidden="1">
              <a:extLst>
                <a:ext uri="{63B3BB69-23CF-44E3-9099-C40C66FF867C}">
                  <a14:compatExt spid="_x0000_s225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8</xdr:col>
      <xdr:colOff>7620</xdr:colOff>
      <xdr:row>52</xdr:row>
      <xdr:rowOff>30480</xdr:rowOff>
    </xdr:from>
    <xdr:to>
      <xdr:col>9</xdr:col>
      <xdr:colOff>220980</xdr:colOff>
      <xdr:row>53</xdr:row>
      <xdr:rowOff>137160</xdr:rowOff>
    </xdr:to>
    <xdr:sp macro="[0]!Asset6" textlink="">
      <xdr:nvSpPr>
        <xdr:cNvPr id="22574" name="Rectangle 46"/>
        <xdr:cNvSpPr>
          <a:spLocks noChangeArrowheads="1"/>
        </xdr:cNvSpPr>
      </xdr:nvSpPr>
      <xdr:spPr bwMode="auto">
        <a:xfrm>
          <a:off x="8679180" y="9227820"/>
          <a:ext cx="82296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45720</xdr:colOff>
          <xdr:row>51</xdr:row>
          <xdr:rowOff>7620</xdr:rowOff>
        </xdr:from>
        <xdr:to>
          <xdr:col>5</xdr:col>
          <xdr:colOff>1623060</xdr:colOff>
          <xdr:row>52</xdr:row>
          <xdr:rowOff>45720</xdr:rowOff>
        </xdr:to>
        <xdr:sp macro="" textlink="">
          <xdr:nvSpPr>
            <xdr:cNvPr id="22575" name="Drop Down 47" hidden="1">
              <a:extLst>
                <a:ext uri="{63B3BB69-23CF-44E3-9099-C40C66FF867C}">
                  <a14:compatExt spid="_x0000_s225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51</xdr:row>
          <xdr:rowOff>7620</xdr:rowOff>
        </xdr:from>
        <xdr:to>
          <xdr:col>6</xdr:col>
          <xdr:colOff>1264920</xdr:colOff>
          <xdr:row>52</xdr:row>
          <xdr:rowOff>68580</xdr:rowOff>
        </xdr:to>
        <xdr:sp macro="" textlink="">
          <xdr:nvSpPr>
            <xdr:cNvPr id="22576" name="Drop Down 48" hidden="1">
              <a:extLst>
                <a:ext uri="{63B3BB69-23CF-44E3-9099-C40C66FF867C}">
                  <a14:compatExt spid="_x0000_s225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678180</xdr:colOff>
      <xdr:row>60</xdr:row>
      <xdr:rowOff>7620</xdr:rowOff>
    </xdr:from>
    <xdr:to>
      <xdr:col>8</xdr:col>
      <xdr:colOff>0</xdr:colOff>
      <xdr:row>64</xdr:row>
      <xdr:rowOff>30480</xdr:rowOff>
    </xdr:to>
    <xdr:sp macro="[0]!UnleveredConsolidated" textlink="">
      <xdr:nvSpPr>
        <xdr:cNvPr id="5279" name="Oval 159"/>
        <xdr:cNvSpPr>
          <a:spLocks noChangeArrowheads="1"/>
        </xdr:cNvSpPr>
      </xdr:nvSpPr>
      <xdr:spPr bwMode="auto">
        <a:xfrm>
          <a:off x="6637020" y="10309860"/>
          <a:ext cx="944880" cy="7543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144780</xdr:colOff>
      <xdr:row>1</xdr:row>
      <xdr:rowOff>7620</xdr:rowOff>
    </xdr:from>
    <xdr:to>
      <xdr:col>3</xdr:col>
      <xdr:colOff>716280</xdr:colOff>
      <xdr:row>3</xdr:row>
      <xdr:rowOff>144780</xdr:rowOff>
    </xdr:to>
    <xdr:sp macro="[0]!UnleveredConsolidated" textlink="">
      <xdr:nvSpPr>
        <xdr:cNvPr id="5280" name="Rectangle 160"/>
        <xdr:cNvSpPr>
          <a:spLocks noChangeArrowheads="1"/>
        </xdr:cNvSpPr>
      </xdr:nvSpPr>
      <xdr:spPr bwMode="auto">
        <a:xfrm>
          <a:off x="3429000" y="236220"/>
          <a:ext cx="57150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502920</xdr:colOff>
      <xdr:row>33</xdr:row>
      <xdr:rowOff>22860</xdr:rowOff>
    </xdr:from>
    <xdr:to>
      <xdr:col>5</xdr:col>
      <xdr:colOff>0</xdr:colOff>
      <xdr:row>37</xdr:row>
      <xdr:rowOff>38100</xdr:rowOff>
    </xdr:to>
    <xdr:sp macro="[0]!Asset1" textlink="">
      <xdr:nvSpPr>
        <xdr:cNvPr id="23565" name="Oval 13"/>
        <xdr:cNvSpPr>
          <a:spLocks noChangeArrowheads="1"/>
        </xdr:cNvSpPr>
      </xdr:nvSpPr>
      <xdr:spPr bwMode="auto">
        <a:xfrm>
          <a:off x="4236720" y="5707380"/>
          <a:ext cx="9372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36576" tIns="27432" rIns="36576" bIns="27432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876300</xdr:colOff>
      <xdr:row>1</xdr:row>
      <xdr:rowOff>30480</xdr:rowOff>
    </xdr:from>
    <xdr:to>
      <xdr:col>4</xdr:col>
      <xdr:colOff>22860</xdr:colOff>
      <xdr:row>3</xdr:row>
      <xdr:rowOff>137160</xdr:rowOff>
    </xdr:to>
    <xdr:sp macro="[0]!Asset1" textlink="">
      <xdr:nvSpPr>
        <xdr:cNvPr id="23566" name="Rectangle 14"/>
        <xdr:cNvSpPr>
          <a:spLocks noChangeArrowheads="1"/>
        </xdr:cNvSpPr>
      </xdr:nvSpPr>
      <xdr:spPr bwMode="auto">
        <a:xfrm>
          <a:off x="3726180" y="259080"/>
          <a:ext cx="845820" cy="4724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510540</xdr:colOff>
      <xdr:row>32</xdr:row>
      <xdr:rowOff>45720</xdr:rowOff>
    </xdr:from>
    <xdr:to>
      <xdr:col>5</xdr:col>
      <xdr:colOff>7620</xdr:colOff>
      <xdr:row>36</xdr:row>
      <xdr:rowOff>38100</xdr:rowOff>
    </xdr:to>
    <xdr:sp macro="[0]!Asset2" textlink="">
      <xdr:nvSpPr>
        <xdr:cNvPr id="30731" name="Oval 11"/>
        <xdr:cNvSpPr>
          <a:spLocks noChangeArrowheads="1"/>
        </xdr:cNvSpPr>
      </xdr:nvSpPr>
      <xdr:spPr bwMode="auto">
        <a:xfrm>
          <a:off x="4244340" y="5539740"/>
          <a:ext cx="937260" cy="71628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2</xdr:col>
      <xdr:colOff>822960</xdr:colOff>
      <xdr:row>1</xdr:row>
      <xdr:rowOff>30480</xdr:rowOff>
    </xdr:from>
    <xdr:to>
      <xdr:col>3</xdr:col>
      <xdr:colOff>784860</xdr:colOff>
      <xdr:row>3</xdr:row>
      <xdr:rowOff>114300</xdr:rowOff>
    </xdr:to>
    <xdr:sp macro="[0]!Asset2" textlink="">
      <xdr:nvSpPr>
        <xdr:cNvPr id="30732" name="Rectangle 12"/>
        <xdr:cNvSpPr>
          <a:spLocks noChangeArrowheads="1"/>
        </xdr:cNvSpPr>
      </xdr:nvSpPr>
      <xdr:spPr bwMode="auto">
        <a:xfrm>
          <a:off x="3672840" y="259080"/>
          <a:ext cx="845820" cy="449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33</xdr:row>
      <xdr:rowOff>7620</xdr:rowOff>
    </xdr:from>
    <xdr:to>
      <xdr:col>4</xdr:col>
      <xdr:colOff>617220</xdr:colOff>
      <xdr:row>37</xdr:row>
      <xdr:rowOff>30480</xdr:rowOff>
    </xdr:to>
    <xdr:sp macro="[0]!Asset3" textlink="">
      <xdr:nvSpPr>
        <xdr:cNvPr id="31756" name="Oval 12"/>
        <xdr:cNvSpPr>
          <a:spLocks noChangeArrowheads="1"/>
        </xdr:cNvSpPr>
      </xdr:nvSpPr>
      <xdr:spPr bwMode="auto">
        <a:xfrm>
          <a:off x="4259580" y="5692140"/>
          <a:ext cx="9448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106680</xdr:colOff>
      <xdr:row>1</xdr:row>
      <xdr:rowOff>7620</xdr:rowOff>
    </xdr:from>
    <xdr:to>
      <xdr:col>4</xdr:col>
      <xdr:colOff>106680</xdr:colOff>
      <xdr:row>3</xdr:row>
      <xdr:rowOff>152400</xdr:rowOff>
    </xdr:to>
    <xdr:sp macro="[0]!Asset3" textlink="">
      <xdr:nvSpPr>
        <xdr:cNvPr id="31758" name="Rectangle 14"/>
        <xdr:cNvSpPr>
          <a:spLocks noChangeArrowheads="1"/>
        </xdr:cNvSpPr>
      </xdr:nvSpPr>
      <xdr:spPr bwMode="auto">
        <a:xfrm>
          <a:off x="3878580" y="236220"/>
          <a:ext cx="81534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33</xdr:row>
      <xdr:rowOff>7620</xdr:rowOff>
    </xdr:from>
    <xdr:to>
      <xdr:col>4</xdr:col>
      <xdr:colOff>617220</xdr:colOff>
      <xdr:row>37</xdr:row>
      <xdr:rowOff>30480</xdr:rowOff>
    </xdr:to>
    <xdr:sp macro="[0]!Asset4" textlink="">
      <xdr:nvSpPr>
        <xdr:cNvPr id="36875" name="Oval 11"/>
        <xdr:cNvSpPr>
          <a:spLocks noChangeArrowheads="1"/>
        </xdr:cNvSpPr>
      </xdr:nvSpPr>
      <xdr:spPr bwMode="auto">
        <a:xfrm>
          <a:off x="4259580" y="5692140"/>
          <a:ext cx="9448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106680</xdr:colOff>
      <xdr:row>1</xdr:row>
      <xdr:rowOff>7620</xdr:rowOff>
    </xdr:from>
    <xdr:to>
      <xdr:col>4</xdr:col>
      <xdr:colOff>106680</xdr:colOff>
      <xdr:row>3</xdr:row>
      <xdr:rowOff>152400</xdr:rowOff>
    </xdr:to>
    <xdr:sp macro="[0]!Asset4" textlink="">
      <xdr:nvSpPr>
        <xdr:cNvPr id="36876" name="Rectangle 12"/>
        <xdr:cNvSpPr>
          <a:spLocks noChangeArrowheads="1"/>
        </xdr:cNvSpPr>
      </xdr:nvSpPr>
      <xdr:spPr bwMode="auto">
        <a:xfrm>
          <a:off x="3878580" y="236220"/>
          <a:ext cx="81534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33</xdr:row>
      <xdr:rowOff>7620</xdr:rowOff>
    </xdr:from>
    <xdr:to>
      <xdr:col>4</xdr:col>
      <xdr:colOff>617220</xdr:colOff>
      <xdr:row>37</xdr:row>
      <xdr:rowOff>30480</xdr:rowOff>
    </xdr:to>
    <xdr:sp macro="[0]!Asset5" textlink="">
      <xdr:nvSpPr>
        <xdr:cNvPr id="37897" name="Oval 9"/>
        <xdr:cNvSpPr>
          <a:spLocks noChangeArrowheads="1"/>
        </xdr:cNvSpPr>
      </xdr:nvSpPr>
      <xdr:spPr bwMode="auto">
        <a:xfrm>
          <a:off x="4259580" y="5692140"/>
          <a:ext cx="9448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106680</xdr:colOff>
      <xdr:row>1</xdr:row>
      <xdr:rowOff>7620</xdr:rowOff>
    </xdr:from>
    <xdr:to>
      <xdr:col>4</xdr:col>
      <xdr:colOff>106680</xdr:colOff>
      <xdr:row>3</xdr:row>
      <xdr:rowOff>152400</xdr:rowOff>
    </xdr:to>
    <xdr:sp macro="[0]!Asset5" textlink="">
      <xdr:nvSpPr>
        <xdr:cNvPr id="37898" name="Rectangle 10"/>
        <xdr:cNvSpPr>
          <a:spLocks noChangeArrowheads="1"/>
        </xdr:cNvSpPr>
      </xdr:nvSpPr>
      <xdr:spPr bwMode="auto">
        <a:xfrm>
          <a:off x="3878580" y="236220"/>
          <a:ext cx="81534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487680</xdr:colOff>
      <xdr:row>33</xdr:row>
      <xdr:rowOff>7620</xdr:rowOff>
    </xdr:from>
    <xdr:to>
      <xdr:col>4</xdr:col>
      <xdr:colOff>617220</xdr:colOff>
      <xdr:row>37</xdr:row>
      <xdr:rowOff>30480</xdr:rowOff>
    </xdr:to>
    <xdr:sp macro="[0]!Asset6" textlink="">
      <xdr:nvSpPr>
        <xdr:cNvPr id="38921" name="Oval 9"/>
        <xdr:cNvSpPr>
          <a:spLocks noChangeArrowheads="1"/>
        </xdr:cNvSpPr>
      </xdr:nvSpPr>
      <xdr:spPr bwMode="auto">
        <a:xfrm>
          <a:off x="4259580" y="5692140"/>
          <a:ext cx="944880" cy="723900"/>
        </a:xfrm>
        <a:prstGeom prst="ellipse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Purchase Price Macro</a:t>
          </a:r>
        </a:p>
      </xdr:txBody>
    </xdr:sp>
    <xdr:clientData/>
  </xdr:twoCellAnchor>
  <xdr:twoCellAnchor>
    <xdr:from>
      <xdr:col>3</xdr:col>
      <xdr:colOff>106680</xdr:colOff>
      <xdr:row>1</xdr:row>
      <xdr:rowOff>7620</xdr:rowOff>
    </xdr:from>
    <xdr:to>
      <xdr:col>4</xdr:col>
      <xdr:colOff>106680</xdr:colOff>
      <xdr:row>3</xdr:row>
      <xdr:rowOff>152400</xdr:rowOff>
    </xdr:to>
    <xdr:sp macro="[0]!Asset6" textlink="">
      <xdr:nvSpPr>
        <xdr:cNvPr id="38922" name="Rectangle 10"/>
        <xdr:cNvSpPr>
          <a:spLocks noChangeArrowheads="1"/>
        </xdr:cNvSpPr>
      </xdr:nvSpPr>
      <xdr:spPr bwMode="auto">
        <a:xfrm>
          <a:off x="3878580" y="236220"/>
          <a:ext cx="815340" cy="510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22860" rIns="27432" bIns="22860" anchor="ctr" upright="1"/>
        <a:lstStyle/>
        <a:p>
          <a:pPr algn="ctr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Run Macro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Corporate\GPGFin\Cfp\JG-ADAMS\1999Cash\BusinessUnitCashFlow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_r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e/PowerTex011001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LG&amp;E%20061200v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4QTRActivity"/>
      <sheetName val="DecYTD"/>
      <sheetName val="OctYTD"/>
      <sheetName val="SeptYTD"/>
      <sheetName val="JuneYTD"/>
      <sheetName val="MarchYTD"/>
      <sheetName val="AugustYTD"/>
      <sheetName val="SeptYTDAdj"/>
      <sheetName val="WorkingCap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  <sheetName val="LG&amp;E 061200v2_r1"/>
    </sheetNames>
    <sheetDataSet>
      <sheetData sheetId="0" refreshError="1"/>
      <sheetData sheetId="1" refreshError="1"/>
      <sheetData sheetId="2" refreshError="1">
        <row r="30">
          <cell r="B30">
            <v>0.4</v>
          </cell>
        </row>
      </sheetData>
      <sheetData sheetId="3" refreshError="1"/>
      <sheetData sheetId="4" refreshError="1">
        <row r="50">
          <cell r="J50">
            <v>1</v>
          </cell>
          <cell r="K50">
            <v>25234372.921598766</v>
          </cell>
        </row>
      </sheetData>
      <sheetData sheetId="5" refreshError="1"/>
      <sheetData sheetId="6" refreshError="1"/>
      <sheetData sheetId="7" refreshError="1"/>
      <sheetData sheetId="8" refreshError="1">
        <row r="50">
          <cell r="J50" t="e">
            <v>#VALUE!</v>
          </cell>
          <cell r="K50">
            <v>5</v>
          </cell>
        </row>
      </sheetData>
      <sheetData sheetId="9" refreshError="1"/>
      <sheetData sheetId="10" refreshError="1"/>
      <sheetData sheetId="11" refreshError="1"/>
      <sheetData sheetId="12" refreshError="1">
        <row r="48">
          <cell r="J48" t="e">
            <v>#VALUE!</v>
          </cell>
          <cell r="K48">
            <v>5</v>
          </cell>
        </row>
      </sheetData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wer Tex"/>
      <sheetName val="levered"/>
      <sheetName val="Balance Sheet"/>
    </sheetNames>
    <sheetDataSet>
      <sheetData sheetId="0">
        <row r="71">
          <cell r="O71">
            <v>0.15</v>
          </cell>
        </row>
        <row r="73">
          <cell r="J73">
            <v>0</v>
          </cell>
          <cell r="K73">
            <v>10885604.834850281</v>
          </cell>
        </row>
      </sheetData>
      <sheetData sheetId="1"/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Ratios"/>
      <sheetName val="RETURNS"/>
      <sheetName val="CONSOLIDATED"/>
      <sheetName val="Cons. BS"/>
      <sheetName val="Enron"/>
      <sheetName val="Storage"/>
      <sheetName val="Reg Trans (311)"/>
      <sheetName val="Power Tex"/>
      <sheetName val="Agave"/>
      <sheetName val="Llano"/>
      <sheetName val="Antelope Ridge"/>
      <sheetName val="Hobbs"/>
      <sheetName val="Orphans"/>
      <sheetName val="Sale Ranch"/>
      <sheetName val="Other"/>
      <sheetName val="Capex"/>
    </sheetNames>
    <sheetDataSet>
      <sheetData sheetId="0"/>
      <sheetData sheetId="1"/>
      <sheetData sheetId="2"/>
      <sheetData sheetId="3"/>
      <sheetData sheetId="4"/>
      <sheetData sheetId="5">
        <row r="73">
          <cell r="J73">
            <v>0</v>
          </cell>
          <cell r="K73">
            <v>11086753.028887179</v>
          </cell>
        </row>
      </sheetData>
      <sheetData sheetId="6">
        <row r="73">
          <cell r="J73">
            <v>0</v>
          </cell>
          <cell r="K73">
            <v>2906800.2183418791</v>
          </cell>
        </row>
      </sheetData>
      <sheetData sheetId="7"/>
      <sheetData sheetId="8"/>
      <sheetData sheetId="9">
        <row r="73">
          <cell r="J73">
            <v>0</v>
          </cell>
          <cell r="K73">
            <v>26161201.965076908</v>
          </cell>
        </row>
      </sheetData>
      <sheetData sheetId="10">
        <row r="73">
          <cell r="J73">
            <v>0</v>
          </cell>
          <cell r="K73">
            <v>7124000.4283873439</v>
          </cell>
        </row>
      </sheetData>
      <sheetData sheetId="11">
        <row r="73">
          <cell r="J73">
            <v>0</v>
          </cell>
        </row>
      </sheetData>
      <sheetData sheetId="12"/>
      <sheetData sheetId="13">
        <row r="73">
          <cell r="J73">
            <v>0</v>
          </cell>
          <cell r="K73">
            <v>2478221.1148217893</v>
          </cell>
        </row>
      </sheetData>
      <sheetData sheetId="14">
        <row r="73">
          <cell r="J73">
            <v>0</v>
          </cell>
          <cell r="K73">
            <v>712999.96533398959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2D0000" mc:Ignorable="a14" a14:legacySpreadsheetColorIndex="45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Relationship Id="rId4" Type="http://schemas.openxmlformats.org/officeDocument/2006/relationships/comments" Target="../comments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Relationship Id="rId4" Type="http://schemas.openxmlformats.org/officeDocument/2006/relationships/comments" Target="../comments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Relationship Id="rId4" Type="http://schemas.openxmlformats.org/officeDocument/2006/relationships/comments" Target="../comments5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Relationship Id="rId4" Type="http://schemas.openxmlformats.org/officeDocument/2006/relationships/comments" Target="../comments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Relationship Id="rId4" Type="http://schemas.openxmlformats.org/officeDocument/2006/relationships/comments" Target="../comments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2:K49"/>
  <sheetViews>
    <sheetView topLeftCell="A19" workbookViewId="0">
      <selection activeCell="I11" sqref="I11"/>
    </sheetView>
  </sheetViews>
  <sheetFormatPr defaultColWidth="9.109375" defaultRowHeight="13.2" x14ac:dyDescent="0.25"/>
  <cols>
    <col min="1" max="5" width="9.109375" style="378"/>
    <col min="6" max="7" width="12" style="378" bestFit="1" customWidth="1"/>
    <col min="8" max="16384" width="9.109375" style="378"/>
  </cols>
  <sheetData>
    <row r="2" spans="1:11" x14ac:dyDescent="0.25">
      <c r="J2" s="379" t="s">
        <v>177</v>
      </c>
      <c r="K2" s="379" t="s">
        <v>178</v>
      </c>
    </row>
    <row r="3" spans="1:11" ht="17.399999999999999" x14ac:dyDescent="0.3">
      <c r="A3" s="380" t="s">
        <v>216</v>
      </c>
      <c r="G3" s="381" t="s">
        <v>173</v>
      </c>
      <c r="H3" s="382" t="s">
        <v>174</v>
      </c>
      <c r="J3" s="378" t="s">
        <v>200</v>
      </c>
    </row>
    <row r="4" spans="1:11" x14ac:dyDescent="0.25">
      <c r="G4" s="381" t="s">
        <v>175</v>
      </c>
      <c r="H4" s="382" t="s">
        <v>176</v>
      </c>
      <c r="J4" s="378" t="s">
        <v>201</v>
      </c>
    </row>
    <row r="9" spans="1:11" ht="13.8" x14ac:dyDescent="0.25">
      <c r="A9" s="383" t="s">
        <v>215</v>
      </c>
    </row>
    <row r="12" spans="1:11" x14ac:dyDescent="0.25">
      <c r="A12" s="379">
        <v>1</v>
      </c>
      <c r="B12" s="379" t="s">
        <v>58</v>
      </c>
      <c r="C12" s="379"/>
    </row>
    <row r="13" spans="1:11" x14ac:dyDescent="0.25">
      <c r="B13" s="378" t="s">
        <v>207</v>
      </c>
    </row>
    <row r="14" spans="1:11" x14ac:dyDescent="0.25">
      <c r="B14" s="378" t="s">
        <v>217</v>
      </c>
    </row>
    <row r="15" spans="1:11" x14ac:dyDescent="0.25">
      <c r="B15" s="378" t="s">
        <v>218</v>
      </c>
    </row>
    <row r="17" spans="1:4" x14ac:dyDescent="0.25">
      <c r="A17" s="379">
        <v>2</v>
      </c>
      <c r="B17" s="379" t="s">
        <v>203</v>
      </c>
      <c r="C17" s="379"/>
    </row>
    <row r="18" spans="1:4" x14ac:dyDescent="0.25">
      <c r="A18" s="384" t="s">
        <v>180</v>
      </c>
      <c r="B18" s="378" t="s">
        <v>204</v>
      </c>
    </row>
    <row r="19" spans="1:4" x14ac:dyDescent="0.25">
      <c r="A19" s="384" t="s">
        <v>181</v>
      </c>
      <c r="B19" s="378" t="s">
        <v>205</v>
      </c>
    </row>
    <row r="20" spans="1:4" x14ac:dyDescent="0.25">
      <c r="A20" s="384" t="s">
        <v>182</v>
      </c>
      <c r="B20" s="378" t="s">
        <v>206</v>
      </c>
    </row>
    <row r="23" spans="1:4" x14ac:dyDescent="0.25">
      <c r="A23" s="379">
        <v>2</v>
      </c>
      <c r="B23" s="379" t="s">
        <v>179</v>
      </c>
      <c r="C23" s="379"/>
    </row>
    <row r="24" spans="1:4" x14ac:dyDescent="0.25">
      <c r="A24" s="384" t="s">
        <v>180</v>
      </c>
      <c r="B24" s="378" t="s">
        <v>197</v>
      </c>
    </row>
    <row r="25" spans="1:4" x14ac:dyDescent="0.25">
      <c r="A25" s="384"/>
      <c r="B25" s="378" t="s">
        <v>198</v>
      </c>
    </row>
    <row r="26" spans="1:4" x14ac:dyDescent="0.25">
      <c r="A26" s="384" t="s">
        <v>181</v>
      </c>
      <c r="B26" s="378" t="s">
        <v>208</v>
      </c>
    </row>
    <row r="27" spans="1:4" x14ac:dyDescent="0.25">
      <c r="A27" s="384"/>
      <c r="B27" s="378" t="s">
        <v>209</v>
      </c>
    </row>
    <row r="28" spans="1:4" x14ac:dyDescent="0.25">
      <c r="A28" s="384" t="s">
        <v>182</v>
      </c>
      <c r="B28" s="378" t="s">
        <v>183</v>
      </c>
    </row>
    <row r="29" spans="1:4" x14ac:dyDescent="0.25">
      <c r="B29" s="378" t="s">
        <v>184</v>
      </c>
    </row>
    <row r="31" spans="1:4" x14ac:dyDescent="0.25">
      <c r="A31" s="379">
        <v>3</v>
      </c>
      <c r="B31" s="379" t="s">
        <v>185</v>
      </c>
      <c r="C31" s="379"/>
      <c r="D31" s="379"/>
    </row>
    <row r="32" spans="1:4" x14ac:dyDescent="0.25">
      <c r="A32" s="384" t="s">
        <v>180</v>
      </c>
      <c r="B32" s="378" t="s">
        <v>186</v>
      </c>
    </row>
    <row r="33" spans="1:2" x14ac:dyDescent="0.25">
      <c r="A33" s="384"/>
      <c r="B33" s="378" t="s">
        <v>199</v>
      </c>
    </row>
    <row r="34" spans="1:2" x14ac:dyDescent="0.25">
      <c r="A34" s="384" t="s">
        <v>181</v>
      </c>
      <c r="B34" s="378" t="s">
        <v>210</v>
      </c>
    </row>
    <row r="35" spans="1:2" x14ac:dyDescent="0.25">
      <c r="B35" s="378" t="s">
        <v>211</v>
      </c>
    </row>
    <row r="36" spans="1:2" x14ac:dyDescent="0.25">
      <c r="B36" s="378" t="s">
        <v>191</v>
      </c>
    </row>
    <row r="38" spans="1:2" x14ac:dyDescent="0.25">
      <c r="B38" s="378" t="s">
        <v>187</v>
      </c>
    </row>
    <row r="39" spans="1:2" x14ac:dyDescent="0.25">
      <c r="B39" s="378" t="s">
        <v>188</v>
      </c>
    </row>
    <row r="40" spans="1:2" x14ac:dyDescent="0.25">
      <c r="B40" s="378" t="s">
        <v>189</v>
      </c>
    </row>
    <row r="41" spans="1:2" x14ac:dyDescent="0.25">
      <c r="B41" s="378" t="s">
        <v>213</v>
      </c>
    </row>
    <row r="42" spans="1:2" x14ac:dyDescent="0.25">
      <c r="B42" s="378" t="s">
        <v>212</v>
      </c>
    </row>
    <row r="43" spans="1:2" x14ac:dyDescent="0.25">
      <c r="B43" s="378" t="s">
        <v>190</v>
      </c>
    </row>
    <row r="44" spans="1:2" x14ac:dyDescent="0.25">
      <c r="B44" s="378" t="s">
        <v>193</v>
      </c>
    </row>
    <row r="46" spans="1:2" x14ac:dyDescent="0.25">
      <c r="B46" s="378" t="s">
        <v>194</v>
      </c>
    </row>
    <row r="48" spans="1:2" x14ac:dyDescent="0.25">
      <c r="A48" s="384" t="s">
        <v>182</v>
      </c>
      <c r="B48" s="378" t="s">
        <v>196</v>
      </c>
    </row>
    <row r="49" spans="2:2" x14ac:dyDescent="0.25">
      <c r="B49" s="378" t="s">
        <v>195</v>
      </c>
    </row>
  </sheetData>
  <phoneticPr fontId="0" type="noConversion"/>
  <pageMargins left="0.75" right="0.75" top="1" bottom="1" header="0.5" footer="0.5"/>
  <pageSetup scale="78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/>
  <dimension ref="A1:I66"/>
  <sheetViews>
    <sheetView tabSelected="1" topLeftCell="A45" zoomScaleNormal="100" workbookViewId="0">
      <selection activeCell="F62" sqref="F62"/>
    </sheetView>
  </sheetViews>
  <sheetFormatPr defaultRowHeight="13.2" x14ac:dyDescent="0.25"/>
  <cols>
    <col min="1" max="1" width="2.88671875" customWidth="1"/>
    <col min="2" max="2" width="22.88671875" bestFit="1" customWidth="1"/>
    <col min="3" max="3" width="14.88671875" customWidth="1"/>
    <col min="4" max="4" width="15.5546875" bestFit="1" customWidth="1"/>
    <col min="5" max="5" width="16.33203125" bestFit="1" customWidth="1"/>
    <col min="6" max="6" width="24" customWidth="1"/>
    <col min="7" max="7" width="19" customWidth="1"/>
    <col min="8" max="8" width="10.88671875" customWidth="1"/>
  </cols>
  <sheetData>
    <row r="1" spans="1:9" ht="17.399999999999999" x14ac:dyDescent="0.3">
      <c r="A1" s="290" t="str">
        <f>D5</f>
        <v>Oneok</v>
      </c>
      <c r="D1" s="49" t="s">
        <v>214</v>
      </c>
      <c r="E1" s="319">
        <f ca="1">NOW()</f>
        <v>36979.653897337965</v>
      </c>
    </row>
    <row r="2" spans="1:9" ht="16.2" thickBot="1" x14ac:dyDescent="0.35">
      <c r="B2" s="300" t="s">
        <v>58</v>
      </c>
      <c r="C2" s="8"/>
      <c r="D2" s="8"/>
      <c r="F2" s="7"/>
    </row>
    <row r="3" spans="1:9" ht="13.8" thickBot="1" x14ac:dyDescent="0.3">
      <c r="F3" s="193" t="s">
        <v>172</v>
      </c>
      <c r="G3" s="195"/>
    </row>
    <row r="4" spans="1:9" x14ac:dyDescent="0.25">
      <c r="A4" s="320" t="s">
        <v>56</v>
      </c>
      <c r="B4" s="194"/>
      <c r="C4" s="194"/>
      <c r="D4" s="195"/>
      <c r="F4" s="196" t="str">
        <f>IF(D13&gt;10,"Add More Years in workseets","")</f>
        <v/>
      </c>
      <c r="G4" s="373"/>
    </row>
    <row r="5" spans="1:9" ht="13.8" thickBot="1" x14ac:dyDescent="0.3">
      <c r="A5" s="198"/>
      <c r="B5" s="38" t="s">
        <v>48</v>
      </c>
      <c r="C5" s="38"/>
      <c r="D5" s="321" t="s">
        <v>220</v>
      </c>
      <c r="F5" s="199"/>
      <c r="G5" s="201"/>
      <c r="H5" s="189"/>
    </row>
    <row r="6" spans="1:9" x14ac:dyDescent="0.25">
      <c r="A6" s="198"/>
      <c r="B6" s="38" t="s">
        <v>68</v>
      </c>
      <c r="C6" s="38"/>
      <c r="D6" s="321" t="s">
        <v>148</v>
      </c>
      <c r="H6" s="190"/>
    </row>
    <row r="7" spans="1:9" x14ac:dyDescent="0.25">
      <c r="A7" s="198"/>
      <c r="B7" s="38" t="s">
        <v>83</v>
      </c>
      <c r="C7" s="38"/>
      <c r="D7" s="321" t="s">
        <v>77</v>
      </c>
      <c r="H7" s="24"/>
    </row>
    <row r="8" spans="1:9" x14ac:dyDescent="0.25">
      <c r="A8" s="198"/>
      <c r="B8" s="38" t="s">
        <v>85</v>
      </c>
      <c r="C8" s="38"/>
      <c r="D8" s="322">
        <v>1</v>
      </c>
      <c r="H8" s="190"/>
      <c r="I8" s="146" t="e">
        <f>IF(OR(NATMLPLoop&lt;&gt;0,NAPMLPLoop&lt;&gt;0,ChiMLPLoop&lt;&gt;0,GPSMLPLoop&lt;&gt;0),"Run MLP Macros","")</f>
        <v>#NAME?</v>
      </c>
    </row>
    <row r="9" spans="1:9" x14ac:dyDescent="0.25">
      <c r="A9" s="198"/>
      <c r="B9" s="38" t="s">
        <v>86</v>
      </c>
      <c r="C9" s="38"/>
      <c r="D9" s="322">
        <v>0</v>
      </c>
      <c r="H9" s="191"/>
    </row>
    <row r="10" spans="1:9" x14ac:dyDescent="0.25">
      <c r="A10" s="198"/>
      <c r="B10" s="38" t="s">
        <v>66</v>
      </c>
      <c r="C10" s="38"/>
      <c r="D10" s="321" t="s">
        <v>77</v>
      </c>
      <c r="H10" s="191"/>
    </row>
    <row r="11" spans="1:9" x14ac:dyDescent="0.25">
      <c r="A11" s="198"/>
      <c r="B11" s="38" t="s">
        <v>84</v>
      </c>
      <c r="C11" s="38"/>
      <c r="D11" s="322">
        <f>1-D8</f>
        <v>0</v>
      </c>
      <c r="H11" s="192"/>
    </row>
    <row r="12" spans="1:9" x14ac:dyDescent="0.25">
      <c r="A12" s="198"/>
      <c r="B12" s="38" t="s">
        <v>51</v>
      </c>
      <c r="C12" s="38"/>
      <c r="D12" s="321">
        <v>2000</v>
      </c>
      <c r="H12" s="24"/>
    </row>
    <row r="13" spans="1:9" x14ac:dyDescent="0.25">
      <c r="A13" s="198"/>
      <c r="B13" s="38" t="s">
        <v>81</v>
      </c>
      <c r="C13" s="38"/>
      <c r="D13" s="321">
        <v>10</v>
      </c>
      <c r="H13" s="25"/>
    </row>
    <row r="14" spans="1:9" x14ac:dyDescent="0.25">
      <c r="A14" s="198"/>
      <c r="B14" s="38" t="s">
        <v>59</v>
      </c>
      <c r="C14" s="38"/>
      <c r="D14" s="323">
        <v>880000</v>
      </c>
    </row>
    <row r="15" spans="1:9" x14ac:dyDescent="0.25">
      <c r="A15" s="198"/>
      <c r="B15" s="38" t="s">
        <v>62</v>
      </c>
      <c r="C15" s="38"/>
      <c r="D15" s="323">
        <v>60</v>
      </c>
    </row>
    <row r="16" spans="1:9" ht="13.8" thickBot="1" x14ac:dyDescent="0.3">
      <c r="A16" s="199"/>
      <c r="B16" s="200" t="s">
        <v>92</v>
      </c>
      <c r="C16" s="200"/>
      <c r="D16" s="324" t="s">
        <v>93</v>
      </c>
      <c r="G16" s="24"/>
    </row>
    <row r="17" spans="1:5" ht="13.8" thickBot="1" x14ac:dyDescent="0.3">
      <c r="B17" s="56"/>
      <c r="C17" s="56"/>
    </row>
    <row r="18" spans="1:5" x14ac:dyDescent="0.25">
      <c r="A18" s="320" t="s">
        <v>57</v>
      </c>
      <c r="B18" s="194"/>
      <c r="C18" s="194"/>
      <c r="D18" s="195"/>
    </row>
    <row r="19" spans="1:5" x14ac:dyDescent="0.25">
      <c r="A19" s="198"/>
      <c r="B19" s="38" t="s">
        <v>54</v>
      </c>
      <c r="C19" s="38"/>
      <c r="D19" s="325">
        <v>0.38500000000000001</v>
      </c>
    </row>
    <row r="20" spans="1:5" x14ac:dyDescent="0.25">
      <c r="A20" s="198"/>
      <c r="B20" s="38" t="s">
        <v>55</v>
      </c>
      <c r="C20" s="38"/>
      <c r="D20" s="326">
        <v>20</v>
      </c>
    </row>
    <row r="21" spans="1:5" x14ac:dyDescent="0.25">
      <c r="A21" s="198"/>
      <c r="B21" s="38" t="s">
        <v>79</v>
      </c>
      <c r="C21" s="38"/>
      <c r="D21" s="325">
        <v>0.125</v>
      </c>
      <c r="E21" s="146" t="str">
        <f>IF(CLoop=0,"","Run Consolidated Macro")</f>
        <v/>
      </c>
    </row>
    <row r="22" spans="1:5" x14ac:dyDescent="0.25">
      <c r="A22" s="198"/>
      <c r="B22" s="38" t="s">
        <v>80</v>
      </c>
      <c r="C22" s="38"/>
      <c r="D22" s="325">
        <v>0</v>
      </c>
      <c r="E22" s="66"/>
    </row>
    <row r="23" spans="1:5" x14ac:dyDescent="0.25">
      <c r="A23" s="198"/>
      <c r="B23" s="38" t="s">
        <v>87</v>
      </c>
      <c r="C23" s="38"/>
      <c r="D23" s="327">
        <v>0</v>
      </c>
      <c r="E23" s="66"/>
    </row>
    <row r="24" spans="1:5" x14ac:dyDescent="0.25">
      <c r="A24" s="198"/>
      <c r="B24" s="38" t="s">
        <v>88</v>
      </c>
      <c r="C24" s="38"/>
      <c r="D24" s="327">
        <v>7.6999999999999999E-2</v>
      </c>
      <c r="E24" s="66"/>
    </row>
    <row r="25" spans="1:5" x14ac:dyDescent="0.25">
      <c r="A25" s="198"/>
      <c r="B25" s="38" t="s">
        <v>41</v>
      </c>
      <c r="C25" s="38"/>
      <c r="D25" s="327">
        <v>7.0000000000000007E-2</v>
      </c>
      <c r="E25" s="66"/>
    </row>
    <row r="26" spans="1:5" x14ac:dyDescent="0.25">
      <c r="A26" s="198"/>
      <c r="B26" s="38" t="s">
        <v>89</v>
      </c>
      <c r="C26" s="38"/>
      <c r="D26" s="327">
        <v>0.12</v>
      </c>
      <c r="E26" s="66"/>
    </row>
    <row r="27" spans="1:5" ht="13.8" thickBot="1" x14ac:dyDescent="0.3">
      <c r="A27" s="199"/>
      <c r="B27" s="200"/>
      <c r="C27" s="200"/>
      <c r="D27" s="328"/>
      <c r="E27" s="66"/>
    </row>
    <row r="28" spans="1:5" ht="13.8" thickBot="1" x14ac:dyDescent="0.3"/>
    <row r="29" spans="1:5" x14ac:dyDescent="0.25">
      <c r="A29" s="320" t="s">
        <v>60</v>
      </c>
      <c r="B29" s="194"/>
      <c r="C29" s="194"/>
      <c r="D29" s="195"/>
    </row>
    <row r="30" spans="1:5" x14ac:dyDescent="0.25">
      <c r="A30" s="198"/>
      <c r="B30" s="38" t="s">
        <v>144</v>
      </c>
      <c r="C30" s="38"/>
      <c r="D30" s="329">
        <v>0.6</v>
      </c>
    </row>
    <row r="31" spans="1:5" x14ac:dyDescent="0.25">
      <c r="A31" s="198"/>
      <c r="B31" s="38" t="s">
        <v>63</v>
      </c>
      <c r="C31" s="38"/>
      <c r="D31" s="330">
        <v>7.4999999999999997E-2</v>
      </c>
    </row>
    <row r="32" spans="1:5" ht="13.8" thickBot="1" x14ac:dyDescent="0.3">
      <c r="A32" s="199"/>
      <c r="B32" s="200" t="s">
        <v>64</v>
      </c>
      <c r="C32" s="200"/>
      <c r="D32" s="331">
        <f>D13</f>
        <v>10</v>
      </c>
    </row>
    <row r="33" spans="1:9" x14ac:dyDescent="0.25">
      <c r="D33" s="190"/>
    </row>
    <row r="34" spans="1:9" x14ac:dyDescent="0.25">
      <c r="B34" s="24"/>
      <c r="C34" s="24"/>
      <c r="D34" s="24"/>
    </row>
    <row r="35" spans="1:9" x14ac:dyDescent="0.25">
      <c r="A35" s="10" t="s">
        <v>53</v>
      </c>
    </row>
    <row r="36" spans="1:9" ht="39.6" x14ac:dyDescent="0.25">
      <c r="C36" s="123" t="s">
        <v>95</v>
      </c>
      <c r="D36" s="123" t="s">
        <v>67</v>
      </c>
      <c r="E36" s="123" t="s">
        <v>61</v>
      </c>
      <c r="F36" s="123" t="s">
        <v>49</v>
      </c>
      <c r="G36" s="123" t="s">
        <v>50</v>
      </c>
      <c r="H36" s="123" t="s">
        <v>74</v>
      </c>
      <c r="I36" s="41" t="s">
        <v>78</v>
      </c>
    </row>
    <row r="37" spans="1:9" x14ac:dyDescent="0.25">
      <c r="B37" t="str">
        <f>'Asset 1'!A2</f>
        <v xml:space="preserve">  T&amp;S - Cash Flow Analysis</v>
      </c>
      <c r="C37" s="147">
        <v>1</v>
      </c>
      <c r="D37" s="109" t="str">
        <f>$D$6</f>
        <v>ETS</v>
      </c>
      <c r="E37" s="109">
        <v>5</v>
      </c>
      <c r="F37" s="109"/>
      <c r="G37" s="109">
        <v>1</v>
      </c>
      <c r="H37" s="122">
        <v>0.125</v>
      </c>
      <c r="I37" s="157" t="str">
        <f>IF(Asset1Loop=1,"Run Macro!","Okay")</f>
        <v>Okay</v>
      </c>
    </row>
    <row r="38" spans="1:9" x14ac:dyDescent="0.25">
      <c r="B38" s="9" t="s">
        <v>96</v>
      </c>
      <c r="C38" s="149">
        <v>1</v>
      </c>
      <c r="I38" s="23"/>
    </row>
    <row r="39" spans="1:9" x14ac:dyDescent="0.25">
      <c r="I39" s="23"/>
    </row>
    <row r="40" spans="1:9" x14ac:dyDescent="0.25">
      <c r="B40" t="str">
        <f>'Asset 2'!A2</f>
        <v xml:space="preserve">  Marketing - Cash Flow Analysis</v>
      </c>
      <c r="C40" s="147">
        <v>1</v>
      </c>
      <c r="D40" s="109" t="str">
        <f>$D$6</f>
        <v>ETS</v>
      </c>
      <c r="E40" s="109">
        <v>6</v>
      </c>
      <c r="F40" s="109"/>
      <c r="G40" s="109">
        <v>1</v>
      </c>
      <c r="H40" s="122">
        <v>0.125</v>
      </c>
      <c r="I40" s="157" t="str">
        <f>IF(Asset2Loop=1,"Run Macro!","Okay")</f>
        <v>Okay</v>
      </c>
    </row>
    <row r="41" spans="1:9" x14ac:dyDescent="0.25">
      <c r="B41" s="9" t="s">
        <v>96</v>
      </c>
      <c r="C41" s="149">
        <v>1</v>
      </c>
      <c r="I41" s="23"/>
    </row>
    <row r="42" spans="1:9" x14ac:dyDescent="0.25">
      <c r="I42" s="23"/>
    </row>
    <row r="43" spans="1:9" x14ac:dyDescent="0.25">
      <c r="B43" t="str">
        <f>'Asset 3'!$A$2</f>
        <v xml:space="preserve">  Gath. &amp; Proc. - Cash Flow Analysis</v>
      </c>
      <c r="C43" s="147">
        <v>1</v>
      </c>
      <c r="D43" s="109" t="str">
        <f>$D$6</f>
        <v>ETS</v>
      </c>
      <c r="E43" s="109">
        <v>5</v>
      </c>
      <c r="F43" s="109"/>
      <c r="G43" s="109">
        <v>1</v>
      </c>
      <c r="H43" s="122">
        <v>0.125</v>
      </c>
      <c r="I43" s="158" t="str">
        <f>IF(Asset3Loop=1,"Run Macro!","Okay")</f>
        <v>Okay</v>
      </c>
    </row>
    <row r="44" spans="1:9" x14ac:dyDescent="0.25">
      <c r="B44" s="9" t="s">
        <v>96</v>
      </c>
      <c r="C44" s="149">
        <v>1</v>
      </c>
      <c r="I44" s="23"/>
    </row>
    <row r="45" spans="1:9" x14ac:dyDescent="0.25">
      <c r="I45" s="23"/>
    </row>
    <row r="46" spans="1:9" x14ac:dyDescent="0.25">
      <c r="B46" t="str">
        <f>'Asset 4'!$A$2</f>
        <v xml:space="preserve">  Production - Cash Flow Analysis</v>
      </c>
      <c r="C46" s="147">
        <v>1</v>
      </c>
      <c r="D46" s="109" t="str">
        <f>$D$6</f>
        <v>ETS</v>
      </c>
      <c r="E46" s="109">
        <v>5</v>
      </c>
      <c r="F46" s="109"/>
      <c r="G46" s="109">
        <v>1</v>
      </c>
      <c r="H46" s="122">
        <v>0.125</v>
      </c>
      <c r="I46" s="158" t="str">
        <f>IF(Asset4Loop=1,"Run Macro!","Okay")</f>
        <v>Okay</v>
      </c>
    </row>
    <row r="47" spans="1:9" x14ac:dyDescent="0.25">
      <c r="B47" s="9" t="s">
        <v>96</v>
      </c>
      <c r="C47" s="149">
        <v>1</v>
      </c>
      <c r="I47" s="23"/>
    </row>
    <row r="48" spans="1:9" x14ac:dyDescent="0.25">
      <c r="I48" s="23"/>
    </row>
    <row r="49" spans="1:9" x14ac:dyDescent="0.25">
      <c r="B49" t="str">
        <f>'Asset 5'!$A$2</f>
        <v xml:space="preserve">  Distribution - Cash Flow Analysis</v>
      </c>
      <c r="C49" s="147">
        <v>1</v>
      </c>
      <c r="D49" s="109" t="str">
        <f>$D$6</f>
        <v>ETS</v>
      </c>
      <c r="E49" s="109">
        <v>5</v>
      </c>
      <c r="F49" s="109"/>
      <c r="G49" s="109">
        <v>1</v>
      </c>
      <c r="H49" s="122">
        <v>0.125</v>
      </c>
      <c r="I49" s="158" t="str">
        <f>IF(Asset5Loop=1,"Run Macro!","Okay")</f>
        <v>Okay</v>
      </c>
    </row>
    <row r="50" spans="1:9" x14ac:dyDescent="0.25">
      <c r="B50" s="9" t="s">
        <v>96</v>
      </c>
      <c r="C50" s="149">
        <v>1</v>
      </c>
      <c r="I50" s="23"/>
    </row>
    <row r="51" spans="1:9" x14ac:dyDescent="0.25">
      <c r="I51" s="23"/>
    </row>
    <row r="52" spans="1:9" x14ac:dyDescent="0.25">
      <c r="B52" t="str">
        <f>'Asset 6'!$A$2</f>
        <v xml:space="preserve">  Other - Cash Flow Analysis</v>
      </c>
      <c r="C52" s="147">
        <v>1</v>
      </c>
      <c r="D52" s="109" t="str">
        <f>$D$6</f>
        <v>ETS</v>
      </c>
      <c r="E52" s="109">
        <v>5</v>
      </c>
      <c r="F52" s="109"/>
      <c r="G52" s="109">
        <v>1</v>
      </c>
      <c r="H52" s="122">
        <v>0.125</v>
      </c>
      <c r="I52" s="158" t="str">
        <f>IF(Asset6Loop=1,"Run Macro!","Okay")</f>
        <v>Okay</v>
      </c>
    </row>
    <row r="53" spans="1:9" x14ac:dyDescent="0.25">
      <c r="B53" s="9" t="s">
        <v>96</v>
      </c>
      <c r="C53" s="149">
        <v>1</v>
      </c>
      <c r="I53" s="23"/>
    </row>
    <row r="54" spans="1:9" x14ac:dyDescent="0.25">
      <c r="I54" s="23"/>
    </row>
    <row r="56" spans="1:9" ht="16.2" thickBot="1" x14ac:dyDescent="0.35">
      <c r="A56" s="312" t="s">
        <v>167</v>
      </c>
    </row>
    <row r="57" spans="1:9" x14ac:dyDescent="0.25">
      <c r="B57" s="202"/>
      <c r="C57" s="316" t="s">
        <v>169</v>
      </c>
      <c r="D57" s="316" t="s">
        <v>170</v>
      </c>
      <c r="E57" s="317" t="s">
        <v>171</v>
      </c>
    </row>
    <row r="58" spans="1:9" x14ac:dyDescent="0.25">
      <c r="B58" s="314" t="s">
        <v>150</v>
      </c>
      <c r="C58" s="365" t="s">
        <v>166</v>
      </c>
      <c r="D58" s="365" t="s">
        <v>166</v>
      </c>
      <c r="E58" s="366" t="s">
        <v>166</v>
      </c>
      <c r="F58" s="313"/>
    </row>
    <row r="59" spans="1:9" ht="21" x14ac:dyDescent="0.25">
      <c r="B59" s="314" t="s">
        <v>151</v>
      </c>
      <c r="C59" s="365" t="s">
        <v>229</v>
      </c>
      <c r="D59" s="365" t="s">
        <v>229</v>
      </c>
      <c r="E59" s="366" t="s">
        <v>229</v>
      </c>
      <c r="F59" s="313"/>
    </row>
    <row r="60" spans="1:9" ht="21.6" thickBot="1" x14ac:dyDescent="0.3">
      <c r="B60" s="315" t="s">
        <v>152</v>
      </c>
      <c r="C60" s="367" t="s">
        <v>228</v>
      </c>
      <c r="D60" s="367" t="s">
        <v>228</v>
      </c>
      <c r="E60" s="368" t="s">
        <v>228</v>
      </c>
      <c r="F60" s="313"/>
    </row>
    <row r="62" spans="1:9" ht="16.2" thickBot="1" x14ac:dyDescent="0.35">
      <c r="A62" s="312" t="s">
        <v>168</v>
      </c>
    </row>
    <row r="63" spans="1:9" x14ac:dyDescent="0.25">
      <c r="B63" s="202"/>
      <c r="C63" s="316" t="s">
        <v>169</v>
      </c>
      <c r="D63" s="316" t="s">
        <v>170</v>
      </c>
      <c r="E63" s="317" t="s">
        <v>171</v>
      </c>
    </row>
    <row r="64" spans="1:9" ht="19.5" customHeight="1" x14ac:dyDescent="0.25">
      <c r="B64" s="314" t="s">
        <v>150</v>
      </c>
      <c r="C64" s="365" t="s">
        <v>166</v>
      </c>
      <c r="D64" s="365" t="s">
        <v>166</v>
      </c>
      <c r="E64" s="366" t="s">
        <v>166</v>
      </c>
      <c r="F64" s="313"/>
    </row>
    <row r="65" spans="2:6" ht="21" x14ac:dyDescent="0.25">
      <c r="B65" s="314" t="s">
        <v>151</v>
      </c>
      <c r="C65" s="365" t="s">
        <v>230</v>
      </c>
      <c r="D65" s="365" t="s">
        <v>230</v>
      </c>
      <c r="E65" s="366" t="s">
        <v>230</v>
      </c>
      <c r="F65" s="313"/>
    </row>
    <row r="66" spans="2:6" ht="21.6" thickBot="1" x14ac:dyDescent="0.3">
      <c r="B66" s="315" t="s">
        <v>152</v>
      </c>
      <c r="C66" s="367" t="s">
        <v>231</v>
      </c>
      <c r="D66" s="367" t="s">
        <v>231</v>
      </c>
      <c r="E66" s="368" t="s">
        <v>231</v>
      </c>
      <c r="F66" s="313"/>
    </row>
  </sheetData>
  <phoneticPr fontId="0" type="noConversion"/>
  <pageMargins left="0.75" right="0.75" top="1" bottom="1" header="0.5" footer="0.5"/>
  <pageSetup scale="70" orientation="landscape" horizontalDpi="4294967292" r:id="rId1"/>
  <headerFooter alignWithMargins="0">
    <oddFooter>&amp;R&amp;F
&amp;A
&amp;D, &amp;T</oddFooter>
  </headerFooter>
  <rowBreaks count="1" manualBreakCount="1">
    <brk id="34" max="16383" man="1"/>
  </rowBreak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2555" r:id="rId4" name="Drop Down 27">
              <controlPr defaultSize="0" autoLine="0" autoPict="0">
                <anchor moveWithCells="1">
                  <from>
                    <xdr:col>5</xdr:col>
                    <xdr:colOff>22860</xdr:colOff>
                    <xdr:row>35</xdr:row>
                    <xdr:rowOff>495300</xdr:rowOff>
                  </from>
                  <to>
                    <xdr:col>5</xdr:col>
                    <xdr:colOff>1623060</xdr:colOff>
                    <xdr:row>37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8" r:id="rId5" name="Drop Down 30">
              <controlPr defaultSize="0" autoLine="0" autoPict="0">
                <anchor moveWithCells="1">
                  <from>
                    <xdr:col>5</xdr:col>
                    <xdr:colOff>30480</xdr:colOff>
                    <xdr:row>39</xdr:row>
                    <xdr:rowOff>7620</xdr:rowOff>
                  </from>
                  <to>
                    <xdr:col>5</xdr:col>
                    <xdr:colOff>1607820</xdr:colOff>
                    <xdr:row>40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59" r:id="rId6" name="Drop Down 31">
              <controlPr defaultSize="0" autoLine="0" autoPict="0">
                <anchor moveWithCells="1">
                  <from>
                    <xdr:col>5</xdr:col>
                    <xdr:colOff>45720</xdr:colOff>
                    <xdr:row>42</xdr:row>
                    <xdr:rowOff>7620</xdr:rowOff>
                  </from>
                  <to>
                    <xdr:col>5</xdr:col>
                    <xdr:colOff>1623060</xdr:colOff>
                    <xdr:row>43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0" r:id="rId7" name="Drop Down 32">
              <controlPr defaultSize="0" autoLine="0" autoPict="0">
                <anchor moveWithCells="1">
                  <from>
                    <xdr:col>6</xdr:col>
                    <xdr:colOff>106680</xdr:colOff>
                    <xdr:row>36</xdr:row>
                    <xdr:rowOff>7620</xdr:rowOff>
                  </from>
                  <to>
                    <xdr:col>6</xdr:col>
                    <xdr:colOff>1257300</xdr:colOff>
                    <xdr:row>37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1" r:id="rId8" name="Drop Down 33">
              <controlPr defaultSize="0" autoLine="0" autoPict="0">
                <anchor moveWithCells="1">
                  <from>
                    <xdr:col>6</xdr:col>
                    <xdr:colOff>91440</xdr:colOff>
                    <xdr:row>39</xdr:row>
                    <xdr:rowOff>7620</xdr:rowOff>
                  </from>
                  <to>
                    <xdr:col>6</xdr:col>
                    <xdr:colOff>1272540</xdr:colOff>
                    <xdr:row>40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2" r:id="rId9" name="Drop Down 34">
              <controlPr defaultSize="0" autoLine="0" autoPict="0">
                <anchor moveWithCells="1">
                  <from>
                    <xdr:col>6</xdr:col>
                    <xdr:colOff>76200</xdr:colOff>
                    <xdr:row>42</xdr:row>
                    <xdr:rowOff>7620</xdr:rowOff>
                  </from>
                  <to>
                    <xdr:col>6</xdr:col>
                    <xdr:colOff>1264920</xdr:colOff>
                    <xdr:row>43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5" r:id="rId10" name="Drop Down 37">
              <controlPr defaultSize="0" autoLine="0" autoPict="0">
                <anchor moveWithCells="1">
                  <from>
                    <xdr:col>5</xdr:col>
                    <xdr:colOff>45720</xdr:colOff>
                    <xdr:row>45</xdr:row>
                    <xdr:rowOff>7620</xdr:rowOff>
                  </from>
                  <to>
                    <xdr:col>5</xdr:col>
                    <xdr:colOff>1623060</xdr:colOff>
                    <xdr:row>46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66" r:id="rId11" name="Drop Down 38">
              <controlPr defaultSize="0" autoLine="0" autoPict="0">
                <anchor moveWithCells="1">
                  <from>
                    <xdr:col>6</xdr:col>
                    <xdr:colOff>76200</xdr:colOff>
                    <xdr:row>45</xdr:row>
                    <xdr:rowOff>7620</xdr:rowOff>
                  </from>
                  <to>
                    <xdr:col>6</xdr:col>
                    <xdr:colOff>1264920</xdr:colOff>
                    <xdr:row>46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1" r:id="rId12" name="Drop Down 43">
              <controlPr defaultSize="0" autoLine="0" autoPict="0">
                <anchor moveWithCells="1">
                  <from>
                    <xdr:col>5</xdr:col>
                    <xdr:colOff>45720</xdr:colOff>
                    <xdr:row>48</xdr:row>
                    <xdr:rowOff>7620</xdr:rowOff>
                  </from>
                  <to>
                    <xdr:col>5</xdr:col>
                    <xdr:colOff>1623060</xdr:colOff>
                    <xdr:row>49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2" r:id="rId13" name="Drop Down 44">
              <controlPr defaultSize="0" autoLine="0" autoPict="0">
                <anchor moveWithCells="1">
                  <from>
                    <xdr:col>6</xdr:col>
                    <xdr:colOff>76200</xdr:colOff>
                    <xdr:row>48</xdr:row>
                    <xdr:rowOff>7620</xdr:rowOff>
                  </from>
                  <to>
                    <xdr:col>6</xdr:col>
                    <xdr:colOff>1264920</xdr:colOff>
                    <xdr:row>49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5" r:id="rId14" name="Drop Down 47">
              <controlPr defaultSize="0" autoLine="0" autoPict="0">
                <anchor moveWithCells="1">
                  <from>
                    <xdr:col>5</xdr:col>
                    <xdr:colOff>45720</xdr:colOff>
                    <xdr:row>51</xdr:row>
                    <xdr:rowOff>7620</xdr:rowOff>
                  </from>
                  <to>
                    <xdr:col>5</xdr:col>
                    <xdr:colOff>1623060</xdr:colOff>
                    <xdr:row>52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2576" r:id="rId15" name="Drop Down 48">
              <controlPr defaultSize="0" autoLine="0" autoPict="0">
                <anchor moveWithCells="1">
                  <from>
                    <xdr:col>6</xdr:col>
                    <xdr:colOff>76200</xdr:colOff>
                    <xdr:row>51</xdr:row>
                    <xdr:rowOff>7620</xdr:rowOff>
                  </from>
                  <to>
                    <xdr:col>6</xdr:col>
                    <xdr:colOff>1264920</xdr:colOff>
                    <xdr:row>52</xdr:row>
                    <xdr:rowOff>68580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7"/>
  <sheetViews>
    <sheetView workbookViewId="0">
      <selection activeCell="D31" sqref="D31"/>
    </sheetView>
  </sheetViews>
  <sheetFormatPr defaultRowHeight="13.2" x14ac:dyDescent="0.25"/>
  <cols>
    <col min="2" max="2" width="16.5546875" bestFit="1" customWidth="1"/>
  </cols>
  <sheetData>
    <row r="1" spans="1:8" ht="18" thickBot="1" x14ac:dyDescent="0.35">
      <c r="A1" s="290" t="str">
        <f>Assumptions!A1</f>
        <v>Oneok</v>
      </c>
      <c r="D1" s="364" t="s">
        <v>172</v>
      </c>
    </row>
    <row r="2" spans="1:8" ht="15.6" x14ac:dyDescent="0.3">
      <c r="B2" s="299" t="s">
        <v>160</v>
      </c>
      <c r="D2" s="358" t="str">
        <f>IF(CLoop&lt;&gt;0, "Warning Flag: Check Unlev. Consolid sheet and run Macro","")</f>
        <v/>
      </c>
      <c r="E2" s="359"/>
      <c r="F2" s="359"/>
      <c r="G2" s="359"/>
      <c r="H2" s="360"/>
    </row>
    <row r="3" spans="1:8" ht="18" thickBot="1" x14ac:dyDescent="0.35">
      <c r="A3" s="290"/>
      <c r="D3" s="361" t="str">
        <f>IF('Unlev. Consolid'!J64="","","Warning Flag: Check Unlev.Consolid sheet and separate Asset sheets")</f>
        <v/>
      </c>
      <c r="E3" s="362"/>
      <c r="F3" s="362"/>
      <c r="G3" s="362"/>
      <c r="H3" s="363"/>
    </row>
    <row r="5" spans="1:8" x14ac:dyDescent="0.25">
      <c r="A5" s="10" t="s">
        <v>153</v>
      </c>
    </row>
    <row r="6" spans="1:8" ht="13.8" thickBot="1" x14ac:dyDescent="0.3"/>
    <row r="7" spans="1:8" x14ac:dyDescent="0.25">
      <c r="B7" s="296" t="s">
        <v>155</v>
      </c>
      <c r="C7" s="297"/>
      <c r="D7" s="294">
        <f>E7-0.025</f>
        <v>0.1</v>
      </c>
      <c r="E7" s="294">
        <f>ConsDRate</f>
        <v>0.125</v>
      </c>
      <c r="F7" s="295">
        <f>E7+0.025</f>
        <v>0.15</v>
      </c>
    </row>
    <row r="8" spans="1:8" x14ac:dyDescent="0.25">
      <c r="B8" s="335" t="s">
        <v>156</v>
      </c>
      <c r="C8" s="336"/>
      <c r="D8" s="337">
        <f>'Unlev. Consolid'!M63</f>
        <v>687708.50084825582</v>
      </c>
      <c r="E8" s="337">
        <f>'Unlev. Consolid'!N63</f>
        <v>533874.82796105999</v>
      </c>
      <c r="F8" s="338">
        <f>'Unlev. Consolid'!O63</f>
        <v>417355.57607731147</v>
      </c>
    </row>
    <row r="9" spans="1:8" ht="13.8" thickBot="1" x14ac:dyDescent="0.3">
      <c r="B9" s="293" t="s">
        <v>202</v>
      </c>
      <c r="C9" s="339" t="e">
        <f>'Unlev. Consolid'!$K$66</f>
        <v>#NUM!</v>
      </c>
      <c r="D9" s="251"/>
      <c r="E9" s="251"/>
      <c r="F9" s="340"/>
    </row>
    <row r="11" spans="1:8" x14ac:dyDescent="0.25">
      <c r="A11" s="10" t="s">
        <v>157</v>
      </c>
    </row>
    <row r="13" spans="1:8" x14ac:dyDescent="0.25">
      <c r="B13" s="8" t="s">
        <v>158</v>
      </c>
      <c r="D13" s="298">
        <f>Assumptions!D30</f>
        <v>0.6</v>
      </c>
    </row>
    <row r="14" spans="1:8" ht="13.8" thickBot="1" x14ac:dyDescent="0.3"/>
    <row r="15" spans="1:8" x14ac:dyDescent="0.25">
      <c r="B15" s="296" t="s">
        <v>155</v>
      </c>
      <c r="C15" s="292"/>
      <c r="D15" s="294">
        <f>E15-0.025</f>
        <v>0.1</v>
      </c>
      <c r="E15" s="294">
        <f>ConsDRate</f>
        <v>0.125</v>
      </c>
      <c r="F15" s="295">
        <f>E15+0.025</f>
        <v>0.15</v>
      </c>
    </row>
    <row r="16" spans="1:8" x14ac:dyDescent="0.25">
      <c r="B16" s="335" t="s">
        <v>159</v>
      </c>
      <c r="C16" s="336"/>
      <c r="D16" s="337">
        <f ca="1">'Lev. Consolid'!F7</f>
        <v>439673.82375962788</v>
      </c>
      <c r="E16" s="337">
        <f ca="1">'Lev. Consolid'!G7</f>
        <v>352993.91538634326</v>
      </c>
      <c r="F16" s="338">
        <f ca="1">'Lev. Consolid'!H7</f>
        <v>283619.05053066224</v>
      </c>
    </row>
    <row r="17" spans="2:6" ht="13.8" thickBot="1" x14ac:dyDescent="0.3">
      <c r="B17" s="293" t="s">
        <v>94</v>
      </c>
      <c r="C17" s="341">
        <f ca="1">'Lev. Consolid'!$G$9</f>
        <v>0.39463167599607207</v>
      </c>
      <c r="D17" s="251"/>
      <c r="E17" s="251"/>
      <c r="F17" s="340"/>
    </row>
  </sheetData>
  <phoneticPr fontId="0" type="noConversion"/>
  <pageMargins left="0.75" right="0.75" top="1" bottom="1" header="0.5" footer="0.5"/>
  <pageSetup orientation="portrait" r:id="rId1"/>
  <headerFooter alignWithMargins="0">
    <oddFooter>&amp;R&amp;F
&amp;A
&amp;D&amp;T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fitToPage="1"/>
  </sheetPr>
  <dimension ref="A1:CF69"/>
  <sheetViews>
    <sheetView zoomScale="75" workbookViewId="0">
      <pane xSplit="2" ySplit="12" topLeftCell="C17" activePane="bottomRight" state="frozen"/>
      <selection pane="topRight" activeCell="C1" sqref="C1"/>
      <selection pane="bottomLeft" activeCell="A13" sqref="A13"/>
      <selection pane="bottomRight" activeCell="E10" sqref="E10"/>
    </sheetView>
  </sheetViews>
  <sheetFormatPr defaultRowHeight="13.2" x14ac:dyDescent="0.25"/>
  <cols>
    <col min="1" max="1" width="28.109375" customWidth="1"/>
    <col min="3" max="3" width="13.33203125" bestFit="1" customWidth="1"/>
    <col min="4" max="4" width="10.109375" bestFit="1" customWidth="1"/>
    <col min="5" max="14" width="9.88671875" bestFit="1" customWidth="1"/>
    <col min="15" max="15" width="10.33203125" bestFit="1" customWidth="1"/>
  </cols>
  <sheetData>
    <row r="1" spans="1:14" ht="17.399999999999999" x14ac:dyDescent="0.3">
      <c r="A1" s="290" t="str">
        <f>Assumptions!A1</f>
        <v>Oneok</v>
      </c>
    </row>
    <row r="2" spans="1:14" ht="15.6" x14ac:dyDescent="0.3">
      <c r="A2" s="299" t="s">
        <v>161</v>
      </c>
    </row>
    <row r="3" spans="1:14" ht="13.8" thickBot="1" x14ac:dyDescent="0.3"/>
    <row r="4" spans="1:14" x14ac:dyDescent="0.25">
      <c r="A4" s="301" t="s">
        <v>37</v>
      </c>
      <c r="B4" s="194"/>
      <c r="C4" s="211" t="s">
        <v>28</v>
      </c>
      <c r="D4" s="212" t="s">
        <v>145</v>
      </c>
      <c r="F4" s="202"/>
      <c r="G4" s="203" t="s">
        <v>146</v>
      </c>
      <c r="H4" s="204"/>
      <c r="J4" s="193" t="s">
        <v>219</v>
      </c>
      <c r="K4" s="194"/>
      <c r="L4" s="194"/>
      <c r="M4" s="195"/>
    </row>
    <row r="5" spans="1:14" x14ac:dyDescent="0.25">
      <c r="A5" s="213" t="s">
        <v>149</v>
      </c>
      <c r="B5" s="38"/>
      <c r="C5" s="393">
        <f>CPurPrice</f>
        <v>533874.80571449851</v>
      </c>
      <c r="D5" s="197">
        <f>C5*(Assumptions!$D$22)</f>
        <v>0</v>
      </c>
      <c r="F5" s="198"/>
      <c r="G5" s="38"/>
      <c r="H5" s="197"/>
      <c r="J5" s="196" t="str">
        <f ca="1">IF(SUM(D51:N51)&lt;&gt;$B$8*(N12-D12+1),"Warning- Check if the Capital Structure is constant","")</f>
        <v/>
      </c>
      <c r="K5" s="38"/>
      <c r="L5" s="38"/>
      <c r="M5" s="197"/>
    </row>
    <row r="6" spans="1:14" x14ac:dyDescent="0.25">
      <c r="A6" s="213"/>
      <c r="B6" s="38"/>
      <c r="C6" s="67"/>
      <c r="D6" s="197"/>
      <c r="F6" s="205">
        <f>G6-0.025</f>
        <v>0.1</v>
      </c>
      <c r="G6" s="206">
        <f>ConsDRate</f>
        <v>0.125</v>
      </c>
      <c r="H6" s="207">
        <f>G6+0.025</f>
        <v>0.15</v>
      </c>
      <c r="J6" s="196" t="str">
        <f>IF(SUM(D48:N48)&lt;2*(N12-D12+1),"Warning:Check EBIT/Interest Expenses","")</f>
        <v>Warning:Check EBIT/Interest Expenses</v>
      </c>
      <c r="K6" s="38"/>
      <c r="L6" s="38"/>
      <c r="M6" s="197"/>
    </row>
    <row r="7" spans="1:14" ht="13.8" thickBot="1" x14ac:dyDescent="0.3">
      <c r="A7" s="198" t="s">
        <v>33</v>
      </c>
      <c r="B7" s="38"/>
      <c r="C7" s="67">
        <f>C5+D5</f>
        <v>533874.80571449851</v>
      </c>
      <c r="D7" s="197"/>
      <c r="F7" s="208">
        <f ca="1">NPV(F$6,D32:O32)+C32</f>
        <v>439673.82375962788</v>
      </c>
      <c r="G7" s="209">
        <f ca="1">NPV(G$6,D32:O32)+C32</f>
        <v>352993.91538634326</v>
      </c>
      <c r="H7" s="210">
        <f ca="1">NPV(H$6,D32:P32)+C32</f>
        <v>283619.05053066224</v>
      </c>
      <c r="J7" s="264" t="str">
        <f>IF(SUM(D49:N49)&lt;2*(N12-D12+1),"Warning: Check EBIDT/Debt Services","")</f>
        <v>Warning: Check EBIDT/Debt Services</v>
      </c>
      <c r="K7" s="200"/>
      <c r="L7" s="200"/>
      <c r="M7" s="201"/>
    </row>
    <row r="8" spans="1:14" ht="13.8" thickBot="1" x14ac:dyDescent="0.3">
      <c r="A8" s="198" t="s">
        <v>29</v>
      </c>
      <c r="B8" s="214">
        <f>Assumptions!D30</f>
        <v>0.6</v>
      </c>
      <c r="C8" s="67">
        <f>C7*$B$8</f>
        <v>320324.8834286991</v>
      </c>
      <c r="D8" s="197"/>
    </row>
    <row r="9" spans="1:14" ht="13.8" thickBot="1" x14ac:dyDescent="0.3">
      <c r="A9" s="199" t="s">
        <v>30</v>
      </c>
      <c r="B9" s="200"/>
      <c r="C9" s="394">
        <f>C7-C8</f>
        <v>213549.9222857994</v>
      </c>
      <c r="D9" s="201"/>
      <c r="F9" s="333" t="s">
        <v>133</v>
      </c>
      <c r="G9" s="334">
        <f ca="1">IRR($C$32:$O$32)</f>
        <v>0.39463167599607207</v>
      </c>
    </row>
    <row r="12" spans="1:14" x14ac:dyDescent="0.25">
      <c r="D12" s="34">
        <f>Assumptions!D12</f>
        <v>2000</v>
      </c>
      <c r="E12" s="34">
        <f>D12+1</f>
        <v>2001</v>
      </c>
      <c r="F12" s="34">
        <f t="shared" ref="F12:N12" si="0">E12+1</f>
        <v>2002</v>
      </c>
      <c r="G12" s="34">
        <f t="shared" si="0"/>
        <v>2003</v>
      </c>
      <c r="H12" s="34">
        <f t="shared" si="0"/>
        <v>2004</v>
      </c>
      <c r="I12" s="34">
        <f t="shared" si="0"/>
        <v>2005</v>
      </c>
      <c r="J12" s="34">
        <f t="shared" si="0"/>
        <v>2006</v>
      </c>
      <c r="K12" s="34">
        <f t="shared" si="0"/>
        <v>2007</v>
      </c>
      <c r="L12" s="34">
        <f t="shared" si="0"/>
        <v>2008</v>
      </c>
      <c r="M12" s="34">
        <f t="shared" si="0"/>
        <v>2009</v>
      </c>
      <c r="N12" s="34">
        <f t="shared" si="0"/>
        <v>2010</v>
      </c>
    </row>
    <row r="13" spans="1:14" x14ac:dyDescent="0.25">
      <c r="A13" s="75" t="s">
        <v>130</v>
      </c>
      <c r="B13" s="173">
        <f>1-$B$8</f>
        <v>0.4</v>
      </c>
      <c r="D13" s="174"/>
      <c r="E13" s="174"/>
      <c r="F13" s="174"/>
      <c r="G13" s="174"/>
      <c r="H13" s="174"/>
      <c r="I13" s="174"/>
      <c r="J13" s="174"/>
      <c r="K13" s="174"/>
      <c r="L13" s="174"/>
      <c r="M13" s="174"/>
      <c r="N13" s="174"/>
    </row>
    <row r="14" spans="1:14" x14ac:dyDescent="0.25">
      <c r="A14" s="50" t="s">
        <v>1</v>
      </c>
      <c r="B14" s="37"/>
      <c r="C14" s="37"/>
      <c r="D14" s="54">
        <f>'Unlev. Consolid'!G26</f>
        <v>349287</v>
      </c>
      <c r="E14" s="54">
        <f>'Unlev. Consolid'!H26</f>
        <v>349287</v>
      </c>
      <c r="F14" s="54">
        <f>'Unlev. Consolid'!I26</f>
        <v>349287</v>
      </c>
      <c r="G14" s="54">
        <f>'Unlev. Consolid'!J26</f>
        <v>349287</v>
      </c>
      <c r="H14" s="54">
        <f>'Unlev. Consolid'!K26</f>
        <v>349287</v>
      </c>
      <c r="I14" s="54">
        <f>'Unlev. Consolid'!L26</f>
        <v>349287</v>
      </c>
      <c r="J14" s="54">
        <f>'Unlev. Consolid'!M26</f>
        <v>349287</v>
      </c>
      <c r="K14" s="54">
        <f>'Unlev. Consolid'!N26</f>
        <v>349287</v>
      </c>
      <c r="L14" s="54">
        <f>'Unlev. Consolid'!O26</f>
        <v>349287</v>
      </c>
      <c r="M14" s="54">
        <f>'Unlev. Consolid'!P26</f>
        <v>349287</v>
      </c>
      <c r="N14" s="54">
        <f>'Unlev. Consolid'!Q26</f>
        <v>349287</v>
      </c>
    </row>
    <row r="15" spans="1:14" x14ac:dyDescent="0.25">
      <c r="A15" t="s">
        <v>25</v>
      </c>
      <c r="D15" s="13">
        <f>'Unlev. Consolid'!G28</f>
        <v>38871.490285724925</v>
      </c>
      <c r="E15" s="13">
        <f>'Unlev. Consolid'!H28</f>
        <v>51049.240285724925</v>
      </c>
      <c r="F15" s="13">
        <f>'Unlev. Consolid'!I28</f>
        <v>63226.990285724925</v>
      </c>
      <c r="G15" s="13">
        <f>'Unlev. Consolid'!J28</f>
        <v>75404.740285724925</v>
      </c>
      <c r="H15" s="13">
        <f>'Unlev. Consolid'!K28</f>
        <v>87582.490285724925</v>
      </c>
      <c r="I15" s="13">
        <f>'Unlev. Consolid'!L28</f>
        <v>99760.240285724925</v>
      </c>
      <c r="J15" s="13">
        <f>'Unlev. Consolid'!M28</f>
        <v>111937.99028572493</v>
      </c>
      <c r="K15" s="13">
        <f>'Unlev. Consolid'!N28</f>
        <v>124115.74028572493</v>
      </c>
      <c r="L15" s="13">
        <f>'Unlev. Consolid'!O28</f>
        <v>136293.49028572493</v>
      </c>
      <c r="M15" s="13">
        <f>'Unlev. Consolid'!P28</f>
        <v>148471.24028572493</v>
      </c>
      <c r="N15" s="13">
        <f>'Unlev. Consolid'!Q28</f>
        <v>160648.99028572493</v>
      </c>
    </row>
    <row r="16" spans="1:14" ht="15" x14ac:dyDescent="0.4">
      <c r="A16" t="s">
        <v>26</v>
      </c>
      <c r="D16" s="3">
        <f>'Unlev. Consolid'!G29</f>
        <v>0</v>
      </c>
      <c r="E16" s="3">
        <f>'Unlev. Consolid'!H29</f>
        <v>0</v>
      </c>
      <c r="F16" s="3">
        <f>'Unlev. Consolid'!I29</f>
        <v>0</v>
      </c>
      <c r="G16" s="3">
        <f>'Unlev. Consolid'!J29</f>
        <v>0</v>
      </c>
      <c r="H16" s="3">
        <f>'Unlev. Consolid'!K29</f>
        <v>0</v>
      </c>
      <c r="I16" s="3">
        <f>'Unlev. Consolid'!L29</f>
        <v>0</v>
      </c>
      <c r="J16" s="3">
        <f>'Unlev. Consolid'!M29</f>
        <v>0</v>
      </c>
      <c r="K16" s="3">
        <f>'Unlev. Consolid'!N29</f>
        <v>0</v>
      </c>
      <c r="L16" s="3">
        <f>'Unlev. Consolid'!O29</f>
        <v>0</v>
      </c>
      <c r="M16" s="3">
        <f>'Unlev. Consolid'!P29</f>
        <v>0</v>
      </c>
      <c r="N16" s="3">
        <f>'Unlev. Consolid'!Q29</f>
        <v>0</v>
      </c>
    </row>
    <row r="17" spans="1:84" x14ac:dyDescent="0.25">
      <c r="A17" s="50" t="s">
        <v>2</v>
      </c>
      <c r="B17" s="37"/>
      <c r="C17" s="37"/>
      <c r="D17" s="54">
        <f>D14-D15-D16</f>
        <v>310415.50971427507</v>
      </c>
      <c r="E17" s="54">
        <f>E14-E15-E16</f>
        <v>298237.75971427507</v>
      </c>
      <c r="F17" s="54">
        <f t="shared" ref="F17:N17" si="1">F14-F15-F16</f>
        <v>286060.00971427507</v>
      </c>
      <c r="G17" s="54">
        <f t="shared" si="1"/>
        <v>273882.25971427507</v>
      </c>
      <c r="H17" s="54">
        <f t="shared" si="1"/>
        <v>261704.50971427507</v>
      </c>
      <c r="I17" s="54">
        <f t="shared" si="1"/>
        <v>249526.75971427507</v>
      </c>
      <c r="J17" s="54">
        <f t="shared" si="1"/>
        <v>237349.00971427507</v>
      </c>
      <c r="K17" s="54">
        <f t="shared" si="1"/>
        <v>225171.25971427507</v>
      </c>
      <c r="L17" s="54">
        <f t="shared" si="1"/>
        <v>212993.50971427507</v>
      </c>
      <c r="M17" s="54">
        <f t="shared" si="1"/>
        <v>200815.75971427507</v>
      </c>
      <c r="N17" s="55">
        <f t="shared" si="1"/>
        <v>188638.00971427507</v>
      </c>
    </row>
    <row r="18" spans="1:84" ht="15" x14ac:dyDescent="0.4">
      <c r="A18" t="s">
        <v>27</v>
      </c>
      <c r="B18" s="188">
        <f>Assumptions!D31</f>
        <v>7.4999999999999997E-2</v>
      </c>
      <c r="D18" s="3">
        <f>$B$18*D42</f>
        <v>24024.366257152433</v>
      </c>
      <c r="E18" s="3">
        <f ca="1">$B$18*E42</f>
        <v>33235.124194294811</v>
      </c>
      <c r="F18" s="3">
        <f ca="1">$B$18*F42</f>
        <v>41291.779669157026</v>
      </c>
      <c r="G18" s="3">
        <f t="shared" ref="G18:N18" ca="1" si="2">$B$18*G42</f>
        <v>48738.510055292267</v>
      </c>
      <c r="H18" s="3">
        <f t="shared" ca="1" si="2"/>
        <v>55601.932489879051</v>
      </c>
      <c r="I18" s="3">
        <f t="shared" ca="1" si="2"/>
        <v>61907.138313997653</v>
      </c>
      <c r="J18" s="3">
        <f t="shared" ca="1" si="2"/>
        <v>67677.19009356678</v>
      </c>
      <c r="K18" s="3">
        <f t="shared" ca="1" si="2"/>
        <v>72891.789767090624</v>
      </c>
      <c r="L18" s="3">
        <f t="shared" ca="1" si="2"/>
        <v>77520.414377239445</v>
      </c>
      <c r="M18" s="3">
        <f t="shared" ca="1" si="2"/>
        <v>81561.717026874918</v>
      </c>
      <c r="N18" s="3">
        <f t="shared" ca="1" si="2"/>
        <v>85017.969551236296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</row>
    <row r="19" spans="1:84" x14ac:dyDescent="0.25">
      <c r="A19" s="50" t="s">
        <v>31</v>
      </c>
      <c r="B19" s="37"/>
      <c r="C19" s="37"/>
      <c r="D19" s="58">
        <f>D17-D18</f>
        <v>286391.14345712261</v>
      </c>
      <c r="E19" s="58">
        <f t="shared" ref="E19:N19" ca="1" si="3">E17-E18</f>
        <v>265002.63551998028</v>
      </c>
      <c r="F19" s="58">
        <f t="shared" ca="1" si="3"/>
        <v>244768.23004511805</v>
      </c>
      <c r="G19" s="58">
        <f t="shared" ca="1" si="3"/>
        <v>225143.74965898279</v>
      </c>
      <c r="H19" s="58">
        <f t="shared" ca="1" si="3"/>
        <v>206102.57722439602</v>
      </c>
      <c r="I19" s="58">
        <f t="shared" ca="1" si="3"/>
        <v>187619.62140027742</v>
      </c>
      <c r="J19" s="58">
        <f t="shared" ca="1" si="3"/>
        <v>169671.81962070829</v>
      </c>
      <c r="K19" s="58">
        <f t="shared" ca="1" si="3"/>
        <v>152279.46994718444</v>
      </c>
      <c r="L19" s="58">
        <f t="shared" ca="1" si="3"/>
        <v>135473.09533703563</v>
      </c>
      <c r="M19" s="58">
        <f t="shared" ca="1" si="3"/>
        <v>119254.04268740016</v>
      </c>
      <c r="N19" s="59">
        <f t="shared" ca="1" si="3"/>
        <v>103620.04016303878</v>
      </c>
    </row>
    <row r="20" spans="1:84" ht="13.8" thickBot="1" x14ac:dyDescent="0.3">
      <c r="A20" t="s">
        <v>131</v>
      </c>
      <c r="B20" s="187">
        <f>Assumptions!D19</f>
        <v>0.38500000000000001</v>
      </c>
      <c r="D20" s="31">
        <f>D19*$B$20</f>
        <v>110260.59023099221</v>
      </c>
      <c r="E20" s="31">
        <f t="shared" ref="E20:N20" ca="1" si="4">E19*$B$20</f>
        <v>102026.0146751924</v>
      </c>
      <c r="F20" s="31">
        <f t="shared" ca="1" si="4"/>
        <v>94235.768567370455</v>
      </c>
      <c r="G20" s="31">
        <f t="shared" ca="1" si="4"/>
        <v>86680.343618708372</v>
      </c>
      <c r="H20" s="31">
        <f t="shared" ca="1" si="4"/>
        <v>79349.492231392476</v>
      </c>
      <c r="I20" s="31">
        <f t="shared" ca="1" si="4"/>
        <v>72233.554239106816</v>
      </c>
      <c r="J20" s="31">
        <f t="shared" ca="1" si="4"/>
        <v>65323.650553972693</v>
      </c>
      <c r="K20" s="31">
        <f t="shared" ca="1" si="4"/>
        <v>58627.595929666008</v>
      </c>
      <c r="L20" s="31">
        <f t="shared" ca="1" si="4"/>
        <v>52157.141704758717</v>
      </c>
      <c r="M20" s="31">
        <f t="shared" ca="1" si="4"/>
        <v>45912.806434649065</v>
      </c>
      <c r="N20" s="31">
        <f t="shared" ca="1" si="4"/>
        <v>39893.715462769927</v>
      </c>
    </row>
    <row r="21" spans="1:84" ht="13.8" thickBot="1" x14ac:dyDescent="0.3">
      <c r="A21" s="50" t="s">
        <v>16</v>
      </c>
      <c r="B21" s="37"/>
      <c r="C21" s="37"/>
      <c r="D21" s="54">
        <f>D19-D20</f>
        <v>176130.5532261304</v>
      </c>
      <c r="E21" s="54">
        <f t="shared" ref="E21:N21" ca="1" si="5">E19-E20</f>
        <v>162976.62084478786</v>
      </c>
      <c r="F21" s="54">
        <f t="shared" ca="1" si="5"/>
        <v>150532.46147774759</v>
      </c>
      <c r="G21" s="54">
        <f t="shared" ca="1" si="5"/>
        <v>138463.40604027442</v>
      </c>
      <c r="H21" s="332">
        <f t="shared" ca="1" si="5"/>
        <v>126753.08499300355</v>
      </c>
      <c r="I21" s="54">
        <f t="shared" ca="1" si="5"/>
        <v>115386.06716117061</v>
      </c>
      <c r="J21" s="54">
        <f t="shared" ca="1" si="5"/>
        <v>104348.1690667356</v>
      </c>
      <c r="K21" s="54">
        <f t="shared" ca="1" si="5"/>
        <v>93651.874017518421</v>
      </c>
      <c r="L21" s="54">
        <f t="shared" ca="1" si="5"/>
        <v>83315.953632276913</v>
      </c>
      <c r="M21" s="54">
        <f t="shared" ca="1" si="5"/>
        <v>73341.236252751085</v>
      </c>
      <c r="N21" s="55">
        <f t="shared" ca="1" si="5"/>
        <v>63726.324700268851</v>
      </c>
    </row>
    <row r="22" spans="1:84" x14ac:dyDescent="0.25">
      <c r="B22" s="48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1:84" x14ac:dyDescent="0.25"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</row>
    <row r="24" spans="1:84" ht="15" x14ac:dyDescent="0.4">
      <c r="A24" t="s">
        <v>39</v>
      </c>
      <c r="B24" s="48">
        <v>0</v>
      </c>
      <c r="D24" s="6">
        <f t="shared" ref="D24:N24" si="6">+(D21-D22)*$B$16</f>
        <v>0</v>
      </c>
      <c r="E24" s="6">
        <f t="shared" ca="1" si="6"/>
        <v>0</v>
      </c>
      <c r="F24" s="6">
        <f t="shared" ca="1" si="6"/>
        <v>0</v>
      </c>
      <c r="G24" s="6">
        <f t="shared" ca="1" si="6"/>
        <v>0</v>
      </c>
      <c r="H24" s="6">
        <f t="shared" ca="1" si="6"/>
        <v>0</v>
      </c>
      <c r="I24" s="6">
        <f t="shared" ca="1" si="6"/>
        <v>0</v>
      </c>
      <c r="J24" s="6">
        <f t="shared" ca="1" si="6"/>
        <v>0</v>
      </c>
      <c r="K24" s="6">
        <f t="shared" ca="1" si="6"/>
        <v>0</v>
      </c>
      <c r="L24" s="6">
        <f t="shared" ca="1" si="6"/>
        <v>0</v>
      </c>
      <c r="M24" s="6">
        <f t="shared" ca="1" si="6"/>
        <v>0</v>
      </c>
      <c r="N24" s="6">
        <f t="shared" ca="1" si="6"/>
        <v>0</v>
      </c>
      <c r="O24" s="17" t="s">
        <v>1</v>
      </c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</row>
    <row r="25" spans="1:84" x14ac:dyDescent="0.25">
      <c r="A25" t="s">
        <v>40</v>
      </c>
      <c r="D25" s="1">
        <f>+D21-D24</f>
        <v>176130.5532261304</v>
      </c>
      <c r="E25" s="1">
        <f t="shared" ref="E25:M25" ca="1" si="7">+E21-E24</f>
        <v>162976.62084478786</v>
      </c>
      <c r="F25" s="1">
        <f t="shared" ca="1" si="7"/>
        <v>150532.46147774759</v>
      </c>
      <c r="G25" s="1">
        <f t="shared" ca="1" si="7"/>
        <v>138463.40604027442</v>
      </c>
      <c r="H25" s="1">
        <f t="shared" ca="1" si="7"/>
        <v>126753.08499300355</v>
      </c>
      <c r="I25" s="1">
        <f t="shared" ca="1" si="7"/>
        <v>115386.06716117061</v>
      </c>
      <c r="J25" s="1">
        <f t="shared" ca="1" si="7"/>
        <v>104348.1690667356</v>
      </c>
      <c r="K25" s="1">
        <f t="shared" ca="1" si="7"/>
        <v>93651.874017518421</v>
      </c>
      <c r="L25" s="1">
        <f t="shared" ca="1" si="7"/>
        <v>83315.953632276913</v>
      </c>
      <c r="M25" s="1">
        <f t="shared" ca="1" si="7"/>
        <v>73341.236252751085</v>
      </c>
      <c r="N25" s="1">
        <f ca="1">+N21-N24</f>
        <v>63726.324700268851</v>
      </c>
      <c r="O25" s="17" t="s">
        <v>21</v>
      </c>
    </row>
    <row r="26" spans="1:84" s="177" customFormat="1" x14ac:dyDescent="0.25">
      <c r="A26" s="172" t="s">
        <v>38</v>
      </c>
      <c r="B26" s="175"/>
      <c r="C26" s="175"/>
      <c r="D26" s="176">
        <f t="shared" ref="D26:N26" ca="1" si="8">IF(D25/D46&lt;0,"NA ",D25/D46)</f>
        <v>0.59619717748312451</v>
      </c>
      <c r="E26" s="176">
        <f t="shared" ca="1" si="8"/>
        <v>0.44403195967680464</v>
      </c>
      <c r="F26" s="176">
        <f t="shared" ca="1" si="8"/>
        <v>0.34746449772540239</v>
      </c>
      <c r="G26" s="176">
        <f t="shared" ca="1" si="8"/>
        <v>0.28015452848453248</v>
      </c>
      <c r="H26" s="176">
        <f t="shared" ca="1" si="8"/>
        <v>0.23034051403549807</v>
      </c>
      <c r="I26" s="176">
        <f t="shared" ca="1" si="8"/>
        <v>0.19180661220841114</v>
      </c>
      <c r="J26" s="176">
        <f t="shared" ca="1" si="8"/>
        <v>0.16104926298994215</v>
      </c>
      <c r="K26" s="176">
        <f t="shared" ca="1" si="8"/>
        <v>0.1359104683793359</v>
      </c>
      <c r="L26" s="176">
        <f t="shared" ca="1" si="8"/>
        <v>0.1149196599250442</v>
      </c>
      <c r="M26" s="176">
        <f t="shared" ca="1" si="8"/>
        <v>9.7048766537079889E-2</v>
      </c>
      <c r="N26" s="176">
        <f t="shared" ca="1" si="8"/>
        <v>8.1573152761019702E-2</v>
      </c>
      <c r="O26" s="179">
        <f>O28/N14</f>
        <v>5.0755081065141274</v>
      </c>
    </row>
    <row r="27" spans="1:84" x14ac:dyDescent="0.25">
      <c r="B27" s="31"/>
      <c r="C27" s="178"/>
      <c r="D27" s="133"/>
      <c r="E27" s="133"/>
      <c r="F27" s="133"/>
      <c r="G27" s="133"/>
      <c r="H27" s="133"/>
      <c r="I27" s="133"/>
      <c r="J27" s="133"/>
      <c r="K27" s="133"/>
      <c r="L27" s="133"/>
      <c r="M27" s="133"/>
      <c r="N27" s="133"/>
    </row>
    <row r="28" spans="1:84" x14ac:dyDescent="0.25">
      <c r="A28" s="7" t="s">
        <v>46</v>
      </c>
      <c r="D28" s="13">
        <f>D21+D15+'Unlev. Consolid'!G33</f>
        <v>215002.04351185533</v>
      </c>
      <c r="E28" s="13">
        <f ca="1">E21+E15+'Unlev. Consolid'!H33</f>
        <v>227494.83251451649</v>
      </c>
      <c r="F28" s="13">
        <f ca="1">F21+F15+'Unlev. Consolid'!I33</f>
        <v>228604.56400807542</v>
      </c>
      <c r="G28" s="13">
        <f ca="1">G21+G15+'Unlev. Consolid'!J33</f>
        <v>229497.90749390156</v>
      </c>
      <c r="H28" s="13">
        <f ca="1">H21+H15+'Unlev. Consolid'!K33</f>
        <v>230192.40001259005</v>
      </c>
      <c r="I28" s="13">
        <f ca="1">I21+I15+'Unlev. Consolid'!L33</f>
        <v>230717.69428185653</v>
      </c>
      <c r="J28" s="13">
        <f ca="1">J21+J15+'Unlev. Consolid'!M33</f>
        <v>232023.17632176128</v>
      </c>
      <c r="K28" s="13">
        <f ca="1">K21+K15+'Unlev. Consolid'!N33</f>
        <v>234348.54934754409</v>
      </c>
      <c r="L28" s="13">
        <f ca="1">L21+L15+'Unlev. Consolid'!O33</f>
        <v>237064.22808482259</v>
      </c>
      <c r="M28" s="13">
        <f ca="1">M21+M15+'Unlev. Consolid'!P33</f>
        <v>240090.62460027676</v>
      </c>
      <c r="N28" s="13">
        <f ca="1">N21+N15+'Unlev. Consolid'!Q33</f>
        <v>243527.31217031454</v>
      </c>
      <c r="O28" s="13">
        <f>'Unlev. Consolid'!R47</f>
        <v>1772809</v>
      </c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</row>
    <row r="29" spans="1:84" x14ac:dyDescent="0.25">
      <c r="A29" t="s">
        <v>23</v>
      </c>
      <c r="D29" s="13">
        <f>'Unlev. Consolid'!G40</f>
        <v>243555</v>
      </c>
      <c r="E29" s="13">
        <f>'Unlev. Consolid'!H40</f>
        <v>243555</v>
      </c>
      <c r="F29" s="13">
        <f>'Unlev. Consolid'!I40</f>
        <v>243555</v>
      </c>
      <c r="G29" s="13">
        <f>'Unlev. Consolid'!J40</f>
        <v>243555</v>
      </c>
      <c r="H29" s="13">
        <f>'Unlev. Consolid'!K40</f>
        <v>243555</v>
      </c>
      <c r="I29" s="13">
        <f>'Unlev. Consolid'!L40</f>
        <v>243555</v>
      </c>
      <c r="J29" s="13">
        <f>'Unlev. Consolid'!M40</f>
        <v>243555</v>
      </c>
      <c r="K29" s="13">
        <f>'Unlev. Consolid'!N40</f>
        <v>243555</v>
      </c>
      <c r="L29" s="13">
        <f>'Unlev. Consolid'!O40</f>
        <v>243555</v>
      </c>
      <c r="M29" s="13">
        <f>'Unlev. Consolid'!P40</f>
        <v>243555</v>
      </c>
      <c r="N29" s="13">
        <f>'Unlev. Consolid'!Q40</f>
        <v>243555</v>
      </c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</row>
    <row r="30" spans="1:84" x14ac:dyDescent="0.25">
      <c r="A30" t="s">
        <v>34</v>
      </c>
      <c r="B30" s="186"/>
      <c r="D30" s="1">
        <f ca="1">D44</f>
        <v>-122810.10582856508</v>
      </c>
      <c r="E30" s="1">
        <f ca="1">E44</f>
        <v>-107422.07299816282</v>
      </c>
      <c r="F30" s="1">
        <f t="shared" ref="F30:N30" ca="1" si="9">F44</f>
        <v>-99289.738481803215</v>
      </c>
      <c r="G30" s="1">
        <f t="shared" ca="1" si="9"/>
        <v>-91512.29912782379</v>
      </c>
      <c r="H30" s="1">
        <f t="shared" ca="1" si="9"/>
        <v>-84069.410988248186</v>
      </c>
      <c r="I30" s="1">
        <f t="shared" ca="1" si="9"/>
        <v>-76934.023727588588</v>
      </c>
      <c r="J30" s="1">
        <f t="shared" ca="1" si="9"/>
        <v>-69527.995646984549</v>
      </c>
      <c r="K30" s="1">
        <f t="shared" ca="1" si="9"/>
        <v>-61714.994801984634</v>
      </c>
      <c r="L30" s="1">
        <f t="shared" ca="1" si="9"/>
        <v>-53884.035328472615</v>
      </c>
      <c r="M30" s="1">
        <f t="shared" ca="1" si="9"/>
        <v>-46083.366991484771</v>
      </c>
      <c r="N30" s="1">
        <f t="shared" ca="1" si="9"/>
        <v>-38252.407517972402</v>
      </c>
      <c r="O30" s="106">
        <f ca="1">N43</f>
        <v>1171825.3348677896</v>
      </c>
    </row>
    <row r="31" spans="1:84" s="38" customFormat="1" x14ac:dyDescent="0.25">
      <c r="A31" s="172" t="s">
        <v>32</v>
      </c>
      <c r="B31" s="180"/>
      <c r="C31" s="37"/>
      <c r="D31" s="58">
        <f ca="1">(D28-D29-D30)</f>
        <v>94257.149340420408</v>
      </c>
      <c r="E31" s="58">
        <f t="shared" ref="E31:N31" ca="1" si="10">(E28-E29-E30)</f>
        <v>91361.90551267931</v>
      </c>
      <c r="F31" s="58">
        <f t="shared" ca="1" si="10"/>
        <v>84339.302489878639</v>
      </c>
      <c r="G31" s="58">
        <f t="shared" ca="1" si="10"/>
        <v>77455.206621725345</v>
      </c>
      <c r="H31" s="58">
        <f t="shared" ca="1" si="10"/>
        <v>70706.811000838235</v>
      </c>
      <c r="I31" s="58">
        <f t="shared" ca="1" si="10"/>
        <v>64096.718009445118</v>
      </c>
      <c r="J31" s="58">
        <f t="shared" ca="1" si="10"/>
        <v>57996.171968745824</v>
      </c>
      <c r="K31" s="58">
        <f t="shared" ca="1" si="10"/>
        <v>52508.544149528723</v>
      </c>
      <c r="L31" s="58">
        <f t="shared" ca="1" si="10"/>
        <v>47393.263413295208</v>
      </c>
      <c r="M31" s="58">
        <f t="shared" ca="1" si="10"/>
        <v>42618.991591761529</v>
      </c>
      <c r="N31" s="58">
        <f t="shared" ca="1" si="10"/>
        <v>38224.719688286947</v>
      </c>
      <c r="O31" s="59">
        <f ca="1">(O28-O29-O30)</f>
        <v>600983.66513221036</v>
      </c>
    </row>
    <row r="32" spans="1:84" x14ac:dyDescent="0.25">
      <c r="A32" t="s">
        <v>132</v>
      </c>
      <c r="B32" s="130">
        <f>Assumptions!D8</f>
        <v>1</v>
      </c>
      <c r="C32" s="26">
        <f>-C9</f>
        <v>-213549.9222857994</v>
      </c>
      <c r="D32" s="26">
        <f ca="1">$B$32*D31</f>
        <v>94257.149340420408</v>
      </c>
      <c r="E32" s="26">
        <f t="shared" ref="E32:O32" ca="1" si="11">$B$32*E31</f>
        <v>91361.90551267931</v>
      </c>
      <c r="F32" s="26">
        <f t="shared" ca="1" si="11"/>
        <v>84339.302489878639</v>
      </c>
      <c r="G32" s="26">
        <f t="shared" ca="1" si="11"/>
        <v>77455.206621725345</v>
      </c>
      <c r="H32" s="26">
        <f t="shared" ca="1" si="11"/>
        <v>70706.811000838235</v>
      </c>
      <c r="I32" s="26">
        <f t="shared" ca="1" si="11"/>
        <v>64096.718009445118</v>
      </c>
      <c r="J32" s="26">
        <f t="shared" ca="1" si="11"/>
        <v>57996.171968745824</v>
      </c>
      <c r="K32" s="26">
        <f t="shared" ca="1" si="11"/>
        <v>52508.544149528723</v>
      </c>
      <c r="L32" s="26">
        <f t="shared" ca="1" si="11"/>
        <v>47393.263413295208</v>
      </c>
      <c r="M32" s="26">
        <f t="shared" ca="1" si="11"/>
        <v>42618.991591761529</v>
      </c>
      <c r="N32" s="26">
        <f t="shared" ca="1" si="11"/>
        <v>38224.719688286947</v>
      </c>
      <c r="O32" s="26">
        <f t="shared" ca="1" si="11"/>
        <v>600983.66513221036</v>
      </c>
    </row>
    <row r="33" spans="1:21" x14ac:dyDescent="0.25">
      <c r="B33" s="130"/>
      <c r="C33" s="26"/>
      <c r="D33" s="150"/>
      <c r="E33" s="150"/>
      <c r="F33" s="150"/>
      <c r="G33" s="150"/>
      <c r="H33" s="150"/>
      <c r="I33" s="150"/>
      <c r="J33" s="150"/>
      <c r="K33" s="150"/>
      <c r="L33" s="150"/>
      <c r="M33" s="150"/>
      <c r="N33" s="150"/>
      <c r="O33" s="150"/>
    </row>
    <row r="34" spans="1:21" x14ac:dyDescent="0.25">
      <c r="C34" s="26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"/>
      <c r="Q34" s="1"/>
      <c r="R34" s="1"/>
      <c r="S34" s="1"/>
      <c r="T34" s="1"/>
      <c r="U34" s="1"/>
    </row>
    <row r="35" spans="1:21" x14ac:dyDescent="0.25">
      <c r="A35" s="44"/>
      <c r="B35" s="181"/>
      <c r="C35" s="26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"/>
      <c r="Q35" s="1"/>
      <c r="R35" s="1"/>
      <c r="S35" s="1"/>
      <c r="T35" s="1"/>
      <c r="U35" s="1"/>
    </row>
    <row r="36" spans="1:21" s="38" customFormat="1" x14ac:dyDescent="0.25">
      <c r="B36" s="182"/>
      <c r="C36" s="167"/>
      <c r="D36" s="166"/>
      <c r="E36" s="166"/>
      <c r="F36" s="166"/>
      <c r="G36" s="166"/>
      <c r="H36" s="166"/>
      <c r="I36" s="166"/>
      <c r="J36" s="166"/>
      <c r="K36" s="166"/>
      <c r="L36" s="166"/>
      <c r="M36" s="166"/>
      <c r="N36" s="166"/>
      <c r="O36" s="166"/>
    </row>
    <row r="37" spans="1:21" x14ac:dyDescent="0.25">
      <c r="A37" s="49" t="s">
        <v>134</v>
      </c>
      <c r="C37" s="24"/>
      <c r="J37" s="1"/>
      <c r="K37" s="1"/>
      <c r="L37" s="100"/>
      <c r="M37" s="100"/>
      <c r="N37" s="100"/>
      <c r="O37" s="100"/>
      <c r="P37" s="100"/>
      <c r="Q37" s="100"/>
      <c r="R37" s="100"/>
      <c r="S37" s="100"/>
      <c r="T37" s="100"/>
      <c r="U37" s="1"/>
    </row>
    <row r="38" spans="1:21" x14ac:dyDescent="0.25">
      <c r="A38" t="s">
        <v>135</v>
      </c>
      <c r="C38" s="24"/>
      <c r="D38" s="1">
        <f ca="1">D42-D30</f>
        <v>443134.98925726418</v>
      </c>
      <c r="E38" s="1">
        <f ca="1">E42-E30</f>
        <v>550557.06225542701</v>
      </c>
      <c r="F38" s="1">
        <f t="shared" ref="F38:N38" ca="1" si="12">F42-F30</f>
        <v>649846.80073723022</v>
      </c>
      <c r="G38" s="1">
        <f t="shared" ca="1" si="12"/>
        <v>741359.09986505401</v>
      </c>
      <c r="H38" s="1">
        <f t="shared" ca="1" si="12"/>
        <v>825428.5108533022</v>
      </c>
      <c r="I38" s="1">
        <f t="shared" ca="1" si="12"/>
        <v>902362.53458089067</v>
      </c>
      <c r="J38" s="1">
        <f t="shared" ca="1" si="12"/>
        <v>971890.53022787499</v>
      </c>
      <c r="K38" s="1">
        <f t="shared" ca="1" si="12"/>
        <v>1033605.5250298596</v>
      </c>
      <c r="L38" s="1">
        <f t="shared" ca="1" si="12"/>
        <v>1087489.560358332</v>
      </c>
      <c r="M38" s="1">
        <f t="shared" ca="1" si="12"/>
        <v>1133572.927349817</v>
      </c>
      <c r="N38" s="1">
        <f t="shared" ca="1" si="12"/>
        <v>1171825.3348677896</v>
      </c>
      <c r="O38" s="1"/>
      <c r="P38" s="1"/>
      <c r="Q38" s="1"/>
      <c r="R38" s="1"/>
      <c r="S38" s="1"/>
      <c r="T38" s="1"/>
      <c r="U38" s="1"/>
    </row>
    <row r="39" spans="1:21" x14ac:dyDescent="0.25">
      <c r="A39" t="s">
        <v>136</v>
      </c>
      <c r="D39" s="1">
        <f ca="1">$C$9+D25-D31</f>
        <v>295423.32617150946</v>
      </c>
      <c r="E39" s="1">
        <f ca="1">E45+E25-E31</f>
        <v>367038.04150361801</v>
      </c>
      <c r="F39" s="1">
        <f t="shared" ref="F39:N39" ca="1" si="13">F45+F25-F31</f>
        <v>433231.20049148693</v>
      </c>
      <c r="G39" s="1">
        <f t="shared" ca="1" si="13"/>
        <v>494239.39991003601</v>
      </c>
      <c r="H39" s="1">
        <f t="shared" ca="1" si="13"/>
        <v>550285.67390220123</v>
      </c>
      <c r="I39" s="1">
        <f t="shared" ca="1" si="13"/>
        <v>601575.02305392688</v>
      </c>
      <c r="J39" s="1">
        <f t="shared" ca="1" si="13"/>
        <v>647927.02015191689</v>
      </c>
      <c r="K39" s="1">
        <f t="shared" ca="1" si="13"/>
        <v>689070.35001990641</v>
      </c>
      <c r="L39" s="1">
        <f t="shared" ca="1" si="13"/>
        <v>724993.040238888</v>
      </c>
      <c r="M39" s="1">
        <f t="shared" ca="1" si="13"/>
        <v>755715.28489987785</v>
      </c>
      <c r="N39" s="1">
        <f t="shared" ca="1" si="13"/>
        <v>781216.88991185999</v>
      </c>
      <c r="O39" s="1"/>
      <c r="P39" s="1"/>
      <c r="Q39" s="1"/>
      <c r="R39" s="1"/>
      <c r="S39" s="1"/>
      <c r="T39" s="1"/>
    </row>
    <row r="40" spans="1:21" x14ac:dyDescent="0.25">
      <c r="A40" s="23" t="s">
        <v>137</v>
      </c>
      <c r="D40" s="1">
        <f ca="1">D38+D39</f>
        <v>738558.31542877364</v>
      </c>
      <c r="E40" s="1">
        <f ca="1">E38+E39</f>
        <v>917595.10375904501</v>
      </c>
      <c r="F40" s="1">
        <f t="shared" ref="F40:N40" ca="1" si="14">F38+F39</f>
        <v>1083078.0012287172</v>
      </c>
      <c r="G40" s="1">
        <f t="shared" ca="1" si="14"/>
        <v>1235598.49977509</v>
      </c>
      <c r="H40" s="1">
        <f t="shared" ca="1" si="14"/>
        <v>1375714.1847555034</v>
      </c>
      <c r="I40" s="1">
        <f t="shared" ca="1" si="14"/>
        <v>1503937.5576348174</v>
      </c>
      <c r="J40" s="1">
        <f t="shared" ca="1" si="14"/>
        <v>1619817.5503797918</v>
      </c>
      <c r="K40" s="1">
        <f t="shared" ca="1" si="14"/>
        <v>1722675.8750497662</v>
      </c>
      <c r="L40" s="1">
        <f t="shared" ca="1" si="14"/>
        <v>1812482.60059722</v>
      </c>
      <c r="M40" s="1">
        <f t="shared" ca="1" si="14"/>
        <v>1889288.2122496949</v>
      </c>
      <c r="N40" s="1">
        <f t="shared" ca="1" si="14"/>
        <v>1953042.2247796496</v>
      </c>
      <c r="O40" s="1"/>
      <c r="P40" s="1"/>
      <c r="Q40" s="1"/>
      <c r="R40" s="1"/>
      <c r="S40" s="1"/>
      <c r="T40" s="1"/>
    </row>
    <row r="42" spans="1:21" x14ac:dyDescent="0.25">
      <c r="A42" t="s">
        <v>138</v>
      </c>
      <c r="D42" s="1">
        <f>C8</f>
        <v>320324.8834286991</v>
      </c>
      <c r="E42" s="1">
        <f ca="1">D43</f>
        <v>443134.98925726418</v>
      </c>
      <c r="F42" s="1">
        <f t="shared" ref="F42:N42" ca="1" si="15">E43</f>
        <v>550557.06225542701</v>
      </c>
      <c r="G42" s="1">
        <f t="shared" ca="1" si="15"/>
        <v>649846.80073723022</v>
      </c>
      <c r="H42" s="1">
        <f t="shared" ca="1" si="15"/>
        <v>741359.09986505401</v>
      </c>
      <c r="I42" s="1">
        <f t="shared" ca="1" si="15"/>
        <v>825428.5108533022</v>
      </c>
      <c r="J42" s="1">
        <f t="shared" ca="1" si="15"/>
        <v>902362.53458089067</v>
      </c>
      <c r="K42" s="1">
        <f t="shared" ca="1" si="15"/>
        <v>971890.53022787499</v>
      </c>
      <c r="L42" s="1">
        <f t="shared" ca="1" si="15"/>
        <v>1033605.5250298596</v>
      </c>
      <c r="M42" s="1">
        <f t="shared" ca="1" si="15"/>
        <v>1087489.560358332</v>
      </c>
      <c r="N42" s="1">
        <f t="shared" ca="1" si="15"/>
        <v>1133572.927349817</v>
      </c>
      <c r="O42" s="1"/>
      <c r="P42" s="1"/>
      <c r="Q42" s="1"/>
      <c r="R42" s="1"/>
      <c r="S42" s="1"/>
      <c r="T42" s="1"/>
    </row>
    <row r="43" spans="1:21" x14ac:dyDescent="0.25">
      <c r="A43" t="s">
        <v>139</v>
      </c>
      <c r="D43" s="1">
        <f ca="1">D40*$B$8</f>
        <v>443134.98925726418</v>
      </c>
      <c r="E43" s="1">
        <f ca="1">E40*$B$8</f>
        <v>550557.06225542701</v>
      </c>
      <c r="F43" s="1">
        <f t="shared" ref="F43:N43" ca="1" si="16">F40*$B$8</f>
        <v>649846.80073723022</v>
      </c>
      <c r="G43" s="1">
        <f t="shared" ca="1" si="16"/>
        <v>741359.09986505401</v>
      </c>
      <c r="H43" s="1">
        <f t="shared" ca="1" si="16"/>
        <v>825428.51085330208</v>
      </c>
      <c r="I43" s="1">
        <f t="shared" ca="1" si="16"/>
        <v>902362.53458089044</v>
      </c>
      <c r="J43" s="1">
        <f t="shared" ca="1" si="16"/>
        <v>971890.53022787499</v>
      </c>
      <c r="K43" s="1">
        <f t="shared" ca="1" si="16"/>
        <v>1033605.5250298596</v>
      </c>
      <c r="L43" s="1">
        <f t="shared" ca="1" si="16"/>
        <v>1087489.560358332</v>
      </c>
      <c r="M43" s="1">
        <f t="shared" ca="1" si="16"/>
        <v>1133572.9273498168</v>
      </c>
      <c r="N43" s="1">
        <f t="shared" ca="1" si="16"/>
        <v>1171825.3348677896</v>
      </c>
      <c r="O43" s="185"/>
      <c r="P43" s="1"/>
      <c r="Q43" s="1"/>
      <c r="R43" s="1"/>
      <c r="S43" s="1"/>
      <c r="T43" s="1"/>
    </row>
    <row r="44" spans="1:21" x14ac:dyDescent="0.25">
      <c r="A44" t="s">
        <v>34</v>
      </c>
      <c r="D44" s="1">
        <f ca="1">D42-D43</f>
        <v>-122810.10582856508</v>
      </c>
      <c r="E44" s="1">
        <f ca="1">E42-E43</f>
        <v>-107422.07299816282</v>
      </c>
      <c r="F44" s="1">
        <f t="shared" ref="F44:N44" ca="1" si="17">F42-F43</f>
        <v>-99289.738481803215</v>
      </c>
      <c r="G44" s="1">
        <f t="shared" ca="1" si="17"/>
        <v>-91512.29912782379</v>
      </c>
      <c r="H44" s="1">
        <f t="shared" ca="1" si="17"/>
        <v>-84069.41098824807</v>
      </c>
      <c r="I44" s="1">
        <f t="shared" ca="1" si="17"/>
        <v>-76934.023727588239</v>
      </c>
      <c r="J44" s="1">
        <f t="shared" ca="1" si="17"/>
        <v>-69527.995646984316</v>
      </c>
      <c r="K44" s="1">
        <f t="shared" ca="1" si="17"/>
        <v>-61714.994801984634</v>
      </c>
      <c r="L44" s="1">
        <f t="shared" ca="1" si="17"/>
        <v>-53884.035328472382</v>
      </c>
      <c r="M44" s="1">
        <f t="shared" ca="1" si="17"/>
        <v>-46083.366991484771</v>
      </c>
      <c r="N44" s="1">
        <f t="shared" ca="1" si="17"/>
        <v>-38252.407517972635</v>
      </c>
      <c r="O44" s="1"/>
      <c r="P44" s="1"/>
      <c r="Q44" s="1"/>
      <c r="R44" s="1"/>
      <c r="S44" s="1"/>
      <c r="T44" s="1"/>
    </row>
    <row r="45" spans="1:21" x14ac:dyDescent="0.25">
      <c r="A45" t="s">
        <v>192</v>
      </c>
      <c r="D45" s="1">
        <f>$C$9</f>
        <v>213549.9222857994</v>
      </c>
      <c r="E45" s="1">
        <f ca="1">D46</f>
        <v>295423.32617150946</v>
      </c>
      <c r="F45" s="1">
        <f t="shared" ref="F45:N45" ca="1" si="18">E46</f>
        <v>367038.04150361801</v>
      </c>
      <c r="G45" s="1">
        <f t="shared" ca="1" si="18"/>
        <v>433231.20049148687</v>
      </c>
      <c r="H45" s="1">
        <f t="shared" ca="1" si="18"/>
        <v>494239.39991003601</v>
      </c>
      <c r="I45" s="1">
        <f t="shared" ca="1" si="18"/>
        <v>550285.67390220147</v>
      </c>
      <c r="J45" s="1">
        <f t="shared" ca="1" si="18"/>
        <v>601575.02305392723</v>
      </c>
      <c r="K45" s="1">
        <f t="shared" ca="1" si="18"/>
        <v>647927.02015191677</v>
      </c>
      <c r="L45" s="1">
        <f t="shared" ca="1" si="18"/>
        <v>689070.35001990653</v>
      </c>
      <c r="M45" s="1">
        <f t="shared" ca="1" si="18"/>
        <v>724993.04023888812</v>
      </c>
      <c r="N45" s="1">
        <f t="shared" ca="1" si="18"/>
        <v>755715.28489987808</v>
      </c>
      <c r="O45" s="1"/>
      <c r="P45" s="1"/>
      <c r="Q45" s="1"/>
      <c r="R45" s="1"/>
      <c r="S45" s="1"/>
      <c r="T45" s="1"/>
    </row>
    <row r="46" spans="1:21" x14ac:dyDescent="0.25">
      <c r="A46" t="s">
        <v>140</v>
      </c>
      <c r="D46" s="1">
        <f ca="1">D40*(1-$B$8)</f>
        <v>295423.32617150946</v>
      </c>
      <c r="E46" s="1">
        <f ca="1">E40*(1-$B$8)</f>
        <v>367038.04150361801</v>
      </c>
      <c r="F46" s="1">
        <f t="shared" ref="F46:N46" ca="1" si="19">F40*(1-$B$8)</f>
        <v>433231.20049148687</v>
      </c>
      <c r="G46" s="1">
        <f t="shared" ca="1" si="19"/>
        <v>494239.39991003601</v>
      </c>
      <c r="H46" s="1">
        <f t="shared" ca="1" si="19"/>
        <v>550285.67390220135</v>
      </c>
      <c r="I46" s="1">
        <f t="shared" ca="1" si="19"/>
        <v>601575.023053927</v>
      </c>
      <c r="J46" s="1">
        <f t="shared" ca="1" si="19"/>
        <v>647927.02015191677</v>
      </c>
      <c r="K46" s="1">
        <f t="shared" ca="1" si="19"/>
        <v>689070.35001990653</v>
      </c>
      <c r="L46" s="1">
        <f t="shared" ca="1" si="19"/>
        <v>724993.040238888</v>
      </c>
      <c r="M46" s="1">
        <f t="shared" ca="1" si="19"/>
        <v>755715.28489987797</v>
      </c>
      <c r="N46" s="1">
        <f t="shared" ca="1" si="19"/>
        <v>781216.88991185988</v>
      </c>
      <c r="O46" s="1"/>
      <c r="P46" s="1"/>
      <c r="Q46" s="1"/>
      <c r="R46" s="1"/>
      <c r="S46" s="1"/>
      <c r="T46" s="1"/>
    </row>
    <row r="48" spans="1:21" x14ac:dyDescent="0.25">
      <c r="A48" t="s">
        <v>141</v>
      </c>
      <c r="B48" s="26"/>
      <c r="D48" s="183"/>
      <c r="E48" s="183"/>
      <c r="F48" s="183"/>
      <c r="G48" s="183"/>
      <c r="H48" s="183"/>
      <c r="I48" s="183"/>
      <c r="J48" s="183"/>
      <c r="K48" s="183"/>
      <c r="L48" s="183"/>
      <c r="M48" s="183"/>
      <c r="N48" s="183"/>
      <c r="P48" s="184"/>
      <c r="Q48" s="184"/>
      <c r="R48" s="184"/>
      <c r="S48" s="184"/>
      <c r="T48" s="184"/>
    </row>
    <row r="49" spans="1:21" x14ac:dyDescent="0.25">
      <c r="A49" s="23" t="s">
        <v>142</v>
      </c>
      <c r="B49" s="26"/>
      <c r="D49" s="183"/>
      <c r="E49" s="183"/>
      <c r="F49" s="183"/>
      <c r="G49" s="183"/>
      <c r="H49" s="183"/>
      <c r="I49" s="183"/>
      <c r="J49" s="183"/>
      <c r="K49" s="183"/>
      <c r="L49" s="183"/>
      <c r="M49" s="183"/>
      <c r="N49" s="183"/>
      <c r="P49" s="184"/>
      <c r="Q49" s="184"/>
      <c r="R49" s="184"/>
      <c r="S49" s="184"/>
      <c r="T49" s="184"/>
      <c r="U49" s="184"/>
    </row>
    <row r="51" spans="1:21" x14ac:dyDescent="0.25">
      <c r="A51" s="8" t="s">
        <v>143</v>
      </c>
      <c r="B51" s="8"/>
      <c r="D51" s="100">
        <f ca="1">D43/D40</f>
        <v>0.6</v>
      </c>
      <c r="E51" s="100">
        <f ca="1">E43/E40</f>
        <v>0.6</v>
      </c>
      <c r="F51" s="100">
        <f t="shared" ref="F51:N51" ca="1" si="20">F43/F40</f>
        <v>0.6</v>
      </c>
      <c r="G51" s="100">
        <f t="shared" ca="1" si="20"/>
        <v>0.6</v>
      </c>
      <c r="H51" s="100">
        <f t="shared" ca="1" si="20"/>
        <v>0.6</v>
      </c>
      <c r="I51" s="100">
        <f t="shared" ca="1" si="20"/>
        <v>0.6</v>
      </c>
      <c r="J51" s="100">
        <f t="shared" ca="1" si="20"/>
        <v>0.6</v>
      </c>
      <c r="K51" s="100">
        <f t="shared" ca="1" si="20"/>
        <v>0.6</v>
      </c>
      <c r="L51" s="100">
        <f t="shared" ca="1" si="20"/>
        <v>0.6</v>
      </c>
      <c r="M51" s="100">
        <f t="shared" ca="1" si="20"/>
        <v>0.6</v>
      </c>
      <c r="N51" s="100">
        <f t="shared" ca="1" si="20"/>
        <v>0.6</v>
      </c>
      <c r="P51" s="100"/>
      <c r="Q51" s="100"/>
      <c r="R51" s="100"/>
      <c r="S51" s="100"/>
      <c r="T51" s="100"/>
    </row>
    <row r="52" spans="1:21" x14ac:dyDescent="0.25">
      <c r="A52" s="39" t="s">
        <v>32</v>
      </c>
      <c r="B52" s="8"/>
      <c r="D52" s="26">
        <f ca="1">$C$9-D46+D25</f>
        <v>94257.14934042035</v>
      </c>
      <c r="E52" s="26">
        <f ca="1">E45-E46+E25</f>
        <v>91361.90551267931</v>
      </c>
      <c r="F52" s="26">
        <f t="shared" ref="F52:N52" ca="1" si="21">F45-F46+F25</f>
        <v>84339.302489878726</v>
      </c>
      <c r="G52" s="26">
        <f t="shared" ca="1" si="21"/>
        <v>77455.206621725287</v>
      </c>
      <c r="H52" s="26">
        <f t="shared" ca="1" si="21"/>
        <v>70706.811000838206</v>
      </c>
      <c r="I52" s="26">
        <f t="shared" ca="1" si="21"/>
        <v>64096.718009445074</v>
      </c>
      <c r="J52" s="26">
        <f t="shared" ca="1" si="21"/>
        <v>57996.171968746057</v>
      </c>
      <c r="K52" s="26">
        <f t="shared" ca="1" si="21"/>
        <v>52508.544149528665</v>
      </c>
      <c r="L52" s="26">
        <f t="shared" ca="1" si="21"/>
        <v>47393.263413295441</v>
      </c>
      <c r="M52" s="26">
        <f t="shared" ca="1" si="21"/>
        <v>42618.991591761238</v>
      </c>
      <c r="N52" s="26">
        <f t="shared" ca="1" si="21"/>
        <v>38224.719688287056</v>
      </c>
      <c r="O52" s="1"/>
      <c r="P52" s="1"/>
      <c r="Q52" s="1"/>
      <c r="R52" s="1"/>
      <c r="S52" s="1"/>
      <c r="T52" s="1"/>
    </row>
    <row r="56" spans="1:21" ht="15.6" x14ac:dyDescent="0.3">
      <c r="D56" s="299" t="s">
        <v>163</v>
      </c>
    </row>
    <row r="57" spans="1:21" ht="13.8" thickBot="1" x14ac:dyDescent="0.3"/>
    <row r="58" spans="1:21" x14ac:dyDescent="0.25">
      <c r="D58" s="202"/>
      <c r="E58" s="194" t="s">
        <v>165</v>
      </c>
      <c r="F58" s="194"/>
      <c r="G58" s="195"/>
    </row>
    <row r="59" spans="1:21" x14ac:dyDescent="0.25">
      <c r="D59" s="309" t="s">
        <v>164</v>
      </c>
      <c r="E59" s="310">
        <f t="shared" ref="E59:G60" si="22">F6</f>
        <v>0.1</v>
      </c>
      <c r="F59" s="310">
        <f t="shared" si="22"/>
        <v>0.125</v>
      </c>
      <c r="G59" s="311">
        <f t="shared" si="22"/>
        <v>0.15</v>
      </c>
    </row>
    <row r="60" spans="1:21" x14ac:dyDescent="0.25">
      <c r="D60" s="302">
        <f>B8</f>
        <v>0.6</v>
      </c>
      <c r="E60" s="303">
        <f t="shared" ca="1" si="22"/>
        <v>439673.82375962788</v>
      </c>
      <c r="F60" s="303">
        <f t="shared" ca="1" si="22"/>
        <v>352993.91538634326</v>
      </c>
      <c r="G60" s="304">
        <f t="shared" ca="1" si="22"/>
        <v>283619.05053066224</v>
      </c>
    </row>
    <row r="61" spans="1:21" x14ac:dyDescent="0.25">
      <c r="D61" s="369">
        <v>0.2</v>
      </c>
      <c r="E61" s="305">
        <f t="dataTable" ref="E61:G69" dt2D="0" dtr="0" r1="B8" ca="1"/>
        <v>249113.73800904758</v>
      </c>
      <c r="F61" s="305">
        <v>117664.6532931556</v>
      </c>
      <c r="G61" s="306">
        <v>16860.197085429449</v>
      </c>
    </row>
    <row r="62" spans="1:21" x14ac:dyDescent="0.25">
      <c r="D62" s="369">
        <f>D61+10%</f>
        <v>0.30000000000000004</v>
      </c>
      <c r="E62" s="305">
        <v>296753.75944669277</v>
      </c>
      <c r="F62" s="305">
        <v>176496.96881645243</v>
      </c>
      <c r="G62" s="306">
        <v>83549.91044673766</v>
      </c>
    </row>
    <row r="63" spans="1:21" x14ac:dyDescent="0.25">
      <c r="D63" s="369">
        <f>D62+10%</f>
        <v>0.4</v>
      </c>
      <c r="E63" s="305">
        <v>344393.7808843375</v>
      </c>
      <c r="F63" s="305">
        <v>235329.28433974914</v>
      </c>
      <c r="G63" s="306">
        <v>150239.62380804564</v>
      </c>
    </row>
    <row r="64" spans="1:21" x14ac:dyDescent="0.25">
      <c r="D64" s="369">
        <f>D63+10%</f>
        <v>0.5</v>
      </c>
      <c r="E64" s="305">
        <v>392033.80232198292</v>
      </c>
      <c r="F64" s="305">
        <v>294161.59986304655</v>
      </c>
      <c r="G64" s="306">
        <v>216929.33716935414</v>
      </c>
    </row>
    <row r="65" spans="4:7" x14ac:dyDescent="0.25">
      <c r="D65" s="369">
        <v>0.6</v>
      </c>
      <c r="E65" s="305">
        <v>439673.82375962811</v>
      </c>
      <c r="F65" s="305">
        <v>352993.91538634361</v>
      </c>
      <c r="G65" s="306">
        <v>283619.05053066247</v>
      </c>
    </row>
    <row r="66" spans="4:7" x14ac:dyDescent="0.25">
      <c r="D66" s="369">
        <f>D65+10%</f>
        <v>0.7</v>
      </c>
      <c r="E66" s="305">
        <v>487313.8451972726</v>
      </c>
      <c r="F66" s="305">
        <v>411826.23090964009</v>
      </c>
      <c r="G66" s="306">
        <v>350308.76389197033</v>
      </c>
    </row>
    <row r="67" spans="4:7" x14ac:dyDescent="0.25">
      <c r="D67" s="369">
        <f>D66+10%</f>
        <v>0.79999999999999993</v>
      </c>
      <c r="E67" s="305">
        <v>534953.86663491838</v>
      </c>
      <c r="F67" s="305">
        <v>470658.54643293755</v>
      </c>
      <c r="G67" s="306">
        <v>416998.47725327901</v>
      </c>
    </row>
    <row r="68" spans="4:7" x14ac:dyDescent="0.25">
      <c r="D68" s="369">
        <f>D67+10%</f>
        <v>0.89999999999999991</v>
      </c>
      <c r="E68" s="305">
        <v>582593.88807256287</v>
      </c>
      <c r="F68" s="305">
        <v>529490.86195623409</v>
      </c>
      <c r="G68" s="306">
        <v>483688.19061458699</v>
      </c>
    </row>
    <row r="69" spans="4:7" ht="13.8" thickBot="1" x14ac:dyDescent="0.3">
      <c r="D69" s="370">
        <v>0.99</v>
      </c>
      <c r="E69" s="307">
        <v>625469.90736644377</v>
      </c>
      <c r="F69" s="307">
        <v>582439.94592720165</v>
      </c>
      <c r="G69" s="308">
        <v>543708.93263976427</v>
      </c>
    </row>
  </sheetData>
  <phoneticPr fontId="0" type="noConversion"/>
  <conditionalFormatting sqref="D51:N51">
    <cfRule type="cellIs" priority="1" stopIfTrue="1" operator="notEqual">
      <formula>A$8</formula>
    </cfRule>
  </conditionalFormatting>
  <pageMargins left="0.75" right="0.75" top="1" bottom="1" header="0.5" footer="0.5"/>
  <pageSetup scale="75" fitToHeight="2" orientation="landscape" r:id="rId1"/>
  <headerFooter alignWithMargins="0">
    <oddFooter>&amp;R&amp;F
&amp;A
&amp;D&amp;T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F66"/>
  <sheetViews>
    <sheetView topLeftCell="A42" zoomScale="75" zoomScaleNormal="100" workbookViewId="0">
      <selection activeCell="J63" sqref="J63"/>
    </sheetView>
  </sheetViews>
  <sheetFormatPr defaultRowHeight="13.2" x14ac:dyDescent="0.25"/>
  <cols>
    <col min="1" max="1" width="19.33203125" customWidth="1"/>
    <col min="2" max="2" width="14.88671875" bestFit="1" customWidth="1"/>
    <col min="3" max="3" width="13.6640625" customWidth="1"/>
    <col min="4" max="4" width="11" customWidth="1"/>
    <col min="5" max="5" width="13.88671875" bestFit="1" customWidth="1"/>
    <col min="6" max="6" width="14.109375" style="38" customWidth="1"/>
    <col min="7" max="7" width="11.33203125" customWidth="1"/>
    <col min="8" max="10" width="12.33203125" customWidth="1"/>
    <col min="11" max="11" width="12.88671875" bestFit="1" customWidth="1"/>
    <col min="12" max="12" width="15" bestFit="1" customWidth="1"/>
    <col min="13" max="13" width="12.88671875" bestFit="1" customWidth="1"/>
    <col min="14" max="14" width="12.33203125" customWidth="1"/>
    <col min="15" max="15" width="12.88671875" bestFit="1" customWidth="1"/>
    <col min="16" max="16" width="12.33203125" customWidth="1"/>
    <col min="17" max="17" width="12.88671875" bestFit="1" customWidth="1"/>
    <col min="18" max="18" width="12.33203125" customWidth="1"/>
    <col min="19" max="19" width="11.33203125" bestFit="1" customWidth="1"/>
  </cols>
  <sheetData>
    <row r="1" spans="1:32" ht="18" thickBot="1" x14ac:dyDescent="0.35">
      <c r="A1" s="374" t="str">
        <f>Assumptions!D5</f>
        <v>Oneok</v>
      </c>
      <c r="B1" s="38"/>
    </row>
    <row r="2" spans="1:32" ht="15.6" x14ac:dyDescent="0.3">
      <c r="A2" s="375" t="s">
        <v>162</v>
      </c>
      <c r="B2" s="376"/>
      <c r="C2" s="90"/>
      <c r="E2" s="193" t="s">
        <v>172</v>
      </c>
      <c r="F2" s="215"/>
      <c r="G2" s="194"/>
      <c r="H2" s="194"/>
      <c r="I2" s="194"/>
      <c r="J2" s="195"/>
    </row>
    <row r="3" spans="1:32" x14ac:dyDescent="0.25">
      <c r="A3" s="39"/>
      <c r="B3" s="90"/>
      <c r="C3" s="90"/>
      <c r="E3" s="196" t="str">
        <f>IF(J64="","", "Warning: Check the Consolidated Purchase Price and the separate Asset Purchase Price")</f>
        <v/>
      </c>
      <c r="G3" s="38"/>
      <c r="H3" s="38"/>
      <c r="I3" s="38"/>
      <c r="J3" s="197"/>
    </row>
    <row r="4" spans="1:32" ht="13.8" thickBot="1" x14ac:dyDescent="0.3">
      <c r="A4" s="40"/>
      <c r="E4" s="263" t="str">
        <f>IF(CLoop&lt;&gt;0,"Run Macro","")</f>
        <v/>
      </c>
      <c r="F4" s="216"/>
      <c r="G4" s="217"/>
      <c r="H4" s="218"/>
      <c r="I4" s="200"/>
      <c r="J4" s="201"/>
    </row>
    <row r="5" spans="1:32" x14ac:dyDescent="0.25">
      <c r="A5" s="40"/>
      <c r="E5" s="219"/>
      <c r="F5" s="95"/>
      <c r="G5" s="219"/>
      <c r="H5" s="52"/>
      <c r="I5" s="38"/>
      <c r="J5" s="38"/>
    </row>
    <row r="6" spans="1:32" x14ac:dyDescent="0.25">
      <c r="A6" s="10" t="s">
        <v>91</v>
      </c>
      <c r="E6" s="220"/>
      <c r="F6" s="221">
        <f>G6-1</f>
        <v>1999</v>
      </c>
      <c r="G6" s="34">
        <f>Assumptions!$D$12</f>
        <v>2000</v>
      </c>
      <c r="H6" s="34">
        <f>G6+1</f>
        <v>2001</v>
      </c>
      <c r="I6" s="34">
        <f t="shared" ref="I6:Q6" si="0">H6+1</f>
        <v>2002</v>
      </c>
      <c r="J6" s="34">
        <f t="shared" si="0"/>
        <v>2003</v>
      </c>
      <c r="K6" s="34">
        <f t="shared" si="0"/>
        <v>2004</v>
      </c>
      <c r="L6" s="34">
        <f t="shared" si="0"/>
        <v>2005</v>
      </c>
      <c r="M6" s="34">
        <f t="shared" si="0"/>
        <v>2006</v>
      </c>
      <c r="N6" s="34">
        <f t="shared" si="0"/>
        <v>2007</v>
      </c>
      <c r="O6" s="34">
        <f t="shared" si="0"/>
        <v>2008</v>
      </c>
      <c r="P6" s="34">
        <f t="shared" si="0"/>
        <v>2009</v>
      </c>
      <c r="Q6" s="34">
        <f t="shared" si="0"/>
        <v>2010</v>
      </c>
    </row>
    <row r="7" spans="1:32" x14ac:dyDescent="0.25">
      <c r="A7" s="22" t="s">
        <v>18</v>
      </c>
      <c r="B7" s="44" t="s">
        <v>97</v>
      </c>
      <c r="E7" s="222"/>
      <c r="F7" s="388"/>
    </row>
    <row r="8" spans="1:32" x14ac:dyDescent="0.25">
      <c r="A8" t="str">
        <f>'Asset 1'!A2</f>
        <v xml:space="preserve">  T&amp;S - Cash Flow Analysis</v>
      </c>
      <c r="B8" s="148">
        <f>Assumptions!$C$37</f>
        <v>1</v>
      </c>
      <c r="C8" s="66"/>
      <c r="E8" s="224"/>
      <c r="F8" s="225">
        <f>'Asset 1'!F11*$B$8</f>
        <v>109386</v>
      </c>
      <c r="G8" s="67">
        <f>'Asset 1'!G11*$B$8</f>
        <v>109386</v>
      </c>
      <c r="H8" s="67">
        <f>'Asset 1'!H11*$B$8</f>
        <v>109386</v>
      </c>
      <c r="I8" s="67">
        <f>'Asset 1'!I11*$B$8</f>
        <v>109386</v>
      </c>
      <c r="J8" s="67">
        <f>'Asset 1'!J11*$B$8</f>
        <v>109386</v>
      </c>
      <c r="K8" s="67">
        <f>'Asset 1'!K11*$B$8</f>
        <v>109386</v>
      </c>
      <c r="L8" s="67">
        <f>'Asset 1'!L11*$B$8</f>
        <v>109386</v>
      </c>
      <c r="M8" s="67">
        <f>'Asset 1'!M11*$B$8</f>
        <v>109386</v>
      </c>
      <c r="N8" s="67">
        <f>'Asset 1'!N11*$B$8</f>
        <v>109386</v>
      </c>
      <c r="O8" s="67">
        <f>'Asset 1'!O11*$B$8</f>
        <v>109386</v>
      </c>
      <c r="P8" s="67">
        <f>'Asset 1'!P11*$B$8</f>
        <v>109386</v>
      </c>
      <c r="Q8" s="67">
        <f>'Asset 1'!Q11*$B$8</f>
        <v>109386</v>
      </c>
      <c r="R8" s="38"/>
      <c r="S8" s="38"/>
      <c r="T8" s="38"/>
      <c r="U8" s="38"/>
      <c r="V8" s="38"/>
      <c r="W8" s="38"/>
      <c r="X8" s="38"/>
      <c r="Y8" s="38"/>
      <c r="Z8" s="38"/>
      <c r="AA8" s="38"/>
      <c r="AB8" s="38"/>
      <c r="AC8" s="38"/>
      <c r="AD8" s="38"/>
      <c r="AE8" s="38"/>
      <c r="AF8" s="38"/>
    </row>
    <row r="9" spans="1:32" x14ac:dyDescent="0.25">
      <c r="A9" t="str">
        <f>'Asset 2'!A2</f>
        <v xml:space="preserve">  Marketing - Cash Flow Analysis</v>
      </c>
      <c r="B9" s="148">
        <f>Assumptions!$C$40</f>
        <v>1</v>
      </c>
      <c r="C9" s="66"/>
      <c r="E9" s="224"/>
      <c r="F9" s="225">
        <f>'Asset 2'!F11*$B$9</f>
        <v>35443</v>
      </c>
      <c r="G9" s="67">
        <f>'Asset 2'!G11*$B$9</f>
        <v>35443</v>
      </c>
      <c r="H9" s="67">
        <f>'Asset 2'!H11*$B$9</f>
        <v>35443</v>
      </c>
      <c r="I9" s="67">
        <f>'Asset 2'!I11*$B$9</f>
        <v>35443</v>
      </c>
      <c r="J9" s="67">
        <f>'Asset 2'!J11*$B$9</f>
        <v>35443</v>
      </c>
      <c r="K9" s="67">
        <f>'Asset 2'!K11*$B$9</f>
        <v>35443</v>
      </c>
      <c r="L9" s="67">
        <f>'Asset 2'!L11*$B$9</f>
        <v>35443</v>
      </c>
      <c r="M9" s="67">
        <f>'Asset 2'!M11*$B$9</f>
        <v>35443</v>
      </c>
      <c r="N9" s="67">
        <f>'Asset 2'!N11*$B$9</f>
        <v>35443</v>
      </c>
      <c r="O9" s="67">
        <f>'Asset 2'!O11*$B$9</f>
        <v>35443</v>
      </c>
      <c r="P9" s="67">
        <f>'Asset 2'!P11*$B$9</f>
        <v>35443</v>
      </c>
      <c r="Q9" s="67">
        <f>'Asset 2'!Q11*$B$9</f>
        <v>35443</v>
      </c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</row>
    <row r="10" spans="1:32" x14ac:dyDescent="0.25">
      <c r="A10" t="str">
        <f>'Asset 3'!A2</f>
        <v xml:space="preserve">  Gath. &amp; Proc. - Cash Flow Analysis</v>
      </c>
      <c r="B10" s="148">
        <f>Assumptions!$C$43</f>
        <v>1</v>
      </c>
      <c r="C10" s="66"/>
      <c r="E10" s="224"/>
      <c r="F10" s="225">
        <f>'Asset 3'!F11*$B$10</f>
        <v>83790</v>
      </c>
      <c r="G10" s="67">
        <f>'Asset 3'!G11*$B$10</f>
        <v>83790</v>
      </c>
      <c r="H10" s="67">
        <f>'Asset 3'!H11*$B$10</f>
        <v>83790</v>
      </c>
      <c r="I10" s="67">
        <f>'Asset 3'!I11*$B$10</f>
        <v>83790</v>
      </c>
      <c r="J10" s="67">
        <f>'Asset 3'!J11*$B$10</f>
        <v>83790</v>
      </c>
      <c r="K10" s="67">
        <f>'Asset 3'!K11*$B$10</f>
        <v>83790</v>
      </c>
      <c r="L10" s="67">
        <f>'Asset 3'!L11*$B$10</f>
        <v>83790</v>
      </c>
      <c r="M10" s="67">
        <f>'Asset 3'!M11*$B$10</f>
        <v>83790</v>
      </c>
      <c r="N10" s="67">
        <f>'Asset 3'!N11*$B$10</f>
        <v>83790</v>
      </c>
      <c r="O10" s="67">
        <f>'Asset 3'!O11*$B$10</f>
        <v>83790</v>
      </c>
      <c r="P10" s="67">
        <f>'Asset 3'!P11*$B$10</f>
        <v>83790</v>
      </c>
      <c r="Q10" s="67">
        <f>'Asset 3'!Q11*$B$10</f>
        <v>83790</v>
      </c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</row>
    <row r="11" spans="1:32" x14ac:dyDescent="0.25">
      <c r="A11" t="str">
        <f>'Asset 4'!A2</f>
        <v xml:space="preserve">  Production - Cash Flow Analysis</v>
      </c>
      <c r="B11" s="148">
        <f>Assumptions!$C$46</f>
        <v>1</v>
      </c>
      <c r="E11" s="244"/>
      <c r="F11" s="225">
        <f>'Asset 4'!F11*$B$11</f>
        <v>69254</v>
      </c>
      <c r="G11" s="67">
        <f>'Asset 4'!G11*$B$11</f>
        <v>69254</v>
      </c>
      <c r="H11" s="67">
        <f>'Asset 4'!H11*$B$11</f>
        <v>69254</v>
      </c>
      <c r="I11" s="67">
        <f>'Asset 4'!I11*$B$11</f>
        <v>69254</v>
      </c>
      <c r="J11" s="67">
        <f>'Asset 4'!J11*$B$11</f>
        <v>69254</v>
      </c>
      <c r="K11" s="67">
        <f>'Asset 4'!K11*$B$11</f>
        <v>69254</v>
      </c>
      <c r="L11" s="67">
        <f>'Asset 4'!L11*$B$11</f>
        <v>69254</v>
      </c>
      <c r="M11" s="67">
        <f>'Asset 4'!M11*$B$11</f>
        <v>69254</v>
      </c>
      <c r="N11" s="67">
        <f>'Asset 4'!N11*$B$11</f>
        <v>69254</v>
      </c>
      <c r="O11" s="67">
        <f>'Asset 4'!O11*$B$11</f>
        <v>69254</v>
      </c>
      <c r="P11" s="67">
        <f>'Asset 4'!P11*$B$11</f>
        <v>69254</v>
      </c>
      <c r="Q11" s="67">
        <f>'Asset 4'!Q11*$B$11</f>
        <v>69254</v>
      </c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</row>
    <row r="12" spans="1:32" x14ac:dyDescent="0.25">
      <c r="A12" t="str">
        <f>'Asset 5'!$A$2</f>
        <v xml:space="preserve">  Distribution - Cash Flow Analysis</v>
      </c>
      <c r="B12" s="148">
        <f>Assumptions!$C$49</f>
        <v>1</v>
      </c>
      <c r="E12" s="244"/>
      <c r="F12" s="225">
        <f>'Asset 5'!F11*$B$12</f>
        <v>404384</v>
      </c>
      <c r="G12" s="67">
        <f>'Asset 5'!G11*$B$12</f>
        <v>404384</v>
      </c>
      <c r="H12" s="67">
        <f>'Asset 5'!H11*$B$12</f>
        <v>404384</v>
      </c>
      <c r="I12" s="67">
        <f>'Asset 5'!I11*$B$12</f>
        <v>404384</v>
      </c>
      <c r="J12" s="67">
        <f>'Asset 5'!J11*$B$12</f>
        <v>404384</v>
      </c>
      <c r="K12" s="67">
        <f>'Asset 5'!K11*$B$12</f>
        <v>404384</v>
      </c>
      <c r="L12" s="67">
        <f>'Asset 5'!L11*$B$12</f>
        <v>404384</v>
      </c>
      <c r="M12" s="67">
        <f>'Asset 5'!M11*$B$12</f>
        <v>404384</v>
      </c>
      <c r="N12" s="67">
        <f>'Asset 5'!N11*$B$12</f>
        <v>404384</v>
      </c>
      <c r="O12" s="67">
        <f>'Asset 5'!O11*$B$12</f>
        <v>404384</v>
      </c>
      <c r="P12" s="67">
        <f>'Asset 5'!P11*$B$12</f>
        <v>404384</v>
      </c>
      <c r="Q12" s="67">
        <f>'Asset 5'!Q11*$B$12</f>
        <v>404384</v>
      </c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</row>
    <row r="13" spans="1:32" x14ac:dyDescent="0.25">
      <c r="A13" t="str">
        <f>'Asset 6'!$A$2</f>
        <v xml:space="preserve">  Other - Cash Flow Analysis</v>
      </c>
      <c r="B13" s="148">
        <f>Assumptions!$C$52</f>
        <v>1</v>
      </c>
      <c r="E13" s="244"/>
      <c r="F13" s="225">
        <f>'Asset 6'!F11*$B$13</f>
        <v>-15471</v>
      </c>
      <c r="G13" s="67">
        <f>'Asset 6'!G11*$B$13</f>
        <v>-15471</v>
      </c>
      <c r="H13" s="67">
        <f>'Asset 6'!H11*$B$13</f>
        <v>-15471</v>
      </c>
      <c r="I13" s="67">
        <f>'Asset 6'!I11*$B$13</f>
        <v>-15471</v>
      </c>
      <c r="J13" s="67">
        <f>'Asset 6'!J11*$B$13</f>
        <v>-15471</v>
      </c>
      <c r="K13" s="67">
        <f>'Asset 6'!K11*$B$13</f>
        <v>-15471</v>
      </c>
      <c r="L13" s="67">
        <f>'Asset 6'!L11*$B$13</f>
        <v>-15471</v>
      </c>
      <c r="M13" s="67">
        <f>'Asset 6'!M11*$B$13</f>
        <v>-15471</v>
      </c>
      <c r="N13" s="67">
        <f>'Asset 6'!N11*$B$13</f>
        <v>-15471</v>
      </c>
      <c r="O13" s="67">
        <f>'Asset 6'!O11*$B$13</f>
        <v>-15471</v>
      </c>
      <c r="P13" s="67">
        <f>'Asset 6'!P11*$B$13</f>
        <v>-15471</v>
      </c>
      <c r="Q13" s="67">
        <f>'Asset 6'!Q11*$B$13</f>
        <v>-15471</v>
      </c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</row>
    <row r="14" spans="1:32" x14ac:dyDescent="0.25">
      <c r="A14" s="53" t="s">
        <v>0</v>
      </c>
      <c r="B14" s="37"/>
      <c r="C14" s="37"/>
      <c r="D14" s="37"/>
      <c r="E14" s="227"/>
      <c r="F14" s="389">
        <f>SUM(F8:F13)</f>
        <v>686786</v>
      </c>
      <c r="G14" s="51">
        <f>SUM(G8:G13)</f>
        <v>686786</v>
      </c>
      <c r="H14" s="51">
        <f t="shared" ref="H14:Q14" si="1">SUM(H8:H13)</f>
        <v>686786</v>
      </c>
      <c r="I14" s="51">
        <f t="shared" si="1"/>
        <v>686786</v>
      </c>
      <c r="J14" s="51">
        <f t="shared" si="1"/>
        <v>686786</v>
      </c>
      <c r="K14" s="51">
        <f t="shared" si="1"/>
        <v>686786</v>
      </c>
      <c r="L14" s="51">
        <f t="shared" si="1"/>
        <v>686786</v>
      </c>
      <c r="M14" s="51">
        <f t="shared" si="1"/>
        <v>686786</v>
      </c>
      <c r="N14" s="51">
        <f t="shared" si="1"/>
        <v>686786</v>
      </c>
      <c r="O14" s="51">
        <f t="shared" si="1"/>
        <v>686786</v>
      </c>
      <c r="P14" s="51">
        <f t="shared" si="1"/>
        <v>686786</v>
      </c>
      <c r="Q14" s="390">
        <f t="shared" si="1"/>
        <v>686786</v>
      </c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</row>
    <row r="15" spans="1:32" x14ac:dyDescent="0.25">
      <c r="E15" s="229"/>
      <c r="F15" s="230"/>
      <c r="G15" s="145"/>
      <c r="H15" s="145"/>
      <c r="I15" s="42"/>
      <c r="J15" s="42"/>
      <c r="K15" s="42"/>
      <c r="L15" s="42"/>
      <c r="M15" s="42"/>
      <c r="N15" s="42"/>
      <c r="O15" s="42"/>
      <c r="P15" s="42"/>
      <c r="Q15" s="42"/>
    </row>
    <row r="16" spans="1:32" x14ac:dyDescent="0.25">
      <c r="A16" s="22" t="s">
        <v>19</v>
      </c>
      <c r="B16" s="44" t="s">
        <v>97</v>
      </c>
      <c r="E16" s="231"/>
      <c r="F16" s="232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</row>
    <row r="17" spans="1:17" x14ac:dyDescent="0.25">
      <c r="A17" t="str">
        <f t="shared" ref="A17:A23" si="2">A8</f>
        <v xml:space="preserve">  T&amp;S - Cash Flow Analysis</v>
      </c>
      <c r="B17" s="148">
        <f>Assumptions!$C$37</f>
        <v>1</v>
      </c>
      <c r="E17" s="233"/>
      <c r="F17" s="232">
        <f>'Asset 1'!F14*$B$17</f>
        <v>33894</v>
      </c>
      <c r="G17" s="80">
        <f>'Asset 1'!G14*$B$17</f>
        <v>33894</v>
      </c>
      <c r="H17" s="80">
        <f>'Asset 1'!H14*$B$17</f>
        <v>33894</v>
      </c>
      <c r="I17" s="80">
        <f>'Asset 1'!I14*$B$17</f>
        <v>33894</v>
      </c>
      <c r="J17" s="80">
        <f>'Asset 1'!J14*$B$17</f>
        <v>33894</v>
      </c>
      <c r="K17" s="80">
        <f>'Asset 1'!K14*$B$17</f>
        <v>33894</v>
      </c>
      <c r="L17" s="80">
        <f>'Asset 1'!L14*$B$17</f>
        <v>33894</v>
      </c>
      <c r="M17" s="80">
        <f>'Asset 1'!M14*$B$17</f>
        <v>33894</v>
      </c>
      <c r="N17" s="80">
        <f>'Asset 1'!N14*$B$17</f>
        <v>33894</v>
      </c>
      <c r="O17" s="80">
        <f>'Asset 1'!O14*$B$17</f>
        <v>33894</v>
      </c>
      <c r="P17" s="80">
        <f>'Asset 1'!P14*$B$17</f>
        <v>33894</v>
      </c>
      <c r="Q17" s="80">
        <f>'Asset 1'!Q14*$B$17</f>
        <v>33894</v>
      </c>
    </row>
    <row r="18" spans="1:17" x14ac:dyDescent="0.25">
      <c r="A18" t="str">
        <f t="shared" si="2"/>
        <v xml:space="preserve">  Marketing - Cash Flow Analysis</v>
      </c>
      <c r="B18" s="148">
        <f>Assumptions!$C$40</f>
        <v>1</v>
      </c>
      <c r="E18" s="233"/>
      <c r="F18" s="232">
        <f>'Asset 2'!F14*$B$18</f>
        <v>9069</v>
      </c>
      <c r="G18" s="80">
        <f>'Asset 2'!G14*$B$18</f>
        <v>9069</v>
      </c>
      <c r="H18" s="80">
        <f>'Asset 2'!H14*$B$18</f>
        <v>9069</v>
      </c>
      <c r="I18" s="80">
        <f>'Asset 2'!I14*$B$18</f>
        <v>9069</v>
      </c>
      <c r="J18" s="80">
        <f>'Asset 2'!J14*$B$18</f>
        <v>9069</v>
      </c>
      <c r="K18" s="80">
        <f>'Asset 2'!K14*$B$18</f>
        <v>9069</v>
      </c>
      <c r="L18" s="80">
        <f>'Asset 2'!L14*$B$18</f>
        <v>9069</v>
      </c>
      <c r="M18" s="80">
        <f>'Asset 2'!M14*$B$18</f>
        <v>9069</v>
      </c>
      <c r="N18" s="80">
        <f>'Asset 2'!N14*$B$18</f>
        <v>9069</v>
      </c>
      <c r="O18" s="80">
        <f>'Asset 2'!O14*$B$18</f>
        <v>9069</v>
      </c>
      <c r="P18" s="80">
        <f>'Asset 2'!P14*$B$18</f>
        <v>9069</v>
      </c>
      <c r="Q18" s="80">
        <f>'Asset 2'!Q14*$B$18</f>
        <v>9069</v>
      </c>
    </row>
    <row r="19" spans="1:17" x14ac:dyDescent="0.25">
      <c r="A19" t="str">
        <f t="shared" si="2"/>
        <v xml:space="preserve">  Gath. &amp; Proc. - Cash Flow Analysis</v>
      </c>
      <c r="B19" s="148">
        <f>Assumptions!$C$43</f>
        <v>1</v>
      </c>
      <c r="E19" s="233"/>
      <c r="F19" s="232">
        <f>'Asset 3'!F14*$B$19</f>
        <v>63686</v>
      </c>
      <c r="G19" s="80">
        <f>'Asset 3'!G14*$B$19</f>
        <v>63686</v>
      </c>
      <c r="H19" s="80">
        <f>'Asset 3'!H14*$B$19</f>
        <v>63686</v>
      </c>
      <c r="I19" s="80">
        <f>'Asset 3'!I14*$B$19</f>
        <v>63686</v>
      </c>
      <c r="J19" s="80">
        <f>'Asset 3'!J14*$B$19</f>
        <v>63686</v>
      </c>
      <c r="K19" s="80">
        <f>'Asset 3'!K14*$B$19</f>
        <v>63686</v>
      </c>
      <c r="L19" s="80">
        <f>'Asset 3'!L14*$B$19</f>
        <v>63686</v>
      </c>
      <c r="M19" s="80">
        <f>'Asset 3'!M14*$B$19</f>
        <v>63686</v>
      </c>
      <c r="N19" s="80">
        <f>'Asset 3'!N14*$B$19</f>
        <v>63686</v>
      </c>
      <c r="O19" s="80">
        <f>'Asset 3'!O14*$B$19</f>
        <v>63686</v>
      </c>
      <c r="P19" s="80">
        <f>'Asset 3'!P14*$B$19</f>
        <v>63686</v>
      </c>
      <c r="Q19" s="80">
        <f>'Asset 3'!Q14*$B$19</f>
        <v>63686</v>
      </c>
    </row>
    <row r="20" spans="1:17" x14ac:dyDescent="0.25">
      <c r="A20" t="str">
        <f t="shared" si="2"/>
        <v xml:space="preserve">  Production - Cash Flow Analysis</v>
      </c>
      <c r="B20" s="148">
        <f>Assumptions!$C$46</f>
        <v>1</v>
      </c>
      <c r="E20" s="244"/>
      <c r="F20" s="232">
        <f>'Asset 4'!F14*$B$20</f>
        <v>19128</v>
      </c>
      <c r="G20" s="80">
        <f>'Asset 4'!G14*$B$20</f>
        <v>19128</v>
      </c>
      <c r="H20" s="80">
        <f>'Asset 4'!H14*$B$20</f>
        <v>19128</v>
      </c>
      <c r="I20" s="80">
        <f>'Asset 4'!I14*$B$20</f>
        <v>19128</v>
      </c>
      <c r="J20" s="80">
        <f>'Asset 4'!J14*$B$20</f>
        <v>19128</v>
      </c>
      <c r="K20" s="80">
        <f>'Asset 4'!K14*$B$20</f>
        <v>19128</v>
      </c>
      <c r="L20" s="80">
        <f>'Asset 4'!L14*$B$20</f>
        <v>19128</v>
      </c>
      <c r="M20" s="80">
        <f>'Asset 4'!M14*$B$20</f>
        <v>19128</v>
      </c>
      <c r="N20" s="80">
        <f>'Asset 4'!N14*$B$20</f>
        <v>19128</v>
      </c>
      <c r="O20" s="80">
        <f>'Asset 4'!O14*$B$20</f>
        <v>19128</v>
      </c>
      <c r="P20" s="80">
        <f>'Asset 4'!P14*$B$20</f>
        <v>19128</v>
      </c>
      <c r="Q20" s="80">
        <f>'Asset 4'!Q14*$B$20</f>
        <v>19128</v>
      </c>
    </row>
    <row r="21" spans="1:17" x14ac:dyDescent="0.25">
      <c r="A21" t="str">
        <f t="shared" si="2"/>
        <v xml:space="preserve">  Distribution - Cash Flow Analysis</v>
      </c>
      <c r="B21" s="148">
        <f>Assumptions!C49</f>
        <v>1</v>
      </c>
      <c r="E21" s="244"/>
      <c r="F21" s="232">
        <f>'Asset 5'!F14*$B$21</f>
        <v>230868</v>
      </c>
      <c r="G21" s="80">
        <f>'Asset 5'!G14*$B$21</f>
        <v>230868</v>
      </c>
      <c r="H21" s="80">
        <f>'Asset 5'!H14*$B$21</f>
        <v>230868</v>
      </c>
      <c r="I21" s="80">
        <f>'Asset 5'!I14*$B$21</f>
        <v>230868</v>
      </c>
      <c r="J21" s="80">
        <f>'Asset 5'!J14*$B$21</f>
        <v>230868</v>
      </c>
      <c r="K21" s="80">
        <f>'Asset 5'!K14*$B$21</f>
        <v>230868</v>
      </c>
      <c r="L21" s="80">
        <f>'Asset 5'!L14*$B$21</f>
        <v>230868</v>
      </c>
      <c r="M21" s="80">
        <f>'Asset 5'!M14*$B$21</f>
        <v>230868</v>
      </c>
      <c r="N21" s="80">
        <f>'Asset 5'!N14*$B$21</f>
        <v>230868</v>
      </c>
      <c r="O21" s="80">
        <f>'Asset 5'!O14*$B$21</f>
        <v>230868</v>
      </c>
      <c r="P21" s="80">
        <f>'Asset 5'!P14*$B$21</f>
        <v>230868</v>
      </c>
      <c r="Q21" s="80">
        <f>'Asset 5'!Q14*$B$21</f>
        <v>230868</v>
      </c>
    </row>
    <row r="22" spans="1:17" x14ac:dyDescent="0.25">
      <c r="A22" t="str">
        <f t="shared" si="2"/>
        <v xml:space="preserve">  Other - Cash Flow Analysis</v>
      </c>
      <c r="B22" s="148">
        <f>Assumptions!C52</f>
        <v>1</v>
      </c>
      <c r="E22" s="244"/>
      <c r="F22" s="232">
        <f>'Asset 6'!F14*$B$22</f>
        <v>-19146</v>
      </c>
      <c r="G22" s="80">
        <f>'Asset 6'!G14*$B$22</f>
        <v>-19146</v>
      </c>
      <c r="H22" s="80">
        <f>'Asset 6'!H14*$B$22</f>
        <v>-19146</v>
      </c>
      <c r="I22" s="80">
        <f>'Asset 6'!I14*$B$22</f>
        <v>-19146</v>
      </c>
      <c r="J22" s="80">
        <f>'Asset 6'!J14*$B$22</f>
        <v>-19146</v>
      </c>
      <c r="K22" s="80">
        <f>'Asset 6'!K14*$B$22</f>
        <v>-19146</v>
      </c>
      <c r="L22" s="80">
        <f>'Asset 6'!L14*$B$22</f>
        <v>-19146</v>
      </c>
      <c r="M22" s="80">
        <f>'Asset 6'!M14*$B$22</f>
        <v>-19146</v>
      </c>
      <c r="N22" s="80">
        <f>'Asset 6'!N14*$B$22</f>
        <v>-19146</v>
      </c>
      <c r="O22" s="80">
        <f>'Asset 6'!O14*$B$22</f>
        <v>-19146</v>
      </c>
      <c r="P22" s="80">
        <f>'Asset 6'!P14*$B$22</f>
        <v>-19146</v>
      </c>
      <c r="Q22" s="80">
        <f>'Asset 6'!Q14*$B$22</f>
        <v>-19146</v>
      </c>
    </row>
    <row r="23" spans="1:17" x14ac:dyDescent="0.25">
      <c r="A23" s="53" t="str">
        <f t="shared" si="2"/>
        <v>TOTAL</v>
      </c>
      <c r="B23" s="37"/>
      <c r="C23" s="37"/>
      <c r="D23" s="37"/>
      <c r="E23" s="227"/>
      <c r="F23" s="246">
        <f>SUM(F17:F22)</f>
        <v>337499</v>
      </c>
      <c r="G23" s="396">
        <f>SUM(G17:G22)</f>
        <v>337499</v>
      </c>
      <c r="H23" s="396">
        <f t="shared" ref="H23:P23" si="3">SUM(H17:H22)</f>
        <v>337499</v>
      </c>
      <c r="I23" s="396">
        <f t="shared" si="3"/>
        <v>337499</v>
      </c>
      <c r="J23" s="396">
        <f t="shared" si="3"/>
        <v>337499</v>
      </c>
      <c r="K23" s="396">
        <f t="shared" si="3"/>
        <v>337499</v>
      </c>
      <c r="L23" s="396">
        <f t="shared" si="3"/>
        <v>337499</v>
      </c>
      <c r="M23" s="396">
        <f t="shared" si="3"/>
        <v>337499</v>
      </c>
      <c r="N23" s="396">
        <f t="shared" si="3"/>
        <v>337499</v>
      </c>
      <c r="O23" s="396">
        <f t="shared" si="3"/>
        <v>337499</v>
      </c>
      <c r="P23" s="396">
        <f t="shared" si="3"/>
        <v>337499</v>
      </c>
      <c r="Q23" s="391">
        <f>SUM(Q17:Q22)</f>
        <v>337499</v>
      </c>
    </row>
    <row r="24" spans="1:17" x14ac:dyDescent="0.25">
      <c r="A24" s="73"/>
      <c r="B24" s="38"/>
      <c r="C24" s="38"/>
      <c r="D24" s="38"/>
      <c r="E24" s="229"/>
      <c r="F24" s="234"/>
      <c r="G24" s="144"/>
      <c r="H24" s="144"/>
      <c r="I24" s="80"/>
      <c r="J24" s="80"/>
      <c r="K24" s="80"/>
      <c r="L24" s="80"/>
      <c r="M24" s="80"/>
      <c r="N24" s="80"/>
      <c r="O24" s="80"/>
      <c r="P24" s="80"/>
      <c r="Q24" s="80"/>
    </row>
    <row r="25" spans="1:17" x14ac:dyDescent="0.25">
      <c r="A25" s="8" t="s">
        <v>82</v>
      </c>
      <c r="B25" s="8"/>
      <c r="C25" s="8"/>
      <c r="D25" s="134"/>
      <c r="E25" s="235"/>
      <c r="F25" s="236">
        <f t="shared" ref="F25:Q25" si="4">F14/F23</f>
        <v>2.0349275108963285</v>
      </c>
      <c r="G25" s="137">
        <f t="shared" si="4"/>
        <v>2.0349275108963285</v>
      </c>
      <c r="H25" s="137">
        <f t="shared" si="4"/>
        <v>2.0349275108963285</v>
      </c>
      <c r="I25" s="137">
        <f t="shared" si="4"/>
        <v>2.0349275108963285</v>
      </c>
      <c r="J25" s="137">
        <f t="shared" si="4"/>
        <v>2.0349275108963285</v>
      </c>
      <c r="K25" s="137">
        <f t="shared" si="4"/>
        <v>2.0349275108963285</v>
      </c>
      <c r="L25" s="137">
        <f t="shared" si="4"/>
        <v>2.0349275108963285</v>
      </c>
      <c r="M25" s="137">
        <f t="shared" si="4"/>
        <v>2.0349275108963285</v>
      </c>
      <c r="N25" s="137">
        <f t="shared" si="4"/>
        <v>2.0349275108963285</v>
      </c>
      <c r="O25" s="137">
        <f t="shared" si="4"/>
        <v>2.0349275108963285</v>
      </c>
      <c r="P25" s="137">
        <f t="shared" si="4"/>
        <v>2.0349275108963285</v>
      </c>
      <c r="Q25" s="137">
        <f t="shared" si="4"/>
        <v>2.0349275108963285</v>
      </c>
    </row>
    <row r="26" spans="1:17" x14ac:dyDescent="0.25">
      <c r="A26" s="50" t="s">
        <v>1</v>
      </c>
      <c r="B26" s="37"/>
      <c r="C26" s="37"/>
      <c r="D26" s="37"/>
      <c r="E26" s="228"/>
      <c r="F26" s="226">
        <f t="shared" ref="F26:Q26" si="5">F14-F23</f>
        <v>349287</v>
      </c>
      <c r="G26" s="61">
        <f t="shared" si="5"/>
        <v>349287</v>
      </c>
      <c r="H26" s="61">
        <f t="shared" si="5"/>
        <v>349287</v>
      </c>
      <c r="I26" s="61">
        <f t="shared" si="5"/>
        <v>349287</v>
      </c>
      <c r="J26" s="61">
        <f t="shared" si="5"/>
        <v>349287</v>
      </c>
      <c r="K26" s="61">
        <f t="shared" si="5"/>
        <v>349287</v>
      </c>
      <c r="L26" s="61">
        <f t="shared" si="5"/>
        <v>349287</v>
      </c>
      <c r="M26" s="61">
        <f t="shared" si="5"/>
        <v>349287</v>
      </c>
      <c r="N26" s="61">
        <f t="shared" si="5"/>
        <v>349287</v>
      </c>
      <c r="O26" s="61">
        <f t="shared" si="5"/>
        <v>349287</v>
      </c>
      <c r="P26" s="61">
        <f t="shared" si="5"/>
        <v>349287</v>
      </c>
      <c r="Q26" s="71">
        <f t="shared" si="5"/>
        <v>349287</v>
      </c>
    </row>
    <row r="27" spans="1:17" x14ac:dyDescent="0.25">
      <c r="E27" s="237"/>
      <c r="F27" s="238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</row>
    <row r="28" spans="1:17" x14ac:dyDescent="0.25">
      <c r="A28" t="s">
        <v>7</v>
      </c>
      <c r="B28" s="16"/>
      <c r="C28" s="16"/>
      <c r="E28" s="239"/>
      <c r="F28" s="225">
        <f>F52</f>
        <v>0</v>
      </c>
      <c r="G28" s="156">
        <f>G52</f>
        <v>38871.490285724925</v>
      </c>
      <c r="H28" s="156">
        <f t="shared" ref="H28:Q28" si="6">H52</f>
        <v>51049.240285724925</v>
      </c>
      <c r="I28" s="156">
        <f t="shared" si="6"/>
        <v>63226.990285724925</v>
      </c>
      <c r="J28" s="156">
        <f t="shared" si="6"/>
        <v>75404.740285724925</v>
      </c>
      <c r="K28" s="156">
        <f t="shared" si="6"/>
        <v>87582.490285724925</v>
      </c>
      <c r="L28" s="156">
        <f t="shared" si="6"/>
        <v>99760.240285724925</v>
      </c>
      <c r="M28" s="156">
        <f t="shared" si="6"/>
        <v>111937.99028572493</v>
      </c>
      <c r="N28" s="156">
        <f t="shared" si="6"/>
        <v>124115.74028572493</v>
      </c>
      <c r="O28" s="156">
        <f t="shared" si="6"/>
        <v>136293.49028572493</v>
      </c>
      <c r="P28" s="156">
        <f t="shared" si="6"/>
        <v>148471.24028572493</v>
      </c>
      <c r="Q28" s="156">
        <f t="shared" si="6"/>
        <v>160648.99028572493</v>
      </c>
    </row>
    <row r="29" spans="1:17" ht="15" x14ac:dyDescent="0.4">
      <c r="A29" t="s">
        <v>20</v>
      </c>
      <c r="E29" s="240"/>
      <c r="F29" s="225">
        <v>0</v>
      </c>
      <c r="G29" s="25">
        <f t="shared" ref="G29:Q29" si="7">F29</f>
        <v>0</v>
      </c>
      <c r="H29" s="25">
        <f t="shared" si="7"/>
        <v>0</v>
      </c>
      <c r="I29" s="25">
        <f t="shared" si="7"/>
        <v>0</v>
      </c>
      <c r="J29" s="25">
        <f t="shared" si="7"/>
        <v>0</v>
      </c>
      <c r="K29" s="25">
        <f t="shared" si="7"/>
        <v>0</v>
      </c>
      <c r="L29" s="25">
        <f t="shared" si="7"/>
        <v>0</v>
      </c>
      <c r="M29" s="25">
        <f t="shared" si="7"/>
        <v>0</v>
      </c>
      <c r="N29" s="25">
        <f t="shared" si="7"/>
        <v>0</v>
      </c>
      <c r="O29" s="25">
        <f t="shared" si="7"/>
        <v>0</v>
      </c>
      <c r="P29" s="25">
        <f t="shared" si="7"/>
        <v>0</v>
      </c>
      <c r="Q29" s="25">
        <f t="shared" si="7"/>
        <v>0</v>
      </c>
    </row>
    <row r="30" spans="1:17" x14ac:dyDescent="0.25">
      <c r="A30" s="50" t="s">
        <v>2</v>
      </c>
      <c r="B30" s="37"/>
      <c r="C30" s="37"/>
      <c r="D30" s="37"/>
      <c r="E30" s="241"/>
      <c r="F30" s="242">
        <f t="shared" ref="F30:Q30" si="8">F26-F28+F29</f>
        <v>349287</v>
      </c>
      <c r="G30" s="62">
        <f t="shared" si="8"/>
        <v>310415.50971427507</v>
      </c>
      <c r="H30" s="62">
        <f t="shared" si="8"/>
        <v>298237.75971427507</v>
      </c>
      <c r="I30" s="62">
        <f t="shared" si="8"/>
        <v>286060.00971427507</v>
      </c>
      <c r="J30" s="62">
        <f t="shared" si="8"/>
        <v>273882.25971427507</v>
      </c>
      <c r="K30" s="62">
        <f t="shared" si="8"/>
        <v>261704.50971427507</v>
      </c>
      <c r="L30" s="62">
        <f t="shared" si="8"/>
        <v>249526.75971427507</v>
      </c>
      <c r="M30" s="62">
        <f t="shared" si="8"/>
        <v>237349.00971427507</v>
      </c>
      <c r="N30" s="62">
        <f t="shared" si="8"/>
        <v>225171.25971427507</v>
      </c>
      <c r="O30" s="62">
        <f t="shared" si="8"/>
        <v>212993.50971427507</v>
      </c>
      <c r="P30" s="62">
        <f t="shared" si="8"/>
        <v>200815.75971427507</v>
      </c>
      <c r="Q30" s="63">
        <f t="shared" si="8"/>
        <v>188638.00971427507</v>
      </c>
    </row>
    <row r="31" spans="1:17" x14ac:dyDescent="0.25">
      <c r="E31" s="237"/>
      <c r="F31" s="238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</row>
    <row r="32" spans="1:17" x14ac:dyDescent="0.25">
      <c r="A32" s="11" t="s">
        <v>3</v>
      </c>
      <c r="E32" s="231"/>
      <c r="F32" s="232">
        <f t="shared" ref="F32:Q32" si="9">$B$34*(F26-F57)</f>
        <v>134475.495</v>
      </c>
      <c r="G32" s="31">
        <f t="shared" si="9"/>
        <v>119509.97123999591</v>
      </c>
      <c r="H32" s="31">
        <f t="shared" si="9"/>
        <v>101352.56610599221</v>
      </c>
      <c r="I32" s="31">
        <f t="shared" si="9"/>
        <v>95287.991495392998</v>
      </c>
      <c r="J32" s="31">
        <f t="shared" si="9"/>
        <v>89814.908822093697</v>
      </c>
      <c r="K32" s="31">
        <f t="shared" si="9"/>
        <v>84899.411506134318</v>
      </c>
      <c r="L32" s="31">
        <f t="shared" si="9"/>
        <v>80496.4156550349</v>
      </c>
      <c r="M32" s="31">
        <f t="shared" si="9"/>
        <v>75642.351770695168</v>
      </c>
      <c r="N32" s="31">
        <f t="shared" si="9"/>
        <v>70109.999945695177</v>
      </c>
      <c r="O32" s="31">
        <f t="shared" si="9"/>
        <v>64547.717073175161</v>
      </c>
      <c r="P32" s="31">
        <f t="shared" si="9"/>
        <v>59035.919428195164</v>
      </c>
      <c r="Q32" s="31">
        <f t="shared" si="9"/>
        <v>53473.636555675155</v>
      </c>
    </row>
    <row r="33" spans="1:19" ht="15" x14ac:dyDescent="0.4">
      <c r="A33" s="11" t="s">
        <v>4</v>
      </c>
      <c r="E33" s="240"/>
      <c r="F33" s="243">
        <f t="shared" ref="F33:Q33" si="10">F34-F32</f>
        <v>0</v>
      </c>
      <c r="G33" s="6">
        <f t="shared" si="10"/>
        <v>0</v>
      </c>
      <c r="H33" s="6">
        <f t="shared" si="10"/>
        <v>13468.9713840037</v>
      </c>
      <c r="I33" s="6">
        <f t="shared" si="10"/>
        <v>14845.112244602904</v>
      </c>
      <c r="J33" s="6">
        <f t="shared" si="10"/>
        <v>15629.761167902208</v>
      </c>
      <c r="K33" s="6">
        <f t="shared" si="10"/>
        <v>15856.824733861591</v>
      </c>
      <c r="L33" s="6">
        <f t="shared" si="10"/>
        <v>15571.386834961013</v>
      </c>
      <c r="M33" s="6">
        <f t="shared" si="10"/>
        <v>15737.016969300734</v>
      </c>
      <c r="N33" s="6">
        <f t="shared" si="10"/>
        <v>16580.935044300728</v>
      </c>
      <c r="O33" s="6">
        <f t="shared" si="10"/>
        <v>17454.784166820747</v>
      </c>
      <c r="P33" s="6">
        <f t="shared" si="10"/>
        <v>18278.148061800748</v>
      </c>
      <c r="Q33" s="6">
        <f t="shared" si="10"/>
        <v>19151.997184320746</v>
      </c>
    </row>
    <row r="34" spans="1:19" x14ac:dyDescent="0.25">
      <c r="A34" s="12" t="s">
        <v>0</v>
      </c>
      <c r="B34" s="138">
        <f>Assumptions!D19</f>
        <v>0.38500000000000001</v>
      </c>
      <c r="C34" s="14"/>
      <c r="E34" s="239"/>
      <c r="F34" s="225">
        <f t="shared" ref="F34:Q34" si="11">$B$34*F30</f>
        <v>134475.495</v>
      </c>
      <c r="G34" s="11">
        <f t="shared" si="11"/>
        <v>119509.97123999591</v>
      </c>
      <c r="H34" s="11">
        <f t="shared" si="11"/>
        <v>114821.53748999591</v>
      </c>
      <c r="I34" s="11">
        <f t="shared" si="11"/>
        <v>110133.1037399959</v>
      </c>
      <c r="J34" s="11">
        <f t="shared" si="11"/>
        <v>105444.66998999591</v>
      </c>
      <c r="K34" s="11">
        <f t="shared" si="11"/>
        <v>100756.23623999591</v>
      </c>
      <c r="L34" s="11">
        <f t="shared" si="11"/>
        <v>96067.802489995913</v>
      </c>
      <c r="M34" s="11">
        <f t="shared" si="11"/>
        <v>91379.368739995902</v>
      </c>
      <c r="N34" s="11">
        <f t="shared" si="11"/>
        <v>86690.934989995905</v>
      </c>
      <c r="O34" s="11">
        <f t="shared" si="11"/>
        <v>82002.501239995909</v>
      </c>
      <c r="P34" s="11">
        <f t="shared" si="11"/>
        <v>77314.067489995912</v>
      </c>
      <c r="Q34" s="11">
        <f t="shared" si="11"/>
        <v>72625.633739995901</v>
      </c>
    </row>
    <row r="35" spans="1:19" x14ac:dyDescent="0.25">
      <c r="A35" s="11"/>
      <c r="E35" s="244"/>
      <c r="F35" s="223"/>
    </row>
    <row r="36" spans="1:19" x14ac:dyDescent="0.25">
      <c r="A36" s="92" t="s">
        <v>16</v>
      </c>
      <c r="B36" s="37"/>
      <c r="C36" s="37"/>
      <c r="D36" s="37"/>
      <c r="E36" s="241"/>
      <c r="F36" s="242">
        <f t="shared" ref="F36:Q36" si="12">F30-F34</f>
        <v>214811.505</v>
      </c>
      <c r="G36" s="64">
        <f t="shared" si="12"/>
        <v>190905.53847427916</v>
      </c>
      <c r="H36" s="64">
        <f t="shared" si="12"/>
        <v>183416.22222427916</v>
      </c>
      <c r="I36" s="64">
        <f t="shared" si="12"/>
        <v>175926.90597427916</v>
      </c>
      <c r="J36" s="64">
        <f t="shared" si="12"/>
        <v>168437.58972427918</v>
      </c>
      <c r="K36" s="64">
        <f t="shared" si="12"/>
        <v>160948.27347427915</v>
      </c>
      <c r="L36" s="64">
        <f t="shared" si="12"/>
        <v>153458.95722427918</v>
      </c>
      <c r="M36" s="64">
        <f t="shared" si="12"/>
        <v>145969.64097427917</v>
      </c>
      <c r="N36" s="64">
        <f t="shared" si="12"/>
        <v>138480.32472427917</v>
      </c>
      <c r="O36" s="64">
        <f t="shared" si="12"/>
        <v>130991.00847427917</v>
      </c>
      <c r="P36" s="64">
        <f t="shared" si="12"/>
        <v>123501.69222427916</v>
      </c>
      <c r="Q36" s="65">
        <f t="shared" si="12"/>
        <v>116012.37597427917</v>
      </c>
    </row>
    <row r="37" spans="1:19" x14ac:dyDescent="0.25">
      <c r="A37" s="11"/>
      <c r="E37" s="237"/>
      <c r="F37" s="238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3"/>
      <c r="S37" s="24"/>
    </row>
    <row r="38" spans="1:19" x14ac:dyDescent="0.25">
      <c r="A38" s="11" t="s">
        <v>15</v>
      </c>
      <c r="E38" s="231"/>
      <c r="F38" s="232">
        <f t="shared" ref="F38:Q38" si="13">F36+F33+F28</f>
        <v>214811.505</v>
      </c>
      <c r="G38" s="31">
        <f t="shared" si="13"/>
        <v>229777.02876000409</v>
      </c>
      <c r="H38" s="80">
        <f>H36+H33+H28</f>
        <v>247934.43389400779</v>
      </c>
      <c r="I38" s="31">
        <f t="shared" si="13"/>
        <v>253999.00850460699</v>
      </c>
      <c r="J38" s="31">
        <f t="shared" si="13"/>
        <v>259472.09117790632</v>
      </c>
      <c r="K38" s="31">
        <f t="shared" si="13"/>
        <v>264387.58849386568</v>
      </c>
      <c r="L38" s="31">
        <f t="shared" si="13"/>
        <v>268790.58434496511</v>
      </c>
      <c r="M38" s="31">
        <f t="shared" si="13"/>
        <v>273644.64822930482</v>
      </c>
      <c r="N38" s="31">
        <f t="shared" si="13"/>
        <v>279177.00005430484</v>
      </c>
      <c r="O38" s="31">
        <f t="shared" si="13"/>
        <v>284739.28292682488</v>
      </c>
      <c r="P38" s="31">
        <f t="shared" si="13"/>
        <v>290251.08057180484</v>
      </c>
      <c r="Q38" s="31">
        <f t="shared" si="13"/>
        <v>295813.36344432482</v>
      </c>
      <c r="S38" s="13"/>
    </row>
    <row r="39" spans="1:19" x14ac:dyDescent="0.25">
      <c r="A39" s="11"/>
      <c r="E39" s="244"/>
      <c r="F39" s="223"/>
      <c r="S39" s="13"/>
    </row>
    <row r="40" spans="1:19" x14ac:dyDescent="0.25">
      <c r="A40" s="11" t="s">
        <v>23</v>
      </c>
      <c r="B40" s="44" t="s">
        <v>97</v>
      </c>
      <c r="E40" s="231"/>
      <c r="F40" s="232">
        <f>SUM(F41:F46)</f>
        <v>243555</v>
      </c>
      <c r="G40" s="31">
        <f>SUM(G41:G46)</f>
        <v>243555</v>
      </c>
      <c r="H40" s="31">
        <f t="shared" ref="H40:Q40" si="14">SUM(H41:H46)</f>
        <v>243555</v>
      </c>
      <c r="I40" s="31">
        <f t="shared" si="14"/>
        <v>243555</v>
      </c>
      <c r="J40" s="31">
        <f t="shared" si="14"/>
        <v>243555</v>
      </c>
      <c r="K40" s="31">
        <f t="shared" si="14"/>
        <v>243555</v>
      </c>
      <c r="L40" s="31">
        <f t="shared" si="14"/>
        <v>243555</v>
      </c>
      <c r="M40" s="31">
        <f t="shared" si="14"/>
        <v>243555</v>
      </c>
      <c r="N40" s="31">
        <f t="shared" si="14"/>
        <v>243555</v>
      </c>
      <c r="O40" s="31">
        <f t="shared" si="14"/>
        <v>243555</v>
      </c>
      <c r="P40" s="31">
        <f t="shared" si="14"/>
        <v>243555</v>
      </c>
      <c r="Q40" s="31">
        <f t="shared" si="14"/>
        <v>243555</v>
      </c>
      <c r="S40" s="13"/>
    </row>
    <row r="41" spans="1:19" x14ac:dyDescent="0.25">
      <c r="A41" s="11" t="str">
        <f t="shared" ref="A41:A46" si="15">A17</f>
        <v xml:space="preserve">  T&amp;S - Cash Flow Analysis</v>
      </c>
      <c r="B41" s="148">
        <f>Assumptions!$C$37</f>
        <v>1</v>
      </c>
      <c r="E41" s="231"/>
      <c r="F41" s="232">
        <f>'Asset 1'!F29*$B$41</f>
        <v>32618</v>
      </c>
      <c r="G41" s="80">
        <f>'Asset 1'!G29*$B$41</f>
        <v>32618</v>
      </c>
      <c r="H41" s="80">
        <f>'Asset 1'!H29*$B$41</f>
        <v>32618</v>
      </c>
      <c r="I41" s="80">
        <f>'Asset 1'!I29*$B$41</f>
        <v>32618</v>
      </c>
      <c r="J41" s="80">
        <f>'Asset 1'!J29*$B$41</f>
        <v>32618</v>
      </c>
      <c r="K41" s="80">
        <f>'Asset 1'!K29*$B$41</f>
        <v>32618</v>
      </c>
      <c r="L41" s="80">
        <f>'Asset 1'!L29*$B$41</f>
        <v>32618</v>
      </c>
      <c r="M41" s="80">
        <f>'Asset 1'!M29*$B$41</f>
        <v>32618</v>
      </c>
      <c r="N41" s="80">
        <f>'Asset 1'!N29*$B$41</f>
        <v>32618</v>
      </c>
      <c r="O41" s="80">
        <f>'Asset 1'!O29*$B$41</f>
        <v>32618</v>
      </c>
      <c r="P41" s="80">
        <f>'Asset 1'!P29*$B$41</f>
        <v>32618</v>
      </c>
      <c r="Q41" s="80">
        <f>'Asset 1'!Q29*$B$41</f>
        <v>32618</v>
      </c>
      <c r="R41" s="33"/>
      <c r="S41" s="13"/>
    </row>
    <row r="42" spans="1:19" x14ac:dyDescent="0.25">
      <c r="A42" s="11" t="str">
        <f t="shared" si="15"/>
        <v xml:space="preserve">  Marketing - Cash Flow Analysis</v>
      </c>
      <c r="B42" s="148">
        <f>Assumptions!$C$40</f>
        <v>1</v>
      </c>
      <c r="E42" s="231"/>
      <c r="F42" s="232">
        <f>'Asset 2'!F29*$B$42</f>
        <v>4196</v>
      </c>
      <c r="G42" s="80">
        <f>'Asset 2'!G29*$B$42</f>
        <v>4196</v>
      </c>
      <c r="H42" s="80">
        <f>'Asset 2'!H29*$B$42</f>
        <v>4196</v>
      </c>
      <c r="I42" s="80">
        <f>'Asset 2'!I29*$B$42</f>
        <v>4196</v>
      </c>
      <c r="J42" s="80">
        <f>'Asset 2'!J29*$B$42</f>
        <v>4196</v>
      </c>
      <c r="K42" s="80">
        <f>'Asset 2'!K29*$B$42</f>
        <v>4196</v>
      </c>
      <c r="L42" s="80">
        <f>'Asset 2'!L29*$B$42</f>
        <v>4196</v>
      </c>
      <c r="M42" s="80">
        <f>'Asset 2'!M29*$B$42</f>
        <v>4196</v>
      </c>
      <c r="N42" s="80">
        <f>'Asset 2'!N29*$B$42</f>
        <v>4196</v>
      </c>
      <c r="O42" s="80">
        <f>'Asset 2'!O29*$B$42</f>
        <v>4196</v>
      </c>
      <c r="P42" s="80">
        <f>'Asset 2'!P29*$B$42</f>
        <v>4196</v>
      </c>
      <c r="Q42" s="80">
        <f>'Asset 2'!Q29*$B$42</f>
        <v>4196</v>
      </c>
      <c r="R42" s="20" t="s">
        <v>1</v>
      </c>
      <c r="S42" s="13"/>
    </row>
    <row r="43" spans="1:19" x14ac:dyDescent="0.25">
      <c r="A43" s="11" t="str">
        <f t="shared" si="15"/>
        <v xml:space="preserve">  Gath. &amp; Proc. - Cash Flow Analysis</v>
      </c>
      <c r="B43" s="148">
        <f>Assumptions!$C$43</f>
        <v>1</v>
      </c>
      <c r="E43" s="231"/>
      <c r="F43" s="232">
        <f>'Asset 3'!F29*$B$43</f>
        <v>8557</v>
      </c>
      <c r="G43" s="80">
        <f>'Asset 3'!G29*$B$43</f>
        <v>8557</v>
      </c>
      <c r="H43" s="80">
        <f>'Asset 3'!H29*$B$43</f>
        <v>8557</v>
      </c>
      <c r="I43" s="80">
        <f>'Asset 3'!I29*$B$43</f>
        <v>8557</v>
      </c>
      <c r="J43" s="80">
        <f>'Asset 3'!J29*$B$43</f>
        <v>8557</v>
      </c>
      <c r="K43" s="80">
        <f>'Asset 3'!K29*$B$43</f>
        <v>8557</v>
      </c>
      <c r="L43" s="80">
        <f>'Asset 3'!L29*$B$43</f>
        <v>8557</v>
      </c>
      <c r="M43" s="80">
        <f>'Asset 3'!M29*$B$43</f>
        <v>8557</v>
      </c>
      <c r="N43" s="80">
        <f>'Asset 3'!N29*$B$43</f>
        <v>8557</v>
      </c>
      <c r="O43" s="80">
        <f>'Asset 3'!O29*$B$43</f>
        <v>8557</v>
      </c>
      <c r="P43" s="80">
        <f>'Asset 3'!P29*$B$43</f>
        <v>8557</v>
      </c>
      <c r="Q43" s="80">
        <f>'Asset 3'!Q29*$B$43</f>
        <v>8557</v>
      </c>
      <c r="R43" s="20" t="s">
        <v>70</v>
      </c>
      <c r="S43" s="13"/>
    </row>
    <row r="44" spans="1:19" x14ac:dyDescent="0.25">
      <c r="A44" s="11" t="str">
        <f t="shared" si="15"/>
        <v xml:space="preserve">  Production - Cash Flow Analysis</v>
      </c>
      <c r="B44" s="148">
        <f>Assumptions!$C$46</f>
        <v>1</v>
      </c>
      <c r="E44" s="231"/>
      <c r="F44" s="232">
        <f>'Asset 4'!F29*$B$44</f>
        <v>95431</v>
      </c>
      <c r="G44" s="80">
        <f>'Asset 4'!G29*$B$44</f>
        <v>95431</v>
      </c>
      <c r="H44" s="80">
        <f>'Asset 4'!H29*$B$44</f>
        <v>95431</v>
      </c>
      <c r="I44" s="80">
        <f>'Asset 4'!I29*$B$44</f>
        <v>95431</v>
      </c>
      <c r="J44" s="80">
        <f>'Asset 4'!J29*$B$44</f>
        <v>95431</v>
      </c>
      <c r="K44" s="80">
        <f>'Asset 4'!K29*$B$44</f>
        <v>95431</v>
      </c>
      <c r="L44" s="80">
        <f>'Asset 4'!L29*$B$44</f>
        <v>95431</v>
      </c>
      <c r="M44" s="80">
        <f>'Asset 4'!M29*$B$44</f>
        <v>95431</v>
      </c>
      <c r="N44" s="80">
        <f>'Asset 4'!N29*$B$44</f>
        <v>95431</v>
      </c>
      <c r="O44" s="80">
        <f>'Asset 4'!O29*$B$44</f>
        <v>95431</v>
      </c>
      <c r="P44" s="80">
        <f>'Asset 4'!P29*$B$44</f>
        <v>95431</v>
      </c>
      <c r="Q44" s="80">
        <f>'Asset 4'!Q29*$B$44</f>
        <v>95431</v>
      </c>
      <c r="R44" s="20" t="s">
        <v>71</v>
      </c>
      <c r="S44" s="13"/>
    </row>
    <row r="45" spans="1:19" x14ac:dyDescent="0.25">
      <c r="A45" s="11" t="str">
        <f t="shared" si="15"/>
        <v xml:space="preserve">  Distribution - Cash Flow Analysis</v>
      </c>
      <c r="B45" s="148">
        <f>Assumptions!$C$49</f>
        <v>1</v>
      </c>
      <c r="E45" s="229"/>
      <c r="F45" s="232">
        <f>$B$45*'Asset 5'!F29</f>
        <v>98685</v>
      </c>
      <c r="G45" s="31">
        <f>$B$45*'Asset 5'!G29</f>
        <v>98685</v>
      </c>
      <c r="H45" s="31">
        <f>$B$45*'Asset 5'!H29</f>
        <v>98685</v>
      </c>
      <c r="I45" s="31">
        <f>$B$45*'Asset 5'!I29</f>
        <v>98685</v>
      </c>
      <c r="J45" s="31">
        <f>$B$45*'Asset 5'!J29</f>
        <v>98685</v>
      </c>
      <c r="K45" s="31">
        <f>$B$45*'Asset 5'!K29</f>
        <v>98685</v>
      </c>
      <c r="L45" s="31">
        <f>$B$45*'Asset 5'!L29</f>
        <v>98685</v>
      </c>
      <c r="M45" s="31">
        <f>$B$45*'Asset 5'!M29</f>
        <v>98685</v>
      </c>
      <c r="N45" s="31">
        <f>$B$45*'Asset 5'!N29</f>
        <v>98685</v>
      </c>
      <c r="O45" s="31">
        <f>$B$45*'Asset 5'!O29</f>
        <v>98685</v>
      </c>
      <c r="P45" s="31">
        <f>$B$45*'Asset 5'!P29</f>
        <v>98685</v>
      </c>
      <c r="Q45" s="31">
        <f>$B$45*'Asset 5'!Q29</f>
        <v>98685</v>
      </c>
      <c r="R45" s="20"/>
      <c r="S45" s="13"/>
    </row>
    <row r="46" spans="1:19" x14ac:dyDescent="0.25">
      <c r="A46" s="11" t="str">
        <f t="shared" si="15"/>
        <v xml:space="preserve">  Other - Cash Flow Analysis</v>
      </c>
      <c r="B46" s="148">
        <f>Assumptions!$C$52</f>
        <v>1</v>
      </c>
      <c r="E46" s="231"/>
      <c r="F46" s="232">
        <f>B46*'Asset 6'!F29</f>
        <v>4068</v>
      </c>
      <c r="G46">
        <f>$B$46*'Asset 6'!G29</f>
        <v>4068</v>
      </c>
      <c r="H46">
        <f>$B$46*'Asset 6'!H29</f>
        <v>4068</v>
      </c>
      <c r="I46">
        <f>$B$46*'Asset 6'!I29</f>
        <v>4068</v>
      </c>
      <c r="J46">
        <f>$B$46*'Asset 6'!J29</f>
        <v>4068</v>
      </c>
      <c r="K46">
        <f>$B$46*'Asset 6'!K29</f>
        <v>4068</v>
      </c>
      <c r="L46">
        <f>$B$46*'Asset 6'!L29</f>
        <v>4068</v>
      </c>
      <c r="M46">
        <f>$B$46*'Asset 6'!M29</f>
        <v>4068</v>
      </c>
      <c r="N46">
        <f>$B$46*'Asset 6'!N29</f>
        <v>4068</v>
      </c>
      <c r="O46">
        <f>$B$46*'Asset 6'!O29</f>
        <v>4068</v>
      </c>
      <c r="P46">
        <f>$B$46*'Asset 6'!P29</f>
        <v>4068</v>
      </c>
      <c r="Q46">
        <f>$B$46*'Asset 6'!Q29</f>
        <v>4068</v>
      </c>
      <c r="R46" s="392">
        <f>R47/Q26</f>
        <v>5.0755081065141274</v>
      </c>
      <c r="S46" s="13"/>
    </row>
    <row r="47" spans="1:19" x14ac:dyDescent="0.25">
      <c r="A47" s="139" t="s">
        <v>17</v>
      </c>
      <c r="B47" s="37"/>
      <c r="C47" s="37"/>
      <c r="D47" s="37"/>
      <c r="E47" s="245"/>
      <c r="F47" s="246">
        <f t="shared" ref="F47:Q47" si="16">F38-F40</f>
        <v>-28743.494999999995</v>
      </c>
      <c r="G47" s="60">
        <f t="shared" si="16"/>
        <v>-13777.97123999591</v>
      </c>
      <c r="H47" s="60">
        <f t="shared" si="16"/>
        <v>4379.4338940077869</v>
      </c>
      <c r="I47" s="60">
        <f t="shared" si="16"/>
        <v>10444.008504606987</v>
      </c>
      <c r="J47" s="60">
        <f t="shared" si="16"/>
        <v>15917.091177906317</v>
      </c>
      <c r="K47" s="60">
        <f t="shared" si="16"/>
        <v>20832.588493865682</v>
      </c>
      <c r="L47" s="60">
        <f t="shared" si="16"/>
        <v>25235.584344965115</v>
      </c>
      <c r="M47" s="60">
        <f t="shared" si="16"/>
        <v>30089.648229304818</v>
      </c>
      <c r="N47" s="60">
        <f t="shared" si="16"/>
        <v>35622.000054304837</v>
      </c>
      <c r="O47" s="60">
        <f t="shared" si="16"/>
        <v>41184.282926824875</v>
      </c>
      <c r="P47" s="60">
        <f t="shared" si="16"/>
        <v>46696.080571804836</v>
      </c>
      <c r="Q47" s="60">
        <f t="shared" si="16"/>
        <v>52258.363444324816</v>
      </c>
      <c r="R47" s="140">
        <f>'Asset 1'!R30*Assumptions!$C$37+'Asset 2'!R30*Assumptions!$C$40+'Asset 3'!R30*Assumptions!$C$43+'Asset 4'!R30*Assumptions!C46+'Asset 5'!R30*Assumptions!C49+'Asset 6'!R30*Assumptions!C52</f>
        <v>1772809</v>
      </c>
      <c r="S47" s="28"/>
    </row>
    <row r="48" spans="1:19" x14ac:dyDescent="0.25">
      <c r="A48" s="27"/>
      <c r="E48" s="31"/>
      <c r="F48" s="82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13"/>
      <c r="S48" s="28"/>
    </row>
    <row r="49" spans="1:19" x14ac:dyDescent="0.25">
      <c r="A49" s="93" t="s">
        <v>44</v>
      </c>
      <c r="B49" s="94">
        <f>Assumptions!D20</f>
        <v>20</v>
      </c>
      <c r="C49" s="94"/>
      <c r="D49" s="371">
        <f>CPurPrice</f>
        <v>533874.80571449851</v>
      </c>
      <c r="E49" s="31"/>
      <c r="F49" s="82"/>
      <c r="G49" s="76">
        <f>1/B49</f>
        <v>0.05</v>
      </c>
      <c r="H49" s="76">
        <f>G49</f>
        <v>0.05</v>
      </c>
      <c r="I49" s="76">
        <f t="shared" ref="I49:P49" si="17">H49</f>
        <v>0.05</v>
      </c>
      <c r="J49" s="76">
        <f t="shared" si="17"/>
        <v>0.05</v>
      </c>
      <c r="K49" s="76">
        <f t="shared" si="17"/>
        <v>0.05</v>
      </c>
      <c r="L49" s="76">
        <f t="shared" si="17"/>
        <v>0.05</v>
      </c>
      <c r="M49" s="76">
        <f t="shared" si="17"/>
        <v>0.05</v>
      </c>
      <c r="N49" s="76">
        <f t="shared" si="17"/>
        <v>0.05</v>
      </c>
      <c r="O49" s="76">
        <f t="shared" si="17"/>
        <v>0.05</v>
      </c>
      <c r="P49" s="76">
        <f t="shared" si="17"/>
        <v>0.05</v>
      </c>
      <c r="Q49" s="77">
        <f>P49</f>
        <v>0.05</v>
      </c>
      <c r="R49" s="13"/>
      <c r="S49" s="28"/>
    </row>
    <row r="50" spans="1:19" x14ac:dyDescent="0.25">
      <c r="A50" s="11" t="s">
        <v>10</v>
      </c>
      <c r="D50" s="91"/>
      <c r="E50" s="31"/>
      <c r="F50" s="82"/>
      <c r="G50" s="31">
        <f>D49/B49</f>
        <v>26693.740285724925</v>
      </c>
      <c r="H50" s="31">
        <f>+G50</f>
        <v>26693.740285724925</v>
      </c>
      <c r="I50" s="31">
        <f t="shared" ref="I50:Q50" si="18">+H50</f>
        <v>26693.740285724925</v>
      </c>
      <c r="J50" s="31">
        <f t="shared" si="18"/>
        <v>26693.740285724925</v>
      </c>
      <c r="K50" s="31">
        <f t="shared" si="18"/>
        <v>26693.740285724925</v>
      </c>
      <c r="L50" s="31">
        <f t="shared" si="18"/>
        <v>26693.740285724925</v>
      </c>
      <c r="M50" s="31">
        <f t="shared" si="18"/>
        <v>26693.740285724925</v>
      </c>
      <c r="N50" s="31">
        <f t="shared" si="18"/>
        <v>26693.740285724925</v>
      </c>
      <c r="O50" s="31">
        <f t="shared" si="18"/>
        <v>26693.740285724925</v>
      </c>
      <c r="P50" s="31">
        <f t="shared" si="18"/>
        <v>26693.740285724925</v>
      </c>
      <c r="Q50" s="31">
        <f t="shared" si="18"/>
        <v>26693.740285724925</v>
      </c>
      <c r="R50" s="13"/>
      <c r="S50" s="28"/>
    </row>
    <row r="51" spans="1:19" ht="15" x14ac:dyDescent="0.4">
      <c r="A51" s="11" t="s">
        <v>11</v>
      </c>
      <c r="E51" s="31"/>
      <c r="F51" s="82"/>
      <c r="G51" s="6">
        <f>($G$40*G$49)</f>
        <v>12177.75</v>
      </c>
      <c r="H51" s="6">
        <f>($G$40*H49)+($H$40*G49)</f>
        <v>24355.5</v>
      </c>
      <c r="I51" s="6">
        <f>($G$40*I49)+($H$40*H49)+($I$40*G49)</f>
        <v>36533.25</v>
      </c>
      <c r="J51" s="6">
        <f>($G$40*J49)+($H$40*I49)+($I$40*H49)+($J$40*G49)</f>
        <v>48711</v>
      </c>
      <c r="K51" s="6">
        <f>($G$40*K49)+($H$40*J49)+($I$40*I49)+($J$40*H49)+($K$40*G49)</f>
        <v>60888.75</v>
      </c>
      <c r="L51" s="6">
        <f>($G$40*L49)+($H$40*K49)+($I$40*J49)+($J$40*I49)+($K$40*H49)+($L$40*G49)</f>
        <v>73066.5</v>
      </c>
      <c r="M51" s="6">
        <f>($G$40*M49)+($H$40*L49)+($I$40*K49)+($J$40*J49)+($K$40*I49)+($L$40*H49)+($M$40*G49)</f>
        <v>85244.25</v>
      </c>
      <c r="N51" s="6">
        <f>($G$40*N49)+($H$40*M49)+($I$40*L49)+($J$40*K49)+($K$40*J49)+($L$40*I49)+($M$40*H49)+($N$40*G49)</f>
        <v>97422</v>
      </c>
      <c r="O51" s="6">
        <f>($G$40*O49)+($H$40*N49)+($I$40*M49)+($J$40*L49)+($K$40*K49)+($L$40*J49)+($M$40*I49)+($N$40*H49)+($O$40*G49)</f>
        <v>109599.75</v>
      </c>
      <c r="P51" s="6">
        <f>($G$40*P49)+($H$40*O49)+($I$40*N49)+($J$40*M49)+($K$40*L49)+($L$40*K49)+($M$40*J49)+($N$40*I49)+($O$40*H49)+($P$40*G49)</f>
        <v>121777.5</v>
      </c>
      <c r="Q51" s="6">
        <f>($G$40*Q49)+($H$40*P49)+($I$40*O49)+($J$40*N49)+($K$40*M49)+($L$40*L49)+($M$40*K49)+($N$40*J49)+($O$40*I49)+($P$40*H49)+($Q$40*G49)</f>
        <v>133955.25</v>
      </c>
      <c r="R51" s="13"/>
      <c r="S51" s="28"/>
    </row>
    <row r="52" spans="1:19" x14ac:dyDescent="0.25">
      <c r="A52" s="9" t="s">
        <v>0</v>
      </c>
      <c r="E52" s="31"/>
      <c r="F52" s="82"/>
      <c r="G52" s="31">
        <f>+G50+G51</f>
        <v>38871.490285724925</v>
      </c>
      <c r="H52" s="31">
        <f t="shared" ref="H52:Q52" si="19">+H50+H51</f>
        <v>51049.240285724925</v>
      </c>
      <c r="I52" s="31">
        <f t="shared" si="19"/>
        <v>63226.990285724925</v>
      </c>
      <c r="J52" s="31">
        <f t="shared" si="19"/>
        <v>75404.740285724925</v>
      </c>
      <c r="K52" s="31">
        <f t="shared" si="19"/>
        <v>87582.490285724925</v>
      </c>
      <c r="L52" s="31">
        <f t="shared" si="19"/>
        <v>99760.240285724925</v>
      </c>
      <c r="M52" s="31">
        <f t="shared" si="19"/>
        <v>111937.99028572493</v>
      </c>
      <c r="N52" s="31">
        <f t="shared" si="19"/>
        <v>124115.74028572493</v>
      </c>
      <c r="O52" s="31">
        <f t="shared" si="19"/>
        <v>136293.49028572493</v>
      </c>
      <c r="P52" s="31">
        <f t="shared" si="19"/>
        <v>148471.24028572493</v>
      </c>
      <c r="Q52" s="31">
        <f t="shared" si="19"/>
        <v>160648.99028572493</v>
      </c>
      <c r="R52" s="13"/>
      <c r="S52" s="28"/>
    </row>
    <row r="53" spans="1:19" x14ac:dyDescent="0.25">
      <c r="A53" s="11"/>
      <c r="E53" s="24"/>
      <c r="F53" s="81"/>
      <c r="R53" s="84"/>
      <c r="S53" s="13"/>
    </row>
    <row r="54" spans="1:19" x14ac:dyDescent="0.25">
      <c r="A54" s="93" t="s">
        <v>9</v>
      </c>
      <c r="E54" s="24"/>
      <c r="F54" s="81"/>
      <c r="G54" s="68">
        <v>0.05</v>
      </c>
      <c r="H54" s="69">
        <v>9.5000000000000001E-2</v>
      </c>
      <c r="I54" s="69">
        <v>8.5500000000000007E-2</v>
      </c>
      <c r="J54" s="69">
        <v>7.6999999999999999E-2</v>
      </c>
      <c r="K54" s="69">
        <v>6.93E-2</v>
      </c>
      <c r="L54" s="69">
        <v>6.2300000000000001E-2</v>
      </c>
      <c r="M54" s="69">
        <v>5.8999999999999997E-2</v>
      </c>
      <c r="N54" s="69">
        <v>5.8999999999999997E-2</v>
      </c>
      <c r="O54" s="69">
        <v>5.91E-2</v>
      </c>
      <c r="P54" s="69">
        <v>5.8999999999999997E-2</v>
      </c>
      <c r="Q54" s="70">
        <v>5.91E-2</v>
      </c>
      <c r="R54" s="83"/>
      <c r="S54" s="13"/>
    </row>
    <row r="55" spans="1:19" x14ac:dyDescent="0.25">
      <c r="A55" s="11" t="s">
        <v>10</v>
      </c>
      <c r="B55" s="15"/>
      <c r="C55" s="15"/>
      <c r="E55" s="24"/>
      <c r="F55" s="81"/>
      <c r="G55" s="11">
        <f>G54*$D$49</f>
        <v>26693.740285724925</v>
      </c>
      <c r="H55" s="11">
        <f t="shared" ref="H55:Q55" si="20">H54*$D$49</f>
        <v>50718.106542877358</v>
      </c>
      <c r="I55" s="11">
        <f t="shared" si="20"/>
        <v>45646.295888589622</v>
      </c>
      <c r="J55" s="11">
        <f t="shared" si="20"/>
        <v>41108.360040016385</v>
      </c>
      <c r="K55" s="11">
        <f t="shared" si="20"/>
        <v>36997.524036014744</v>
      </c>
      <c r="L55" s="11">
        <f t="shared" si="20"/>
        <v>33260.400396013254</v>
      </c>
      <c r="M55" s="11">
        <f t="shared" si="20"/>
        <v>31498.613537155412</v>
      </c>
      <c r="N55" s="11">
        <f t="shared" si="20"/>
        <v>31498.613537155412</v>
      </c>
      <c r="O55" s="11">
        <f t="shared" si="20"/>
        <v>31552.001017726863</v>
      </c>
      <c r="P55" s="11">
        <f t="shared" si="20"/>
        <v>31498.613537155412</v>
      </c>
      <c r="Q55" s="11">
        <f t="shared" si="20"/>
        <v>31552.001017726863</v>
      </c>
    </row>
    <row r="56" spans="1:19" ht="15" x14ac:dyDescent="0.4">
      <c r="A56" s="11" t="s">
        <v>11</v>
      </c>
      <c r="B56" s="16"/>
      <c r="C56" s="16"/>
      <c r="E56" s="24"/>
      <c r="F56" s="81"/>
      <c r="G56" s="6">
        <f>($G$40*G$54)</f>
        <v>12177.75</v>
      </c>
      <c r="H56" s="6">
        <f>($G$40*H54)+($H$40*G54)</f>
        <v>35315.474999999999</v>
      </c>
      <c r="I56" s="6">
        <f>($G$40*I54)+($H$40*H54)+($I$40*G54)</f>
        <v>56139.427500000005</v>
      </c>
      <c r="J56" s="6">
        <f>($G$40*J54)+($H$40*I54)+($I$40*H54)+($J$40*G54)</f>
        <v>74893.162500000006</v>
      </c>
      <c r="K56" s="6">
        <f>($G$40*K54)+($H$40*J54)+($I$40*I54)+($J$40*H54)+($K$40*G54)</f>
        <v>91771.524000000005</v>
      </c>
      <c r="L56" s="6">
        <f>($G$40*L54)+($H$40*K54)+($I$40*J54)+($J$40*I54)+($K$40*H54)+($L$40*G54)</f>
        <v>106945.00049999999</v>
      </c>
      <c r="M56" s="6">
        <f>($G$40*M54)+($H$40*L54)+($I$40*K54)+($J$40*J54)+($K$40*I54)+($L$40*H54)+($M$40*G54)</f>
        <v>121314.74549999999</v>
      </c>
      <c r="N56" s="6">
        <f>($G$40*N54)+($H$40*M54)+($I$40*L54)+($J$40*K54)+($K$40*J54)+($L$40*I54)+($M$40*H54)+($N$40*G54)</f>
        <v>135684.49049999999</v>
      </c>
      <c r="O56" s="6">
        <f>($G$40*O54)+($H$40*N54)+($I$40*M54)+($J$40*L54)+($K$40*K54)+($L$40*J54)+($M$40*I54)+($N$40*H54)+($O$40*G54)</f>
        <v>150078.59099999999</v>
      </c>
      <c r="P56" s="6">
        <f>($G$40*P54)+($H$40*O54)+($I$40*N54)+($J$40*M54)+($K$40*L54)+($L$40*K54)+($M$40*J54)+($N$40*I54)+($O$40*H54)+($P$40*G54)</f>
        <v>164448.33600000001</v>
      </c>
      <c r="Q56" s="6">
        <f>($G$40*Q54)+($H$40*P54)+($I$40*O54)+($J$40*N54)+($K$40*M54)+($L$40*L54)+($M$40*K54)+($N$40*J54)+($O$40*I54)+($P$40*H54)+($Q$40*G54)</f>
        <v>178842.43650000001</v>
      </c>
    </row>
    <row r="57" spans="1:19" x14ac:dyDescent="0.25">
      <c r="A57" s="9" t="s">
        <v>0</v>
      </c>
      <c r="E57" s="24"/>
      <c r="F57" s="81"/>
      <c r="G57" s="11">
        <f>SUM(G55:G56)</f>
        <v>38871.490285724925</v>
      </c>
      <c r="H57" s="11">
        <f t="shared" ref="H57:Q57" si="21">SUM(H55:H56)</f>
        <v>86033.581542877364</v>
      </c>
      <c r="I57" s="11">
        <f t="shared" si="21"/>
        <v>101785.72338858963</v>
      </c>
      <c r="J57" s="25">
        <f t="shared" si="21"/>
        <v>116001.52254001639</v>
      </c>
      <c r="K57" s="25">
        <f t="shared" si="21"/>
        <v>128769.04803601475</v>
      </c>
      <c r="L57" s="11">
        <f t="shared" si="21"/>
        <v>140205.40089601325</v>
      </c>
      <c r="M57" s="11">
        <f t="shared" si="21"/>
        <v>152813.3590371554</v>
      </c>
      <c r="N57" s="11">
        <f t="shared" si="21"/>
        <v>167183.1040371554</v>
      </c>
      <c r="O57" s="11">
        <f t="shared" si="21"/>
        <v>181630.59201772686</v>
      </c>
      <c r="P57" s="11">
        <f t="shared" si="21"/>
        <v>195946.94953715542</v>
      </c>
      <c r="Q57" s="11">
        <f t="shared" si="21"/>
        <v>210394.43751772688</v>
      </c>
    </row>
    <row r="58" spans="1:19" x14ac:dyDescent="0.25">
      <c r="A58" s="9"/>
      <c r="E58" s="24"/>
      <c r="F58" s="52"/>
    </row>
    <row r="59" spans="1:19" ht="13.8" thickBot="1" x14ac:dyDescent="0.3"/>
    <row r="60" spans="1:19" ht="16.8" x14ac:dyDescent="0.55000000000000004">
      <c r="J60" s="254" t="s">
        <v>12</v>
      </c>
      <c r="K60" s="255" t="str">
        <f>(Assumptions!D12-1&amp;" EBITDA")</f>
        <v>1999 EBITDA</v>
      </c>
      <c r="L60" s="256"/>
      <c r="M60" s="397" t="s">
        <v>13</v>
      </c>
      <c r="N60" s="398"/>
      <c r="O60" s="399"/>
    </row>
    <row r="61" spans="1:19" ht="16.8" x14ac:dyDescent="0.55000000000000004">
      <c r="J61" s="257" t="s">
        <v>14</v>
      </c>
      <c r="K61" s="258" t="s">
        <v>24</v>
      </c>
      <c r="L61" s="259" t="s">
        <v>147</v>
      </c>
      <c r="M61" s="262">
        <f>CDRate-0.025</f>
        <v>0.1</v>
      </c>
      <c r="N61" s="260">
        <f>Assumptions!D21</f>
        <v>0.125</v>
      </c>
      <c r="O61" s="261">
        <f>CDRate+0.025</f>
        <v>0.15</v>
      </c>
    </row>
    <row r="62" spans="1:19" ht="13.8" thickBot="1" x14ac:dyDescent="0.3">
      <c r="I62" s="155" t="s">
        <v>22</v>
      </c>
      <c r="J62" s="249"/>
      <c r="K62" s="247"/>
      <c r="L62" s="248"/>
      <c r="M62" s="249"/>
      <c r="N62" s="247"/>
      <c r="O62" s="250"/>
    </row>
    <row r="63" spans="1:19" ht="13.8" thickBot="1" x14ac:dyDescent="0.3">
      <c r="I63" s="23">
        <f>IF(ABS(J63-N63)&lt;0.05,0,1)</f>
        <v>0</v>
      </c>
      <c r="J63" s="342">
        <v>533874.80571449851</v>
      </c>
      <c r="K63" s="343">
        <f>J63/F26</f>
        <v>1.528470300109934</v>
      </c>
      <c r="L63" s="344" t="str">
        <f>Assumptions!D6</f>
        <v>ETS</v>
      </c>
      <c r="M63" s="345">
        <f>NPV(M61,$G47:$R47)</f>
        <v>687708.50084825582</v>
      </c>
      <c r="N63" s="346">
        <f>NPV(N61,$G47:$R47)</f>
        <v>533874.82796105999</v>
      </c>
      <c r="O63" s="347">
        <f>NPV(O61,$G47:$R47)</f>
        <v>417355.57607731147</v>
      </c>
    </row>
    <row r="64" spans="1:19" x14ac:dyDescent="0.25">
      <c r="I64" s="159"/>
      <c r="J64" s="395" t="str">
        <f>IF(ABS(Asset1PurPrice*Assumptions!$C$37+Asset2PurPrice*Assumptions!$C$40+Asset3PurPrice*Assumptions!$C$43+Asset4PurPrice*Assumptions!C46+Asset5PurPrice*Assumptions!C49+Asset6PurPrice*Assumptions!C52-CPurPrice)&gt;1,CPurPrice-(Asset1PurPrice*Assumptions!$C$37+Asset2PurPrice*Assumptions!$C$40+Asset3PurPrice*Assumptions!$C$43+Asset4PurPrice*Assumptions!C46+Asset5PurPrice*Assumptions!C49+Asset6PurPrice*Assumptions!C52),"")</f>
        <v/>
      </c>
      <c r="K64" s="252"/>
      <c r="L64" s="24"/>
      <c r="M64" s="253"/>
      <c r="N64" s="253"/>
      <c r="O64" s="253"/>
    </row>
    <row r="65" spans="6:17" ht="13.8" thickBot="1" x14ac:dyDescent="0.3"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</row>
    <row r="66" spans="6:17" ht="13.8" thickBot="1" x14ac:dyDescent="0.3">
      <c r="J66" s="356" t="s">
        <v>154</v>
      </c>
      <c r="K66" s="357" t="e">
        <f>IRR(H47:R47)+G47</f>
        <v>#NUM!</v>
      </c>
    </row>
  </sheetData>
  <mergeCells count="1">
    <mergeCell ref="M60:O60"/>
  </mergeCells>
  <phoneticPr fontId="0" type="noConversion"/>
  <conditionalFormatting sqref="D25">
    <cfRule type="cellIs" dxfId="6" priority="1" stopIfTrue="1" operator="notBetween">
      <formula>0.25</formula>
      <formula>-0.25</formula>
    </cfRule>
  </conditionalFormatting>
  <pageMargins left="0.5" right="0.5" top="0.5" bottom="0.5" header="0.5" footer="0.5"/>
  <pageSetup scale="54" orientation="landscape" horizontalDpi="300" verticalDpi="300" r:id="rId1"/>
  <headerFooter alignWithMargins="0">
    <oddFooter>&amp;R&amp;F
&amp;A
&amp;D, &amp;T</oddFooter>
  </headerFooter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"/>
  <dimension ref="A1:R89"/>
  <sheetViews>
    <sheetView topLeftCell="A34" zoomScale="75" zoomScaleNormal="75" workbookViewId="0">
      <selection activeCell="I71" sqref="G71:I71"/>
    </sheetView>
  </sheetViews>
  <sheetFormatPr defaultRowHeight="13.2" x14ac:dyDescent="0.25"/>
  <cols>
    <col min="1" max="1" width="27.5546875" customWidth="1"/>
    <col min="2" max="2" width="14" bestFit="1" customWidth="1"/>
    <col min="3" max="3" width="12.88671875" customWidth="1"/>
    <col min="4" max="4" width="11.88671875" customWidth="1"/>
    <col min="5" max="5" width="9.109375" style="24" customWidth="1"/>
    <col min="6" max="6" width="13" style="24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74" t="str">
        <f>Assumptions!D5</f>
        <v>Oneok</v>
      </c>
      <c r="B1" s="38"/>
      <c r="E1" s="79"/>
    </row>
    <row r="2" spans="1:18" ht="15.6" x14ac:dyDescent="0.3">
      <c r="A2" s="377" t="s">
        <v>224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5">
      <c r="A3" s="266"/>
      <c r="B3" s="265"/>
      <c r="E3" s="56"/>
      <c r="F3" s="285" t="str">
        <f>IF(Asset1Loop&lt;&gt;0,"Run Macro","")</f>
        <v/>
      </c>
      <c r="G3" s="73"/>
      <c r="H3" s="286"/>
      <c r="I3" s="73"/>
      <c r="R3" s="24"/>
    </row>
    <row r="4" spans="1:18" ht="13.8" thickBot="1" x14ac:dyDescent="0.3">
      <c r="A4" s="266"/>
      <c r="B4" s="265"/>
      <c r="E4" s="56"/>
      <c r="F4" s="287"/>
      <c r="G4" s="288"/>
      <c r="H4" s="289"/>
      <c r="I4" s="73"/>
      <c r="R4" s="24"/>
    </row>
    <row r="5" spans="1:18" x14ac:dyDescent="0.25">
      <c r="A5" s="266"/>
      <c r="B5" s="265"/>
      <c r="E5" s="56"/>
      <c r="G5" s="73"/>
      <c r="H5" s="73"/>
      <c r="I5" s="73"/>
      <c r="R5" s="24"/>
    </row>
    <row r="6" spans="1:18" x14ac:dyDescent="0.25">
      <c r="A6" s="266"/>
      <c r="B6" s="265"/>
      <c r="E6" s="56"/>
      <c r="G6" s="73"/>
      <c r="H6" s="73"/>
      <c r="I6" s="73"/>
      <c r="R6" s="24"/>
    </row>
    <row r="7" spans="1:18" x14ac:dyDescent="0.25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5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5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5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5">
      <c r="A11" s="120" t="s">
        <v>65</v>
      </c>
      <c r="B11" s="132"/>
      <c r="C11" s="124"/>
      <c r="D11" s="124"/>
      <c r="E11" s="101"/>
      <c r="F11" s="32">
        <f>F43</f>
        <v>109386</v>
      </c>
      <c r="G11" s="97">
        <f>G43</f>
        <v>109386</v>
      </c>
      <c r="H11" s="97">
        <f t="shared" ref="H11:Q11" si="1">H43</f>
        <v>109386</v>
      </c>
      <c r="I11" s="97">
        <f t="shared" si="1"/>
        <v>109386</v>
      </c>
      <c r="J11" s="97">
        <f t="shared" si="1"/>
        <v>109386</v>
      </c>
      <c r="K11" s="97">
        <f t="shared" si="1"/>
        <v>109386</v>
      </c>
      <c r="L11" s="97">
        <f t="shared" si="1"/>
        <v>109386</v>
      </c>
      <c r="M11" s="97">
        <f t="shared" si="1"/>
        <v>109386</v>
      </c>
      <c r="N11" s="97">
        <f t="shared" si="1"/>
        <v>109386</v>
      </c>
      <c r="O11" s="97">
        <f t="shared" si="1"/>
        <v>109386</v>
      </c>
      <c r="P11" s="97">
        <f t="shared" si="1"/>
        <v>109386</v>
      </c>
      <c r="Q11" s="97">
        <f t="shared" si="1"/>
        <v>109386</v>
      </c>
      <c r="R11" s="24"/>
    </row>
    <row r="12" spans="1:18" x14ac:dyDescent="0.25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5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5">
      <c r="A14" s="38" t="s">
        <v>6</v>
      </c>
      <c r="B14" s="131"/>
      <c r="C14" s="38"/>
      <c r="D14" s="124"/>
      <c r="E14" s="121"/>
      <c r="F14" s="32">
        <f>F60</f>
        <v>33894</v>
      </c>
      <c r="G14" s="97">
        <f t="shared" ref="G14:P14" si="2">G60</f>
        <v>33894</v>
      </c>
      <c r="H14" s="97">
        <f t="shared" si="2"/>
        <v>33894</v>
      </c>
      <c r="I14" s="97">
        <f t="shared" si="2"/>
        <v>33894</v>
      </c>
      <c r="J14" s="97">
        <f t="shared" si="2"/>
        <v>33894</v>
      </c>
      <c r="K14" s="97">
        <f t="shared" si="2"/>
        <v>33894</v>
      </c>
      <c r="L14" s="97">
        <f t="shared" si="2"/>
        <v>33894</v>
      </c>
      <c r="M14" s="97">
        <f t="shared" si="2"/>
        <v>33894</v>
      </c>
      <c r="N14" s="97">
        <f t="shared" si="2"/>
        <v>33894</v>
      </c>
      <c r="O14" s="97">
        <f t="shared" si="2"/>
        <v>33894</v>
      </c>
      <c r="P14" s="97">
        <f t="shared" si="2"/>
        <v>33894</v>
      </c>
      <c r="Q14" s="97">
        <f>Q60</f>
        <v>33894</v>
      </c>
      <c r="R14" s="24"/>
    </row>
    <row r="15" spans="1:18" x14ac:dyDescent="0.25">
      <c r="A15" s="8" t="s">
        <v>82</v>
      </c>
      <c r="B15" s="8"/>
      <c r="C15" s="8"/>
      <c r="D15" s="134"/>
      <c r="E15" s="135"/>
      <c r="F15" s="136">
        <f t="shared" ref="F15:Q15" si="3">F11/F14</f>
        <v>3.2272968667020709</v>
      </c>
      <c r="G15" s="137">
        <f t="shared" si="3"/>
        <v>3.2272968667020709</v>
      </c>
      <c r="H15" s="137">
        <f t="shared" si="3"/>
        <v>3.2272968667020709</v>
      </c>
      <c r="I15" s="137">
        <f t="shared" si="3"/>
        <v>3.2272968667020709</v>
      </c>
      <c r="J15" s="137">
        <f t="shared" si="3"/>
        <v>3.2272968667020709</v>
      </c>
      <c r="K15" s="137">
        <f t="shared" si="3"/>
        <v>3.2272968667020709</v>
      </c>
      <c r="L15" s="137">
        <f t="shared" si="3"/>
        <v>3.2272968667020709</v>
      </c>
      <c r="M15" s="137">
        <f t="shared" si="3"/>
        <v>3.2272968667020709</v>
      </c>
      <c r="N15" s="137">
        <f t="shared" si="3"/>
        <v>3.2272968667020709</v>
      </c>
      <c r="O15" s="137">
        <f t="shared" si="3"/>
        <v>3.2272968667020709</v>
      </c>
      <c r="P15" s="137">
        <f t="shared" si="3"/>
        <v>3.2272968667020709</v>
      </c>
      <c r="Q15" s="137">
        <f t="shared" si="3"/>
        <v>3.2272968667020709</v>
      </c>
      <c r="R15" s="24"/>
    </row>
    <row r="16" spans="1:18" x14ac:dyDescent="0.25">
      <c r="A16" s="50" t="s">
        <v>1</v>
      </c>
      <c r="B16" s="37"/>
      <c r="C16" s="37"/>
      <c r="D16" s="37"/>
      <c r="E16" s="105"/>
      <c r="F16" s="57">
        <f t="shared" ref="F16:Q16" si="4">(F11-F14)</f>
        <v>75492</v>
      </c>
      <c r="G16" s="54">
        <f t="shared" si="4"/>
        <v>75492</v>
      </c>
      <c r="H16" s="54">
        <f t="shared" si="4"/>
        <v>75492</v>
      </c>
      <c r="I16" s="54">
        <f t="shared" si="4"/>
        <v>75492</v>
      </c>
      <c r="J16" s="54">
        <f t="shared" si="4"/>
        <v>75492</v>
      </c>
      <c r="K16" s="54">
        <f t="shared" si="4"/>
        <v>75492</v>
      </c>
      <c r="L16" s="54">
        <f t="shared" si="4"/>
        <v>75492</v>
      </c>
      <c r="M16" s="54">
        <f t="shared" si="4"/>
        <v>75492</v>
      </c>
      <c r="N16" s="54">
        <f t="shared" si="4"/>
        <v>75492</v>
      </c>
      <c r="O16" s="54">
        <f t="shared" si="4"/>
        <v>75492</v>
      </c>
      <c r="P16" s="54">
        <f t="shared" si="4"/>
        <v>75492</v>
      </c>
      <c r="Q16" s="55">
        <f t="shared" si="4"/>
        <v>75492</v>
      </c>
      <c r="R16" s="42"/>
    </row>
    <row r="17" spans="1:18" x14ac:dyDescent="0.25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5">
      <c r="A18" t="s">
        <v>7</v>
      </c>
      <c r="B18" s="16"/>
      <c r="E18" s="56"/>
      <c r="F18" s="19">
        <v>0</v>
      </c>
      <c r="G18" s="31">
        <f t="shared" ref="G18:Q18" si="5">G84</f>
        <v>13285.405754043821</v>
      </c>
      <c r="H18" s="31">
        <f t="shared" si="5"/>
        <v>14916.30575404382</v>
      </c>
      <c r="I18" s="31">
        <f t="shared" si="5"/>
        <v>16547.205754043822</v>
      </c>
      <c r="J18" s="31">
        <f t="shared" si="5"/>
        <v>18178.10575404382</v>
      </c>
      <c r="K18" s="31">
        <f t="shared" si="5"/>
        <v>19809.005754043821</v>
      </c>
      <c r="L18" s="31">
        <f t="shared" si="5"/>
        <v>21439.905754043823</v>
      </c>
      <c r="M18" s="31">
        <f t="shared" si="5"/>
        <v>23070.80575404382</v>
      </c>
      <c r="N18" s="31">
        <f t="shared" si="5"/>
        <v>24701.705754043818</v>
      </c>
      <c r="O18" s="31">
        <f t="shared" si="5"/>
        <v>26332.60575404382</v>
      </c>
      <c r="P18" s="31">
        <f t="shared" si="5"/>
        <v>27963.505754043821</v>
      </c>
      <c r="Q18" s="31">
        <f t="shared" si="5"/>
        <v>29594.405754043819</v>
      </c>
      <c r="R18" s="24"/>
    </row>
    <row r="19" spans="1:18" x14ac:dyDescent="0.25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5">
      <c r="A20" s="50" t="s">
        <v>2</v>
      </c>
      <c r="B20" s="37"/>
      <c r="C20" s="37"/>
      <c r="D20" s="37"/>
      <c r="E20" s="105"/>
      <c r="F20" s="57">
        <f>F16-F18</f>
        <v>75492</v>
      </c>
      <c r="G20" s="58">
        <f t="shared" ref="G20:Q20" si="6">G16-G18</f>
        <v>62206.594245956177</v>
      </c>
      <c r="H20" s="58">
        <f t="shared" si="6"/>
        <v>60575.694245956183</v>
      </c>
      <c r="I20" s="58">
        <f t="shared" si="6"/>
        <v>58944.794245956175</v>
      </c>
      <c r="J20" s="54">
        <f t="shared" si="6"/>
        <v>57313.89424595618</v>
      </c>
      <c r="K20" s="54">
        <f t="shared" si="6"/>
        <v>55682.994245956179</v>
      </c>
      <c r="L20" s="58">
        <f t="shared" si="6"/>
        <v>54052.094245956177</v>
      </c>
      <c r="M20" s="58">
        <f t="shared" si="6"/>
        <v>52421.194245956183</v>
      </c>
      <c r="N20" s="58">
        <f t="shared" si="6"/>
        <v>50790.294245956182</v>
      </c>
      <c r="O20" s="58">
        <f t="shared" si="6"/>
        <v>49159.39424595618</v>
      </c>
      <c r="P20" s="58">
        <f t="shared" si="6"/>
        <v>47528.494245956179</v>
      </c>
      <c r="Q20" s="59">
        <f t="shared" si="6"/>
        <v>45897.594245956177</v>
      </c>
      <c r="R20" s="24"/>
    </row>
    <row r="21" spans="1:18" x14ac:dyDescent="0.25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5">
      <c r="A22" s="2" t="s">
        <v>3</v>
      </c>
      <c r="E22" s="127"/>
      <c r="F22" s="19"/>
      <c r="G22" s="1">
        <f t="shared" ref="G22:Q22" si="7">$B$24*(G16-G89)</f>
        <v>23949.53878469313</v>
      </c>
      <c r="H22" s="1">
        <f t="shared" si="7"/>
        <v>18718.249190916944</v>
      </c>
      <c r="I22" s="1">
        <f t="shared" si="7"/>
        <v>18497.073271825248</v>
      </c>
      <c r="J22" s="1">
        <f t="shared" si="7"/>
        <v>18292.90006342742</v>
      </c>
      <c r="K22" s="1">
        <f t="shared" si="7"/>
        <v>18113.631160584675</v>
      </c>
      <c r="L22" s="1">
        <f t="shared" si="7"/>
        <v>17959.449981727637</v>
      </c>
      <c r="M22" s="1">
        <f t="shared" si="7"/>
        <v>17514.673102937893</v>
      </c>
      <c r="N22" s="1">
        <f t="shared" si="7"/>
        <v>16773.755232937892</v>
      </c>
      <c r="O22" s="1">
        <f t="shared" si="7"/>
        <v>16022.607600507277</v>
      </c>
      <c r="P22" s="1">
        <f t="shared" si="7"/>
        <v>15290.663699937893</v>
      </c>
      <c r="Q22" s="1">
        <f t="shared" si="7"/>
        <v>14539.516067507277</v>
      </c>
      <c r="R22" s="24"/>
    </row>
    <row r="23" spans="1:18" ht="15" x14ac:dyDescent="0.4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4603.393093776187</v>
      </c>
      <c r="I23" s="3">
        <f t="shared" si="8"/>
        <v>4196.6725128678809</v>
      </c>
      <c r="J23" s="3">
        <f t="shared" si="8"/>
        <v>3772.9492212657096</v>
      </c>
      <c r="K23" s="3">
        <f t="shared" si="8"/>
        <v>3324.3216241084556</v>
      </c>
      <c r="L23" s="3">
        <f t="shared" si="8"/>
        <v>2850.6063029654906</v>
      </c>
      <c r="M23" s="3">
        <f t="shared" si="8"/>
        <v>2667.4866817552393</v>
      </c>
      <c r="N23" s="3">
        <f t="shared" si="8"/>
        <v>2780.5080517552378</v>
      </c>
      <c r="O23" s="3">
        <f t="shared" si="8"/>
        <v>2903.7591841858539</v>
      </c>
      <c r="P23" s="3">
        <f t="shared" si="8"/>
        <v>3007.8065847552352</v>
      </c>
      <c r="Q23" s="3">
        <f t="shared" si="8"/>
        <v>3131.0577171858531</v>
      </c>
      <c r="R23" s="24"/>
    </row>
    <row r="24" spans="1:18" x14ac:dyDescent="0.25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23949.53878469313</v>
      </c>
      <c r="H24" s="1">
        <f t="shared" si="9"/>
        <v>23321.642284693131</v>
      </c>
      <c r="I24" s="1">
        <f t="shared" si="9"/>
        <v>22693.745784693128</v>
      </c>
      <c r="J24" s="1">
        <f t="shared" si="9"/>
        <v>22065.849284693129</v>
      </c>
      <c r="K24" s="1">
        <f t="shared" si="9"/>
        <v>21437.952784693131</v>
      </c>
      <c r="L24" s="1">
        <f t="shared" si="9"/>
        <v>20810.056284693128</v>
      </c>
      <c r="M24" s="1">
        <f t="shared" si="9"/>
        <v>20182.159784693133</v>
      </c>
      <c r="N24" s="1">
        <f t="shared" si="9"/>
        <v>19554.26328469313</v>
      </c>
      <c r="O24" s="1">
        <f t="shared" si="9"/>
        <v>18926.366784693131</v>
      </c>
      <c r="P24" s="1">
        <f t="shared" si="9"/>
        <v>18298.470284693129</v>
      </c>
      <c r="Q24" s="1">
        <f t="shared" si="9"/>
        <v>17670.57378469313</v>
      </c>
      <c r="R24" s="24"/>
    </row>
    <row r="25" spans="1:18" x14ac:dyDescent="0.25">
      <c r="A25" s="1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5">
      <c r="A26" s="78" t="s">
        <v>16</v>
      </c>
      <c r="B26" s="37"/>
      <c r="C26" s="37"/>
      <c r="D26" s="37"/>
      <c r="E26" s="128"/>
      <c r="F26" s="57">
        <f t="shared" ref="F26:Q26" si="10">F20-F24</f>
        <v>75492</v>
      </c>
      <c r="G26" s="58">
        <f t="shared" si="10"/>
        <v>38257.055461263051</v>
      </c>
      <c r="H26" s="58">
        <f t="shared" si="10"/>
        <v>37254.051961263052</v>
      </c>
      <c r="I26" s="58">
        <f t="shared" si="10"/>
        <v>36251.048461263046</v>
      </c>
      <c r="J26" s="54">
        <f t="shared" si="10"/>
        <v>35248.044961263047</v>
      </c>
      <c r="K26" s="54">
        <f t="shared" si="10"/>
        <v>34245.041461263048</v>
      </c>
      <c r="L26" s="58">
        <f t="shared" si="10"/>
        <v>33242.03796126305</v>
      </c>
      <c r="M26" s="58">
        <f t="shared" si="10"/>
        <v>32239.034461263051</v>
      </c>
      <c r="N26" s="58">
        <f t="shared" si="10"/>
        <v>31236.030961263052</v>
      </c>
      <c r="O26" s="58">
        <f t="shared" si="10"/>
        <v>30233.027461263049</v>
      </c>
      <c r="P26" s="58">
        <f t="shared" si="10"/>
        <v>29230.02396126305</v>
      </c>
      <c r="Q26" s="59">
        <f t="shared" si="10"/>
        <v>28227.020461263048</v>
      </c>
    </row>
    <row r="27" spans="1:18" x14ac:dyDescent="0.25">
      <c r="A27" s="2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1</v>
      </c>
    </row>
    <row r="28" spans="1:18" x14ac:dyDescent="0.25">
      <c r="A28" s="2" t="s">
        <v>15</v>
      </c>
      <c r="E28" s="56"/>
      <c r="F28" s="19">
        <f t="shared" ref="F28:Q28" si="11">F26+F23+F18</f>
        <v>75492</v>
      </c>
      <c r="G28" s="1">
        <f t="shared" si="11"/>
        <v>51542.461215306874</v>
      </c>
      <c r="H28" s="1">
        <f t="shared" si="11"/>
        <v>56773.750809083052</v>
      </c>
      <c r="I28" s="1">
        <f t="shared" si="11"/>
        <v>56994.926728174745</v>
      </c>
      <c r="J28" s="13">
        <f t="shared" si="11"/>
        <v>57199.099936572573</v>
      </c>
      <c r="K28" s="13">
        <f t="shared" si="11"/>
        <v>57378.368839415321</v>
      </c>
      <c r="L28" s="1">
        <f t="shared" si="11"/>
        <v>57532.550018272363</v>
      </c>
      <c r="M28" s="1">
        <f t="shared" si="11"/>
        <v>57977.326897062114</v>
      </c>
      <c r="N28" s="1">
        <f t="shared" si="11"/>
        <v>58718.244767062111</v>
      </c>
      <c r="O28" s="1">
        <f t="shared" si="11"/>
        <v>59469.392399492725</v>
      </c>
      <c r="P28" s="1">
        <f t="shared" si="11"/>
        <v>60201.336300062103</v>
      </c>
      <c r="Q28" s="1">
        <f t="shared" si="11"/>
        <v>60952.483932492716</v>
      </c>
      <c r="R28" s="20" t="s">
        <v>70</v>
      </c>
    </row>
    <row r="29" spans="1:18" x14ac:dyDescent="0.25">
      <c r="A29" s="2" t="s">
        <v>23</v>
      </c>
      <c r="B29" s="164">
        <f>Assumptions!C38</f>
        <v>1</v>
      </c>
      <c r="E29" s="56"/>
      <c r="F29" s="19">
        <f>F77</f>
        <v>32618</v>
      </c>
      <c r="G29" s="13">
        <f>G77</f>
        <v>32618</v>
      </c>
      <c r="H29" s="13">
        <f t="shared" ref="H29:Q29" si="12">H77</f>
        <v>32618</v>
      </c>
      <c r="I29" s="13">
        <f t="shared" si="12"/>
        <v>32618</v>
      </c>
      <c r="J29" s="13">
        <f t="shared" si="12"/>
        <v>32618</v>
      </c>
      <c r="K29" s="13">
        <f t="shared" si="12"/>
        <v>32618</v>
      </c>
      <c r="L29" s="13">
        <f t="shared" si="12"/>
        <v>32618</v>
      </c>
      <c r="M29" s="13">
        <f t="shared" si="12"/>
        <v>32618</v>
      </c>
      <c r="N29" s="13">
        <f t="shared" si="12"/>
        <v>32618</v>
      </c>
      <c r="O29" s="13">
        <f t="shared" si="12"/>
        <v>32618</v>
      </c>
      <c r="P29" s="13">
        <f t="shared" si="12"/>
        <v>32618</v>
      </c>
      <c r="Q29" s="13">
        <f t="shared" si="12"/>
        <v>32618</v>
      </c>
      <c r="R29" s="386">
        <f>Assumptions!E37</f>
        <v>5</v>
      </c>
    </row>
    <row r="30" spans="1:18" x14ac:dyDescent="0.25">
      <c r="A30" s="112" t="s">
        <v>17</v>
      </c>
      <c r="B30" s="37"/>
      <c r="C30" s="37"/>
      <c r="D30" s="37"/>
      <c r="E30" s="105"/>
      <c r="F30" s="57">
        <f t="shared" ref="F30:Q30" si="13">F28-F29</f>
        <v>42874</v>
      </c>
      <c r="G30" s="54">
        <f t="shared" si="13"/>
        <v>18924.461215306874</v>
      </c>
      <c r="H30" s="54">
        <f t="shared" si="13"/>
        <v>24155.750809083052</v>
      </c>
      <c r="I30" s="54">
        <f t="shared" si="13"/>
        <v>24376.926728174745</v>
      </c>
      <c r="J30" s="54">
        <f t="shared" si="13"/>
        <v>24581.099936572573</v>
      </c>
      <c r="K30" s="54">
        <f t="shared" si="13"/>
        <v>24760.368839415321</v>
      </c>
      <c r="L30" s="54">
        <f t="shared" si="13"/>
        <v>24914.550018272363</v>
      </c>
      <c r="M30" s="54">
        <f t="shared" si="13"/>
        <v>25359.326897062114</v>
      </c>
      <c r="N30" s="54">
        <f t="shared" si="13"/>
        <v>26100.244767062111</v>
      </c>
      <c r="O30" s="54">
        <f t="shared" si="13"/>
        <v>26851.392399492725</v>
      </c>
      <c r="P30" s="54">
        <f t="shared" si="13"/>
        <v>27583.336300062103</v>
      </c>
      <c r="Q30" s="54">
        <f t="shared" si="13"/>
        <v>28334.483932492716</v>
      </c>
      <c r="R30" s="55">
        <f>Q16*$R$29</f>
        <v>377460</v>
      </c>
    </row>
    <row r="31" spans="1:18" x14ac:dyDescent="0.25">
      <c r="A31" s="4"/>
      <c r="D31" s="9" t="s">
        <v>202</v>
      </c>
      <c r="E31" s="385">
        <f>IRR(F31:R31)</f>
        <v>0.12500000598575903</v>
      </c>
      <c r="F31" s="19">
        <f>-Asset1PurPrice</f>
        <v>-233090.11508087642</v>
      </c>
      <c r="G31" s="13">
        <f>G30</f>
        <v>18924.461215306874</v>
      </c>
      <c r="H31" s="13">
        <f t="shared" ref="H31:R31" si="14">H30</f>
        <v>24155.750809083052</v>
      </c>
      <c r="I31" s="13">
        <f t="shared" si="14"/>
        <v>24376.926728174745</v>
      </c>
      <c r="J31" s="13">
        <f t="shared" si="14"/>
        <v>24581.099936572573</v>
      </c>
      <c r="K31" s="13">
        <f t="shared" si="14"/>
        <v>24760.368839415321</v>
      </c>
      <c r="L31" s="13">
        <f t="shared" si="14"/>
        <v>24914.550018272363</v>
      </c>
      <c r="M31" s="13">
        <f t="shared" si="14"/>
        <v>25359.326897062114</v>
      </c>
      <c r="N31" s="13">
        <f t="shared" si="14"/>
        <v>26100.244767062111</v>
      </c>
      <c r="O31" s="13">
        <f t="shared" si="14"/>
        <v>26851.392399492725</v>
      </c>
      <c r="P31" s="13">
        <f t="shared" si="14"/>
        <v>27583.336300062103</v>
      </c>
      <c r="Q31" s="13">
        <f t="shared" si="14"/>
        <v>28334.483932492716</v>
      </c>
      <c r="R31" s="13">
        <f t="shared" si="14"/>
        <v>377460</v>
      </c>
    </row>
    <row r="32" spans="1:18" ht="13.8" thickBot="1" x14ac:dyDescent="0.3">
      <c r="R32" s="13"/>
    </row>
    <row r="33" spans="1:18" ht="15" x14ac:dyDescent="0.4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4">
      <c r="F34"/>
      <c r="G34" s="272" t="s">
        <v>14</v>
      </c>
      <c r="H34" s="273" t="s">
        <v>24</v>
      </c>
      <c r="I34" s="273" t="s">
        <v>73</v>
      </c>
      <c r="J34" s="274"/>
      <c r="K34" s="275">
        <f>Asset1Drate-0.025</f>
        <v>0.1</v>
      </c>
      <c r="L34" s="275">
        <f>Assumptions!H37</f>
        <v>0.125</v>
      </c>
      <c r="M34" s="276">
        <f>Asset1Drate+0.025</f>
        <v>0.15</v>
      </c>
      <c r="P34" s="1"/>
      <c r="Q34" s="1"/>
      <c r="R34" s="1"/>
    </row>
    <row r="35" spans="1:18" x14ac:dyDescent="0.25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8" thickBot="1" x14ac:dyDescent="0.3">
      <c r="F36">
        <f>IF(ABS(G36-L36)&lt;0.05,0,1)</f>
        <v>0</v>
      </c>
      <c r="G36" s="348">
        <v>233090.11508087642</v>
      </c>
      <c r="H36" s="349">
        <f>G36/F16</f>
        <v>3.087613456801733</v>
      </c>
      <c r="I36" s="350" t="str">
        <f>Assumptions!D40</f>
        <v>ETS</v>
      </c>
      <c r="J36" s="351"/>
      <c r="K36" s="280">
        <f>NPV(K34,$G$30:$R$30)</f>
        <v>279122.24414289923</v>
      </c>
      <c r="L36" s="281">
        <f>NPV(L34,$G$30:$R$30)</f>
        <v>233090.12479362343</v>
      </c>
      <c r="M36" s="282">
        <f>NPV(M34,$G$30:$R$30)</f>
        <v>197042.37202780004</v>
      </c>
      <c r="P36" s="1"/>
      <c r="Q36" s="1"/>
      <c r="R36" s="1"/>
    </row>
    <row r="37" spans="1:18" x14ac:dyDescent="0.25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5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5">G42+1</f>
        <v>2001</v>
      </c>
      <c r="I42" s="7">
        <f t="shared" si="15"/>
        <v>2002</v>
      </c>
      <c r="J42" s="7">
        <f t="shared" si="15"/>
        <v>2003</v>
      </c>
      <c r="K42" s="7">
        <f t="shared" si="15"/>
        <v>2004</v>
      </c>
      <c r="L42" s="7">
        <f t="shared" si="15"/>
        <v>2005</v>
      </c>
      <c r="M42" s="7">
        <f t="shared" si="15"/>
        <v>2006</v>
      </c>
      <c r="N42" s="7">
        <f t="shared" si="15"/>
        <v>2007</v>
      </c>
      <c r="O42" s="7">
        <f t="shared" si="15"/>
        <v>2008</v>
      </c>
      <c r="P42" s="7">
        <f t="shared" si="15"/>
        <v>2009</v>
      </c>
      <c r="Q42" s="7">
        <f t="shared" si="15"/>
        <v>2010</v>
      </c>
    </row>
    <row r="43" spans="1:18" ht="13.8" thickBot="1" x14ac:dyDescent="0.3">
      <c r="A43" s="103" t="str">
        <f>A2</f>
        <v xml:space="preserve">  T&amp;S - Cash Flow Analysis</v>
      </c>
      <c r="B43" s="169">
        <f>Assumptions!C38</f>
        <v>1</v>
      </c>
      <c r="C43" s="170">
        <v>1</v>
      </c>
      <c r="D43" s="37"/>
      <c r="E43" s="89"/>
      <c r="F43" s="57">
        <f>F48*$B$43</f>
        <v>109386</v>
      </c>
      <c r="G43" s="58">
        <f t="shared" ref="G43:Q43" si="16">CHOOSE($C$43,G48,G51,G54)*$B$43+G44</f>
        <v>109386</v>
      </c>
      <c r="H43" s="58">
        <f t="shared" si="16"/>
        <v>109386</v>
      </c>
      <c r="I43" s="58">
        <f t="shared" si="16"/>
        <v>109386</v>
      </c>
      <c r="J43" s="58">
        <f t="shared" si="16"/>
        <v>109386</v>
      </c>
      <c r="K43" s="58">
        <f t="shared" si="16"/>
        <v>109386</v>
      </c>
      <c r="L43" s="58">
        <f t="shared" si="16"/>
        <v>109386</v>
      </c>
      <c r="M43" s="58">
        <f t="shared" si="16"/>
        <v>109386</v>
      </c>
      <c r="N43" s="58">
        <f t="shared" si="16"/>
        <v>109386</v>
      </c>
      <c r="O43" s="58">
        <f t="shared" si="16"/>
        <v>109386</v>
      </c>
      <c r="P43" s="58">
        <f t="shared" si="16"/>
        <v>109386</v>
      </c>
      <c r="Q43" s="59">
        <f t="shared" si="16"/>
        <v>109386</v>
      </c>
    </row>
    <row r="44" spans="1:18" x14ac:dyDescent="0.25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s="8" t="str">
        <f>Assumptions!B58</f>
        <v>1. Base Case</v>
      </c>
      <c r="C46" s="114">
        <v>1</v>
      </c>
    </row>
    <row r="47" spans="1:18" ht="15" x14ac:dyDescent="0.4">
      <c r="A47" t="s">
        <v>226</v>
      </c>
      <c r="C47" s="114"/>
      <c r="D47" s="152"/>
      <c r="E47" s="56"/>
      <c r="F47" s="18">
        <v>109386</v>
      </c>
      <c r="G47" s="6">
        <f>F47</f>
        <v>109386</v>
      </c>
      <c r="H47" s="6">
        <f>G47</f>
        <v>109386</v>
      </c>
      <c r="I47" s="6">
        <f t="shared" ref="I47:Q47" si="17">H47</f>
        <v>109386</v>
      </c>
      <c r="J47" s="6">
        <f t="shared" si="17"/>
        <v>109386</v>
      </c>
      <c r="K47" s="6">
        <f t="shared" si="17"/>
        <v>109386</v>
      </c>
      <c r="L47" s="6">
        <f t="shared" si="17"/>
        <v>109386</v>
      </c>
      <c r="M47" s="6">
        <f t="shared" si="17"/>
        <v>109386</v>
      </c>
      <c r="N47" s="6">
        <f t="shared" si="17"/>
        <v>109386</v>
      </c>
      <c r="O47" s="6">
        <f t="shared" si="17"/>
        <v>109386</v>
      </c>
      <c r="P47" s="6">
        <f t="shared" si="17"/>
        <v>109386</v>
      </c>
      <c r="Q47" s="6">
        <f t="shared" si="17"/>
        <v>109386</v>
      </c>
    </row>
    <row r="48" spans="1:18" x14ac:dyDescent="0.25">
      <c r="A48" s="73" t="s">
        <v>0</v>
      </c>
      <c r="B48" s="151">
        <v>1</v>
      </c>
      <c r="C48" s="114"/>
      <c r="D48" s="126"/>
      <c r="E48" s="101"/>
      <c r="F48" s="32">
        <f>SUM(F47:F47)*$B$48</f>
        <v>109386</v>
      </c>
      <c r="G48" s="97">
        <f t="shared" ref="G48:Q48" si="18">SUM(G47:G47)*$B$48+G49</f>
        <v>109386</v>
      </c>
      <c r="H48" s="97">
        <f t="shared" si="18"/>
        <v>109386</v>
      </c>
      <c r="I48" s="97">
        <f t="shared" si="18"/>
        <v>109386</v>
      </c>
      <c r="J48" s="97">
        <f t="shared" si="18"/>
        <v>109386</v>
      </c>
      <c r="K48" s="97">
        <f t="shared" si="18"/>
        <v>109386</v>
      </c>
      <c r="L48" s="97">
        <f t="shared" si="18"/>
        <v>109386</v>
      </c>
      <c r="M48" s="97">
        <f t="shared" si="18"/>
        <v>109386</v>
      </c>
      <c r="N48" s="97">
        <f t="shared" si="18"/>
        <v>109386</v>
      </c>
      <c r="O48" s="97">
        <f t="shared" si="18"/>
        <v>109386</v>
      </c>
      <c r="P48" s="97">
        <f t="shared" si="18"/>
        <v>109386</v>
      </c>
      <c r="Q48" s="97">
        <f t="shared" si="18"/>
        <v>109386</v>
      </c>
    </row>
    <row r="49" spans="1:17" x14ac:dyDescent="0.25">
      <c r="C49" s="114"/>
      <c r="F49" s="125" t="s">
        <v>45</v>
      </c>
      <c r="G49" s="1">
        <v>0</v>
      </c>
      <c r="H49" s="1">
        <v>0</v>
      </c>
      <c r="I49" s="1">
        <f t="shared" ref="I49:Q49" si="19">H49</f>
        <v>0</v>
      </c>
      <c r="J49" s="13">
        <f t="shared" si="19"/>
        <v>0</v>
      </c>
      <c r="K49" s="13">
        <f t="shared" si="19"/>
        <v>0</v>
      </c>
      <c r="L49" s="1">
        <f t="shared" si="19"/>
        <v>0</v>
      </c>
      <c r="M49" s="1">
        <f t="shared" si="19"/>
        <v>0</v>
      </c>
      <c r="N49" s="1">
        <f t="shared" si="19"/>
        <v>0</v>
      </c>
      <c r="O49" s="1">
        <f t="shared" si="19"/>
        <v>0</v>
      </c>
      <c r="P49" s="1">
        <f t="shared" si="19"/>
        <v>0</v>
      </c>
      <c r="Q49" s="1">
        <f t="shared" si="19"/>
        <v>0</v>
      </c>
    </row>
    <row r="50" spans="1:17" x14ac:dyDescent="0.25">
      <c r="C50" s="114"/>
    </row>
    <row r="51" spans="1:17" x14ac:dyDescent="0.25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109386</v>
      </c>
      <c r="G51" s="26">
        <f t="shared" ref="G51:Q51" si="20">F51*$B$51+G52</f>
        <v>111573.72</v>
      </c>
      <c r="H51" s="26">
        <f t="shared" si="20"/>
        <v>113805.19440000001</v>
      </c>
      <c r="I51" s="26">
        <f t="shared" si="20"/>
        <v>116081.29828800001</v>
      </c>
      <c r="J51" s="26">
        <f t="shared" si="20"/>
        <v>118402.92425376001</v>
      </c>
      <c r="K51" s="26">
        <f t="shared" si="20"/>
        <v>120770.98273883521</v>
      </c>
      <c r="L51" s="26">
        <f t="shared" si="20"/>
        <v>123186.40239361192</v>
      </c>
      <c r="M51" s="26">
        <f t="shared" si="20"/>
        <v>125650.13044148416</v>
      </c>
      <c r="N51" s="26">
        <f t="shared" si="20"/>
        <v>128163.13305031385</v>
      </c>
      <c r="O51" s="26">
        <f t="shared" si="20"/>
        <v>130726.39571132012</v>
      </c>
      <c r="P51" s="26">
        <f t="shared" si="20"/>
        <v>133340.92362554654</v>
      </c>
      <c r="Q51" s="26">
        <f t="shared" si="20"/>
        <v>136007.74209805747</v>
      </c>
    </row>
    <row r="52" spans="1:17" x14ac:dyDescent="0.25">
      <c r="C52" s="114"/>
      <c r="F52" s="125" t="s">
        <v>45</v>
      </c>
      <c r="G52" s="1">
        <v>0</v>
      </c>
      <c r="H52" s="1">
        <v>0</v>
      </c>
      <c r="I52" s="1">
        <f t="shared" ref="I52:Q52" si="21">H52</f>
        <v>0</v>
      </c>
      <c r="J52" s="13">
        <f t="shared" si="21"/>
        <v>0</v>
      </c>
      <c r="K52" s="13">
        <f t="shared" si="21"/>
        <v>0</v>
      </c>
      <c r="L52" s="1">
        <f t="shared" si="21"/>
        <v>0</v>
      </c>
      <c r="M52" s="1">
        <f t="shared" si="21"/>
        <v>0</v>
      </c>
      <c r="N52" s="1">
        <f t="shared" si="21"/>
        <v>0</v>
      </c>
      <c r="O52" s="1">
        <f t="shared" si="21"/>
        <v>0</v>
      </c>
      <c r="P52" s="1">
        <f t="shared" si="21"/>
        <v>0</v>
      </c>
      <c r="Q52" s="1">
        <f t="shared" si="21"/>
        <v>0</v>
      </c>
    </row>
    <row r="53" spans="1:17" x14ac:dyDescent="0.25">
      <c r="C53" s="114"/>
    </row>
    <row r="54" spans="1:17" x14ac:dyDescent="0.25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109386</v>
      </c>
      <c r="G54" s="26">
        <f t="shared" ref="G54:Q54" si="22">F54*$B$54+G55</f>
        <v>108292.14</v>
      </c>
      <c r="H54" s="26">
        <f t="shared" si="22"/>
        <v>107209.21859999999</v>
      </c>
      <c r="I54" s="26">
        <f t="shared" si="22"/>
        <v>106137.126414</v>
      </c>
      <c r="J54" s="26">
        <f t="shared" si="22"/>
        <v>105075.75514985999</v>
      </c>
      <c r="K54" s="26">
        <f t="shared" si="22"/>
        <v>104024.9975983614</v>
      </c>
      <c r="L54" s="26">
        <f t="shared" si="22"/>
        <v>102984.74762237778</v>
      </c>
      <c r="M54" s="26">
        <f t="shared" si="22"/>
        <v>101954.900146154</v>
      </c>
      <c r="N54" s="26">
        <f t="shared" si="22"/>
        <v>100935.35114469247</v>
      </c>
      <c r="O54" s="26">
        <f t="shared" si="22"/>
        <v>99925.997633245541</v>
      </c>
      <c r="P54" s="26">
        <f t="shared" si="22"/>
        <v>98926.737656913087</v>
      </c>
      <c r="Q54" s="26">
        <f t="shared" si="22"/>
        <v>97937.470280343958</v>
      </c>
    </row>
    <row r="55" spans="1:17" ht="13.8" thickBot="1" x14ac:dyDescent="0.3">
      <c r="C55" s="118"/>
      <c r="F55" s="125" t="s">
        <v>45</v>
      </c>
      <c r="G55" s="1">
        <v>0</v>
      </c>
      <c r="H55" s="1">
        <v>0</v>
      </c>
      <c r="I55" s="1">
        <f t="shared" ref="I55:Q55" si="23">H55</f>
        <v>0</v>
      </c>
      <c r="J55" s="13">
        <f t="shared" si="23"/>
        <v>0</v>
      </c>
      <c r="K55" s="13">
        <f t="shared" si="23"/>
        <v>0</v>
      </c>
      <c r="L55" s="1">
        <f t="shared" si="23"/>
        <v>0</v>
      </c>
      <c r="M55" s="1">
        <f t="shared" si="23"/>
        <v>0</v>
      </c>
      <c r="N55" s="1">
        <f t="shared" si="23"/>
        <v>0</v>
      </c>
      <c r="O55" s="1">
        <f t="shared" si="23"/>
        <v>0</v>
      </c>
      <c r="P55" s="1">
        <f t="shared" si="23"/>
        <v>0</v>
      </c>
      <c r="Q55" s="1">
        <f t="shared" si="23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4">G59+1</f>
        <v>2001</v>
      </c>
      <c r="I59" s="7">
        <f t="shared" si="24"/>
        <v>2002</v>
      </c>
      <c r="J59" s="7">
        <f t="shared" si="24"/>
        <v>2003</v>
      </c>
      <c r="K59" s="7">
        <f t="shared" si="24"/>
        <v>2004</v>
      </c>
      <c r="L59" s="7">
        <f t="shared" si="24"/>
        <v>2005</v>
      </c>
      <c r="M59" s="7">
        <f t="shared" si="24"/>
        <v>2006</v>
      </c>
      <c r="N59" s="7">
        <f t="shared" si="24"/>
        <v>2007</v>
      </c>
      <c r="O59" s="7">
        <f t="shared" si="24"/>
        <v>2008</v>
      </c>
      <c r="P59" s="7">
        <f t="shared" si="24"/>
        <v>2009</v>
      </c>
      <c r="Q59" s="7">
        <f t="shared" si="24"/>
        <v>2010</v>
      </c>
    </row>
    <row r="60" spans="1:17" ht="13.8" thickBot="1" x14ac:dyDescent="0.3">
      <c r="A60" s="103" t="str">
        <f>A2</f>
        <v xml:space="preserve">  T&amp;S - Cash Flow Analysis</v>
      </c>
      <c r="B60" s="169">
        <f>Assumptions!C38</f>
        <v>1</v>
      </c>
      <c r="C60" s="171">
        <v>1</v>
      </c>
      <c r="D60" s="37"/>
      <c r="E60" s="89"/>
      <c r="F60" s="111">
        <f>F65*$B$60</f>
        <v>33894</v>
      </c>
      <c r="G60" s="58">
        <f t="shared" ref="G60:Q60" si="25">CHOOSE($C$60,G65,G68,G71)*$B$60+G61</f>
        <v>33894</v>
      </c>
      <c r="H60" s="58">
        <f t="shared" si="25"/>
        <v>33894</v>
      </c>
      <c r="I60" s="58">
        <f t="shared" si="25"/>
        <v>33894</v>
      </c>
      <c r="J60" s="58">
        <f t="shared" si="25"/>
        <v>33894</v>
      </c>
      <c r="K60" s="58">
        <f t="shared" si="25"/>
        <v>33894</v>
      </c>
      <c r="L60" s="58">
        <f t="shared" si="25"/>
        <v>33894</v>
      </c>
      <c r="M60" s="58">
        <f t="shared" si="25"/>
        <v>33894</v>
      </c>
      <c r="N60" s="58">
        <f t="shared" si="25"/>
        <v>33894</v>
      </c>
      <c r="O60" s="58">
        <f t="shared" si="25"/>
        <v>33894</v>
      </c>
      <c r="P60" s="58">
        <f t="shared" si="25"/>
        <v>33894</v>
      </c>
      <c r="Q60" s="59">
        <f t="shared" si="25"/>
        <v>33894</v>
      </c>
    </row>
    <row r="61" spans="1:17" x14ac:dyDescent="0.25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6"/>
      <c r="D62" s="107"/>
      <c r="E62" s="108"/>
    </row>
    <row r="63" spans="1:17" x14ac:dyDescent="0.25">
      <c r="A63" s="8" t="str">
        <f>Assumptions!B64</f>
        <v>1. Base Case</v>
      </c>
      <c r="C63" s="116"/>
    </row>
    <row r="64" spans="1:17" ht="15" x14ac:dyDescent="0.4">
      <c r="A64" t="s">
        <v>226</v>
      </c>
      <c r="C64" s="116"/>
      <c r="D64" s="126"/>
      <c r="E64" s="130"/>
      <c r="F64" s="18">
        <v>33894</v>
      </c>
      <c r="G64" s="6">
        <f>F64</f>
        <v>33894</v>
      </c>
      <c r="H64" s="36">
        <f>G64</f>
        <v>33894</v>
      </c>
      <c r="I64" s="36">
        <f>H64</f>
        <v>33894</v>
      </c>
      <c r="J64" s="36">
        <f>I64</f>
        <v>33894</v>
      </c>
      <c r="K64" s="36">
        <f t="shared" ref="K64:Q64" si="26">J64</f>
        <v>33894</v>
      </c>
      <c r="L64" s="36">
        <f t="shared" si="26"/>
        <v>33894</v>
      </c>
      <c r="M64" s="36">
        <f t="shared" si="26"/>
        <v>33894</v>
      </c>
      <c r="N64" s="36">
        <f t="shared" si="26"/>
        <v>33894</v>
      </c>
      <c r="O64" s="36">
        <f t="shared" si="26"/>
        <v>33894</v>
      </c>
      <c r="P64" s="36">
        <f t="shared" si="26"/>
        <v>33894</v>
      </c>
      <c r="Q64" s="36">
        <f t="shared" si="26"/>
        <v>33894</v>
      </c>
    </row>
    <row r="65" spans="1:17" x14ac:dyDescent="0.25">
      <c r="A65" s="73" t="s">
        <v>0</v>
      </c>
      <c r="B65" s="153">
        <v>1</v>
      </c>
      <c r="C65" s="114">
        <v>1</v>
      </c>
      <c r="D65" s="126"/>
      <c r="F65" s="29">
        <f>SUM(F64:F64)</f>
        <v>33894</v>
      </c>
      <c r="G65" s="106">
        <f t="shared" ref="G65:Q65" si="27">SUM(G64:G64)*$B$65+G66</f>
        <v>33894</v>
      </c>
      <c r="H65" s="106">
        <f t="shared" si="27"/>
        <v>33894</v>
      </c>
      <c r="I65" s="106">
        <f t="shared" si="27"/>
        <v>33894</v>
      </c>
      <c r="J65" s="106">
        <f t="shared" si="27"/>
        <v>33894</v>
      </c>
      <c r="K65" s="106">
        <f t="shared" si="27"/>
        <v>33894</v>
      </c>
      <c r="L65" s="106">
        <f t="shared" si="27"/>
        <v>33894</v>
      </c>
      <c r="M65" s="106">
        <f t="shared" si="27"/>
        <v>33894</v>
      </c>
      <c r="N65" s="106">
        <f t="shared" si="27"/>
        <v>33894</v>
      </c>
      <c r="O65" s="106">
        <f t="shared" si="27"/>
        <v>33894</v>
      </c>
      <c r="P65" s="106">
        <f t="shared" si="27"/>
        <v>33894</v>
      </c>
      <c r="Q65" s="106">
        <f t="shared" si="27"/>
        <v>33894</v>
      </c>
    </row>
    <row r="66" spans="1:17" x14ac:dyDescent="0.25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6"/>
    </row>
    <row r="68" spans="1:17" x14ac:dyDescent="0.25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33894</v>
      </c>
      <c r="G68" s="26">
        <f t="shared" ref="G68:Q68" si="28">F68*$B$68+G69</f>
        <v>33555.06</v>
      </c>
      <c r="H68" s="26">
        <f t="shared" si="28"/>
        <v>33219.509399999995</v>
      </c>
      <c r="I68" s="26">
        <f t="shared" si="28"/>
        <v>32887.314305999993</v>
      </c>
      <c r="J68" s="26">
        <f t="shared" si="28"/>
        <v>32558.441162939991</v>
      </c>
      <c r="K68" s="26">
        <f t="shared" si="28"/>
        <v>32232.856751310592</v>
      </c>
      <c r="L68" s="26">
        <f t="shared" si="28"/>
        <v>31910.528183797487</v>
      </c>
      <c r="M68" s="26">
        <f t="shared" si="28"/>
        <v>31591.422901959511</v>
      </c>
      <c r="N68" s="26">
        <f t="shared" si="28"/>
        <v>31275.508672939915</v>
      </c>
      <c r="O68" s="26">
        <f t="shared" si="28"/>
        <v>30962.753586210514</v>
      </c>
      <c r="P68" s="26">
        <f t="shared" si="28"/>
        <v>30653.126050348408</v>
      </c>
      <c r="Q68" s="26">
        <f t="shared" si="28"/>
        <v>30346.594789844923</v>
      </c>
    </row>
    <row r="69" spans="1:17" x14ac:dyDescent="0.25">
      <c r="C69" s="117"/>
      <c r="F69" s="125" t="s">
        <v>45</v>
      </c>
      <c r="G69" s="1">
        <v>0</v>
      </c>
      <c r="H69" s="1">
        <v>0</v>
      </c>
      <c r="I69" s="1">
        <f t="shared" ref="I69:Q69" si="29">H69</f>
        <v>0</v>
      </c>
      <c r="J69" s="13">
        <f t="shared" si="29"/>
        <v>0</v>
      </c>
      <c r="K69" s="13">
        <f t="shared" si="29"/>
        <v>0</v>
      </c>
      <c r="L69" s="1">
        <f t="shared" si="29"/>
        <v>0</v>
      </c>
      <c r="M69" s="1">
        <f t="shared" si="29"/>
        <v>0</v>
      </c>
      <c r="N69" s="1">
        <f t="shared" si="29"/>
        <v>0</v>
      </c>
      <c r="O69" s="1">
        <f t="shared" si="29"/>
        <v>0</v>
      </c>
      <c r="P69" s="1">
        <f t="shared" si="29"/>
        <v>0</v>
      </c>
      <c r="Q69" s="1">
        <f t="shared" si="29"/>
        <v>0</v>
      </c>
    </row>
    <row r="70" spans="1:17" x14ac:dyDescent="0.25">
      <c r="C70" s="117"/>
    </row>
    <row r="71" spans="1:17" x14ac:dyDescent="0.25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33894</v>
      </c>
      <c r="G71" s="26">
        <f t="shared" ref="G71:Q71" si="30">F71*$B$71+G72</f>
        <v>34232.94</v>
      </c>
      <c r="H71" s="26">
        <f t="shared" si="30"/>
        <v>34575.269400000005</v>
      </c>
      <c r="I71" s="26">
        <f t="shared" si="30"/>
        <v>34921.022094000007</v>
      </c>
      <c r="J71" s="26">
        <f t="shared" si="30"/>
        <v>35270.232314940011</v>
      </c>
      <c r="K71" s="26">
        <f t="shared" si="30"/>
        <v>35622.934638089413</v>
      </c>
      <c r="L71" s="26">
        <f t="shared" si="30"/>
        <v>35979.16398447031</v>
      </c>
      <c r="M71" s="26">
        <f t="shared" si="30"/>
        <v>36338.955624315015</v>
      </c>
      <c r="N71" s="26">
        <f t="shared" si="30"/>
        <v>36702.345180558164</v>
      </c>
      <c r="O71" s="26">
        <f t="shared" si="30"/>
        <v>37069.368632363745</v>
      </c>
      <c r="P71" s="26">
        <f t="shared" si="30"/>
        <v>37440.062318687385</v>
      </c>
      <c r="Q71" s="26">
        <f t="shared" si="30"/>
        <v>37814.462941874262</v>
      </c>
    </row>
    <row r="72" spans="1:17" ht="13.8" thickBot="1" x14ac:dyDescent="0.3">
      <c r="C72" s="118"/>
      <c r="F72" s="125" t="s">
        <v>45</v>
      </c>
      <c r="G72" s="1">
        <v>0</v>
      </c>
      <c r="H72" s="1">
        <v>0</v>
      </c>
      <c r="I72" s="1">
        <f t="shared" ref="I72:Q72" si="31">H72</f>
        <v>0</v>
      </c>
      <c r="J72" s="13">
        <f t="shared" si="31"/>
        <v>0</v>
      </c>
      <c r="K72" s="13">
        <f t="shared" si="31"/>
        <v>0</v>
      </c>
      <c r="L72" s="1">
        <f t="shared" si="31"/>
        <v>0</v>
      </c>
      <c r="M72" s="1">
        <f t="shared" si="31"/>
        <v>0</v>
      </c>
      <c r="N72" s="1">
        <f t="shared" si="31"/>
        <v>0</v>
      </c>
      <c r="O72" s="1">
        <f t="shared" si="31"/>
        <v>0</v>
      </c>
      <c r="P72" s="1">
        <f t="shared" si="31"/>
        <v>0</v>
      </c>
      <c r="Q72" s="1">
        <f t="shared" si="31"/>
        <v>0</v>
      </c>
    </row>
    <row r="73" spans="1:17" x14ac:dyDescent="0.25">
      <c r="C73" s="38"/>
      <c r="F73" s="125"/>
      <c r="G73" s="1"/>
      <c r="H73" s="1"/>
      <c r="I73" s="1"/>
      <c r="J73" s="13"/>
      <c r="K73" s="13"/>
      <c r="L73" s="1"/>
      <c r="M73" s="1"/>
      <c r="N73" s="1"/>
      <c r="O73" s="1"/>
      <c r="P73" s="1"/>
      <c r="Q73" s="1"/>
    </row>
    <row r="74" spans="1:17" x14ac:dyDescent="0.25">
      <c r="A74" s="7" t="s">
        <v>23</v>
      </c>
      <c r="C74" s="38"/>
      <c r="F74" s="125"/>
      <c r="G74" s="1"/>
      <c r="H74" s="1"/>
      <c r="I74" s="1"/>
      <c r="J74" s="13"/>
      <c r="K74" s="13"/>
      <c r="L74" s="1"/>
      <c r="M74" s="1"/>
      <c r="N74" s="1"/>
      <c r="O74" s="1"/>
      <c r="P74" s="1"/>
      <c r="Q74" s="1"/>
    </row>
    <row r="75" spans="1:17" x14ac:dyDescent="0.25">
      <c r="A75" t="s">
        <v>127</v>
      </c>
      <c r="C75" s="38"/>
      <c r="F75" s="125"/>
      <c r="G75" s="1"/>
      <c r="H75" s="1"/>
      <c r="I75" s="1"/>
      <c r="J75" s="13"/>
      <c r="K75" s="13"/>
      <c r="L75" s="1"/>
      <c r="M75" s="1"/>
      <c r="N75" s="1"/>
      <c r="O75" s="1"/>
      <c r="P75" s="1"/>
      <c r="Q75" s="1"/>
    </row>
    <row r="76" spans="1:17" x14ac:dyDescent="0.25">
      <c r="A76" t="s">
        <v>128</v>
      </c>
      <c r="C76" s="38"/>
      <c r="F76" s="125"/>
      <c r="G76" s="1"/>
      <c r="H76" s="1"/>
      <c r="I76" s="1"/>
      <c r="J76" s="13"/>
      <c r="K76" s="13"/>
      <c r="L76" s="1"/>
      <c r="M76" s="1"/>
      <c r="N76" s="1"/>
      <c r="O76" s="1"/>
      <c r="P76" s="1"/>
      <c r="Q76" s="1"/>
    </row>
    <row r="77" spans="1:17" x14ac:dyDescent="0.25">
      <c r="A77" s="9" t="s">
        <v>0</v>
      </c>
      <c r="F77" s="106">
        <v>32618</v>
      </c>
      <c r="G77" s="26">
        <f>F77</f>
        <v>32618</v>
      </c>
      <c r="H77" s="26">
        <f t="shared" ref="H77:Q77" si="32">G77</f>
        <v>32618</v>
      </c>
      <c r="I77" s="26">
        <f t="shared" si="32"/>
        <v>32618</v>
      </c>
      <c r="J77" s="26">
        <f t="shared" si="32"/>
        <v>32618</v>
      </c>
      <c r="K77" s="26">
        <f t="shared" si="32"/>
        <v>32618</v>
      </c>
      <c r="L77" s="26">
        <f t="shared" si="32"/>
        <v>32618</v>
      </c>
      <c r="M77" s="26">
        <f t="shared" si="32"/>
        <v>32618</v>
      </c>
      <c r="N77" s="26">
        <f t="shared" si="32"/>
        <v>32618</v>
      </c>
      <c r="O77" s="26">
        <f t="shared" si="32"/>
        <v>32618</v>
      </c>
      <c r="P77" s="26">
        <f t="shared" si="32"/>
        <v>32618</v>
      </c>
      <c r="Q77" s="26">
        <f t="shared" si="32"/>
        <v>32618</v>
      </c>
    </row>
    <row r="78" spans="1:17" x14ac:dyDescent="0.25">
      <c r="A78" s="9"/>
    </row>
    <row r="79" spans="1:17" x14ac:dyDescent="0.25">
      <c r="A79" s="9"/>
    </row>
    <row r="80" spans="1:17" x14ac:dyDescent="0.25">
      <c r="A80" s="7" t="s">
        <v>90</v>
      </c>
    </row>
    <row r="81" spans="1:17" x14ac:dyDescent="0.25">
      <c r="A81" s="93" t="s">
        <v>44</v>
      </c>
      <c r="B81" s="23">
        <f>Assumptions!D20</f>
        <v>20</v>
      </c>
      <c r="C81" s="372">
        <f>Asset1PurPrice</f>
        <v>233090.11508087642</v>
      </c>
      <c r="D81" s="13"/>
      <c r="E81" s="56"/>
      <c r="F81" s="19"/>
      <c r="G81" s="99">
        <f>1/B81</f>
        <v>0.05</v>
      </c>
      <c r="H81" s="76">
        <f t="shared" ref="H81:Q81" si="33">G81</f>
        <v>0.05</v>
      </c>
      <c r="I81" s="76">
        <f t="shared" si="33"/>
        <v>0.05</v>
      </c>
      <c r="J81" s="76">
        <f t="shared" si="33"/>
        <v>0.05</v>
      </c>
      <c r="K81" s="76">
        <f t="shared" si="33"/>
        <v>0.05</v>
      </c>
      <c r="L81" s="76">
        <f t="shared" si="33"/>
        <v>0.05</v>
      </c>
      <c r="M81" s="76">
        <f t="shared" si="33"/>
        <v>0.05</v>
      </c>
      <c r="N81" s="76">
        <f t="shared" si="33"/>
        <v>0.05</v>
      </c>
      <c r="O81" s="76">
        <f t="shared" si="33"/>
        <v>0.05</v>
      </c>
      <c r="P81" s="76">
        <f t="shared" si="33"/>
        <v>0.05</v>
      </c>
      <c r="Q81" s="77">
        <f t="shared" si="33"/>
        <v>0.05</v>
      </c>
    </row>
    <row r="82" spans="1:17" x14ac:dyDescent="0.25">
      <c r="A82" s="2" t="s">
        <v>10</v>
      </c>
      <c r="C82" s="43"/>
      <c r="D82" s="100"/>
      <c r="E82" s="56"/>
      <c r="F82" s="19"/>
      <c r="G82" s="31">
        <f>C81/B81</f>
        <v>11654.505754043821</v>
      </c>
      <c r="H82" s="31">
        <f t="shared" ref="H82:Q82" si="34">+G82</f>
        <v>11654.505754043821</v>
      </c>
      <c r="I82" s="31">
        <f t="shared" si="34"/>
        <v>11654.505754043821</v>
      </c>
      <c r="J82" s="31">
        <f t="shared" si="34"/>
        <v>11654.505754043821</v>
      </c>
      <c r="K82" s="31">
        <f t="shared" si="34"/>
        <v>11654.505754043821</v>
      </c>
      <c r="L82" s="31">
        <f t="shared" si="34"/>
        <v>11654.505754043821</v>
      </c>
      <c r="M82" s="31">
        <f t="shared" si="34"/>
        <v>11654.505754043821</v>
      </c>
      <c r="N82" s="31">
        <f t="shared" si="34"/>
        <v>11654.505754043821</v>
      </c>
      <c r="O82" s="31">
        <f t="shared" si="34"/>
        <v>11654.505754043821</v>
      </c>
      <c r="P82" s="31">
        <f t="shared" si="34"/>
        <v>11654.505754043821</v>
      </c>
      <c r="Q82" s="31">
        <f t="shared" si="34"/>
        <v>11654.505754043821</v>
      </c>
    </row>
    <row r="83" spans="1:17" ht="15" x14ac:dyDescent="0.4">
      <c r="A83" s="2" t="s">
        <v>11</v>
      </c>
      <c r="E83" s="56"/>
      <c r="F83" s="19"/>
      <c r="G83" s="6">
        <f>($G$29*G81)</f>
        <v>1630.9</v>
      </c>
      <c r="H83" s="6">
        <f>($G$29*H81)+($H$29*G81)</f>
        <v>3261.8</v>
      </c>
      <c r="I83" s="6">
        <f>($G$29*I81)+($H$29*H81)+($I$29*G81)</f>
        <v>4892.7000000000007</v>
      </c>
      <c r="J83" s="6">
        <f>($G$29*J81)+($H$29*I81)+($I$29*H81)+($J$29*G81)</f>
        <v>6523.6</v>
      </c>
      <c r="K83" s="6">
        <f>($G$29*K81)+($H$29*J81)+($I$29*I81)+($J$29*H81)+($K$29*G81)</f>
        <v>8154.5</v>
      </c>
      <c r="L83" s="6">
        <f>($G$29*L81)+($H$29*K81)+($I$29*J81)+($J$29*I81)+($K$29*H81)+($L$29*G81)</f>
        <v>9785.4</v>
      </c>
      <c r="M83" s="6">
        <f>($G$29*M81)+($H$29*L81)+($I$29*K81)+($J$29*J81)+($K$29*I81)+($L$29*H81)+($M$29*G81)</f>
        <v>11416.3</v>
      </c>
      <c r="N83" s="6">
        <f>($G$29*N81)+($H$29*M81)+($I$29*L81)+($J$29*K81)+($K$29*J81)+($L$29*I81)+($M$29*H81)+($N$29*G81)</f>
        <v>13047.199999999999</v>
      </c>
      <c r="O83" s="6">
        <f>($G$29*O81)+($H$29*N81)+($I$29*M81)+($J$29*L81)+($K$29*K81)+($L$29*J81)+($M$29*I81)+($N$29*H81)+($O$29*G81)</f>
        <v>14678.099999999999</v>
      </c>
      <c r="P83" s="6">
        <f>($G$29*P81)+($H$29*O81)+($I$29*N81)+($J$29*M81)+($K$29*L81)+($L$29*K81)+($M$29*J81)+($N$29*I81)+($O$29*H81)+($P$29*G81)</f>
        <v>16308.999999999998</v>
      </c>
      <c r="Q83" s="6">
        <f>($G$29*Q81)+($H$29*P81)+($I$29*O81)+($J$29*N81)+($K$29*M81)+($L$29*L81)+($M$29*K81)+($N$29*J81)+($O$29*I81)+($P$29*H81)+($Q$29*G81)</f>
        <v>17939.899999999998</v>
      </c>
    </row>
    <row r="84" spans="1:17" x14ac:dyDescent="0.25">
      <c r="A84" s="9" t="s">
        <v>0</v>
      </c>
      <c r="E84" s="56"/>
      <c r="F84" s="19"/>
      <c r="G84" s="1">
        <f t="shared" ref="G84:Q84" si="35">SUM(G82:G83)</f>
        <v>13285.405754043821</v>
      </c>
      <c r="H84" s="1">
        <f t="shared" si="35"/>
        <v>14916.30575404382</v>
      </c>
      <c r="I84" s="1">
        <f t="shared" si="35"/>
        <v>16547.205754043822</v>
      </c>
      <c r="J84" s="13">
        <f t="shared" si="35"/>
        <v>18178.10575404382</v>
      </c>
      <c r="K84" s="13">
        <f t="shared" si="35"/>
        <v>19809.005754043821</v>
      </c>
      <c r="L84" s="1">
        <f t="shared" si="35"/>
        <v>21439.905754043823</v>
      </c>
      <c r="M84" s="1">
        <f t="shared" si="35"/>
        <v>23070.80575404382</v>
      </c>
      <c r="N84" s="1">
        <f t="shared" si="35"/>
        <v>24701.705754043818</v>
      </c>
      <c r="O84" s="1">
        <f t="shared" si="35"/>
        <v>26332.60575404382</v>
      </c>
      <c r="P84" s="1">
        <f t="shared" si="35"/>
        <v>27963.505754043821</v>
      </c>
      <c r="Q84" s="1">
        <f t="shared" si="35"/>
        <v>29594.405754043819</v>
      </c>
    </row>
    <row r="85" spans="1:17" x14ac:dyDescent="0.25">
      <c r="A85" s="1"/>
      <c r="E85" s="56"/>
      <c r="F85" s="19"/>
      <c r="G85" s="1"/>
      <c r="H85" s="1"/>
      <c r="I85" s="1"/>
      <c r="J85" s="13"/>
      <c r="K85" s="13"/>
      <c r="L85" s="1"/>
      <c r="M85" s="1"/>
      <c r="N85" s="1"/>
      <c r="O85" s="1"/>
      <c r="P85" s="1"/>
      <c r="Q85" s="1"/>
    </row>
    <row r="86" spans="1:17" x14ac:dyDescent="0.25">
      <c r="A86" s="96" t="s">
        <v>9</v>
      </c>
      <c r="E86" s="56"/>
      <c r="F86" s="19"/>
      <c r="G86" s="68">
        <v>0.05</v>
      </c>
      <c r="H86" s="69">
        <v>9.5000000000000001E-2</v>
      </c>
      <c r="I86" s="69">
        <v>8.5500000000000007E-2</v>
      </c>
      <c r="J86" s="69">
        <v>7.6999999999999999E-2</v>
      </c>
      <c r="K86" s="69">
        <v>6.93E-2</v>
      </c>
      <c r="L86" s="69">
        <v>6.2300000000000001E-2</v>
      </c>
      <c r="M86" s="69">
        <v>5.8999999999999997E-2</v>
      </c>
      <c r="N86" s="69">
        <v>5.8999999999999997E-2</v>
      </c>
      <c r="O86" s="69">
        <v>5.91E-2</v>
      </c>
      <c r="P86" s="69">
        <v>5.8999999999999997E-2</v>
      </c>
      <c r="Q86" s="70">
        <v>5.91E-2</v>
      </c>
    </row>
    <row r="87" spans="1:17" x14ac:dyDescent="0.25">
      <c r="A87" s="2" t="s">
        <v>10</v>
      </c>
      <c r="B87" s="15"/>
      <c r="E87" s="56"/>
      <c r="F87" s="19"/>
      <c r="G87" s="1">
        <f t="shared" ref="G87:Q87" si="36">G86*$C$81</f>
        <v>11654.505754043821</v>
      </c>
      <c r="H87" s="1">
        <f t="shared" si="36"/>
        <v>22143.56093268326</v>
      </c>
      <c r="I87" s="1">
        <f t="shared" si="36"/>
        <v>19929.204839414935</v>
      </c>
      <c r="J87" s="1">
        <f t="shared" si="36"/>
        <v>17947.938861227485</v>
      </c>
      <c r="K87" s="1">
        <f t="shared" si="36"/>
        <v>16153.144975104737</v>
      </c>
      <c r="L87" s="1">
        <f t="shared" si="36"/>
        <v>14521.514169538601</v>
      </c>
      <c r="M87" s="1">
        <f t="shared" si="36"/>
        <v>13752.316789771708</v>
      </c>
      <c r="N87" s="1">
        <f t="shared" si="36"/>
        <v>13752.316789771708</v>
      </c>
      <c r="O87" s="1">
        <f t="shared" si="36"/>
        <v>13775.625801279797</v>
      </c>
      <c r="P87" s="1">
        <f t="shared" si="36"/>
        <v>13752.316789771708</v>
      </c>
      <c r="Q87" s="1">
        <f t="shared" si="36"/>
        <v>13775.625801279797</v>
      </c>
    </row>
    <row r="88" spans="1:17" ht="15" x14ac:dyDescent="0.4">
      <c r="A88" s="2" t="s">
        <v>11</v>
      </c>
      <c r="B88" s="16"/>
      <c r="E88" s="127"/>
      <c r="F88" s="19"/>
      <c r="G88" s="6">
        <f>($G$29*G$86)</f>
        <v>1630.9</v>
      </c>
      <c r="H88" s="6">
        <f>($G$29*H86)+($H$29*G86)</f>
        <v>4729.6100000000006</v>
      </c>
      <c r="I88" s="6">
        <f>($G$29*I86)+($H$29*H86)+($I$29*G86)</f>
        <v>7518.4490000000005</v>
      </c>
      <c r="J88" s="6">
        <f>($G$29*J86)+($H$29*I86)+($I$29*H86)+($J$29*G86)</f>
        <v>10030.035</v>
      </c>
      <c r="K88" s="6">
        <f>($G$29*K86)+($H$29*J86)+($I$29*I86)+($J$29*H86)+($K$29*G86)</f>
        <v>12290.462399999999</v>
      </c>
      <c r="L88" s="6">
        <f>($G$29*L86)+($H$29*K86)+($I$29*J86)+($J$29*I86)+($K$29*H86)+($L$29*G86)</f>
        <v>14322.563799999998</v>
      </c>
      <c r="M88" s="6">
        <f>($G$29*M86)+($H$29*L86)+($I$29*K86)+($J$29*J86)+($K$29*I86)+($L$29*H86)+($M$29*G86)</f>
        <v>16247.025799999998</v>
      </c>
      <c r="N88" s="6">
        <f>($G$29*N86)+($H$29*M86)+($I$29*L86)+($J$29*K86)+($K$29*J86)+($L$29*I86)+($M$29*H86)+($N$29*G86)</f>
        <v>18171.487800000003</v>
      </c>
      <c r="O88" s="6">
        <f>($G$29*O86)+($H$29*N86)+($I$29*M86)+($J$29*L86)+($K$29*K86)+($L$29*J86)+($M$29*I86)+($N$29*H86)+($O$29*G86)</f>
        <v>20099.211600000002</v>
      </c>
      <c r="P88" s="6">
        <f>($G$29*P86)+($H$29*O86)+($I$29*N86)+($J$29*M86)+($K$29*L86)+($L$29*K86)+($M$29*J86)+($N$29*I86)+($O$29*H86)+($P$29*G86)</f>
        <v>22023.673600000002</v>
      </c>
      <c r="Q88" s="6">
        <f>($G$29*Q86)+($H$29*P86)+($I$29*O86)+($J$29*N86)+($K$29*M86)+($L$29*L86)+($M$29*K86)+($N$29*J86)+($O$29*I86)+($P$29*H86)+($Q$29*G86)</f>
        <v>23951.397400000002</v>
      </c>
    </row>
    <row r="89" spans="1:17" x14ac:dyDescent="0.25">
      <c r="A89" s="9" t="s">
        <v>0</v>
      </c>
      <c r="E89" s="56"/>
      <c r="F89" s="19"/>
      <c r="G89" s="1">
        <f t="shared" ref="G89:Q89" si="37">SUM(G87:G88)</f>
        <v>13285.405754043821</v>
      </c>
      <c r="H89" s="1">
        <f t="shared" si="37"/>
        <v>26873.170932683261</v>
      </c>
      <c r="I89" s="1">
        <f t="shared" si="37"/>
        <v>27447.653839414936</v>
      </c>
      <c r="J89" s="13">
        <f t="shared" si="37"/>
        <v>27977.973861227485</v>
      </c>
      <c r="K89" s="13">
        <f t="shared" si="37"/>
        <v>28443.607375104737</v>
      </c>
      <c r="L89" s="1">
        <f t="shared" si="37"/>
        <v>28844.077969538601</v>
      </c>
      <c r="M89" s="1">
        <f t="shared" si="37"/>
        <v>29999.342589771706</v>
      </c>
      <c r="N89" s="1">
        <f t="shared" si="37"/>
        <v>31923.804589771709</v>
      </c>
      <c r="O89" s="1">
        <f t="shared" si="37"/>
        <v>33874.837401279801</v>
      </c>
      <c r="P89" s="1">
        <f t="shared" si="37"/>
        <v>35775.990389771709</v>
      </c>
      <c r="Q89" s="1">
        <f t="shared" si="37"/>
        <v>37727.023201279801</v>
      </c>
    </row>
  </sheetData>
  <mergeCells count="1">
    <mergeCell ref="K33:M33"/>
  </mergeCells>
  <phoneticPr fontId="0" type="noConversion"/>
  <conditionalFormatting sqref="D68 D71 D54 D51 C11:D11 D14:D15 D47:D48 D64:D65">
    <cfRule type="cellIs" dxfId="5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"/>
  <dimension ref="A1:R88"/>
  <sheetViews>
    <sheetView topLeftCell="A37" zoomScale="75" zoomScaleNormal="75" workbookViewId="0">
      <selection activeCell="G73" sqref="G73:G74"/>
    </sheetView>
  </sheetViews>
  <sheetFormatPr defaultRowHeight="13.2" x14ac:dyDescent="0.25"/>
  <cols>
    <col min="1" max="1" width="27.5546875" customWidth="1"/>
    <col min="2" max="2" width="14" bestFit="1" customWidth="1"/>
    <col min="3" max="3" width="12.88671875" customWidth="1"/>
    <col min="4" max="4" width="11.88671875" customWidth="1"/>
    <col min="5" max="5" width="9.109375" style="24" customWidth="1"/>
    <col min="6" max="6" width="13" style="24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74" t="str">
        <f>Assumptions!D5</f>
        <v>Oneok</v>
      </c>
      <c r="B1" s="38"/>
      <c r="E1" s="79"/>
    </row>
    <row r="2" spans="1:18" ht="15.6" x14ac:dyDescent="0.3">
      <c r="A2" s="377" t="s">
        <v>223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5">
      <c r="A3" s="266"/>
      <c r="B3" s="265"/>
      <c r="E3" s="56"/>
      <c r="F3" s="285" t="str">
        <f>IF(Asset2Loop&lt;&gt;0,"Run Macro","")</f>
        <v/>
      </c>
      <c r="G3" s="73"/>
      <c r="H3" s="286"/>
      <c r="I3" s="73"/>
      <c r="R3" s="24"/>
    </row>
    <row r="4" spans="1:18" ht="13.8" thickBot="1" x14ac:dyDescent="0.3">
      <c r="A4" s="266"/>
      <c r="B4" s="265"/>
      <c r="E4" s="56"/>
      <c r="F4" s="287"/>
      <c r="G4" s="288"/>
      <c r="H4" s="289"/>
      <c r="I4" s="73"/>
      <c r="R4" s="24"/>
    </row>
    <row r="5" spans="1:18" x14ac:dyDescent="0.25">
      <c r="A5" s="266"/>
      <c r="B5" s="265"/>
      <c r="E5" s="56"/>
      <c r="F5" s="52"/>
      <c r="G5" s="73"/>
      <c r="H5" s="73"/>
      <c r="I5" s="73"/>
      <c r="R5" s="24"/>
    </row>
    <row r="6" spans="1:18" x14ac:dyDescent="0.25">
      <c r="A6" s="266"/>
      <c r="B6" s="265"/>
      <c r="E6" s="56"/>
      <c r="G6" s="73"/>
      <c r="H6" s="73"/>
      <c r="I6" s="73"/>
      <c r="R6" s="24"/>
    </row>
    <row r="7" spans="1:18" x14ac:dyDescent="0.25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5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5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5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5">
      <c r="A11" s="120" t="s">
        <v>65</v>
      </c>
      <c r="B11" s="132"/>
      <c r="C11" s="124"/>
      <c r="D11" s="124"/>
      <c r="E11" s="101"/>
      <c r="F11" s="32">
        <f t="shared" ref="F11:Q11" si="1">F43</f>
        <v>35443</v>
      </c>
      <c r="G11" s="97">
        <f t="shared" si="1"/>
        <v>35443</v>
      </c>
      <c r="H11" s="97">
        <f t="shared" si="1"/>
        <v>35443</v>
      </c>
      <c r="I11" s="97">
        <f t="shared" si="1"/>
        <v>35443</v>
      </c>
      <c r="J11" s="97">
        <f t="shared" si="1"/>
        <v>35443</v>
      </c>
      <c r="K11" s="97">
        <f t="shared" si="1"/>
        <v>35443</v>
      </c>
      <c r="L11" s="97">
        <f t="shared" si="1"/>
        <v>35443</v>
      </c>
      <c r="M11" s="97">
        <f t="shared" si="1"/>
        <v>35443</v>
      </c>
      <c r="N11" s="97">
        <f t="shared" si="1"/>
        <v>35443</v>
      </c>
      <c r="O11" s="97">
        <f t="shared" si="1"/>
        <v>35443</v>
      </c>
      <c r="P11" s="97">
        <f t="shared" si="1"/>
        <v>35443</v>
      </c>
      <c r="Q11" s="97">
        <f t="shared" si="1"/>
        <v>35443</v>
      </c>
      <c r="R11" s="24"/>
    </row>
    <row r="12" spans="1:18" x14ac:dyDescent="0.25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5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5">
      <c r="A14" s="38" t="s">
        <v>6</v>
      </c>
      <c r="B14" s="131"/>
      <c r="C14" s="38"/>
      <c r="D14" s="124"/>
      <c r="E14" s="121"/>
      <c r="F14" s="32">
        <f t="shared" ref="F14:Q14" si="2">F60</f>
        <v>9069</v>
      </c>
      <c r="G14" s="97">
        <f t="shared" si="2"/>
        <v>9069</v>
      </c>
      <c r="H14" s="97">
        <f t="shared" si="2"/>
        <v>9069</v>
      </c>
      <c r="I14" s="97">
        <f t="shared" si="2"/>
        <v>9069</v>
      </c>
      <c r="J14" s="97">
        <f t="shared" si="2"/>
        <v>9069</v>
      </c>
      <c r="K14" s="97">
        <f t="shared" si="2"/>
        <v>9069</v>
      </c>
      <c r="L14" s="97">
        <f t="shared" si="2"/>
        <v>9069</v>
      </c>
      <c r="M14" s="97">
        <f t="shared" si="2"/>
        <v>9069</v>
      </c>
      <c r="N14" s="97">
        <f t="shared" si="2"/>
        <v>9069</v>
      </c>
      <c r="O14" s="97">
        <f t="shared" si="2"/>
        <v>9069</v>
      </c>
      <c r="P14" s="97">
        <f t="shared" si="2"/>
        <v>9069</v>
      </c>
      <c r="Q14" s="97">
        <f t="shared" si="2"/>
        <v>9069</v>
      </c>
      <c r="R14" s="24"/>
    </row>
    <row r="15" spans="1:18" x14ac:dyDescent="0.25">
      <c r="A15" s="8" t="s">
        <v>82</v>
      </c>
      <c r="B15" s="8"/>
      <c r="C15" s="8"/>
      <c r="D15" s="134"/>
      <c r="E15" s="135"/>
      <c r="F15" s="136">
        <f t="shared" ref="F15:Q15" si="3">F11/F14</f>
        <v>3.9081486382181057</v>
      </c>
      <c r="G15" s="137">
        <f t="shared" si="3"/>
        <v>3.9081486382181057</v>
      </c>
      <c r="H15" s="137">
        <f t="shared" si="3"/>
        <v>3.9081486382181057</v>
      </c>
      <c r="I15" s="137">
        <f t="shared" si="3"/>
        <v>3.9081486382181057</v>
      </c>
      <c r="J15" s="137">
        <f t="shared" si="3"/>
        <v>3.9081486382181057</v>
      </c>
      <c r="K15" s="137">
        <f t="shared" si="3"/>
        <v>3.9081486382181057</v>
      </c>
      <c r="L15" s="137">
        <f t="shared" si="3"/>
        <v>3.9081486382181057</v>
      </c>
      <c r="M15" s="137">
        <f t="shared" si="3"/>
        <v>3.9081486382181057</v>
      </c>
      <c r="N15" s="137">
        <f t="shared" si="3"/>
        <v>3.9081486382181057</v>
      </c>
      <c r="O15" s="137">
        <f t="shared" si="3"/>
        <v>3.9081486382181057</v>
      </c>
      <c r="P15" s="137">
        <f t="shared" si="3"/>
        <v>3.9081486382181057</v>
      </c>
      <c r="Q15" s="137">
        <f t="shared" si="3"/>
        <v>3.9081486382181057</v>
      </c>
      <c r="R15" s="24"/>
    </row>
    <row r="16" spans="1:18" x14ac:dyDescent="0.25">
      <c r="A16" s="50" t="s">
        <v>1</v>
      </c>
      <c r="B16" s="37"/>
      <c r="C16" s="37"/>
      <c r="D16" s="37"/>
      <c r="E16" s="105"/>
      <c r="F16" s="57">
        <f t="shared" ref="F16:Q16" si="4">(F11-F14)</f>
        <v>26374</v>
      </c>
      <c r="G16" s="54">
        <f t="shared" si="4"/>
        <v>26374</v>
      </c>
      <c r="H16" s="54">
        <f t="shared" si="4"/>
        <v>26374</v>
      </c>
      <c r="I16" s="54">
        <f t="shared" si="4"/>
        <v>26374</v>
      </c>
      <c r="J16" s="54">
        <f t="shared" si="4"/>
        <v>26374</v>
      </c>
      <c r="K16" s="54">
        <f t="shared" si="4"/>
        <v>26374</v>
      </c>
      <c r="L16" s="54">
        <f t="shared" si="4"/>
        <v>26374</v>
      </c>
      <c r="M16" s="54">
        <f t="shared" si="4"/>
        <v>26374</v>
      </c>
      <c r="N16" s="54">
        <f t="shared" si="4"/>
        <v>26374</v>
      </c>
      <c r="O16" s="54">
        <f t="shared" si="4"/>
        <v>26374</v>
      </c>
      <c r="P16" s="54">
        <f t="shared" si="4"/>
        <v>26374</v>
      </c>
      <c r="Q16" s="55">
        <f t="shared" si="4"/>
        <v>26374</v>
      </c>
      <c r="R16" s="24"/>
    </row>
    <row r="17" spans="1:18" x14ac:dyDescent="0.25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5">
      <c r="A18" t="s">
        <v>7</v>
      </c>
      <c r="B18" s="16"/>
      <c r="E18" s="56"/>
      <c r="F18" s="19">
        <v>0</v>
      </c>
      <c r="G18" s="31">
        <f t="shared" ref="G18:Q18" si="5">G83</f>
        <v>6806.4420202628025</v>
      </c>
      <c r="H18" s="31">
        <f t="shared" si="5"/>
        <v>7016.2420202628027</v>
      </c>
      <c r="I18" s="31">
        <f t="shared" si="5"/>
        <v>7226.0420202628029</v>
      </c>
      <c r="J18" s="31">
        <f t="shared" si="5"/>
        <v>7435.8420202628022</v>
      </c>
      <c r="K18" s="31">
        <f t="shared" si="5"/>
        <v>7645.6420202628024</v>
      </c>
      <c r="L18" s="31">
        <f t="shared" si="5"/>
        <v>7855.4420202628025</v>
      </c>
      <c r="M18" s="31">
        <f t="shared" si="5"/>
        <v>8065.2420202628018</v>
      </c>
      <c r="N18" s="31">
        <f t="shared" si="5"/>
        <v>8275.0420202628029</v>
      </c>
      <c r="O18" s="31">
        <f t="shared" si="5"/>
        <v>8484.8420202628022</v>
      </c>
      <c r="P18" s="31">
        <f t="shared" si="5"/>
        <v>8694.6420202628033</v>
      </c>
      <c r="Q18" s="31">
        <f t="shared" si="5"/>
        <v>8904.4420202628025</v>
      </c>
      <c r="R18" s="24"/>
    </row>
    <row r="19" spans="1:18" x14ac:dyDescent="0.25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5">
      <c r="A20" s="50" t="s">
        <v>2</v>
      </c>
      <c r="B20" s="37"/>
      <c r="C20" s="37"/>
      <c r="D20" s="37"/>
      <c r="E20" s="105"/>
      <c r="F20" s="57">
        <f t="shared" ref="F20:Q20" si="6">F16-F18</f>
        <v>26374</v>
      </c>
      <c r="G20" s="58">
        <f t="shared" si="6"/>
        <v>19567.557979737197</v>
      </c>
      <c r="H20" s="58">
        <f t="shared" si="6"/>
        <v>19357.757979737198</v>
      </c>
      <c r="I20" s="58">
        <f t="shared" si="6"/>
        <v>19147.957979737199</v>
      </c>
      <c r="J20" s="54">
        <f t="shared" si="6"/>
        <v>18938.157979737196</v>
      </c>
      <c r="K20" s="54">
        <f t="shared" si="6"/>
        <v>18728.357979737197</v>
      </c>
      <c r="L20" s="58">
        <f t="shared" si="6"/>
        <v>18518.557979737197</v>
      </c>
      <c r="M20" s="58">
        <f t="shared" si="6"/>
        <v>18308.757979737198</v>
      </c>
      <c r="N20" s="58">
        <f t="shared" si="6"/>
        <v>18098.957979737199</v>
      </c>
      <c r="O20" s="58">
        <f t="shared" si="6"/>
        <v>17889.157979737196</v>
      </c>
      <c r="P20" s="58">
        <f t="shared" si="6"/>
        <v>17679.357979737197</v>
      </c>
      <c r="Q20" s="59">
        <f t="shared" si="6"/>
        <v>17469.557979737197</v>
      </c>
      <c r="R20" s="24"/>
    </row>
    <row r="21" spans="1:18" x14ac:dyDescent="0.25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5">
      <c r="A22" s="2" t="s">
        <v>3</v>
      </c>
      <c r="E22" s="127"/>
      <c r="F22" s="19"/>
      <c r="G22" s="1">
        <f t="shared" ref="G22:Q22" si="7">$B$24*(G16-G88)</f>
        <v>7533.509822198821</v>
      </c>
      <c r="H22" s="1">
        <f t="shared" si="7"/>
        <v>5094.3046621777594</v>
      </c>
      <c r="I22" s="1">
        <f t="shared" si="7"/>
        <v>5438.7271959599839</v>
      </c>
      <c r="J22" s="1">
        <f t="shared" si="7"/>
        <v>5746.0869961861845</v>
      </c>
      <c r="K22" s="1">
        <f t="shared" si="7"/>
        <v>6025.2505235675662</v>
      </c>
      <c r="L22" s="1">
        <f t="shared" si="7"/>
        <v>6280.1663704597313</v>
      </c>
      <c r="M22" s="1">
        <f t="shared" si="7"/>
        <v>6352.4749041946097</v>
      </c>
      <c r="N22" s="1">
        <f t="shared" si="7"/>
        <v>6257.1627641946088</v>
      </c>
      <c r="O22" s="1">
        <f t="shared" si="7"/>
        <v>6156.6096638390063</v>
      </c>
      <c r="P22" s="1">
        <f t="shared" si="7"/>
        <v>6066.3769381946095</v>
      </c>
      <c r="Q22" s="1">
        <f t="shared" si="7"/>
        <v>5965.823837839007</v>
      </c>
      <c r="R22" s="24"/>
    </row>
    <row r="23" spans="1:18" ht="15" x14ac:dyDescent="0.4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2358.4321600210624</v>
      </c>
      <c r="I23" s="3">
        <f t="shared" si="8"/>
        <v>1933.2366262388377</v>
      </c>
      <c r="J23" s="3">
        <f t="shared" si="8"/>
        <v>1545.1038260126361</v>
      </c>
      <c r="K23" s="3">
        <f t="shared" si="8"/>
        <v>1185.1672986312551</v>
      </c>
      <c r="L23" s="3">
        <f t="shared" si="8"/>
        <v>849.47845173908991</v>
      </c>
      <c r="M23" s="3">
        <f t="shared" si="8"/>
        <v>696.39691800421133</v>
      </c>
      <c r="N23" s="3">
        <f t="shared" si="8"/>
        <v>710.93605800421301</v>
      </c>
      <c r="O23" s="3">
        <f t="shared" si="8"/>
        <v>730.71615835981447</v>
      </c>
      <c r="P23" s="3">
        <f t="shared" si="8"/>
        <v>740.17588400421118</v>
      </c>
      <c r="Q23" s="3">
        <f t="shared" si="8"/>
        <v>759.95598435981447</v>
      </c>
      <c r="R23" s="24"/>
    </row>
    <row r="24" spans="1:18" x14ac:dyDescent="0.25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7533.509822198821</v>
      </c>
      <c r="H24" s="1">
        <f t="shared" si="9"/>
        <v>7452.7368221988218</v>
      </c>
      <c r="I24" s="1">
        <f t="shared" si="9"/>
        <v>7371.9638221988216</v>
      </c>
      <c r="J24" s="1">
        <f t="shared" si="9"/>
        <v>7291.1908221988206</v>
      </c>
      <c r="K24" s="1">
        <f t="shared" si="9"/>
        <v>7210.4178221988213</v>
      </c>
      <c r="L24" s="1">
        <f t="shared" si="9"/>
        <v>7129.6448221988212</v>
      </c>
      <c r="M24" s="1">
        <f t="shared" si="9"/>
        <v>7048.8718221988211</v>
      </c>
      <c r="N24" s="1">
        <f t="shared" si="9"/>
        <v>6968.0988221988218</v>
      </c>
      <c r="O24" s="1">
        <f t="shared" si="9"/>
        <v>6887.3258221988208</v>
      </c>
      <c r="P24" s="1">
        <f t="shared" si="9"/>
        <v>6806.5528221988206</v>
      </c>
      <c r="Q24" s="1">
        <f t="shared" si="9"/>
        <v>6725.7798221988214</v>
      </c>
      <c r="R24" s="24"/>
    </row>
    <row r="25" spans="1:18" x14ac:dyDescent="0.25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5">
      <c r="A26" s="78" t="s">
        <v>16</v>
      </c>
      <c r="B26" s="172"/>
      <c r="C26" s="37"/>
      <c r="D26" s="37"/>
      <c r="E26" s="128"/>
      <c r="F26" s="57">
        <f t="shared" ref="F26:Q26" si="10">F20-F24</f>
        <v>26374</v>
      </c>
      <c r="G26" s="58">
        <f t="shared" si="10"/>
        <v>12034.048157538376</v>
      </c>
      <c r="H26" s="58">
        <f t="shared" si="10"/>
        <v>11905.021157538376</v>
      </c>
      <c r="I26" s="58">
        <f t="shared" si="10"/>
        <v>11775.994157538378</v>
      </c>
      <c r="J26" s="54">
        <f t="shared" si="10"/>
        <v>11646.967157538376</v>
      </c>
      <c r="K26" s="54">
        <f t="shared" si="10"/>
        <v>11517.940157538374</v>
      </c>
      <c r="L26" s="58">
        <f t="shared" si="10"/>
        <v>11388.913157538376</v>
      </c>
      <c r="M26" s="58">
        <f t="shared" si="10"/>
        <v>11259.886157538378</v>
      </c>
      <c r="N26" s="58">
        <f t="shared" si="10"/>
        <v>11130.859157538376</v>
      </c>
      <c r="O26" s="58">
        <f t="shared" si="10"/>
        <v>11001.832157538374</v>
      </c>
      <c r="P26" s="58">
        <f t="shared" si="10"/>
        <v>10872.805157538376</v>
      </c>
      <c r="Q26" s="59">
        <f t="shared" si="10"/>
        <v>10743.778157538376</v>
      </c>
      <c r="R26" s="165" t="s">
        <v>1</v>
      </c>
    </row>
    <row r="27" spans="1:18" x14ac:dyDescent="0.25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5">
      <c r="A28" s="2" t="s">
        <v>15</v>
      </c>
      <c r="B28" s="23"/>
      <c r="E28" s="56"/>
      <c r="F28" s="19">
        <f t="shared" ref="F28:Q28" si="11">F26+F23+F18</f>
        <v>26374</v>
      </c>
      <c r="G28" s="1">
        <f t="shared" si="11"/>
        <v>18840.490177801177</v>
      </c>
      <c r="H28" s="1">
        <f t="shared" si="11"/>
        <v>21279.695337822242</v>
      </c>
      <c r="I28" s="1">
        <f t="shared" si="11"/>
        <v>20935.272804040018</v>
      </c>
      <c r="J28" s="13">
        <f t="shared" si="11"/>
        <v>20627.913003813817</v>
      </c>
      <c r="K28" s="13">
        <f t="shared" si="11"/>
        <v>20348.749476432433</v>
      </c>
      <c r="L28" s="1">
        <f t="shared" si="11"/>
        <v>20093.83362954027</v>
      </c>
      <c r="M28" s="1">
        <f t="shared" si="11"/>
        <v>20021.525095805391</v>
      </c>
      <c r="N28" s="1">
        <f t="shared" si="11"/>
        <v>20116.837235805389</v>
      </c>
      <c r="O28" s="1">
        <f t="shared" si="11"/>
        <v>20217.390336160992</v>
      </c>
      <c r="P28" s="1">
        <f t="shared" si="11"/>
        <v>20307.623061805389</v>
      </c>
      <c r="Q28" s="1">
        <f t="shared" si="11"/>
        <v>20408.176162160991</v>
      </c>
      <c r="R28" s="20" t="s">
        <v>71</v>
      </c>
    </row>
    <row r="29" spans="1:18" x14ac:dyDescent="0.25">
      <c r="A29" s="2" t="s">
        <v>23</v>
      </c>
      <c r="B29" s="164">
        <f>Assumptions!C41</f>
        <v>1</v>
      </c>
      <c r="E29" s="56"/>
      <c r="F29" s="19">
        <f>F77*$B$29</f>
        <v>4196</v>
      </c>
      <c r="G29" s="13">
        <f>$B$29*G77</f>
        <v>4196</v>
      </c>
      <c r="H29" s="13">
        <f t="shared" ref="H29:Q29" si="12">$B$29*H77</f>
        <v>4196</v>
      </c>
      <c r="I29" s="13">
        <f t="shared" si="12"/>
        <v>4196</v>
      </c>
      <c r="J29" s="13">
        <f t="shared" si="12"/>
        <v>4196</v>
      </c>
      <c r="K29" s="13">
        <f t="shared" si="12"/>
        <v>4196</v>
      </c>
      <c r="L29" s="13">
        <f t="shared" si="12"/>
        <v>4196</v>
      </c>
      <c r="M29" s="13">
        <f t="shared" si="12"/>
        <v>4196</v>
      </c>
      <c r="N29" s="13">
        <f t="shared" si="12"/>
        <v>4196</v>
      </c>
      <c r="O29" s="13">
        <f t="shared" si="12"/>
        <v>4196</v>
      </c>
      <c r="P29" s="13">
        <f t="shared" si="12"/>
        <v>4196</v>
      </c>
      <c r="Q29" s="13">
        <f t="shared" si="12"/>
        <v>4196</v>
      </c>
      <c r="R29" s="119">
        <f>Assumptions!E40</f>
        <v>6</v>
      </c>
    </row>
    <row r="30" spans="1:18" x14ac:dyDescent="0.25">
      <c r="A30" s="112" t="s">
        <v>17</v>
      </c>
      <c r="B30" s="37"/>
      <c r="C30" s="37"/>
      <c r="D30" s="37"/>
      <c r="E30" s="105"/>
      <c r="F30" s="57">
        <f t="shared" ref="F30:Q30" si="13">F28-F29</f>
        <v>22178</v>
      </c>
      <c r="G30" s="54">
        <f t="shared" si="13"/>
        <v>14644.490177801177</v>
      </c>
      <c r="H30" s="54">
        <f t="shared" si="13"/>
        <v>17083.695337822242</v>
      </c>
      <c r="I30" s="54">
        <f t="shared" si="13"/>
        <v>16739.272804040018</v>
      </c>
      <c r="J30" s="54">
        <f t="shared" si="13"/>
        <v>16431.913003813817</v>
      </c>
      <c r="K30" s="54">
        <f t="shared" si="13"/>
        <v>16152.749476432433</v>
      </c>
      <c r="L30" s="54">
        <f t="shared" si="13"/>
        <v>15897.83362954027</v>
      </c>
      <c r="M30" s="54">
        <f t="shared" si="13"/>
        <v>15825.525095805391</v>
      </c>
      <c r="N30" s="54">
        <f t="shared" si="13"/>
        <v>15920.837235805389</v>
      </c>
      <c r="O30" s="54">
        <f t="shared" si="13"/>
        <v>16021.390336160992</v>
      </c>
      <c r="P30" s="54">
        <f t="shared" si="13"/>
        <v>16111.623061805389</v>
      </c>
      <c r="Q30" s="54">
        <f t="shared" si="13"/>
        <v>16212.176162160991</v>
      </c>
      <c r="R30" s="55">
        <f>Q16*R29</f>
        <v>158244</v>
      </c>
    </row>
    <row r="31" spans="1:18" x14ac:dyDescent="0.25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8" thickBot="1" x14ac:dyDescent="0.3">
      <c r="R32" s="13"/>
    </row>
    <row r="33" spans="1:18" ht="15" x14ac:dyDescent="0.4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4">
      <c r="F34"/>
      <c r="G34" s="272" t="s">
        <v>14</v>
      </c>
      <c r="H34" s="273" t="s">
        <v>24</v>
      </c>
      <c r="I34" s="273" t="s">
        <v>73</v>
      </c>
      <c r="J34" s="274"/>
      <c r="K34" s="275">
        <f>Asset2DRate-0.025</f>
        <v>0.1</v>
      </c>
      <c r="L34" s="275">
        <f>Assumptions!H43</f>
        <v>0.125</v>
      </c>
      <c r="M34" s="276">
        <f>Asset2DRate+0.025</f>
        <v>0.15</v>
      </c>
      <c r="P34" s="1"/>
      <c r="Q34" s="1"/>
      <c r="R34" s="1"/>
    </row>
    <row r="35" spans="1:18" x14ac:dyDescent="0.25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8" thickBot="1" x14ac:dyDescent="0.3">
      <c r="F36">
        <f>IF(ABS(G36-L36)&lt;0.05,0,1)</f>
        <v>0</v>
      </c>
      <c r="G36" s="348">
        <v>131932.84040525605</v>
      </c>
      <c r="H36" s="349">
        <f>G36/F16</f>
        <v>5.0023826649448715</v>
      </c>
      <c r="I36" s="350" t="str">
        <f>Assumptions!D40</f>
        <v>ETS</v>
      </c>
      <c r="J36" s="351"/>
      <c r="K36" s="352">
        <f>NPV(K34,$G$30:$R$30)</f>
        <v>154893.34000919317</v>
      </c>
      <c r="L36" s="353">
        <f>NPV(L34,$G$30:$R$30)</f>
        <v>131932.8760587718</v>
      </c>
      <c r="M36" s="282">
        <f>NPV(M34,$G$30:$R$30)</f>
        <v>113709.66328357845</v>
      </c>
      <c r="P36" s="1"/>
      <c r="Q36" s="1"/>
      <c r="R36" s="1"/>
    </row>
    <row r="37" spans="1:18" x14ac:dyDescent="0.25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5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8" thickBot="1" x14ac:dyDescent="0.3">
      <c r="A43" s="103" t="str">
        <f>A2</f>
        <v xml:space="preserve">  Marketing - Cash Flow Analysis</v>
      </c>
      <c r="B43" s="169">
        <f>Assumptions!C41</f>
        <v>1</v>
      </c>
      <c r="C43" s="170">
        <v>1</v>
      </c>
      <c r="D43" s="37"/>
      <c r="E43" s="89"/>
      <c r="F43" s="57">
        <f>F48*$B$43</f>
        <v>35443</v>
      </c>
      <c r="G43" s="58">
        <f t="shared" ref="G43:Q43" si="15">CHOOSE($C$43,G48,G51,G54)*$B$43+G44</f>
        <v>35443</v>
      </c>
      <c r="H43" s="58">
        <f t="shared" si="15"/>
        <v>35443</v>
      </c>
      <c r="I43" s="58">
        <f t="shared" si="15"/>
        <v>35443</v>
      </c>
      <c r="J43" s="58">
        <f t="shared" si="15"/>
        <v>35443</v>
      </c>
      <c r="K43" s="58">
        <f t="shared" si="15"/>
        <v>35443</v>
      </c>
      <c r="L43" s="58">
        <f t="shared" si="15"/>
        <v>35443</v>
      </c>
      <c r="M43" s="58">
        <f t="shared" si="15"/>
        <v>35443</v>
      </c>
      <c r="N43" s="58">
        <f t="shared" si="15"/>
        <v>35443</v>
      </c>
      <c r="O43" s="58">
        <f t="shared" si="15"/>
        <v>35443</v>
      </c>
      <c r="P43" s="58">
        <f t="shared" si="15"/>
        <v>35443</v>
      </c>
      <c r="Q43" s="59">
        <f t="shared" si="15"/>
        <v>35443</v>
      </c>
    </row>
    <row r="44" spans="1:18" x14ac:dyDescent="0.25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4"/>
      <c r="D45" s="107"/>
      <c r="F45" s="12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t="str">
        <f>Assumptions!B58</f>
        <v>1. Base Case</v>
      </c>
      <c r="C46" s="114">
        <v>1</v>
      </c>
      <c r="F46" s="17"/>
    </row>
    <row r="47" spans="1:18" ht="15" x14ac:dyDescent="0.4">
      <c r="A47" t="s">
        <v>226</v>
      </c>
      <c r="C47" s="114"/>
      <c r="D47" s="152"/>
      <c r="E47" s="56"/>
      <c r="F47" s="18">
        <v>35443</v>
      </c>
      <c r="G47" s="6">
        <f>F47</f>
        <v>35443</v>
      </c>
      <c r="H47" s="6">
        <f t="shared" ref="H47:Q47" si="16">G47</f>
        <v>35443</v>
      </c>
      <c r="I47" s="6">
        <f t="shared" si="16"/>
        <v>35443</v>
      </c>
      <c r="J47" s="6">
        <f t="shared" si="16"/>
        <v>35443</v>
      </c>
      <c r="K47" s="6">
        <f t="shared" si="16"/>
        <v>35443</v>
      </c>
      <c r="L47" s="6">
        <f t="shared" si="16"/>
        <v>35443</v>
      </c>
      <c r="M47" s="6">
        <f t="shared" si="16"/>
        <v>35443</v>
      </c>
      <c r="N47" s="6">
        <f t="shared" si="16"/>
        <v>35443</v>
      </c>
      <c r="O47" s="6">
        <f t="shared" si="16"/>
        <v>35443</v>
      </c>
      <c r="P47" s="6">
        <f t="shared" si="16"/>
        <v>35443</v>
      </c>
      <c r="Q47" s="6">
        <f t="shared" si="16"/>
        <v>35443</v>
      </c>
    </row>
    <row r="48" spans="1:18" x14ac:dyDescent="0.25">
      <c r="A48" s="73" t="s">
        <v>0</v>
      </c>
      <c r="B48" s="151">
        <v>1</v>
      </c>
      <c r="C48" s="114"/>
      <c r="D48" s="126"/>
      <c r="E48" s="101"/>
      <c r="F48" s="32">
        <f>SUM(F47:F47)*$B$48</f>
        <v>35443</v>
      </c>
      <c r="G48" s="97">
        <f t="shared" ref="G48:Q48" si="17">SUM(G47:G47)*$B$48+G49</f>
        <v>35443</v>
      </c>
      <c r="H48" s="97">
        <f t="shared" si="17"/>
        <v>35443</v>
      </c>
      <c r="I48" s="97">
        <f t="shared" si="17"/>
        <v>35443</v>
      </c>
      <c r="J48" s="97">
        <f t="shared" si="17"/>
        <v>35443</v>
      </c>
      <c r="K48" s="97">
        <f t="shared" si="17"/>
        <v>35443</v>
      </c>
      <c r="L48" s="97">
        <f t="shared" si="17"/>
        <v>35443</v>
      </c>
      <c r="M48" s="97">
        <f t="shared" si="17"/>
        <v>35443</v>
      </c>
      <c r="N48" s="97">
        <f t="shared" si="17"/>
        <v>35443</v>
      </c>
      <c r="O48" s="97">
        <f t="shared" si="17"/>
        <v>35443</v>
      </c>
      <c r="P48" s="97">
        <f t="shared" si="17"/>
        <v>35443</v>
      </c>
      <c r="Q48" s="97">
        <f t="shared" si="17"/>
        <v>35443</v>
      </c>
    </row>
    <row r="49" spans="1:17" x14ac:dyDescent="0.25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5">
      <c r="C50" s="114"/>
      <c r="F50" s="17"/>
    </row>
    <row r="51" spans="1:17" x14ac:dyDescent="0.25">
      <c r="A51" t="str">
        <f>Assumptions!B59</f>
        <v>2. Optimistic</v>
      </c>
      <c r="B51" s="151">
        <v>1.02</v>
      </c>
      <c r="C51" s="114">
        <v>2</v>
      </c>
      <c r="D51" s="126"/>
      <c r="F51" s="32">
        <f>F48</f>
        <v>35443</v>
      </c>
      <c r="G51" s="26">
        <f t="shared" ref="G51:Q51" si="19">F51*$B$51+G52</f>
        <v>36151.86</v>
      </c>
      <c r="H51" s="26">
        <f t="shared" si="19"/>
        <v>36874.897199999999</v>
      </c>
      <c r="I51" s="26">
        <f t="shared" si="19"/>
        <v>37612.395144000002</v>
      </c>
      <c r="J51" s="26">
        <f t="shared" si="19"/>
        <v>38364.643046880003</v>
      </c>
      <c r="K51" s="26">
        <f t="shared" si="19"/>
        <v>39131.935907817606</v>
      </c>
      <c r="L51" s="26">
        <f t="shared" si="19"/>
        <v>39914.574625973961</v>
      </c>
      <c r="M51" s="26">
        <f t="shared" si="19"/>
        <v>40712.866118493439</v>
      </c>
      <c r="N51" s="26">
        <f t="shared" si="19"/>
        <v>41527.12344086331</v>
      </c>
      <c r="O51" s="26">
        <f t="shared" si="19"/>
        <v>42357.665909680574</v>
      </c>
      <c r="P51" s="26">
        <f t="shared" si="19"/>
        <v>43204.819227874184</v>
      </c>
      <c r="Q51" s="26">
        <f t="shared" si="19"/>
        <v>44068.915612431672</v>
      </c>
    </row>
    <row r="52" spans="1:17" x14ac:dyDescent="0.25"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5">
      <c r="C53" s="114"/>
      <c r="F53" s="17"/>
    </row>
    <row r="54" spans="1:17" x14ac:dyDescent="0.25">
      <c r="A54" t="str">
        <f>Assumptions!B60</f>
        <v>3. Pessimistic</v>
      </c>
      <c r="B54" s="355">
        <v>0.99</v>
      </c>
      <c r="C54" s="114">
        <v>3</v>
      </c>
      <c r="D54" s="126"/>
      <c r="F54" s="32">
        <f>F48</f>
        <v>35443</v>
      </c>
      <c r="G54" s="26">
        <f t="shared" ref="G54:Q54" si="21">F54*$B$54+G55</f>
        <v>35088.57</v>
      </c>
      <c r="H54" s="26">
        <f t="shared" si="21"/>
        <v>34737.684300000001</v>
      </c>
      <c r="I54" s="26">
        <f t="shared" si="21"/>
        <v>34390.307457000003</v>
      </c>
      <c r="J54" s="26">
        <f t="shared" si="21"/>
        <v>34046.404382430002</v>
      </c>
      <c r="K54" s="26">
        <f t="shared" si="21"/>
        <v>33705.940338605702</v>
      </c>
      <c r="L54" s="26">
        <f t="shared" si="21"/>
        <v>33368.880935219648</v>
      </c>
      <c r="M54" s="26">
        <f t="shared" si="21"/>
        <v>33035.192125867448</v>
      </c>
      <c r="N54" s="26">
        <f t="shared" si="21"/>
        <v>32704.840204608772</v>
      </c>
      <c r="O54" s="26">
        <f t="shared" si="21"/>
        <v>32377.791802562686</v>
      </c>
      <c r="P54" s="26">
        <f t="shared" si="21"/>
        <v>32054.01388453706</v>
      </c>
      <c r="Q54" s="26">
        <f t="shared" si="21"/>
        <v>31733.473745691688</v>
      </c>
    </row>
    <row r="55" spans="1:17" ht="13.8" thickBot="1" x14ac:dyDescent="0.3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8" thickBot="1" x14ac:dyDescent="0.3">
      <c r="A60" s="103" t="str">
        <f>A2</f>
        <v xml:space="preserve">  Marketing - Cash Flow Analysis</v>
      </c>
      <c r="B60" s="169">
        <f>Assumptions!C41</f>
        <v>1</v>
      </c>
      <c r="C60" s="171">
        <v>1</v>
      </c>
      <c r="D60" s="37"/>
      <c r="E60" s="89"/>
      <c r="F60" s="111">
        <f>F65*$B$60</f>
        <v>9069</v>
      </c>
      <c r="G60" s="58">
        <f t="shared" ref="G60:Q60" si="24">CHOOSE($C$60,G65,G68,G71)*$B$60+G61</f>
        <v>9069</v>
      </c>
      <c r="H60" s="58">
        <f t="shared" si="24"/>
        <v>9069</v>
      </c>
      <c r="I60" s="58">
        <f t="shared" si="24"/>
        <v>9069</v>
      </c>
      <c r="J60" s="58">
        <f t="shared" si="24"/>
        <v>9069</v>
      </c>
      <c r="K60" s="58">
        <f t="shared" si="24"/>
        <v>9069</v>
      </c>
      <c r="L60" s="58">
        <f t="shared" si="24"/>
        <v>9069</v>
      </c>
      <c r="M60" s="58">
        <f t="shared" si="24"/>
        <v>9069</v>
      </c>
      <c r="N60" s="58">
        <f t="shared" si="24"/>
        <v>9069</v>
      </c>
      <c r="O60" s="58">
        <f t="shared" si="24"/>
        <v>9069</v>
      </c>
      <c r="P60" s="58">
        <f t="shared" si="24"/>
        <v>9069</v>
      </c>
      <c r="Q60" s="59">
        <f t="shared" si="24"/>
        <v>9069</v>
      </c>
    </row>
    <row r="61" spans="1:17" x14ac:dyDescent="0.25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6"/>
      <c r="D62" s="107"/>
      <c r="E62" s="108"/>
    </row>
    <row r="63" spans="1:17" x14ac:dyDescent="0.25">
      <c r="A63" t="str">
        <f>Assumptions!B64</f>
        <v>1. Base Case</v>
      </c>
      <c r="C63" s="116"/>
    </row>
    <row r="64" spans="1:17" ht="15" x14ac:dyDescent="0.4">
      <c r="A64" t="s">
        <v>226</v>
      </c>
      <c r="C64" s="116"/>
      <c r="D64" s="126"/>
      <c r="E64" s="130"/>
      <c r="F64" s="18">
        <v>9069</v>
      </c>
      <c r="G64" s="36">
        <f t="shared" ref="G64:Q64" si="25">F64</f>
        <v>9069</v>
      </c>
      <c r="H64" s="36">
        <f t="shared" si="25"/>
        <v>9069</v>
      </c>
      <c r="I64" s="36">
        <f t="shared" si="25"/>
        <v>9069</v>
      </c>
      <c r="J64" s="36">
        <f t="shared" si="25"/>
        <v>9069</v>
      </c>
      <c r="K64" s="36">
        <f t="shared" si="25"/>
        <v>9069</v>
      </c>
      <c r="L64" s="36">
        <f t="shared" si="25"/>
        <v>9069</v>
      </c>
      <c r="M64" s="36">
        <f t="shared" si="25"/>
        <v>9069</v>
      </c>
      <c r="N64" s="36">
        <f t="shared" si="25"/>
        <v>9069</v>
      </c>
      <c r="O64" s="36">
        <f t="shared" si="25"/>
        <v>9069</v>
      </c>
      <c r="P64" s="36">
        <f t="shared" si="25"/>
        <v>9069</v>
      </c>
      <c r="Q64" s="36">
        <f t="shared" si="25"/>
        <v>9069</v>
      </c>
    </row>
    <row r="65" spans="1:17" x14ac:dyDescent="0.25">
      <c r="A65" s="73" t="s">
        <v>0</v>
      </c>
      <c r="B65" s="153">
        <v>1</v>
      </c>
      <c r="C65" s="114">
        <v>1</v>
      </c>
      <c r="D65" s="126"/>
      <c r="F65" s="29">
        <f>SUM(F64:F64)</f>
        <v>9069</v>
      </c>
      <c r="G65" s="106">
        <f t="shared" ref="G65:Q65" si="26">SUM(G64:G64)*$B$65+G66</f>
        <v>9069</v>
      </c>
      <c r="H65" s="106">
        <f t="shared" si="26"/>
        <v>9069</v>
      </c>
      <c r="I65" s="106">
        <f t="shared" si="26"/>
        <v>9069</v>
      </c>
      <c r="J65" s="106">
        <f t="shared" si="26"/>
        <v>9069</v>
      </c>
      <c r="K65" s="106">
        <f t="shared" si="26"/>
        <v>9069</v>
      </c>
      <c r="L65" s="106">
        <f t="shared" si="26"/>
        <v>9069</v>
      </c>
      <c r="M65" s="106">
        <f t="shared" si="26"/>
        <v>9069</v>
      </c>
      <c r="N65" s="106">
        <f t="shared" si="26"/>
        <v>9069</v>
      </c>
      <c r="O65" s="106">
        <f t="shared" si="26"/>
        <v>9069</v>
      </c>
      <c r="P65" s="106">
        <f t="shared" si="26"/>
        <v>9069</v>
      </c>
      <c r="Q65" s="106">
        <f t="shared" si="26"/>
        <v>9069</v>
      </c>
    </row>
    <row r="66" spans="1:17" x14ac:dyDescent="0.25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6"/>
      <c r="F67" s="17"/>
    </row>
    <row r="68" spans="1:17" x14ac:dyDescent="0.25">
      <c r="A68" s="8" t="str">
        <f>Assumptions!B59</f>
        <v>2. Optimistic</v>
      </c>
      <c r="B68" s="153">
        <v>0.99</v>
      </c>
      <c r="C68" s="114">
        <v>2</v>
      </c>
      <c r="D68" s="126"/>
      <c r="F68" s="29">
        <f>F65</f>
        <v>9069</v>
      </c>
      <c r="G68" s="26">
        <f t="shared" ref="G68:Q68" si="27">F68*$B$68+G69</f>
        <v>8978.31</v>
      </c>
      <c r="H68" s="26">
        <f t="shared" si="27"/>
        <v>8888.5268999999989</v>
      </c>
      <c r="I68" s="26">
        <f t="shared" si="27"/>
        <v>8799.6416309999986</v>
      </c>
      <c r="J68" s="26">
        <f t="shared" si="27"/>
        <v>8711.6452146899992</v>
      </c>
      <c r="K68" s="26">
        <f t="shared" si="27"/>
        <v>8624.5287625430992</v>
      </c>
      <c r="L68" s="26">
        <f t="shared" si="27"/>
        <v>8538.2834749176673</v>
      </c>
      <c r="M68" s="26">
        <f t="shared" si="27"/>
        <v>8452.900640168491</v>
      </c>
      <c r="N68" s="26">
        <f t="shared" si="27"/>
        <v>8368.3716337668066</v>
      </c>
      <c r="O68" s="26">
        <f t="shared" si="27"/>
        <v>8284.6879174291389</v>
      </c>
      <c r="P68" s="26">
        <f t="shared" si="27"/>
        <v>8201.8410382548482</v>
      </c>
      <c r="Q68" s="26">
        <f t="shared" si="27"/>
        <v>8119.8226278722996</v>
      </c>
    </row>
    <row r="69" spans="1:17" x14ac:dyDescent="0.25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5">
      <c r="A70" s="8"/>
      <c r="C70" s="117"/>
      <c r="F70" s="17"/>
    </row>
    <row r="71" spans="1:17" x14ac:dyDescent="0.25">
      <c r="A71" s="8" t="str">
        <f>Assumptions!B60</f>
        <v>3. Pessimistic</v>
      </c>
      <c r="B71" s="153">
        <v>1.01</v>
      </c>
      <c r="C71" s="114">
        <v>3</v>
      </c>
      <c r="D71" s="126"/>
      <c r="F71" s="29">
        <f>F65</f>
        <v>9069</v>
      </c>
      <c r="G71" s="26">
        <f t="shared" ref="G71:Q71" si="29">F71*$B$71+G72</f>
        <v>9159.69</v>
      </c>
      <c r="H71" s="26">
        <f t="shared" si="29"/>
        <v>9251.286900000001</v>
      </c>
      <c r="I71" s="26">
        <f t="shared" si="29"/>
        <v>9343.7997690000011</v>
      </c>
      <c r="J71" s="26">
        <f t="shared" si="29"/>
        <v>9437.2377666900011</v>
      </c>
      <c r="K71" s="26">
        <f t="shared" si="29"/>
        <v>9531.6101443569005</v>
      </c>
      <c r="L71" s="26">
        <f t="shared" si="29"/>
        <v>9626.9262458004687</v>
      </c>
      <c r="M71" s="26">
        <f t="shared" si="29"/>
        <v>9723.1955082584736</v>
      </c>
      <c r="N71" s="26">
        <f t="shared" si="29"/>
        <v>9820.4274633410587</v>
      </c>
      <c r="O71" s="26">
        <f t="shared" si="29"/>
        <v>9918.6317379744687</v>
      </c>
      <c r="P71" s="26">
        <f t="shared" si="29"/>
        <v>10017.818055354213</v>
      </c>
      <c r="Q71" s="26">
        <f t="shared" si="29"/>
        <v>10117.996235907756</v>
      </c>
    </row>
    <row r="72" spans="1:17" ht="13.8" thickBot="1" x14ac:dyDescent="0.3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3" spans="1:17" x14ac:dyDescent="0.25">
      <c r="C73" s="38"/>
      <c r="F73" s="125"/>
      <c r="G73" s="1"/>
      <c r="H73" s="1"/>
      <c r="I73" s="1"/>
      <c r="J73" s="13"/>
      <c r="K73" s="13"/>
      <c r="L73" s="1"/>
      <c r="M73" s="1"/>
      <c r="N73" s="1"/>
      <c r="O73" s="1"/>
      <c r="P73" s="1"/>
      <c r="Q73" s="1"/>
    </row>
    <row r="74" spans="1:17" x14ac:dyDescent="0.25">
      <c r="A74" t="s">
        <v>23</v>
      </c>
      <c r="C74" s="38"/>
      <c r="F74" s="125"/>
      <c r="G74" s="1"/>
      <c r="H74" s="1"/>
      <c r="I74" s="1"/>
      <c r="J74" s="13"/>
      <c r="K74" s="13"/>
      <c r="L74" s="1"/>
      <c r="M74" s="1"/>
      <c r="N74" s="1"/>
      <c r="O74" s="1"/>
      <c r="P74" s="1"/>
      <c r="Q74" s="1"/>
    </row>
    <row r="75" spans="1:17" x14ac:dyDescent="0.25">
      <c r="A75" t="s">
        <v>127</v>
      </c>
      <c r="C75" s="38"/>
      <c r="F75" s="125"/>
      <c r="G75" s="1"/>
      <c r="H75" s="1"/>
      <c r="I75" s="1"/>
      <c r="J75" s="13"/>
      <c r="K75" s="13"/>
      <c r="L75" s="1"/>
      <c r="M75" s="1"/>
      <c r="N75" s="1"/>
      <c r="O75" s="1"/>
      <c r="P75" s="1"/>
      <c r="Q75" s="1"/>
    </row>
    <row r="76" spans="1:17" x14ac:dyDescent="0.25">
      <c r="A76" t="s">
        <v>128</v>
      </c>
      <c r="C76" s="38"/>
      <c r="F76" s="125"/>
      <c r="G76" s="1"/>
      <c r="H76" s="1"/>
      <c r="I76" s="1"/>
      <c r="J76" s="13"/>
      <c r="K76" s="13"/>
      <c r="L76" s="1"/>
      <c r="M76" s="1"/>
      <c r="N76" s="1"/>
      <c r="O76" s="1"/>
      <c r="P76" s="1"/>
      <c r="Q76" s="1"/>
    </row>
    <row r="77" spans="1:17" x14ac:dyDescent="0.25">
      <c r="A77" s="9" t="s">
        <v>0</v>
      </c>
      <c r="F77" s="29">
        <v>4196</v>
      </c>
      <c r="G77" s="106">
        <f>F77</f>
        <v>4196</v>
      </c>
      <c r="H77" s="106">
        <f t="shared" ref="H77:Q77" si="31">G77</f>
        <v>4196</v>
      </c>
      <c r="I77" s="106">
        <f t="shared" si="31"/>
        <v>4196</v>
      </c>
      <c r="J77" s="106">
        <f t="shared" si="31"/>
        <v>4196</v>
      </c>
      <c r="K77" s="106">
        <f t="shared" si="31"/>
        <v>4196</v>
      </c>
      <c r="L77" s="106">
        <f t="shared" si="31"/>
        <v>4196</v>
      </c>
      <c r="M77" s="106">
        <f t="shared" si="31"/>
        <v>4196</v>
      </c>
      <c r="N77" s="106">
        <f t="shared" si="31"/>
        <v>4196</v>
      </c>
      <c r="O77" s="106">
        <f t="shared" si="31"/>
        <v>4196</v>
      </c>
      <c r="P77" s="106">
        <f t="shared" si="31"/>
        <v>4196</v>
      </c>
      <c r="Q77" s="106">
        <f t="shared" si="31"/>
        <v>4196</v>
      </c>
    </row>
    <row r="78" spans="1:17" x14ac:dyDescent="0.25">
      <c r="A78" s="9"/>
      <c r="F78" s="17"/>
    </row>
    <row r="79" spans="1:17" x14ac:dyDescent="0.25">
      <c r="A79" s="7" t="s">
        <v>90</v>
      </c>
      <c r="F79" s="17"/>
    </row>
    <row r="80" spans="1:17" x14ac:dyDescent="0.25">
      <c r="A80" s="93" t="s">
        <v>44</v>
      </c>
      <c r="B80" s="23">
        <f>Assumptions!D20</f>
        <v>20</v>
      </c>
      <c r="C80" s="372">
        <f>Asset2PurPrice</f>
        <v>131932.84040525605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5">
      <c r="A81" s="2" t="s">
        <v>10</v>
      </c>
      <c r="C81" s="100"/>
      <c r="D81" s="100"/>
      <c r="E81" s="56"/>
      <c r="F81" s="19"/>
      <c r="G81" s="31">
        <f>C80/B80</f>
        <v>6596.6420202628024</v>
      </c>
      <c r="H81" s="31">
        <f t="shared" ref="H81:Q81" si="33">+G81</f>
        <v>6596.6420202628024</v>
      </c>
      <c r="I81" s="31">
        <f t="shared" si="33"/>
        <v>6596.6420202628024</v>
      </c>
      <c r="J81" s="31">
        <f t="shared" si="33"/>
        <v>6596.6420202628024</v>
      </c>
      <c r="K81" s="31">
        <f t="shared" si="33"/>
        <v>6596.6420202628024</v>
      </c>
      <c r="L81" s="31">
        <f t="shared" si="33"/>
        <v>6596.6420202628024</v>
      </c>
      <c r="M81" s="31">
        <f t="shared" si="33"/>
        <v>6596.6420202628024</v>
      </c>
      <c r="N81" s="31">
        <f t="shared" si="33"/>
        <v>6596.6420202628024</v>
      </c>
      <c r="O81" s="31">
        <f t="shared" si="33"/>
        <v>6596.6420202628024</v>
      </c>
      <c r="P81" s="31">
        <f t="shared" si="33"/>
        <v>6596.6420202628024</v>
      </c>
      <c r="Q81" s="31">
        <f t="shared" si="33"/>
        <v>6596.6420202628024</v>
      </c>
    </row>
    <row r="82" spans="1:17" ht="15" x14ac:dyDescent="0.4">
      <c r="A82" s="2" t="s">
        <v>11</v>
      </c>
      <c r="E82" s="56"/>
      <c r="F82" s="19"/>
      <c r="G82" s="6">
        <f>($G$29*G80)</f>
        <v>209.8</v>
      </c>
      <c r="H82" s="6">
        <f>($G$29*H80)+($H$29*G80)</f>
        <v>419.6</v>
      </c>
      <c r="I82" s="6">
        <f>($G$29*I80)+($H$29*H80)+($I$29*G80)</f>
        <v>629.40000000000009</v>
      </c>
      <c r="J82" s="6">
        <f>($G$29*J80)+($H$29*I80)+($I$29*H80)+($J$29*G80)</f>
        <v>839.2</v>
      </c>
      <c r="K82" s="6">
        <f>($G$29*K80)+($H$29*J80)+($I$29*I80)+($J$29*H80)+($K$29*G80)</f>
        <v>1049</v>
      </c>
      <c r="L82" s="6">
        <f>($G$29*L80)+($H$29*K80)+($I$29*J80)+($J$29*I80)+($K$29*H80)+($L$29*G80)</f>
        <v>1258.8</v>
      </c>
      <c r="M82" s="6">
        <f>($G$29*M80)+($H$29*L80)+($I$29*K80)+($J$29*J80)+($K$29*I80)+($L$29*H80)+($M$29*G80)</f>
        <v>1468.6</v>
      </c>
      <c r="N82" s="6">
        <f>($G$29*N80)+($H$29*M80)+($I$29*L80)+($J$29*K80)+($K$29*J80)+($L$29*I80)+($M$29*H80)+($N$29*G80)</f>
        <v>1678.3999999999999</v>
      </c>
      <c r="O82" s="6">
        <f>($G$29*O80)+($H$29*N80)+($I$29*M80)+($J$29*L80)+($K$29*K80)+($L$29*J80)+($M$29*I80)+($N$29*H80)+($O$29*G80)</f>
        <v>1888.1999999999998</v>
      </c>
      <c r="P82" s="6">
        <f>($G$29*P80)+($H$29*O80)+($I$29*N80)+($J$29*M80)+($K$29*L80)+($L$29*K80)+($M$29*J80)+($N$29*I80)+($O$29*H80)+($P$29*G80)</f>
        <v>2098</v>
      </c>
      <c r="Q82" s="6">
        <f>($G$29*Q80)+($H$29*P80)+($I$29*O80)+($J$29*N80)+($K$29*M80)+($L$29*L80)+($M$29*K80)+($N$29*J80)+($O$29*I80)+($P$29*H80)+($Q$29*G80)</f>
        <v>2307.8000000000002</v>
      </c>
    </row>
    <row r="83" spans="1:17" x14ac:dyDescent="0.25">
      <c r="A83" s="9" t="s">
        <v>0</v>
      </c>
      <c r="E83" s="56"/>
      <c r="F83" s="19"/>
      <c r="G83" s="1">
        <f t="shared" ref="G83:Q83" si="34">SUM(G81:G82)</f>
        <v>6806.4420202628025</v>
      </c>
      <c r="H83" s="1">
        <f t="shared" si="34"/>
        <v>7016.2420202628027</v>
      </c>
      <c r="I83" s="1">
        <f t="shared" si="34"/>
        <v>7226.0420202628029</v>
      </c>
      <c r="J83" s="13">
        <f t="shared" si="34"/>
        <v>7435.8420202628022</v>
      </c>
      <c r="K83" s="13">
        <f t="shared" si="34"/>
        <v>7645.6420202628024</v>
      </c>
      <c r="L83" s="1">
        <f t="shared" si="34"/>
        <v>7855.4420202628025</v>
      </c>
      <c r="M83" s="1">
        <f t="shared" si="34"/>
        <v>8065.2420202628018</v>
      </c>
      <c r="N83" s="1">
        <f t="shared" si="34"/>
        <v>8275.0420202628029</v>
      </c>
      <c r="O83" s="1">
        <f t="shared" si="34"/>
        <v>8484.8420202628022</v>
      </c>
      <c r="P83" s="1">
        <f t="shared" si="34"/>
        <v>8694.6420202628033</v>
      </c>
      <c r="Q83" s="1">
        <f t="shared" si="34"/>
        <v>8904.4420202628025</v>
      </c>
    </row>
    <row r="84" spans="1:17" x14ac:dyDescent="0.25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5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5">
      <c r="A86" s="2" t="s">
        <v>10</v>
      </c>
      <c r="B86" s="15"/>
      <c r="E86" s="56"/>
      <c r="F86" s="19"/>
      <c r="G86" s="1">
        <f t="shared" ref="G86:Q86" si="35">G85*$C$80</f>
        <v>6596.6420202628033</v>
      </c>
      <c r="H86" s="1">
        <f t="shared" si="35"/>
        <v>12533.619838499326</v>
      </c>
      <c r="I86" s="1">
        <f t="shared" si="35"/>
        <v>11280.257854649393</v>
      </c>
      <c r="J86" s="1">
        <f t="shared" si="35"/>
        <v>10158.828711204716</v>
      </c>
      <c r="K86" s="1">
        <f t="shared" si="35"/>
        <v>9142.945840084245</v>
      </c>
      <c r="L86" s="1">
        <f t="shared" si="35"/>
        <v>8219.4159572474528</v>
      </c>
      <c r="M86" s="1">
        <f t="shared" si="35"/>
        <v>7784.0375839101062</v>
      </c>
      <c r="N86" s="1">
        <f t="shared" si="35"/>
        <v>7784.0375839101062</v>
      </c>
      <c r="O86" s="1">
        <f t="shared" si="35"/>
        <v>7797.2308679506323</v>
      </c>
      <c r="P86" s="1">
        <f t="shared" si="35"/>
        <v>7784.0375839101062</v>
      </c>
      <c r="Q86" s="1">
        <f t="shared" si="35"/>
        <v>7797.2308679506323</v>
      </c>
    </row>
    <row r="87" spans="1:17" ht="15" x14ac:dyDescent="0.4">
      <c r="A87" s="2" t="s">
        <v>11</v>
      </c>
      <c r="B87" s="16"/>
      <c r="E87" s="127"/>
      <c r="F87" s="19"/>
      <c r="G87" s="6">
        <f>($G$29*G$85)</f>
        <v>209.8</v>
      </c>
      <c r="H87" s="6">
        <f>($G$29*H85)+($H$29*G85)</f>
        <v>608.42000000000007</v>
      </c>
      <c r="I87" s="6">
        <f>($G$29*I85)+($H$29*H85)+($I$29*G85)</f>
        <v>967.17800000000011</v>
      </c>
      <c r="J87" s="6">
        <f>($G$29*J85)+($H$29*I85)+($I$29*H85)+($J$29*G85)</f>
        <v>1290.27</v>
      </c>
      <c r="K87" s="6">
        <f>($G$29*K85)+($H$29*J85)+($I$29*I85)+($J$29*H85)+($K$29*G85)</f>
        <v>1581.0528000000002</v>
      </c>
      <c r="L87" s="6">
        <f>($G$29*L85)+($H$29*K85)+($I$29*J85)+($J$29*I85)+($K$29*H85)+($L$29*G85)</f>
        <v>1842.4635999999998</v>
      </c>
      <c r="M87" s="6">
        <f>($G$29*M85)+($H$29*L85)+($I$29*K85)+($J$29*J85)+($K$29*I85)+($L$29*H85)+($M$29*G85)</f>
        <v>2090.0276000000003</v>
      </c>
      <c r="N87" s="6">
        <f>($G$29*N85)+($H$29*M85)+($I$29*L85)+($J$29*K85)+($K$29*J85)+($L$29*I85)+($M$29*H85)+($N$29*G85)</f>
        <v>2337.5916000000002</v>
      </c>
      <c r="O87" s="6">
        <f>($G$29*O85)+($H$29*N85)+($I$29*M85)+($J$29*L85)+($K$29*K85)+($L$29*J85)+($M$29*I85)+($N$29*H85)+($O$29*G85)</f>
        <v>2585.5752000000002</v>
      </c>
      <c r="P87" s="6">
        <f>($G$29*P85)+($H$29*O85)+($I$29*N85)+($J$29*M85)+($K$29*L85)+($L$29*K85)+($M$29*J85)+($N$29*I85)+($O$29*H85)+($P$29*G85)</f>
        <v>2833.1391999999996</v>
      </c>
      <c r="Q87" s="6">
        <f>($G$29*Q85)+($H$29*P85)+($I$29*O85)+($J$29*N85)+($K$29*M85)+($L$29*L85)+($M$29*K85)+($N$29*J85)+($O$29*I85)+($P$29*H85)+($Q$29*G85)</f>
        <v>3081.1228000000001</v>
      </c>
    </row>
    <row r="88" spans="1:17" x14ac:dyDescent="0.25">
      <c r="A88" s="9" t="s">
        <v>0</v>
      </c>
      <c r="E88" s="56"/>
      <c r="F88" s="19"/>
      <c r="G88" s="1">
        <f t="shared" ref="G88:Q88" si="36">SUM(G86:G87)</f>
        <v>6806.4420202628035</v>
      </c>
      <c r="H88" s="1">
        <f t="shared" si="36"/>
        <v>13142.039838499326</v>
      </c>
      <c r="I88" s="1">
        <f t="shared" si="36"/>
        <v>12247.435854649393</v>
      </c>
      <c r="J88" s="13">
        <f t="shared" si="36"/>
        <v>11449.098711204717</v>
      </c>
      <c r="K88" s="13">
        <f t="shared" si="36"/>
        <v>10723.998640084244</v>
      </c>
      <c r="L88" s="1">
        <f t="shared" si="36"/>
        <v>10061.879557247452</v>
      </c>
      <c r="M88" s="1">
        <f t="shared" si="36"/>
        <v>9874.0651839101065</v>
      </c>
      <c r="N88" s="1">
        <f t="shared" si="36"/>
        <v>10121.629183910107</v>
      </c>
      <c r="O88" s="1">
        <f t="shared" si="36"/>
        <v>10382.806067950632</v>
      </c>
      <c r="P88" s="1">
        <f t="shared" si="36"/>
        <v>10617.176783910105</v>
      </c>
      <c r="Q88" s="1">
        <f t="shared" si="36"/>
        <v>10878.353667950632</v>
      </c>
    </row>
  </sheetData>
  <mergeCells count="1">
    <mergeCell ref="K33:M33"/>
  </mergeCells>
  <phoneticPr fontId="0" type="noConversion"/>
  <conditionalFormatting sqref="D68 D71 D54 D51 C11:D11 D14:D15 D47:D48 D64:D65">
    <cfRule type="cellIs" dxfId="4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1"/>
  <dimension ref="A1:R88"/>
  <sheetViews>
    <sheetView topLeftCell="A36" zoomScale="75" zoomScaleNormal="75" workbookViewId="0">
      <selection activeCell="I70" sqref="I70"/>
    </sheetView>
  </sheetViews>
  <sheetFormatPr defaultRowHeight="13.2" x14ac:dyDescent="0.25"/>
  <cols>
    <col min="1" max="1" width="28.109375" customWidth="1"/>
    <col min="2" max="2" width="14" bestFit="1" customWidth="1"/>
    <col min="3" max="3" width="12.88671875" customWidth="1"/>
    <col min="4" max="4" width="11.88671875" customWidth="1"/>
    <col min="5" max="5" width="9.109375" style="24" customWidth="1"/>
    <col min="6" max="6" width="13" style="24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74" t="str">
        <f>Assumptions!D5</f>
        <v>Oneok</v>
      </c>
      <c r="B1" s="38"/>
      <c r="E1" s="79"/>
    </row>
    <row r="2" spans="1:18" ht="15.6" x14ac:dyDescent="0.3">
      <c r="A2" s="377" t="s">
        <v>221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5">
      <c r="A3" s="266"/>
      <c r="B3" s="265"/>
      <c r="E3" s="56"/>
      <c r="F3" s="285" t="str">
        <f>IF(Asset3Loop&lt;&gt;0,"Run Macro","")</f>
        <v/>
      </c>
      <c r="G3" s="73"/>
      <c r="H3" s="286"/>
      <c r="I3" s="73"/>
      <c r="R3" s="24"/>
    </row>
    <row r="4" spans="1:18" ht="13.8" thickBot="1" x14ac:dyDescent="0.3">
      <c r="A4" s="266"/>
      <c r="B4" s="265"/>
      <c r="E4" s="56"/>
      <c r="F4" s="287"/>
      <c r="G4" s="288"/>
      <c r="H4" s="289"/>
      <c r="I4" s="73"/>
      <c r="R4" s="24"/>
    </row>
    <row r="5" spans="1:18" x14ac:dyDescent="0.25">
      <c r="A5" s="266"/>
      <c r="B5" s="265"/>
      <c r="E5" s="56"/>
      <c r="F5" s="387"/>
      <c r="G5" s="73"/>
      <c r="H5" s="73"/>
      <c r="I5" s="73"/>
      <c r="R5" s="24"/>
    </row>
    <row r="6" spans="1:18" x14ac:dyDescent="0.25">
      <c r="A6" s="266"/>
      <c r="B6" s="265"/>
      <c r="E6" s="56"/>
      <c r="G6" s="73"/>
      <c r="H6" s="73"/>
      <c r="I6" s="73"/>
      <c r="R6" s="24"/>
    </row>
    <row r="7" spans="1:18" x14ac:dyDescent="0.25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5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5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5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5">
      <c r="A11" s="120" t="s">
        <v>65</v>
      </c>
      <c r="B11" s="132"/>
      <c r="C11" s="124"/>
      <c r="D11" s="124"/>
      <c r="E11" s="101"/>
      <c r="F11" s="32">
        <f t="shared" ref="F11:Q11" si="1">F43</f>
        <v>83790</v>
      </c>
      <c r="G11" s="97">
        <f t="shared" si="1"/>
        <v>83790</v>
      </c>
      <c r="H11" s="97">
        <f t="shared" si="1"/>
        <v>83790</v>
      </c>
      <c r="I11" s="97">
        <f t="shared" si="1"/>
        <v>83790</v>
      </c>
      <c r="J11" s="97">
        <f t="shared" si="1"/>
        <v>83790</v>
      </c>
      <c r="K11" s="97">
        <f t="shared" si="1"/>
        <v>83790</v>
      </c>
      <c r="L11" s="97">
        <f t="shared" si="1"/>
        <v>83790</v>
      </c>
      <c r="M11" s="97">
        <f t="shared" si="1"/>
        <v>83790</v>
      </c>
      <c r="N11" s="97">
        <f t="shared" si="1"/>
        <v>83790</v>
      </c>
      <c r="O11" s="97">
        <f t="shared" si="1"/>
        <v>83790</v>
      </c>
      <c r="P11" s="97">
        <f t="shared" si="1"/>
        <v>83790</v>
      </c>
      <c r="Q11" s="97">
        <f t="shared" si="1"/>
        <v>83790</v>
      </c>
      <c r="R11" s="24"/>
    </row>
    <row r="12" spans="1:18" x14ac:dyDescent="0.25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5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5">
      <c r="A14" s="38" t="s">
        <v>6</v>
      </c>
      <c r="B14" s="131"/>
      <c r="C14" s="38"/>
      <c r="D14" s="124"/>
      <c r="E14" s="121"/>
      <c r="F14" s="32">
        <f t="shared" ref="F14:Q14" si="2">F60</f>
        <v>63686</v>
      </c>
      <c r="G14" s="97">
        <f t="shared" si="2"/>
        <v>63686</v>
      </c>
      <c r="H14" s="97">
        <f t="shared" si="2"/>
        <v>63686</v>
      </c>
      <c r="I14" s="97">
        <f t="shared" si="2"/>
        <v>63686</v>
      </c>
      <c r="J14" s="97">
        <f t="shared" si="2"/>
        <v>63686</v>
      </c>
      <c r="K14" s="97">
        <f t="shared" si="2"/>
        <v>63686</v>
      </c>
      <c r="L14" s="97">
        <f t="shared" si="2"/>
        <v>63686</v>
      </c>
      <c r="M14" s="97">
        <f t="shared" si="2"/>
        <v>63686</v>
      </c>
      <c r="N14" s="97">
        <f t="shared" si="2"/>
        <v>63686</v>
      </c>
      <c r="O14" s="97">
        <f t="shared" si="2"/>
        <v>63686</v>
      </c>
      <c r="P14" s="97">
        <f t="shared" si="2"/>
        <v>63686</v>
      </c>
      <c r="Q14" s="97">
        <f t="shared" si="2"/>
        <v>63686</v>
      </c>
      <c r="R14" s="24"/>
    </row>
    <row r="15" spans="1:18" x14ac:dyDescent="0.25">
      <c r="A15" s="8" t="s">
        <v>82</v>
      </c>
      <c r="B15" s="8"/>
      <c r="C15" s="8"/>
      <c r="D15" s="134"/>
      <c r="E15" s="135"/>
      <c r="F15" s="136">
        <f t="shared" ref="F15:Q15" si="3">F11/F14</f>
        <v>1.3156737744559244</v>
      </c>
      <c r="G15" s="137">
        <f t="shared" si="3"/>
        <v>1.3156737744559244</v>
      </c>
      <c r="H15" s="137">
        <f t="shared" si="3"/>
        <v>1.3156737744559244</v>
      </c>
      <c r="I15" s="137">
        <f t="shared" si="3"/>
        <v>1.3156737744559244</v>
      </c>
      <c r="J15" s="137">
        <f t="shared" si="3"/>
        <v>1.3156737744559244</v>
      </c>
      <c r="K15" s="137">
        <f t="shared" si="3"/>
        <v>1.3156737744559244</v>
      </c>
      <c r="L15" s="137">
        <f t="shared" si="3"/>
        <v>1.3156737744559244</v>
      </c>
      <c r="M15" s="137">
        <f t="shared" si="3"/>
        <v>1.3156737744559244</v>
      </c>
      <c r="N15" s="137">
        <f t="shared" si="3"/>
        <v>1.3156737744559244</v>
      </c>
      <c r="O15" s="137">
        <f t="shared" si="3"/>
        <v>1.3156737744559244</v>
      </c>
      <c r="P15" s="137">
        <f t="shared" si="3"/>
        <v>1.3156737744559244</v>
      </c>
      <c r="Q15" s="137">
        <f t="shared" si="3"/>
        <v>1.3156737744559244</v>
      </c>
      <c r="R15" s="24"/>
    </row>
    <row r="16" spans="1:18" x14ac:dyDescent="0.25">
      <c r="A16" s="50" t="s">
        <v>1</v>
      </c>
      <c r="B16" s="37"/>
      <c r="C16" s="37"/>
      <c r="D16" s="37"/>
      <c r="E16" s="105"/>
      <c r="F16" s="57">
        <f t="shared" ref="F16:Q16" si="4">(F11-F14)</f>
        <v>20104</v>
      </c>
      <c r="G16" s="54">
        <f t="shared" si="4"/>
        <v>20104</v>
      </c>
      <c r="H16" s="54">
        <f t="shared" si="4"/>
        <v>20104</v>
      </c>
      <c r="I16" s="54">
        <f t="shared" si="4"/>
        <v>20104</v>
      </c>
      <c r="J16" s="54">
        <f t="shared" si="4"/>
        <v>20104</v>
      </c>
      <c r="K16" s="54">
        <f t="shared" si="4"/>
        <v>20104</v>
      </c>
      <c r="L16" s="54">
        <f t="shared" si="4"/>
        <v>20104</v>
      </c>
      <c r="M16" s="54">
        <f t="shared" si="4"/>
        <v>20104</v>
      </c>
      <c r="N16" s="54">
        <f t="shared" si="4"/>
        <v>20104</v>
      </c>
      <c r="O16" s="54">
        <f t="shared" si="4"/>
        <v>20104</v>
      </c>
      <c r="P16" s="54">
        <f t="shared" si="4"/>
        <v>20104</v>
      </c>
      <c r="Q16" s="55">
        <f t="shared" si="4"/>
        <v>20104</v>
      </c>
      <c r="R16" s="24"/>
    </row>
    <row r="17" spans="1:18" x14ac:dyDescent="0.25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5">
      <c r="A18" t="s">
        <v>7</v>
      </c>
      <c r="B18" s="16"/>
      <c r="E18" s="56"/>
      <c r="F18" s="19">
        <v>0</v>
      </c>
      <c r="G18" s="31">
        <f t="shared" ref="G18:Q18" si="5">G83</f>
        <v>3570.0775234739945</v>
      </c>
      <c r="H18" s="31">
        <f t="shared" si="5"/>
        <v>3997.9275234739944</v>
      </c>
      <c r="I18" s="31">
        <f t="shared" si="5"/>
        <v>4425.7775234739947</v>
      </c>
      <c r="J18" s="31">
        <f t="shared" si="5"/>
        <v>4853.6275234739951</v>
      </c>
      <c r="K18" s="31">
        <f t="shared" si="5"/>
        <v>5281.4775234739946</v>
      </c>
      <c r="L18" s="31">
        <f t="shared" si="5"/>
        <v>5709.327523473994</v>
      </c>
      <c r="M18" s="31">
        <f t="shared" si="5"/>
        <v>6137.1775234739944</v>
      </c>
      <c r="N18" s="31">
        <f t="shared" si="5"/>
        <v>6565.0275234739947</v>
      </c>
      <c r="O18" s="31">
        <f t="shared" si="5"/>
        <v>6992.8775234739942</v>
      </c>
      <c r="P18" s="31">
        <f t="shared" si="5"/>
        <v>7420.7275234739946</v>
      </c>
      <c r="Q18" s="31">
        <f t="shared" si="5"/>
        <v>7848.5775234739949</v>
      </c>
      <c r="R18" s="24"/>
    </row>
    <row r="19" spans="1:18" x14ac:dyDescent="0.25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5">
      <c r="A20" s="50" t="s">
        <v>2</v>
      </c>
      <c r="B20" s="37"/>
      <c r="C20" s="37"/>
      <c r="D20" s="37"/>
      <c r="E20" s="105"/>
      <c r="F20" s="57">
        <f t="shared" ref="F20:Q20" si="6">F16-F18</f>
        <v>20104</v>
      </c>
      <c r="G20" s="58">
        <f t="shared" si="6"/>
        <v>16533.922476526004</v>
      </c>
      <c r="H20" s="58">
        <f t="shared" si="6"/>
        <v>16106.072476526006</v>
      </c>
      <c r="I20" s="58">
        <f t="shared" si="6"/>
        <v>15678.222476526005</v>
      </c>
      <c r="J20" s="54">
        <f t="shared" si="6"/>
        <v>15250.372476526005</v>
      </c>
      <c r="K20" s="54">
        <f t="shared" si="6"/>
        <v>14822.522476526006</v>
      </c>
      <c r="L20" s="58">
        <f t="shared" si="6"/>
        <v>14394.672476526006</v>
      </c>
      <c r="M20" s="58">
        <f t="shared" si="6"/>
        <v>13966.822476526006</v>
      </c>
      <c r="N20" s="58">
        <f t="shared" si="6"/>
        <v>13538.972476526005</v>
      </c>
      <c r="O20" s="58">
        <f t="shared" si="6"/>
        <v>13111.122476526005</v>
      </c>
      <c r="P20" s="58">
        <f t="shared" si="6"/>
        <v>12683.272476526006</v>
      </c>
      <c r="Q20" s="59">
        <f t="shared" si="6"/>
        <v>12255.422476526004</v>
      </c>
      <c r="R20" s="24"/>
    </row>
    <row r="21" spans="1:18" x14ac:dyDescent="0.25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5">
      <c r="A22" s="2" t="s">
        <v>3</v>
      </c>
      <c r="E22" s="127"/>
      <c r="F22" s="19"/>
      <c r="G22" s="1">
        <f t="shared" ref="G22:Q22" si="7">$B$24*(G16-G88)</f>
        <v>6365.5601534625121</v>
      </c>
      <c r="H22" s="1">
        <f t="shared" si="7"/>
        <v>4963.8060415787731</v>
      </c>
      <c r="I22" s="1">
        <f t="shared" si="7"/>
        <v>4911.9849374208952</v>
      </c>
      <c r="J22" s="1">
        <f t="shared" si="7"/>
        <v>4863.9714638322694</v>
      </c>
      <c r="K22" s="1">
        <f t="shared" si="7"/>
        <v>4821.9690951990415</v>
      </c>
      <c r="L22" s="1">
        <f t="shared" si="7"/>
        <v>4786.0912352142905</v>
      </c>
      <c r="M22" s="1">
        <f t="shared" si="7"/>
        <v>4671.5629815857646</v>
      </c>
      <c r="N22" s="1">
        <f t="shared" si="7"/>
        <v>4477.1907265857644</v>
      </c>
      <c r="O22" s="1">
        <f t="shared" si="7"/>
        <v>4280.0695118926888</v>
      </c>
      <c r="P22" s="1">
        <f t="shared" si="7"/>
        <v>4088.1167720857643</v>
      </c>
      <c r="Q22" s="1">
        <f t="shared" si="7"/>
        <v>3890.9955573926891</v>
      </c>
      <c r="R22" s="24"/>
    </row>
    <row r="23" spans="1:18" ht="15" x14ac:dyDescent="0.4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1237.0318618837391</v>
      </c>
      <c r="I23" s="3">
        <f t="shared" si="8"/>
        <v>1124.1307160416172</v>
      </c>
      <c r="J23" s="3">
        <f t="shared" si="8"/>
        <v>1007.4219396302424</v>
      </c>
      <c r="K23" s="3">
        <f t="shared" si="8"/>
        <v>884.70205826347137</v>
      </c>
      <c r="L23" s="3">
        <f t="shared" si="8"/>
        <v>755.85766824822167</v>
      </c>
      <c r="M23" s="3">
        <f t="shared" si="8"/>
        <v>705.66367187674769</v>
      </c>
      <c r="N23" s="3">
        <f t="shared" si="8"/>
        <v>735.3136768767481</v>
      </c>
      <c r="O23" s="3">
        <f t="shared" si="8"/>
        <v>767.71264156982306</v>
      </c>
      <c r="P23" s="3">
        <f t="shared" si="8"/>
        <v>794.94313137674862</v>
      </c>
      <c r="Q23" s="3">
        <f t="shared" si="8"/>
        <v>827.34209606982222</v>
      </c>
      <c r="R23" s="24"/>
    </row>
    <row r="24" spans="1:18" x14ac:dyDescent="0.25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6365.5601534625121</v>
      </c>
      <c r="H24" s="1">
        <f t="shared" si="9"/>
        <v>6200.8379034625123</v>
      </c>
      <c r="I24" s="1">
        <f t="shared" si="9"/>
        <v>6036.1156534625125</v>
      </c>
      <c r="J24" s="1">
        <f t="shared" si="9"/>
        <v>5871.3934034625117</v>
      </c>
      <c r="K24" s="1">
        <f t="shared" si="9"/>
        <v>5706.6711534625128</v>
      </c>
      <c r="L24" s="1">
        <f t="shared" si="9"/>
        <v>5541.9489034625121</v>
      </c>
      <c r="M24" s="1">
        <f t="shared" si="9"/>
        <v>5377.2266534625123</v>
      </c>
      <c r="N24" s="1">
        <f t="shared" si="9"/>
        <v>5212.5044034625125</v>
      </c>
      <c r="O24" s="1">
        <f t="shared" si="9"/>
        <v>5047.7821534625118</v>
      </c>
      <c r="P24" s="1">
        <f t="shared" si="9"/>
        <v>4883.0599034625129</v>
      </c>
      <c r="Q24" s="1">
        <f t="shared" si="9"/>
        <v>4718.3376534625113</v>
      </c>
      <c r="R24" s="24"/>
    </row>
    <row r="25" spans="1:18" x14ac:dyDescent="0.25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5">
      <c r="A26" s="78" t="s">
        <v>16</v>
      </c>
      <c r="B26" s="172"/>
      <c r="C26" s="37"/>
      <c r="D26" s="37"/>
      <c r="E26" s="128"/>
      <c r="F26" s="57">
        <f t="shared" ref="F26:Q26" si="10">F20-F24</f>
        <v>20104</v>
      </c>
      <c r="G26" s="58">
        <f t="shared" si="10"/>
        <v>10168.362323063491</v>
      </c>
      <c r="H26" s="58">
        <f t="shared" si="10"/>
        <v>9905.2345730634934</v>
      </c>
      <c r="I26" s="58">
        <f t="shared" si="10"/>
        <v>9642.1068230634919</v>
      </c>
      <c r="J26" s="54">
        <f t="shared" si="10"/>
        <v>9378.9790730634923</v>
      </c>
      <c r="K26" s="54">
        <f t="shared" si="10"/>
        <v>9115.8513230634926</v>
      </c>
      <c r="L26" s="58">
        <f t="shared" si="10"/>
        <v>8852.7235730634929</v>
      </c>
      <c r="M26" s="58">
        <f t="shared" si="10"/>
        <v>8589.5958230634933</v>
      </c>
      <c r="N26" s="58">
        <f t="shared" si="10"/>
        <v>8326.4680730634936</v>
      </c>
      <c r="O26" s="58">
        <f t="shared" si="10"/>
        <v>8063.3403230634931</v>
      </c>
      <c r="P26" s="58">
        <f t="shared" si="10"/>
        <v>7800.2125730634934</v>
      </c>
      <c r="Q26" s="59">
        <f t="shared" si="10"/>
        <v>7537.0848230634929</v>
      </c>
      <c r="R26" s="20" t="s">
        <v>1</v>
      </c>
    </row>
    <row r="27" spans="1:18" x14ac:dyDescent="0.25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5">
      <c r="A28" s="2" t="s">
        <v>15</v>
      </c>
      <c r="B28" s="23"/>
      <c r="E28" s="56"/>
      <c r="F28" s="19">
        <f t="shared" ref="F28:Q28" si="11">F26+F23+F18</f>
        <v>20104</v>
      </c>
      <c r="G28" s="1">
        <f t="shared" si="11"/>
        <v>13738.439846537485</v>
      </c>
      <c r="H28" s="1">
        <f t="shared" si="11"/>
        <v>15140.193958421227</v>
      </c>
      <c r="I28" s="1">
        <f t="shared" si="11"/>
        <v>15192.015062579105</v>
      </c>
      <c r="J28" s="13">
        <f t="shared" si="11"/>
        <v>15240.028536167731</v>
      </c>
      <c r="K28" s="13">
        <f t="shared" si="11"/>
        <v>15282.030904800959</v>
      </c>
      <c r="L28" s="1">
        <f t="shared" si="11"/>
        <v>15317.908764785709</v>
      </c>
      <c r="M28" s="1">
        <f t="shared" si="11"/>
        <v>15432.437018414235</v>
      </c>
      <c r="N28" s="1">
        <f t="shared" si="11"/>
        <v>15626.809273414236</v>
      </c>
      <c r="O28" s="1">
        <f t="shared" si="11"/>
        <v>15823.930488107311</v>
      </c>
      <c r="P28" s="1">
        <f t="shared" si="11"/>
        <v>16015.883227914237</v>
      </c>
      <c r="Q28" s="1">
        <f t="shared" si="11"/>
        <v>16213.004442607311</v>
      </c>
      <c r="R28" s="20" t="s">
        <v>71</v>
      </c>
    </row>
    <row r="29" spans="1:18" x14ac:dyDescent="0.25">
      <c r="A29" s="2" t="s">
        <v>23</v>
      </c>
      <c r="B29" s="164">
        <f>Assumptions!C44</f>
        <v>1</v>
      </c>
      <c r="E29" s="56"/>
      <c r="F29" s="19">
        <f>F77</f>
        <v>8557</v>
      </c>
      <c r="G29" s="13">
        <f>G77</f>
        <v>8557</v>
      </c>
      <c r="H29" s="13">
        <f t="shared" ref="H29:Q29" si="12">H77</f>
        <v>8557</v>
      </c>
      <c r="I29" s="13">
        <f t="shared" si="12"/>
        <v>8557</v>
      </c>
      <c r="J29" s="13">
        <f t="shared" si="12"/>
        <v>8557</v>
      </c>
      <c r="K29" s="13">
        <f t="shared" si="12"/>
        <v>8557</v>
      </c>
      <c r="L29" s="13">
        <f t="shared" si="12"/>
        <v>8557</v>
      </c>
      <c r="M29" s="13">
        <f t="shared" si="12"/>
        <v>8557</v>
      </c>
      <c r="N29" s="13">
        <f t="shared" si="12"/>
        <v>8557</v>
      </c>
      <c r="O29" s="13">
        <f t="shared" si="12"/>
        <v>8557</v>
      </c>
      <c r="P29" s="13">
        <f t="shared" si="12"/>
        <v>8557</v>
      </c>
      <c r="Q29" s="13">
        <f t="shared" si="12"/>
        <v>8557</v>
      </c>
      <c r="R29" s="168">
        <f>Assumptions!E43</f>
        <v>5</v>
      </c>
    </row>
    <row r="30" spans="1:18" x14ac:dyDescent="0.25">
      <c r="A30" s="112" t="s">
        <v>17</v>
      </c>
      <c r="B30" s="37"/>
      <c r="C30" s="37"/>
      <c r="D30" s="37"/>
      <c r="E30" s="105"/>
      <c r="F30" s="57">
        <f t="shared" ref="F30:Q30" si="13">F28-F29</f>
        <v>11547</v>
      </c>
      <c r="G30" s="54">
        <f t="shared" si="13"/>
        <v>5181.4398465374852</v>
      </c>
      <c r="H30" s="54">
        <f t="shared" si="13"/>
        <v>6583.1939584212269</v>
      </c>
      <c r="I30" s="54">
        <f t="shared" si="13"/>
        <v>6635.0150625791048</v>
      </c>
      <c r="J30" s="54">
        <f t="shared" si="13"/>
        <v>6683.0285361677306</v>
      </c>
      <c r="K30" s="54">
        <f t="shared" si="13"/>
        <v>6725.0309048009585</v>
      </c>
      <c r="L30" s="54">
        <f t="shared" si="13"/>
        <v>6760.9087647857086</v>
      </c>
      <c r="M30" s="54">
        <f t="shared" si="13"/>
        <v>6875.4370184142354</v>
      </c>
      <c r="N30" s="54">
        <f t="shared" si="13"/>
        <v>7069.8092734142356</v>
      </c>
      <c r="O30" s="54">
        <f t="shared" si="13"/>
        <v>7266.9304881073112</v>
      </c>
      <c r="P30" s="54">
        <f t="shared" si="13"/>
        <v>7458.8832279142371</v>
      </c>
      <c r="Q30" s="54">
        <f t="shared" si="13"/>
        <v>7656.0044426073109</v>
      </c>
      <c r="R30" s="55">
        <f>Q16*R29</f>
        <v>100520</v>
      </c>
    </row>
    <row r="31" spans="1:18" x14ac:dyDescent="0.25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8" thickBot="1" x14ac:dyDescent="0.3">
      <c r="R32" s="13"/>
    </row>
    <row r="33" spans="1:18" ht="15" x14ac:dyDescent="0.4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4">
      <c r="F34"/>
      <c r="G34" s="272" t="s">
        <v>14</v>
      </c>
      <c r="H34" s="273" t="s">
        <v>24</v>
      </c>
      <c r="I34" s="273" t="s">
        <v>73</v>
      </c>
      <c r="J34" s="274"/>
      <c r="K34" s="275">
        <f>Asset3DRate-0.025</f>
        <v>0.1</v>
      </c>
      <c r="L34" s="275">
        <f>Assumptions!H43</f>
        <v>0.125</v>
      </c>
      <c r="M34" s="276">
        <f>Asset3DRate+0.025</f>
        <v>0.15</v>
      </c>
      <c r="P34" s="1"/>
      <c r="Q34" s="1"/>
      <c r="R34" s="1"/>
    </row>
    <row r="35" spans="1:18" x14ac:dyDescent="0.25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8" thickBot="1" x14ac:dyDescent="0.3">
      <c r="F36">
        <f>IF(ABS(G36-L36)&lt;0.05,0,1)</f>
        <v>0</v>
      </c>
      <c r="G36" s="348">
        <v>62844.550469479887</v>
      </c>
      <c r="H36" s="349">
        <f>G36/F16</f>
        <v>3.1259724666474278</v>
      </c>
      <c r="I36" s="350" t="str">
        <f>Assumptions!D40</f>
        <v>ETS</v>
      </c>
      <c r="J36" s="351"/>
      <c r="K36" s="352">
        <f>NPV(K34,$G$30:$R$30)</f>
        <v>75188.778747134318</v>
      </c>
      <c r="L36" s="353">
        <f>NPV(L34,$G$30:$R$30)</f>
        <v>62844.567451876443</v>
      </c>
      <c r="M36" s="347">
        <f>NPV(M34,$G$30:$R$30)</f>
        <v>53172.384678564224</v>
      </c>
      <c r="P36" s="1"/>
      <c r="Q36" s="1"/>
      <c r="R36" s="1"/>
    </row>
    <row r="37" spans="1:18" x14ac:dyDescent="0.25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5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8" thickBot="1" x14ac:dyDescent="0.3">
      <c r="A43" s="103" t="str">
        <f>A2</f>
        <v xml:space="preserve">  Gath. &amp; Proc. - Cash Flow Analysis</v>
      </c>
      <c r="B43" s="169">
        <f>Assumptions!C44</f>
        <v>1</v>
      </c>
      <c r="C43" s="170">
        <v>1</v>
      </c>
      <c r="D43" s="37"/>
      <c r="E43" s="89"/>
      <c r="F43" s="57">
        <f>F48*$B$43</f>
        <v>83790</v>
      </c>
      <c r="G43" s="58">
        <f t="shared" ref="G43:Q43" si="15">CHOOSE($C$43,G48,G51,G54)*$B$43+G44</f>
        <v>83790</v>
      </c>
      <c r="H43" s="58">
        <f t="shared" si="15"/>
        <v>83790</v>
      </c>
      <c r="I43" s="58">
        <f t="shared" si="15"/>
        <v>83790</v>
      </c>
      <c r="J43" s="58">
        <f t="shared" si="15"/>
        <v>83790</v>
      </c>
      <c r="K43" s="58">
        <f t="shared" si="15"/>
        <v>83790</v>
      </c>
      <c r="L43" s="58">
        <f t="shared" si="15"/>
        <v>83790</v>
      </c>
      <c r="M43" s="58">
        <f t="shared" si="15"/>
        <v>83790</v>
      </c>
      <c r="N43" s="58">
        <f t="shared" si="15"/>
        <v>83790</v>
      </c>
      <c r="O43" s="58">
        <f t="shared" si="15"/>
        <v>83790</v>
      </c>
      <c r="P43" s="58">
        <f t="shared" si="15"/>
        <v>83790</v>
      </c>
      <c r="Q43" s="59">
        <f t="shared" si="15"/>
        <v>83790</v>
      </c>
    </row>
    <row r="44" spans="1:18" x14ac:dyDescent="0.25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s="8" t="str">
        <f>Assumptions!B58</f>
        <v>1. Base Case</v>
      </c>
      <c r="C46" s="114">
        <v>1</v>
      </c>
    </row>
    <row r="47" spans="1:18" ht="15" x14ac:dyDescent="0.4">
      <c r="A47" t="s">
        <v>226</v>
      </c>
      <c r="C47" s="114"/>
      <c r="D47" s="152"/>
      <c r="E47" s="56"/>
      <c r="F47" s="18">
        <v>83790</v>
      </c>
      <c r="G47" s="6">
        <f>F47</f>
        <v>83790</v>
      </c>
      <c r="H47" s="6">
        <f t="shared" ref="H47:Q47" si="16">G47</f>
        <v>83790</v>
      </c>
      <c r="I47" s="6">
        <f t="shared" si="16"/>
        <v>83790</v>
      </c>
      <c r="J47" s="6">
        <f t="shared" si="16"/>
        <v>83790</v>
      </c>
      <c r="K47" s="6">
        <f t="shared" si="16"/>
        <v>83790</v>
      </c>
      <c r="L47" s="6">
        <f t="shared" si="16"/>
        <v>83790</v>
      </c>
      <c r="M47" s="6">
        <f t="shared" si="16"/>
        <v>83790</v>
      </c>
      <c r="N47" s="6">
        <f t="shared" si="16"/>
        <v>83790</v>
      </c>
      <c r="O47" s="6">
        <f t="shared" si="16"/>
        <v>83790</v>
      </c>
      <c r="P47" s="6">
        <f t="shared" si="16"/>
        <v>83790</v>
      </c>
      <c r="Q47" s="6">
        <f t="shared" si="16"/>
        <v>83790</v>
      </c>
    </row>
    <row r="48" spans="1:18" x14ac:dyDescent="0.25">
      <c r="A48" s="73" t="s">
        <v>0</v>
      </c>
      <c r="B48" s="151">
        <v>1</v>
      </c>
      <c r="C48" s="114"/>
      <c r="D48" s="126"/>
      <c r="E48" s="101"/>
      <c r="F48" s="32">
        <f>SUM(F47:F47)*$B$48</f>
        <v>83790</v>
      </c>
      <c r="G48" s="97">
        <f t="shared" ref="G48:Q48" si="17">SUM(G47:G47)*$B$48+G49</f>
        <v>83790</v>
      </c>
      <c r="H48" s="97">
        <f t="shared" si="17"/>
        <v>83790</v>
      </c>
      <c r="I48" s="97">
        <f t="shared" si="17"/>
        <v>83790</v>
      </c>
      <c r="J48" s="97">
        <f t="shared" si="17"/>
        <v>83790</v>
      </c>
      <c r="K48" s="97">
        <f t="shared" si="17"/>
        <v>83790</v>
      </c>
      <c r="L48" s="97">
        <f t="shared" si="17"/>
        <v>83790</v>
      </c>
      <c r="M48" s="97">
        <f t="shared" si="17"/>
        <v>83790</v>
      </c>
      <c r="N48" s="97">
        <f t="shared" si="17"/>
        <v>83790</v>
      </c>
      <c r="O48" s="97">
        <f t="shared" si="17"/>
        <v>83790</v>
      </c>
      <c r="P48" s="97">
        <f t="shared" si="17"/>
        <v>83790</v>
      </c>
      <c r="Q48" s="97">
        <f t="shared" si="17"/>
        <v>83790</v>
      </c>
    </row>
    <row r="49" spans="1:17" x14ac:dyDescent="0.25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5">
      <c r="C50" s="114"/>
    </row>
    <row r="51" spans="1:17" x14ac:dyDescent="0.25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83790</v>
      </c>
      <c r="G51" s="26">
        <f t="shared" ref="G51:Q51" si="19">F51*$B$51+G52</f>
        <v>85465.8</v>
      </c>
      <c r="H51" s="26">
        <f t="shared" si="19"/>
        <v>87175.116000000009</v>
      </c>
      <c r="I51" s="26">
        <f t="shared" si="19"/>
        <v>88918.618320000009</v>
      </c>
      <c r="J51" s="26">
        <f t="shared" si="19"/>
        <v>90696.990686400008</v>
      </c>
      <c r="K51" s="26">
        <f t="shared" si="19"/>
        <v>92510.930500128015</v>
      </c>
      <c r="L51" s="26">
        <f t="shared" si="19"/>
        <v>94361.149110130573</v>
      </c>
      <c r="M51" s="26">
        <f t="shared" si="19"/>
        <v>96248.372092333186</v>
      </c>
      <c r="N51" s="26">
        <f t="shared" si="19"/>
        <v>98173.339534179846</v>
      </c>
      <c r="O51" s="26">
        <f t="shared" si="19"/>
        <v>100136.80632486344</v>
      </c>
      <c r="P51" s="26">
        <f t="shared" si="19"/>
        <v>102139.54245136071</v>
      </c>
      <c r="Q51" s="26">
        <f t="shared" si="19"/>
        <v>104182.33330038792</v>
      </c>
    </row>
    <row r="52" spans="1:17" x14ac:dyDescent="0.25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5">
      <c r="A53" s="8"/>
      <c r="C53" s="114"/>
    </row>
    <row r="54" spans="1:17" x14ac:dyDescent="0.25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83790</v>
      </c>
      <c r="G54" s="26">
        <f t="shared" ref="G54:Q54" si="21">F54*$B$54+G55</f>
        <v>82952.100000000006</v>
      </c>
      <c r="H54" s="26">
        <f t="shared" si="21"/>
        <v>82122.578999999998</v>
      </c>
      <c r="I54" s="26">
        <f t="shared" si="21"/>
        <v>81301.353210000001</v>
      </c>
      <c r="J54" s="26">
        <f t="shared" si="21"/>
        <v>80488.339677900003</v>
      </c>
      <c r="K54" s="26">
        <f t="shared" si="21"/>
        <v>79683.456281121005</v>
      </c>
      <c r="L54" s="26">
        <f t="shared" si="21"/>
        <v>78886.621718309791</v>
      </c>
      <c r="M54" s="26">
        <f t="shared" si="21"/>
        <v>78097.755501126696</v>
      </c>
      <c r="N54" s="26">
        <f t="shared" si="21"/>
        <v>77316.777946115428</v>
      </c>
      <c r="O54" s="26">
        <f t="shared" si="21"/>
        <v>76543.610166654267</v>
      </c>
      <c r="P54" s="26">
        <f t="shared" si="21"/>
        <v>75778.174064987717</v>
      </c>
      <c r="Q54" s="26">
        <f t="shared" si="21"/>
        <v>75020.392324337838</v>
      </c>
    </row>
    <row r="55" spans="1:17" ht="13.8" thickBot="1" x14ac:dyDescent="0.3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8" thickBot="1" x14ac:dyDescent="0.3">
      <c r="A60" s="103" t="str">
        <f>A2</f>
        <v xml:space="preserve">  Gath. &amp; Proc. - Cash Flow Analysis</v>
      </c>
      <c r="B60" s="169">
        <f>Assumptions!C44</f>
        <v>1</v>
      </c>
      <c r="C60" s="171">
        <v>1</v>
      </c>
      <c r="D60" s="37"/>
      <c r="E60" s="89"/>
      <c r="F60" s="111">
        <f>F65*$B$60</f>
        <v>63686</v>
      </c>
      <c r="G60" s="58">
        <f t="shared" ref="G60:Q60" si="24">CHOOSE($C$60,G65,G68,G71)*$B$60+G61</f>
        <v>63686</v>
      </c>
      <c r="H60" s="58">
        <f t="shared" si="24"/>
        <v>63686</v>
      </c>
      <c r="I60" s="58">
        <f t="shared" si="24"/>
        <v>63686</v>
      </c>
      <c r="J60" s="58">
        <f t="shared" si="24"/>
        <v>63686</v>
      </c>
      <c r="K60" s="58">
        <f t="shared" si="24"/>
        <v>63686</v>
      </c>
      <c r="L60" s="58">
        <f t="shared" si="24"/>
        <v>63686</v>
      </c>
      <c r="M60" s="58">
        <f t="shared" si="24"/>
        <v>63686</v>
      </c>
      <c r="N60" s="58">
        <f t="shared" si="24"/>
        <v>63686</v>
      </c>
      <c r="O60" s="58">
        <f t="shared" si="24"/>
        <v>63686</v>
      </c>
      <c r="P60" s="58">
        <f t="shared" si="24"/>
        <v>63686</v>
      </c>
      <c r="Q60" s="59">
        <f t="shared" si="24"/>
        <v>63686</v>
      </c>
    </row>
    <row r="61" spans="1:17" x14ac:dyDescent="0.25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6"/>
      <c r="D62" s="107"/>
      <c r="E62" s="108"/>
    </row>
    <row r="63" spans="1:17" x14ac:dyDescent="0.25">
      <c r="A63" s="8" t="str">
        <f>Assumptions!B64</f>
        <v>1. Base Case</v>
      </c>
      <c r="C63" s="116"/>
    </row>
    <row r="64" spans="1:17" ht="15" x14ac:dyDescent="0.4">
      <c r="A64" t="s">
        <v>98</v>
      </c>
      <c r="C64" s="116"/>
      <c r="D64" s="126"/>
      <c r="E64" s="154"/>
      <c r="F64" s="18">
        <v>63686</v>
      </c>
      <c r="G64" s="6">
        <f>F64</f>
        <v>63686</v>
      </c>
      <c r="H64" s="36">
        <f>G64</f>
        <v>63686</v>
      </c>
      <c r="I64" s="36">
        <f t="shared" ref="I64:Q64" si="25">H64</f>
        <v>63686</v>
      </c>
      <c r="J64" s="36">
        <f t="shared" si="25"/>
        <v>63686</v>
      </c>
      <c r="K64" s="36">
        <f t="shared" si="25"/>
        <v>63686</v>
      </c>
      <c r="L64" s="36">
        <f t="shared" si="25"/>
        <v>63686</v>
      </c>
      <c r="M64" s="36">
        <f t="shared" si="25"/>
        <v>63686</v>
      </c>
      <c r="N64" s="36">
        <f t="shared" si="25"/>
        <v>63686</v>
      </c>
      <c r="O64" s="36">
        <f t="shared" si="25"/>
        <v>63686</v>
      </c>
      <c r="P64" s="36">
        <f t="shared" si="25"/>
        <v>63686</v>
      </c>
      <c r="Q64" s="36">
        <f t="shared" si="25"/>
        <v>63686</v>
      </c>
    </row>
    <row r="65" spans="1:17" x14ac:dyDescent="0.25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63686</v>
      </c>
      <c r="G65" s="106">
        <f t="shared" ref="G65:Q65" si="26">SUM(G64:G64)*$B$65+G66</f>
        <v>63686</v>
      </c>
      <c r="H65" s="106">
        <f t="shared" si="26"/>
        <v>63686</v>
      </c>
      <c r="I65" s="106">
        <f t="shared" si="26"/>
        <v>63686</v>
      </c>
      <c r="J65" s="106">
        <f t="shared" si="26"/>
        <v>63686</v>
      </c>
      <c r="K65" s="106">
        <f t="shared" si="26"/>
        <v>63686</v>
      </c>
      <c r="L65" s="106">
        <f t="shared" si="26"/>
        <v>63686</v>
      </c>
      <c r="M65" s="106">
        <f t="shared" si="26"/>
        <v>63686</v>
      </c>
      <c r="N65" s="106">
        <f t="shared" si="26"/>
        <v>63686</v>
      </c>
      <c r="O65" s="106">
        <f t="shared" si="26"/>
        <v>63686</v>
      </c>
      <c r="P65" s="106">
        <f t="shared" si="26"/>
        <v>63686</v>
      </c>
      <c r="Q65" s="106">
        <f t="shared" si="26"/>
        <v>63686</v>
      </c>
    </row>
    <row r="66" spans="1:17" x14ac:dyDescent="0.25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6"/>
    </row>
    <row r="68" spans="1:17" x14ac:dyDescent="0.25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63686</v>
      </c>
      <c r="G68" s="26">
        <f t="shared" ref="G68:Q68" si="27">F68*$B$68+G69</f>
        <v>63049.14</v>
      </c>
      <c r="H68" s="26">
        <f t="shared" si="27"/>
        <v>62418.6486</v>
      </c>
      <c r="I68" s="26">
        <f t="shared" si="27"/>
        <v>61794.462114000002</v>
      </c>
      <c r="J68" s="26">
        <f t="shared" si="27"/>
        <v>61176.517492860003</v>
      </c>
      <c r="K68" s="26">
        <f t="shared" si="27"/>
        <v>60564.752317931401</v>
      </c>
      <c r="L68" s="26">
        <f t="shared" si="27"/>
        <v>59959.104794752086</v>
      </c>
      <c r="M68" s="26">
        <f t="shared" si="27"/>
        <v>59359.513746804565</v>
      </c>
      <c r="N68" s="26">
        <f t="shared" si="27"/>
        <v>58765.918609336521</v>
      </c>
      <c r="O68" s="26">
        <f t="shared" si="27"/>
        <v>58178.259423243158</v>
      </c>
      <c r="P68" s="26">
        <f t="shared" si="27"/>
        <v>57596.476829010724</v>
      </c>
      <c r="Q68" s="26">
        <f t="shared" si="27"/>
        <v>57020.512060720619</v>
      </c>
    </row>
    <row r="69" spans="1:17" x14ac:dyDescent="0.25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5">
      <c r="A70" s="8"/>
      <c r="C70" s="117"/>
    </row>
    <row r="71" spans="1:17" x14ac:dyDescent="0.25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63686</v>
      </c>
      <c r="G71" s="26">
        <f t="shared" ref="G71:Q71" si="29">F71*$B$71+G72</f>
        <v>64322.86</v>
      </c>
      <c r="H71" s="26">
        <f t="shared" si="29"/>
        <v>64966.088600000003</v>
      </c>
      <c r="I71" s="26">
        <f t="shared" si="29"/>
        <v>65615.749486000001</v>
      </c>
      <c r="J71" s="26">
        <f t="shared" si="29"/>
        <v>66271.906980860003</v>
      </c>
      <c r="K71" s="26">
        <f t="shared" si="29"/>
        <v>66934.626050668609</v>
      </c>
      <c r="L71" s="26">
        <f t="shared" si="29"/>
        <v>67603.972311175297</v>
      </c>
      <c r="M71" s="26">
        <f t="shared" si="29"/>
        <v>68280.01203428705</v>
      </c>
      <c r="N71" s="26">
        <f t="shared" si="29"/>
        <v>68962.812154629923</v>
      </c>
      <c r="O71" s="26">
        <f t="shared" si="29"/>
        <v>69652.440276176218</v>
      </c>
      <c r="P71" s="26">
        <f t="shared" si="29"/>
        <v>70348.964678937977</v>
      </c>
      <c r="Q71" s="26">
        <f t="shared" si="29"/>
        <v>71052.454325727362</v>
      </c>
    </row>
    <row r="72" spans="1:17" ht="13.8" thickBot="1" x14ac:dyDescent="0.3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5">
      <c r="A74" s="7" t="s">
        <v>23</v>
      </c>
    </row>
    <row r="75" spans="1:17" x14ac:dyDescent="0.25">
      <c r="A75" t="s">
        <v>127</v>
      </c>
    </row>
    <row r="76" spans="1:17" x14ac:dyDescent="0.25">
      <c r="A76" t="s">
        <v>129</v>
      </c>
    </row>
    <row r="77" spans="1:17" x14ac:dyDescent="0.25">
      <c r="A77" s="9" t="s">
        <v>0</v>
      </c>
      <c r="F77" s="25">
        <v>8557</v>
      </c>
      <c r="G77" s="106">
        <f>F77</f>
        <v>8557</v>
      </c>
      <c r="H77" s="106">
        <f t="shared" ref="H77:Q77" si="31">G77</f>
        <v>8557</v>
      </c>
      <c r="I77" s="106">
        <f t="shared" si="31"/>
        <v>8557</v>
      </c>
      <c r="J77" s="106">
        <f t="shared" si="31"/>
        <v>8557</v>
      </c>
      <c r="K77" s="106">
        <f t="shared" si="31"/>
        <v>8557</v>
      </c>
      <c r="L77" s="106">
        <f t="shared" si="31"/>
        <v>8557</v>
      </c>
      <c r="M77" s="106">
        <f t="shared" si="31"/>
        <v>8557</v>
      </c>
      <c r="N77" s="106">
        <f t="shared" si="31"/>
        <v>8557</v>
      </c>
      <c r="O77" s="106">
        <f t="shared" si="31"/>
        <v>8557</v>
      </c>
      <c r="P77" s="106">
        <f t="shared" si="31"/>
        <v>8557</v>
      </c>
      <c r="Q77" s="106">
        <f t="shared" si="31"/>
        <v>8557</v>
      </c>
    </row>
    <row r="78" spans="1:17" x14ac:dyDescent="0.25">
      <c r="A78" s="9"/>
    </row>
    <row r="79" spans="1:17" x14ac:dyDescent="0.25">
      <c r="A79" s="7" t="s">
        <v>90</v>
      </c>
    </row>
    <row r="80" spans="1:17" x14ac:dyDescent="0.25">
      <c r="A80" s="93" t="s">
        <v>44</v>
      </c>
      <c r="B80" s="23">
        <f>Assumptions!D20</f>
        <v>20</v>
      </c>
      <c r="C80" s="372">
        <f>Asset3PurPrice</f>
        <v>62844.550469479887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5">
      <c r="A81" s="2" t="s">
        <v>10</v>
      </c>
      <c r="C81" s="100"/>
      <c r="D81" s="100"/>
      <c r="E81" s="56"/>
      <c r="F81" s="19"/>
      <c r="G81" s="31">
        <f>C80/B80</f>
        <v>3142.2275234739946</v>
      </c>
      <c r="H81" s="31">
        <f t="shared" ref="H81:Q81" si="33">+G81</f>
        <v>3142.2275234739946</v>
      </c>
      <c r="I81" s="31">
        <f t="shared" si="33"/>
        <v>3142.2275234739946</v>
      </c>
      <c r="J81" s="31">
        <f t="shared" si="33"/>
        <v>3142.2275234739946</v>
      </c>
      <c r="K81" s="31">
        <f t="shared" si="33"/>
        <v>3142.2275234739946</v>
      </c>
      <c r="L81" s="31">
        <f t="shared" si="33"/>
        <v>3142.2275234739946</v>
      </c>
      <c r="M81" s="31">
        <f t="shared" si="33"/>
        <v>3142.2275234739946</v>
      </c>
      <c r="N81" s="31">
        <f t="shared" si="33"/>
        <v>3142.2275234739946</v>
      </c>
      <c r="O81" s="31">
        <f t="shared" si="33"/>
        <v>3142.2275234739946</v>
      </c>
      <c r="P81" s="31">
        <f t="shared" si="33"/>
        <v>3142.2275234739946</v>
      </c>
      <c r="Q81" s="31">
        <f t="shared" si="33"/>
        <v>3142.2275234739946</v>
      </c>
    </row>
    <row r="82" spans="1:17" ht="15" x14ac:dyDescent="0.4">
      <c r="A82" s="2" t="s">
        <v>11</v>
      </c>
      <c r="E82" s="56"/>
      <c r="F82" s="19"/>
      <c r="G82" s="6">
        <f>($G$29*G80)</f>
        <v>427.85</v>
      </c>
      <c r="H82" s="6">
        <f>($G$29*H80)+($H$29*G80)</f>
        <v>855.7</v>
      </c>
      <c r="I82" s="6">
        <f>($G$29*I80)+($H$29*H80)+($I$29*G80)</f>
        <v>1283.5500000000002</v>
      </c>
      <c r="J82" s="6">
        <f>($G$29*J80)+($H$29*I80)+($I$29*H80)+($J$29*G80)</f>
        <v>1711.4</v>
      </c>
      <c r="K82" s="6">
        <f>($G$29*K80)+($H$29*J80)+($I$29*I80)+($J$29*H80)+($K$29*G80)</f>
        <v>2139.25</v>
      </c>
      <c r="L82" s="6">
        <f>($G$29*L80)+($H$29*K80)+($I$29*J80)+($J$29*I80)+($K$29*H80)+($L$29*G80)</f>
        <v>2567.1</v>
      </c>
      <c r="M82" s="6">
        <f>($G$29*M80)+($H$29*L80)+($I$29*K80)+($J$29*J80)+($K$29*I80)+($L$29*H80)+($M$29*G80)</f>
        <v>2994.95</v>
      </c>
      <c r="N82" s="6">
        <f>($G$29*N80)+($H$29*M80)+($I$29*L80)+($J$29*K80)+($K$29*J80)+($L$29*I80)+($M$29*H80)+($N$29*G80)</f>
        <v>3422.7999999999997</v>
      </c>
      <c r="O82" s="6">
        <f>($G$29*O80)+($H$29*N80)+($I$29*M80)+($J$29*L80)+($K$29*K80)+($L$29*J80)+($M$29*I80)+($N$29*H80)+($O$29*G80)</f>
        <v>3850.6499999999996</v>
      </c>
      <c r="P82" s="6">
        <f>($G$29*P80)+($H$29*O80)+($I$29*N80)+($J$29*M80)+($K$29*L80)+($L$29*K80)+($M$29*J80)+($N$29*I80)+($O$29*H80)+($P$29*G80)</f>
        <v>4278.5</v>
      </c>
      <c r="Q82" s="6">
        <f>($G$29*Q80)+($H$29*P80)+($I$29*O80)+($J$29*N80)+($K$29*M80)+($L$29*L80)+($M$29*K80)+($N$29*J80)+($O$29*I80)+($P$29*H80)+($Q$29*G80)</f>
        <v>4706.3500000000004</v>
      </c>
    </row>
    <row r="83" spans="1:17" x14ac:dyDescent="0.25">
      <c r="A83" s="9" t="s">
        <v>0</v>
      </c>
      <c r="E83" s="56"/>
      <c r="F83" s="19"/>
      <c r="G83" s="1">
        <f t="shared" ref="G83:Q83" si="34">SUM(G81:G82)</f>
        <v>3570.0775234739945</v>
      </c>
      <c r="H83" s="1">
        <f t="shared" si="34"/>
        <v>3997.9275234739944</v>
      </c>
      <c r="I83" s="1">
        <f t="shared" si="34"/>
        <v>4425.7775234739947</v>
      </c>
      <c r="J83" s="13">
        <f t="shared" si="34"/>
        <v>4853.6275234739951</v>
      </c>
      <c r="K83" s="13">
        <f t="shared" si="34"/>
        <v>5281.4775234739946</v>
      </c>
      <c r="L83" s="1">
        <f t="shared" si="34"/>
        <v>5709.327523473994</v>
      </c>
      <c r="M83" s="1">
        <f t="shared" si="34"/>
        <v>6137.1775234739944</v>
      </c>
      <c r="N83" s="1">
        <f t="shared" si="34"/>
        <v>6565.0275234739947</v>
      </c>
      <c r="O83" s="1">
        <f t="shared" si="34"/>
        <v>6992.8775234739942</v>
      </c>
      <c r="P83" s="1">
        <f t="shared" si="34"/>
        <v>7420.7275234739946</v>
      </c>
      <c r="Q83" s="1">
        <f t="shared" si="34"/>
        <v>7848.5775234739949</v>
      </c>
    </row>
    <row r="84" spans="1:17" x14ac:dyDescent="0.25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5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5">
      <c r="A86" s="2" t="s">
        <v>10</v>
      </c>
      <c r="B86" s="15"/>
      <c r="E86" s="56"/>
      <c r="F86" s="19"/>
      <c r="G86" s="1">
        <f t="shared" ref="G86:Q86" si="35">G85*$C$80</f>
        <v>3142.2275234739946</v>
      </c>
      <c r="H86" s="1">
        <f t="shared" si="35"/>
        <v>5970.2322946005897</v>
      </c>
      <c r="I86" s="1">
        <f t="shared" si="35"/>
        <v>5373.2090651405306</v>
      </c>
      <c r="J86" s="1">
        <f t="shared" si="35"/>
        <v>4839.0303861499515</v>
      </c>
      <c r="K86" s="1">
        <f t="shared" si="35"/>
        <v>4355.1273475349562</v>
      </c>
      <c r="L86" s="1">
        <f t="shared" si="35"/>
        <v>3915.2154942485972</v>
      </c>
      <c r="M86" s="1">
        <f t="shared" si="35"/>
        <v>3707.8284776993132</v>
      </c>
      <c r="N86" s="1">
        <f t="shared" si="35"/>
        <v>3707.8284776993132</v>
      </c>
      <c r="O86" s="1">
        <f t="shared" si="35"/>
        <v>3714.1129327462613</v>
      </c>
      <c r="P86" s="1">
        <f t="shared" si="35"/>
        <v>3707.8284776993132</v>
      </c>
      <c r="Q86" s="1">
        <f t="shared" si="35"/>
        <v>3714.1129327462613</v>
      </c>
    </row>
    <row r="87" spans="1:17" ht="15" x14ac:dyDescent="0.4">
      <c r="A87" s="2" t="s">
        <v>11</v>
      </c>
      <c r="B87" s="16"/>
      <c r="E87" s="127"/>
      <c r="F87" s="19"/>
      <c r="G87" s="6">
        <f>($G$29*G$85)</f>
        <v>427.85</v>
      </c>
      <c r="H87" s="6">
        <f>($G$29*H85)+($H$29*G85)</f>
        <v>1240.7649999999999</v>
      </c>
      <c r="I87" s="6">
        <f>($G$29*I85)+($H$29*H85)+($I$29*G85)</f>
        <v>1972.3885</v>
      </c>
      <c r="J87" s="6">
        <f>($G$29*J85)+($H$29*I85)+($I$29*H85)+($J$29*G85)</f>
        <v>2631.2774999999997</v>
      </c>
      <c r="K87" s="6">
        <f>($G$29*K85)+($H$29*J85)+($I$29*I85)+($J$29*H85)+($K$29*G85)</f>
        <v>3224.2775999999999</v>
      </c>
      <c r="L87" s="6">
        <f>($G$29*L85)+($H$29*K85)+($I$29*J85)+($J$29*I85)+($K$29*H85)+($L$29*G85)</f>
        <v>3757.3787000000002</v>
      </c>
      <c r="M87" s="6">
        <f>($G$29*M85)+($H$29*L85)+($I$29*K85)+($J$29*J85)+($K$29*I85)+($L$29*H85)+($M$29*G85)</f>
        <v>4262.2417000000005</v>
      </c>
      <c r="N87" s="6">
        <f>($G$29*N85)+($H$29*M85)+($I$29*L85)+($J$29*K85)+($K$29*J85)+($L$29*I85)+($M$29*H85)+($N$29*G85)</f>
        <v>4767.1046999999999</v>
      </c>
      <c r="O87" s="6">
        <f>($G$29*O85)+($H$29*N85)+($I$29*M85)+($J$29*L85)+($K$29*K85)+($L$29*J85)+($M$29*I85)+($N$29*H85)+($O$29*G85)</f>
        <v>5272.8234000000011</v>
      </c>
      <c r="P87" s="6">
        <f>($G$29*P85)+($H$29*O85)+($I$29*N85)+($J$29*M85)+($K$29*L85)+($L$29*K85)+($M$29*J85)+($N$29*I85)+($O$29*H85)+($P$29*G85)</f>
        <v>5777.6864000000005</v>
      </c>
      <c r="Q87" s="6">
        <f>($G$29*Q85)+($H$29*P85)+($I$29*O85)+($J$29*N85)+($K$29*M85)+($L$29*L85)+($M$29*K85)+($N$29*J85)+($O$29*I85)+($P$29*H85)+($Q$29*G85)</f>
        <v>6283.4050999999999</v>
      </c>
    </row>
    <row r="88" spans="1:17" x14ac:dyDescent="0.25">
      <c r="A88" s="9" t="s">
        <v>0</v>
      </c>
      <c r="E88" s="56"/>
      <c r="F88" s="19"/>
      <c r="G88" s="1">
        <f t="shared" ref="G88:Q88" si="36">SUM(G86:G87)</f>
        <v>3570.0775234739945</v>
      </c>
      <c r="H88" s="1">
        <f t="shared" si="36"/>
        <v>7210.9972946005892</v>
      </c>
      <c r="I88" s="1">
        <f t="shared" si="36"/>
        <v>7345.5975651405306</v>
      </c>
      <c r="J88" s="13">
        <f t="shared" si="36"/>
        <v>7470.3078861499507</v>
      </c>
      <c r="K88" s="13">
        <f t="shared" si="36"/>
        <v>7579.4049475349566</v>
      </c>
      <c r="L88" s="1">
        <f t="shared" si="36"/>
        <v>7672.594194248597</v>
      </c>
      <c r="M88" s="1">
        <f t="shared" si="36"/>
        <v>7970.0701776993137</v>
      </c>
      <c r="N88" s="1">
        <f t="shared" si="36"/>
        <v>8474.9331776993131</v>
      </c>
      <c r="O88" s="1">
        <f t="shared" si="36"/>
        <v>8986.9363327462634</v>
      </c>
      <c r="P88" s="1">
        <f t="shared" si="36"/>
        <v>9485.5148776993137</v>
      </c>
      <c r="Q88" s="1">
        <f t="shared" si="36"/>
        <v>9997.5180327462622</v>
      </c>
    </row>
  </sheetData>
  <mergeCells count="1">
    <mergeCell ref="K33:M33"/>
  </mergeCells>
  <phoneticPr fontId="0" type="noConversion"/>
  <conditionalFormatting sqref="D68 D71 D54 D51 C11:D11 D14:D15 D47:D48 D64:D65">
    <cfRule type="cellIs" dxfId="3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2"/>
  <dimension ref="A1:R88"/>
  <sheetViews>
    <sheetView topLeftCell="A38" zoomScale="75" zoomScaleNormal="75" workbookViewId="0">
      <selection activeCell="G74" sqref="G74"/>
    </sheetView>
  </sheetViews>
  <sheetFormatPr defaultRowHeight="13.2" x14ac:dyDescent="0.25"/>
  <cols>
    <col min="1" max="1" width="28.109375" customWidth="1"/>
    <col min="2" max="2" width="14" bestFit="1" customWidth="1"/>
    <col min="3" max="3" width="12.88671875" customWidth="1"/>
    <col min="4" max="4" width="11.88671875" customWidth="1"/>
    <col min="5" max="5" width="9.109375" style="24" customWidth="1"/>
    <col min="6" max="6" width="13" style="24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74" t="str">
        <f>Assumptions!D5</f>
        <v>Oneok</v>
      </c>
      <c r="B1" s="38"/>
      <c r="E1" s="79"/>
    </row>
    <row r="2" spans="1:18" ht="15.6" x14ac:dyDescent="0.3">
      <c r="A2" s="377" t="s">
        <v>222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5">
      <c r="A3" s="266"/>
      <c r="B3" s="265"/>
      <c r="E3" s="56"/>
      <c r="F3" s="285" t="str">
        <f>IF(Asset4Loop&lt;&gt;0,"Run Macro","")</f>
        <v/>
      </c>
      <c r="G3" s="73"/>
      <c r="H3" s="286"/>
      <c r="I3" s="73"/>
      <c r="R3" s="24"/>
    </row>
    <row r="4" spans="1:18" ht="13.8" thickBot="1" x14ac:dyDescent="0.3">
      <c r="A4" s="266"/>
      <c r="B4" s="265"/>
      <c r="E4" s="56"/>
      <c r="F4" s="287"/>
      <c r="G4" s="288"/>
      <c r="H4" s="289"/>
      <c r="I4" s="73"/>
      <c r="R4" s="24"/>
    </row>
    <row r="5" spans="1:18" x14ac:dyDescent="0.25">
      <c r="A5" s="266"/>
      <c r="B5" s="265"/>
      <c r="E5" s="56"/>
      <c r="F5" s="387"/>
      <c r="G5" s="73"/>
      <c r="H5" s="73"/>
      <c r="I5" s="73"/>
      <c r="R5" s="24"/>
    </row>
    <row r="6" spans="1:18" x14ac:dyDescent="0.25">
      <c r="A6" s="266"/>
      <c r="B6" s="265"/>
      <c r="E6" s="56"/>
      <c r="G6" s="73"/>
      <c r="H6" s="73"/>
      <c r="I6" s="73"/>
      <c r="R6" s="24"/>
    </row>
    <row r="7" spans="1:18" x14ac:dyDescent="0.25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5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5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5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5">
      <c r="A11" s="120" t="s">
        <v>65</v>
      </c>
      <c r="B11" s="132"/>
      <c r="C11" s="124"/>
      <c r="D11" s="124"/>
      <c r="E11" s="101"/>
      <c r="F11" s="32">
        <f t="shared" ref="F11:Q11" si="1">F43</f>
        <v>69254</v>
      </c>
      <c r="G11" s="97">
        <f t="shared" si="1"/>
        <v>69254</v>
      </c>
      <c r="H11" s="97">
        <f t="shared" si="1"/>
        <v>69254</v>
      </c>
      <c r="I11" s="97">
        <f t="shared" si="1"/>
        <v>69254</v>
      </c>
      <c r="J11" s="97">
        <f t="shared" si="1"/>
        <v>69254</v>
      </c>
      <c r="K11" s="97">
        <f t="shared" si="1"/>
        <v>69254</v>
      </c>
      <c r="L11" s="97">
        <f t="shared" si="1"/>
        <v>69254</v>
      </c>
      <c r="M11" s="97">
        <f t="shared" si="1"/>
        <v>69254</v>
      </c>
      <c r="N11" s="97">
        <f t="shared" si="1"/>
        <v>69254</v>
      </c>
      <c r="O11" s="97">
        <f t="shared" si="1"/>
        <v>69254</v>
      </c>
      <c r="P11" s="97">
        <f t="shared" si="1"/>
        <v>69254</v>
      </c>
      <c r="Q11" s="97">
        <f t="shared" si="1"/>
        <v>69254</v>
      </c>
      <c r="R11" s="24"/>
    </row>
    <row r="12" spans="1:18" x14ac:dyDescent="0.25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5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5">
      <c r="A14" s="38" t="s">
        <v>6</v>
      </c>
      <c r="B14" s="131"/>
      <c r="C14" s="38"/>
      <c r="D14" s="124"/>
      <c r="E14" s="121"/>
      <c r="F14" s="32">
        <f t="shared" ref="F14:Q14" si="2">F60</f>
        <v>19128</v>
      </c>
      <c r="G14" s="97">
        <f t="shared" si="2"/>
        <v>19128</v>
      </c>
      <c r="H14" s="97">
        <f t="shared" si="2"/>
        <v>19128</v>
      </c>
      <c r="I14" s="97">
        <f t="shared" si="2"/>
        <v>19128</v>
      </c>
      <c r="J14" s="97">
        <f t="shared" si="2"/>
        <v>19128</v>
      </c>
      <c r="K14" s="97">
        <f t="shared" si="2"/>
        <v>19128</v>
      </c>
      <c r="L14" s="97">
        <f t="shared" si="2"/>
        <v>19128</v>
      </c>
      <c r="M14" s="97">
        <f t="shared" si="2"/>
        <v>19128</v>
      </c>
      <c r="N14" s="97">
        <f t="shared" si="2"/>
        <v>19128</v>
      </c>
      <c r="O14" s="97">
        <f t="shared" si="2"/>
        <v>19128</v>
      </c>
      <c r="P14" s="97">
        <f t="shared" si="2"/>
        <v>19128</v>
      </c>
      <c r="Q14" s="97">
        <f t="shared" si="2"/>
        <v>19128</v>
      </c>
      <c r="R14" s="24"/>
    </row>
    <row r="15" spans="1:18" x14ac:dyDescent="0.25">
      <c r="A15" s="8" t="s">
        <v>82</v>
      </c>
      <c r="B15" s="8"/>
      <c r="C15" s="8"/>
      <c r="D15" s="134"/>
      <c r="E15" s="135"/>
      <c r="F15" s="136">
        <f t="shared" ref="F15:Q15" si="3">F11/F14</f>
        <v>3.620556252613969</v>
      </c>
      <c r="G15" s="137">
        <f t="shared" si="3"/>
        <v>3.620556252613969</v>
      </c>
      <c r="H15" s="137">
        <f t="shared" si="3"/>
        <v>3.620556252613969</v>
      </c>
      <c r="I15" s="137">
        <f t="shared" si="3"/>
        <v>3.620556252613969</v>
      </c>
      <c r="J15" s="137">
        <f t="shared" si="3"/>
        <v>3.620556252613969</v>
      </c>
      <c r="K15" s="137">
        <f t="shared" si="3"/>
        <v>3.620556252613969</v>
      </c>
      <c r="L15" s="137">
        <f t="shared" si="3"/>
        <v>3.620556252613969</v>
      </c>
      <c r="M15" s="137">
        <f t="shared" si="3"/>
        <v>3.620556252613969</v>
      </c>
      <c r="N15" s="137">
        <f t="shared" si="3"/>
        <v>3.620556252613969</v>
      </c>
      <c r="O15" s="137">
        <f t="shared" si="3"/>
        <v>3.620556252613969</v>
      </c>
      <c r="P15" s="137">
        <f t="shared" si="3"/>
        <v>3.620556252613969</v>
      </c>
      <c r="Q15" s="137">
        <f t="shared" si="3"/>
        <v>3.620556252613969</v>
      </c>
      <c r="R15" s="24"/>
    </row>
    <row r="16" spans="1:18" x14ac:dyDescent="0.25">
      <c r="A16" s="50" t="s">
        <v>1</v>
      </c>
      <c r="B16" s="37"/>
      <c r="C16" s="37"/>
      <c r="D16" s="37"/>
      <c r="E16" s="105"/>
      <c r="F16" s="57">
        <f t="shared" ref="F16:Q16" si="4">(F11-F14)</f>
        <v>50126</v>
      </c>
      <c r="G16" s="54">
        <f t="shared" si="4"/>
        <v>50126</v>
      </c>
      <c r="H16" s="54">
        <f t="shared" si="4"/>
        <v>50126</v>
      </c>
      <c r="I16" s="54">
        <f t="shared" si="4"/>
        <v>50126</v>
      </c>
      <c r="J16" s="54">
        <f t="shared" si="4"/>
        <v>50126</v>
      </c>
      <c r="K16" s="54">
        <f t="shared" si="4"/>
        <v>50126</v>
      </c>
      <c r="L16" s="54">
        <f t="shared" si="4"/>
        <v>50126</v>
      </c>
      <c r="M16" s="54">
        <f t="shared" si="4"/>
        <v>50126</v>
      </c>
      <c r="N16" s="54">
        <f t="shared" si="4"/>
        <v>50126</v>
      </c>
      <c r="O16" s="54">
        <f t="shared" si="4"/>
        <v>50126</v>
      </c>
      <c r="P16" s="54">
        <f t="shared" si="4"/>
        <v>50126</v>
      </c>
      <c r="Q16" s="55">
        <f t="shared" si="4"/>
        <v>50126</v>
      </c>
      <c r="R16" s="24"/>
    </row>
    <row r="17" spans="1:18" x14ac:dyDescent="0.25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5">
      <c r="A18" t="s">
        <v>7</v>
      </c>
      <c r="B18" s="16"/>
      <c r="E18" s="56"/>
      <c r="F18" s="19">
        <v>0</v>
      </c>
      <c r="G18" s="31">
        <f t="shared" ref="G18:Q18" si="5">G83</f>
        <v>-9476.467406955122</v>
      </c>
      <c r="H18" s="31">
        <f t="shared" si="5"/>
        <v>-4704.9174069551227</v>
      </c>
      <c r="I18" s="31">
        <f t="shared" si="5"/>
        <v>66.632593044878377</v>
      </c>
      <c r="J18" s="31">
        <f t="shared" si="5"/>
        <v>4838.1825930448776</v>
      </c>
      <c r="K18" s="31">
        <f t="shared" si="5"/>
        <v>9609.7325930448769</v>
      </c>
      <c r="L18" s="31">
        <f t="shared" si="5"/>
        <v>14381.282593044876</v>
      </c>
      <c r="M18" s="31">
        <f t="shared" si="5"/>
        <v>19152.832593044877</v>
      </c>
      <c r="N18" s="31">
        <f t="shared" si="5"/>
        <v>23924.38259304488</v>
      </c>
      <c r="O18" s="31">
        <f t="shared" si="5"/>
        <v>28695.932593044883</v>
      </c>
      <c r="P18" s="31">
        <f t="shared" si="5"/>
        <v>33467.482593044886</v>
      </c>
      <c r="Q18" s="31">
        <f t="shared" si="5"/>
        <v>38239.032593044889</v>
      </c>
      <c r="R18" s="24"/>
    </row>
    <row r="19" spans="1:18" x14ac:dyDescent="0.25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5">
      <c r="A20" s="50" t="s">
        <v>2</v>
      </c>
      <c r="B20" s="37"/>
      <c r="C20" s="37"/>
      <c r="D20" s="37"/>
      <c r="E20" s="105"/>
      <c r="F20" s="57">
        <f t="shared" ref="F20:Q20" si="6">F16-F18</f>
        <v>50126</v>
      </c>
      <c r="G20" s="58">
        <f t="shared" si="6"/>
        <v>59602.467406955126</v>
      </c>
      <c r="H20" s="58">
        <f t="shared" si="6"/>
        <v>54830.917406955123</v>
      </c>
      <c r="I20" s="58">
        <f t="shared" si="6"/>
        <v>50059.36740695512</v>
      </c>
      <c r="J20" s="54">
        <f t="shared" si="6"/>
        <v>45287.817406955124</v>
      </c>
      <c r="K20" s="54">
        <f t="shared" si="6"/>
        <v>40516.267406955121</v>
      </c>
      <c r="L20" s="58">
        <f t="shared" si="6"/>
        <v>35744.717406955126</v>
      </c>
      <c r="M20" s="58">
        <f t="shared" si="6"/>
        <v>30973.167406955123</v>
      </c>
      <c r="N20" s="58">
        <f t="shared" si="6"/>
        <v>26201.61740695512</v>
      </c>
      <c r="O20" s="58">
        <f t="shared" si="6"/>
        <v>21430.067406955117</v>
      </c>
      <c r="P20" s="58">
        <f t="shared" si="6"/>
        <v>16658.517406955114</v>
      </c>
      <c r="Q20" s="59">
        <f t="shared" si="6"/>
        <v>11886.967406955111</v>
      </c>
      <c r="R20" s="24"/>
    </row>
    <row r="21" spans="1:18" x14ac:dyDescent="0.25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5">
      <c r="A22" s="2" t="s">
        <v>3</v>
      </c>
      <c r="E22" s="127"/>
      <c r="F22" s="19"/>
      <c r="G22" s="1">
        <f t="shared" ref="G22:Q22" si="7">$B$24*(G16-G88)</f>
        <v>22946.949951677725</v>
      </c>
      <c r="H22" s="1">
        <f t="shared" si="7"/>
        <v>24393.499158187675</v>
      </c>
      <c r="I22" s="1">
        <f t="shared" si="7"/>
        <v>20209.906742368905</v>
      </c>
      <c r="J22" s="1">
        <f t="shared" si="7"/>
        <v>16448.322008083695</v>
      </c>
      <c r="K22" s="1">
        <f t="shared" si="7"/>
        <v>13057.410260525321</v>
      </c>
      <c r="L22" s="1">
        <f t="shared" si="7"/>
        <v>10000.48187179044</v>
      </c>
      <c r="M22" s="1">
        <f t="shared" si="7"/>
        <v>7470.7245844797117</v>
      </c>
      <c r="N22" s="1">
        <f t="shared" si="7"/>
        <v>5303.0094194797093</v>
      </c>
      <c r="O22" s="1">
        <f t="shared" si="7"/>
        <v>3142.5911343830662</v>
      </c>
      <c r="P22" s="1">
        <f t="shared" si="7"/>
        <v>963.90499597971359</v>
      </c>
      <c r="Q22" s="1">
        <f t="shared" si="7"/>
        <v>-1196.5132891169292</v>
      </c>
      <c r="R22" s="24"/>
    </row>
    <row r="23" spans="1:18" ht="15" x14ac:dyDescent="0.4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-3283.5959565099511</v>
      </c>
      <c r="I23" s="3">
        <f t="shared" si="8"/>
        <v>-937.05029069118245</v>
      </c>
      <c r="J23" s="3">
        <f t="shared" si="8"/>
        <v>987.48769359403013</v>
      </c>
      <c r="K23" s="3">
        <f t="shared" si="8"/>
        <v>2541.3526911524004</v>
      </c>
      <c r="L23" s="3">
        <f t="shared" si="8"/>
        <v>3761.2343298872838</v>
      </c>
      <c r="M23" s="3">
        <f t="shared" si="8"/>
        <v>4453.9448671980108</v>
      </c>
      <c r="N23" s="3">
        <f t="shared" si="8"/>
        <v>4784.6132821980118</v>
      </c>
      <c r="O23" s="3">
        <f t="shared" si="8"/>
        <v>5107.9848172946531</v>
      </c>
      <c r="P23" s="3">
        <f t="shared" si="8"/>
        <v>5449.6242056980054</v>
      </c>
      <c r="Q23" s="3">
        <f t="shared" si="8"/>
        <v>5772.9957407946476</v>
      </c>
      <c r="R23" s="24"/>
    </row>
    <row r="24" spans="1:18" x14ac:dyDescent="0.25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22946.949951677725</v>
      </c>
      <c r="H24" s="1">
        <f t="shared" si="9"/>
        <v>21109.903201677724</v>
      </c>
      <c r="I24" s="1">
        <f t="shared" si="9"/>
        <v>19272.856451677722</v>
      </c>
      <c r="J24" s="1">
        <f t="shared" si="9"/>
        <v>17435.809701677725</v>
      </c>
      <c r="K24" s="1">
        <f t="shared" si="9"/>
        <v>15598.762951677722</v>
      </c>
      <c r="L24" s="1">
        <f t="shared" si="9"/>
        <v>13761.716201677724</v>
      </c>
      <c r="M24" s="1">
        <f t="shared" si="9"/>
        <v>11924.669451677722</v>
      </c>
      <c r="N24" s="1">
        <f t="shared" si="9"/>
        <v>10087.622701677721</v>
      </c>
      <c r="O24" s="1">
        <f t="shared" si="9"/>
        <v>8250.5759516777198</v>
      </c>
      <c r="P24" s="1">
        <f t="shared" si="9"/>
        <v>6413.5292016777194</v>
      </c>
      <c r="Q24" s="1">
        <f t="shared" si="9"/>
        <v>4576.482451677718</v>
      </c>
      <c r="R24" s="24"/>
    </row>
    <row r="25" spans="1:18" x14ac:dyDescent="0.25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5">
      <c r="A26" s="78" t="s">
        <v>16</v>
      </c>
      <c r="B26" s="172"/>
      <c r="C26" s="37"/>
      <c r="D26" s="37"/>
      <c r="E26" s="128"/>
      <c r="F26" s="57">
        <f t="shared" ref="F26:Q26" si="10">F20-F24</f>
        <v>50126</v>
      </c>
      <c r="G26" s="58">
        <f t="shared" si="10"/>
        <v>36655.517455277397</v>
      </c>
      <c r="H26" s="58">
        <f t="shared" si="10"/>
        <v>33721.014205277403</v>
      </c>
      <c r="I26" s="58">
        <f t="shared" si="10"/>
        <v>30786.510955277397</v>
      </c>
      <c r="J26" s="54">
        <f t="shared" si="10"/>
        <v>27852.0077052774</v>
      </c>
      <c r="K26" s="54">
        <f t="shared" si="10"/>
        <v>24917.504455277398</v>
      </c>
      <c r="L26" s="58">
        <f t="shared" si="10"/>
        <v>21983.001205277404</v>
      </c>
      <c r="M26" s="58">
        <f t="shared" si="10"/>
        <v>19048.497955277402</v>
      </c>
      <c r="N26" s="58">
        <f t="shared" si="10"/>
        <v>16113.994705277399</v>
      </c>
      <c r="O26" s="58">
        <f t="shared" si="10"/>
        <v>13179.491455277397</v>
      </c>
      <c r="P26" s="58">
        <f t="shared" si="10"/>
        <v>10244.988205277394</v>
      </c>
      <c r="Q26" s="59">
        <f t="shared" si="10"/>
        <v>7310.4849552773931</v>
      </c>
      <c r="R26" s="20" t="s">
        <v>1</v>
      </c>
    </row>
    <row r="27" spans="1:18" x14ac:dyDescent="0.25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5">
      <c r="A28" s="2" t="s">
        <v>15</v>
      </c>
      <c r="B28" s="23"/>
      <c r="E28" s="56"/>
      <c r="F28" s="19">
        <f t="shared" ref="F28:Q28" si="11">F26+F23+F18</f>
        <v>50126</v>
      </c>
      <c r="G28" s="1">
        <f t="shared" si="11"/>
        <v>27179.050048322275</v>
      </c>
      <c r="H28" s="1">
        <f t="shared" si="11"/>
        <v>25732.500841812329</v>
      </c>
      <c r="I28" s="1">
        <f t="shared" si="11"/>
        <v>29916.093257631095</v>
      </c>
      <c r="J28" s="13">
        <f t="shared" si="11"/>
        <v>33677.677991916309</v>
      </c>
      <c r="K28" s="13">
        <f t="shared" si="11"/>
        <v>37068.589739474679</v>
      </c>
      <c r="L28" s="1">
        <f t="shared" si="11"/>
        <v>40125.518128209565</v>
      </c>
      <c r="M28" s="1">
        <f t="shared" si="11"/>
        <v>42655.275415520286</v>
      </c>
      <c r="N28" s="1">
        <f t="shared" si="11"/>
        <v>44822.990580520287</v>
      </c>
      <c r="O28" s="1">
        <f t="shared" si="11"/>
        <v>46983.408865616933</v>
      </c>
      <c r="P28" s="1">
        <f t="shared" si="11"/>
        <v>49162.095004020288</v>
      </c>
      <c r="Q28" s="1">
        <f t="shared" si="11"/>
        <v>51322.513289116934</v>
      </c>
      <c r="R28" s="20" t="s">
        <v>71</v>
      </c>
    </row>
    <row r="29" spans="1:18" x14ac:dyDescent="0.25">
      <c r="A29" s="2" t="s">
        <v>23</v>
      </c>
      <c r="B29" s="164">
        <f>Assumptions!C47</f>
        <v>1</v>
      </c>
      <c r="E29" s="56"/>
      <c r="F29" s="19">
        <f t="shared" ref="F29:Q29" si="12">F77</f>
        <v>95431</v>
      </c>
      <c r="G29" s="13">
        <f t="shared" si="12"/>
        <v>95431</v>
      </c>
      <c r="H29" s="13">
        <f t="shared" si="12"/>
        <v>95431</v>
      </c>
      <c r="I29" s="13">
        <f t="shared" si="12"/>
        <v>95431</v>
      </c>
      <c r="J29" s="13">
        <f t="shared" si="12"/>
        <v>95431</v>
      </c>
      <c r="K29" s="13">
        <f t="shared" si="12"/>
        <v>95431</v>
      </c>
      <c r="L29" s="13">
        <f t="shared" si="12"/>
        <v>95431</v>
      </c>
      <c r="M29" s="13">
        <f t="shared" si="12"/>
        <v>95431</v>
      </c>
      <c r="N29" s="13">
        <f t="shared" si="12"/>
        <v>95431</v>
      </c>
      <c r="O29" s="13">
        <f t="shared" si="12"/>
        <v>95431</v>
      </c>
      <c r="P29" s="13">
        <f t="shared" si="12"/>
        <v>95431</v>
      </c>
      <c r="Q29" s="13">
        <f t="shared" si="12"/>
        <v>95431</v>
      </c>
      <c r="R29" s="168">
        <f>Assumptions!E46</f>
        <v>5</v>
      </c>
    </row>
    <row r="30" spans="1:18" x14ac:dyDescent="0.25">
      <c r="A30" s="112" t="s">
        <v>17</v>
      </c>
      <c r="B30" s="37"/>
      <c r="C30" s="37"/>
      <c r="D30" s="37"/>
      <c r="E30" s="105"/>
      <c r="F30" s="57">
        <f t="shared" ref="F30:Q30" si="13">F28-F29</f>
        <v>-45305</v>
      </c>
      <c r="G30" s="54">
        <f t="shared" si="13"/>
        <v>-68251.949951677729</v>
      </c>
      <c r="H30" s="54">
        <f t="shared" si="13"/>
        <v>-69698.499158187667</v>
      </c>
      <c r="I30" s="54">
        <f t="shared" si="13"/>
        <v>-65514.906742368905</v>
      </c>
      <c r="J30" s="54">
        <f t="shared" si="13"/>
        <v>-61753.322008083691</v>
      </c>
      <c r="K30" s="54">
        <f t="shared" si="13"/>
        <v>-58362.410260525321</v>
      </c>
      <c r="L30" s="54">
        <f t="shared" si="13"/>
        <v>-55305.481871790435</v>
      </c>
      <c r="M30" s="54">
        <f t="shared" si="13"/>
        <v>-52775.724584479714</v>
      </c>
      <c r="N30" s="54">
        <f t="shared" si="13"/>
        <v>-50608.009419479713</v>
      </c>
      <c r="O30" s="54">
        <f t="shared" si="13"/>
        <v>-48447.591134383067</v>
      </c>
      <c r="P30" s="54">
        <f t="shared" si="13"/>
        <v>-46268.904995979712</v>
      </c>
      <c r="Q30" s="54">
        <f t="shared" si="13"/>
        <v>-44108.486710883066</v>
      </c>
      <c r="R30" s="55">
        <f>Q16*R29</f>
        <v>250630</v>
      </c>
    </row>
    <row r="31" spans="1:18" x14ac:dyDescent="0.25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8" thickBot="1" x14ac:dyDescent="0.3">
      <c r="R32" s="13"/>
    </row>
    <row r="33" spans="1:18" ht="15" x14ac:dyDescent="0.4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4">
      <c r="F34"/>
      <c r="G34" s="272" t="s">
        <v>14</v>
      </c>
      <c r="H34" s="273" t="s">
        <v>24</v>
      </c>
      <c r="I34" s="273" t="s">
        <v>73</v>
      </c>
      <c r="J34" s="274"/>
      <c r="K34" s="275">
        <f>Asset4DRate-0.025</f>
        <v>0.1</v>
      </c>
      <c r="L34" s="275">
        <f>Assumptions!H43</f>
        <v>0.125</v>
      </c>
      <c r="M34" s="276">
        <f>Asset4DRate+0.025</f>
        <v>0.15</v>
      </c>
      <c r="P34" s="1"/>
      <c r="Q34" s="1"/>
      <c r="R34" s="1"/>
    </row>
    <row r="35" spans="1:18" x14ac:dyDescent="0.25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8" thickBot="1" x14ac:dyDescent="0.3">
      <c r="F36">
        <f>IF(ABS(G36-L36)&lt;0.05,0,1)</f>
        <v>0</v>
      </c>
      <c r="G36" s="348">
        <v>-284960.34813910245</v>
      </c>
      <c r="H36" s="349">
        <f>G36/F16</f>
        <v>-5.6848810625045374</v>
      </c>
      <c r="I36" s="350" t="str">
        <f>Assumptions!D40</f>
        <v>ETS</v>
      </c>
      <c r="J36" s="351"/>
      <c r="K36" s="352">
        <f>NPV(K34,$G$30:$R$30)</f>
        <v>-303184.71822975</v>
      </c>
      <c r="L36" s="353">
        <f>NPV(L34,$G$30:$R$30)</f>
        <v>-284960.36001371889</v>
      </c>
      <c r="M36" s="347">
        <f>NPV(M34,$G$30:$R$30)</f>
        <v>-267592.16976410628</v>
      </c>
      <c r="P36" s="1"/>
      <c r="Q36" s="1"/>
      <c r="R36" s="1"/>
    </row>
    <row r="37" spans="1:18" x14ac:dyDescent="0.25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5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8" thickBot="1" x14ac:dyDescent="0.3">
      <c r="A43" s="103" t="str">
        <f>A2</f>
        <v xml:space="preserve">  Production - Cash Flow Analysis</v>
      </c>
      <c r="B43" s="169">
        <f>Assumptions!C47</f>
        <v>1</v>
      </c>
      <c r="C43" s="170">
        <v>1</v>
      </c>
      <c r="D43" s="37"/>
      <c r="E43" s="89"/>
      <c r="F43" s="57">
        <f>F48*$B$43</f>
        <v>69254</v>
      </c>
      <c r="G43" s="58">
        <f t="shared" ref="G43:Q43" si="15">CHOOSE($C$43,G48,G51,G54)*$B$43+G44</f>
        <v>69254</v>
      </c>
      <c r="H43" s="58">
        <f t="shared" si="15"/>
        <v>69254</v>
      </c>
      <c r="I43" s="58">
        <f t="shared" si="15"/>
        <v>69254</v>
      </c>
      <c r="J43" s="58">
        <f t="shared" si="15"/>
        <v>69254</v>
      </c>
      <c r="K43" s="58">
        <f t="shared" si="15"/>
        <v>69254</v>
      </c>
      <c r="L43" s="58">
        <f t="shared" si="15"/>
        <v>69254</v>
      </c>
      <c r="M43" s="58">
        <f t="shared" si="15"/>
        <v>69254</v>
      </c>
      <c r="N43" s="58">
        <f t="shared" si="15"/>
        <v>69254</v>
      </c>
      <c r="O43" s="58">
        <f t="shared" si="15"/>
        <v>69254</v>
      </c>
      <c r="P43" s="58">
        <f t="shared" si="15"/>
        <v>69254</v>
      </c>
      <c r="Q43" s="59">
        <f t="shared" si="15"/>
        <v>69254</v>
      </c>
    </row>
    <row r="44" spans="1:18" x14ac:dyDescent="0.25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s="8" t="str">
        <f>Assumptions!B58</f>
        <v>1. Base Case</v>
      </c>
      <c r="C46" s="114">
        <v>1</v>
      </c>
    </row>
    <row r="47" spans="1:18" ht="15" x14ac:dyDescent="0.4">
      <c r="A47" t="s">
        <v>226</v>
      </c>
      <c r="C47" s="114"/>
      <c r="D47" s="152"/>
      <c r="E47" s="56"/>
      <c r="F47" s="18">
        <v>69254</v>
      </c>
      <c r="G47" s="6">
        <f>F47</f>
        <v>69254</v>
      </c>
      <c r="H47" s="6">
        <f t="shared" ref="H47:Q47" si="16">G47</f>
        <v>69254</v>
      </c>
      <c r="I47" s="6">
        <f t="shared" si="16"/>
        <v>69254</v>
      </c>
      <c r="J47" s="6">
        <f t="shared" si="16"/>
        <v>69254</v>
      </c>
      <c r="K47" s="6">
        <f t="shared" si="16"/>
        <v>69254</v>
      </c>
      <c r="L47" s="6">
        <f t="shared" si="16"/>
        <v>69254</v>
      </c>
      <c r="M47" s="6">
        <f t="shared" si="16"/>
        <v>69254</v>
      </c>
      <c r="N47" s="6">
        <f t="shared" si="16"/>
        <v>69254</v>
      </c>
      <c r="O47" s="6">
        <f t="shared" si="16"/>
        <v>69254</v>
      </c>
      <c r="P47" s="6">
        <f t="shared" si="16"/>
        <v>69254</v>
      </c>
      <c r="Q47" s="6">
        <f t="shared" si="16"/>
        <v>69254</v>
      </c>
    </row>
    <row r="48" spans="1:18" x14ac:dyDescent="0.25">
      <c r="A48" s="73" t="s">
        <v>0</v>
      </c>
      <c r="B48" s="151">
        <v>1</v>
      </c>
      <c r="C48" s="114"/>
      <c r="D48" s="126"/>
      <c r="E48" s="101"/>
      <c r="F48" s="32">
        <f>SUM(F47:F47)*$B$48</f>
        <v>69254</v>
      </c>
      <c r="G48" s="97">
        <f t="shared" ref="G48:Q48" si="17">SUM(G47:G47)*$B$48+G49</f>
        <v>69254</v>
      </c>
      <c r="H48" s="97">
        <f t="shared" si="17"/>
        <v>69254</v>
      </c>
      <c r="I48" s="97">
        <f t="shared" si="17"/>
        <v>69254</v>
      </c>
      <c r="J48" s="97">
        <f t="shared" si="17"/>
        <v>69254</v>
      </c>
      <c r="K48" s="97">
        <f t="shared" si="17"/>
        <v>69254</v>
      </c>
      <c r="L48" s="97">
        <f t="shared" si="17"/>
        <v>69254</v>
      </c>
      <c r="M48" s="97">
        <f t="shared" si="17"/>
        <v>69254</v>
      </c>
      <c r="N48" s="97">
        <f t="shared" si="17"/>
        <v>69254</v>
      </c>
      <c r="O48" s="97">
        <f t="shared" si="17"/>
        <v>69254</v>
      </c>
      <c r="P48" s="97">
        <f t="shared" si="17"/>
        <v>69254</v>
      </c>
      <c r="Q48" s="97">
        <f t="shared" si="17"/>
        <v>69254</v>
      </c>
    </row>
    <row r="49" spans="1:17" x14ac:dyDescent="0.25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5">
      <c r="C50" s="114"/>
    </row>
    <row r="51" spans="1:17" x14ac:dyDescent="0.25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69254</v>
      </c>
      <c r="G51" s="26">
        <f t="shared" ref="G51:Q51" si="19">F51*$B$51+G52</f>
        <v>70639.08</v>
      </c>
      <c r="H51" s="26">
        <f t="shared" si="19"/>
        <v>72051.861600000004</v>
      </c>
      <c r="I51" s="26">
        <f t="shared" si="19"/>
        <v>73492.898832000006</v>
      </c>
      <c r="J51" s="26">
        <f t="shared" si="19"/>
        <v>74962.756808640013</v>
      </c>
      <c r="K51" s="26">
        <f t="shared" si="19"/>
        <v>76462.01194481281</v>
      </c>
      <c r="L51" s="26">
        <f t="shared" si="19"/>
        <v>77991.252183709061</v>
      </c>
      <c r="M51" s="26">
        <f t="shared" si="19"/>
        <v>79551.077227383241</v>
      </c>
      <c r="N51" s="26">
        <f t="shared" si="19"/>
        <v>81142.098771930905</v>
      </c>
      <c r="O51" s="26">
        <f t="shared" si="19"/>
        <v>82764.940747369517</v>
      </c>
      <c r="P51" s="26">
        <f t="shared" si="19"/>
        <v>84420.239562316914</v>
      </c>
      <c r="Q51" s="26">
        <f t="shared" si="19"/>
        <v>86108.644353563257</v>
      </c>
    </row>
    <row r="52" spans="1:17" x14ac:dyDescent="0.25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5">
      <c r="A53" s="8"/>
      <c r="C53" s="114"/>
    </row>
    <row r="54" spans="1:17" x14ac:dyDescent="0.25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69254</v>
      </c>
      <c r="G54" s="26">
        <f t="shared" ref="G54:Q54" si="21">F54*$B$54+G55</f>
        <v>68561.460000000006</v>
      </c>
      <c r="H54" s="26">
        <f t="shared" si="21"/>
        <v>67875.845400000006</v>
      </c>
      <c r="I54" s="26">
        <f t="shared" si="21"/>
        <v>67197.08694600001</v>
      </c>
      <c r="J54" s="26">
        <f t="shared" si="21"/>
        <v>66525.116076540013</v>
      </c>
      <c r="K54" s="26">
        <f t="shared" si="21"/>
        <v>65859.864915774611</v>
      </c>
      <c r="L54" s="26">
        <f t="shared" si="21"/>
        <v>65201.266266616862</v>
      </c>
      <c r="M54" s="26">
        <f t="shared" si="21"/>
        <v>64549.253603950696</v>
      </c>
      <c r="N54" s="26">
        <f t="shared" si="21"/>
        <v>63903.761067911189</v>
      </c>
      <c r="O54" s="26">
        <f t="shared" si="21"/>
        <v>63264.723457232074</v>
      </c>
      <c r="P54" s="26">
        <f t="shared" si="21"/>
        <v>62632.076222659751</v>
      </c>
      <c r="Q54" s="26">
        <f t="shared" si="21"/>
        <v>62005.755460433153</v>
      </c>
    </row>
    <row r="55" spans="1:17" ht="13.8" thickBot="1" x14ac:dyDescent="0.3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8" thickBot="1" x14ac:dyDescent="0.3">
      <c r="A60" s="103" t="str">
        <f>A2</f>
        <v xml:space="preserve">  Production - Cash Flow Analysis</v>
      </c>
      <c r="B60" s="169">
        <f>Assumptions!C47</f>
        <v>1</v>
      </c>
      <c r="C60" s="171">
        <v>1</v>
      </c>
      <c r="D60" s="37"/>
      <c r="E60" s="89"/>
      <c r="F60" s="111">
        <f>F65*$B$60</f>
        <v>19128</v>
      </c>
      <c r="G60" s="58">
        <f t="shared" ref="G60:Q60" si="24">CHOOSE($C$60,G65,G68,G71)*$B$60+G61</f>
        <v>19128</v>
      </c>
      <c r="H60" s="58">
        <f t="shared" si="24"/>
        <v>19128</v>
      </c>
      <c r="I60" s="58">
        <f t="shared" si="24"/>
        <v>19128</v>
      </c>
      <c r="J60" s="58">
        <f t="shared" si="24"/>
        <v>19128</v>
      </c>
      <c r="K60" s="58">
        <f t="shared" si="24"/>
        <v>19128</v>
      </c>
      <c r="L60" s="58">
        <f t="shared" si="24"/>
        <v>19128</v>
      </c>
      <c r="M60" s="58">
        <f t="shared" si="24"/>
        <v>19128</v>
      </c>
      <c r="N60" s="58">
        <f t="shared" si="24"/>
        <v>19128</v>
      </c>
      <c r="O60" s="58">
        <f t="shared" si="24"/>
        <v>19128</v>
      </c>
      <c r="P60" s="58">
        <f t="shared" si="24"/>
        <v>19128</v>
      </c>
      <c r="Q60" s="59">
        <f t="shared" si="24"/>
        <v>19128</v>
      </c>
    </row>
    <row r="61" spans="1:17" x14ac:dyDescent="0.25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6"/>
      <c r="D62" s="107"/>
      <c r="E62" s="108"/>
    </row>
    <row r="63" spans="1:17" x14ac:dyDescent="0.25">
      <c r="A63" s="8" t="str">
        <f>Assumptions!B64</f>
        <v>1. Base Case</v>
      </c>
      <c r="C63" s="116"/>
    </row>
    <row r="64" spans="1:17" ht="15" x14ac:dyDescent="0.4">
      <c r="A64" t="s">
        <v>98</v>
      </c>
      <c r="C64" s="116"/>
      <c r="D64" s="126"/>
      <c r="E64" s="154"/>
      <c r="F64" s="18">
        <v>19128</v>
      </c>
      <c r="G64" s="6">
        <f>F64</f>
        <v>19128</v>
      </c>
      <c r="H64" s="36">
        <f t="shared" ref="H64:Q64" si="25">G64</f>
        <v>19128</v>
      </c>
      <c r="I64" s="36">
        <f t="shared" si="25"/>
        <v>19128</v>
      </c>
      <c r="J64" s="36">
        <f t="shared" si="25"/>
        <v>19128</v>
      </c>
      <c r="K64" s="36">
        <f t="shared" si="25"/>
        <v>19128</v>
      </c>
      <c r="L64" s="36">
        <f t="shared" si="25"/>
        <v>19128</v>
      </c>
      <c r="M64" s="36">
        <f t="shared" si="25"/>
        <v>19128</v>
      </c>
      <c r="N64" s="36">
        <f t="shared" si="25"/>
        <v>19128</v>
      </c>
      <c r="O64" s="36">
        <f t="shared" si="25"/>
        <v>19128</v>
      </c>
      <c r="P64" s="36">
        <f t="shared" si="25"/>
        <v>19128</v>
      </c>
      <c r="Q64" s="36">
        <f t="shared" si="25"/>
        <v>19128</v>
      </c>
    </row>
    <row r="65" spans="1:17" x14ac:dyDescent="0.25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19128</v>
      </c>
      <c r="G65" s="106">
        <f t="shared" ref="G65:Q65" si="26">SUM(G64:G64)*$B$65+G66</f>
        <v>19128</v>
      </c>
      <c r="H65" s="106">
        <f t="shared" si="26"/>
        <v>19128</v>
      </c>
      <c r="I65" s="106">
        <f t="shared" si="26"/>
        <v>19128</v>
      </c>
      <c r="J65" s="106">
        <f t="shared" si="26"/>
        <v>19128</v>
      </c>
      <c r="K65" s="106">
        <f t="shared" si="26"/>
        <v>19128</v>
      </c>
      <c r="L65" s="106">
        <f t="shared" si="26"/>
        <v>19128</v>
      </c>
      <c r="M65" s="106">
        <f t="shared" si="26"/>
        <v>19128</v>
      </c>
      <c r="N65" s="106">
        <f t="shared" si="26"/>
        <v>19128</v>
      </c>
      <c r="O65" s="106">
        <f t="shared" si="26"/>
        <v>19128</v>
      </c>
      <c r="P65" s="106">
        <f t="shared" si="26"/>
        <v>19128</v>
      </c>
      <c r="Q65" s="106">
        <f t="shared" si="26"/>
        <v>19128</v>
      </c>
    </row>
    <row r="66" spans="1:17" x14ac:dyDescent="0.25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6"/>
    </row>
    <row r="68" spans="1:17" x14ac:dyDescent="0.25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19128</v>
      </c>
      <c r="G68" s="26">
        <f t="shared" ref="G68:Q68" si="27">F68*$B$68+G69</f>
        <v>18936.72</v>
      </c>
      <c r="H68" s="26">
        <f t="shared" si="27"/>
        <v>18747.352800000001</v>
      </c>
      <c r="I68" s="26">
        <f t="shared" si="27"/>
        <v>18559.879272000002</v>
      </c>
      <c r="J68" s="26">
        <f t="shared" si="27"/>
        <v>18374.280479280002</v>
      </c>
      <c r="K68" s="26">
        <f t="shared" si="27"/>
        <v>18190.537674487201</v>
      </c>
      <c r="L68" s="26">
        <f t="shared" si="27"/>
        <v>18008.63229774233</v>
      </c>
      <c r="M68" s="26">
        <f t="shared" si="27"/>
        <v>17828.545974764907</v>
      </c>
      <c r="N68" s="26">
        <f t="shared" si="27"/>
        <v>17650.260515017257</v>
      </c>
      <c r="O68" s="26">
        <f t="shared" si="27"/>
        <v>17473.757909867083</v>
      </c>
      <c r="P68" s="26">
        <f t="shared" si="27"/>
        <v>17299.020330768413</v>
      </c>
      <c r="Q68" s="26">
        <f t="shared" si="27"/>
        <v>17126.03012746073</v>
      </c>
    </row>
    <row r="69" spans="1:17" x14ac:dyDescent="0.25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5">
      <c r="A70" s="8"/>
      <c r="C70" s="117"/>
    </row>
    <row r="71" spans="1:17" x14ac:dyDescent="0.25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19128</v>
      </c>
      <c r="G71" s="26">
        <f t="shared" ref="G71:Q71" si="29">F71*$B$71+G72</f>
        <v>19319.28</v>
      </c>
      <c r="H71" s="26">
        <f t="shared" si="29"/>
        <v>19512.4728</v>
      </c>
      <c r="I71" s="26">
        <f t="shared" si="29"/>
        <v>19707.597527999998</v>
      </c>
      <c r="J71" s="26">
        <f t="shared" si="29"/>
        <v>19904.673503279999</v>
      </c>
      <c r="K71" s="26">
        <f t="shared" si="29"/>
        <v>20103.720238312799</v>
      </c>
      <c r="L71" s="26">
        <f t="shared" si="29"/>
        <v>20304.757440695928</v>
      </c>
      <c r="M71" s="26">
        <f t="shared" si="29"/>
        <v>20507.805015102887</v>
      </c>
      <c r="N71" s="26">
        <f t="shared" si="29"/>
        <v>20712.883065253918</v>
      </c>
      <c r="O71" s="26">
        <f t="shared" si="29"/>
        <v>20920.011895906457</v>
      </c>
      <c r="P71" s="26">
        <f t="shared" si="29"/>
        <v>21129.212014865523</v>
      </c>
      <c r="Q71" s="26">
        <f t="shared" si="29"/>
        <v>21340.50413501418</v>
      </c>
    </row>
    <row r="72" spans="1:17" ht="13.8" thickBot="1" x14ac:dyDescent="0.3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5">
      <c r="A74" s="7" t="s">
        <v>23</v>
      </c>
    </row>
    <row r="75" spans="1:17" x14ac:dyDescent="0.25">
      <c r="A75" t="s">
        <v>127</v>
      </c>
    </row>
    <row r="76" spans="1:17" x14ac:dyDescent="0.25">
      <c r="A76" t="s">
        <v>129</v>
      </c>
    </row>
    <row r="77" spans="1:17" x14ac:dyDescent="0.25">
      <c r="A77" s="9" t="s">
        <v>0</v>
      </c>
      <c r="F77" s="25">
        <v>95431</v>
      </c>
      <c r="G77" s="106">
        <f>F77</f>
        <v>95431</v>
      </c>
      <c r="H77" s="106">
        <f t="shared" ref="H77:Q77" si="31">G77</f>
        <v>95431</v>
      </c>
      <c r="I77" s="106">
        <f t="shared" si="31"/>
        <v>95431</v>
      </c>
      <c r="J77" s="106">
        <f t="shared" si="31"/>
        <v>95431</v>
      </c>
      <c r="K77" s="106">
        <f t="shared" si="31"/>
        <v>95431</v>
      </c>
      <c r="L77" s="106">
        <f t="shared" si="31"/>
        <v>95431</v>
      </c>
      <c r="M77" s="106">
        <f t="shared" si="31"/>
        <v>95431</v>
      </c>
      <c r="N77" s="106">
        <f t="shared" si="31"/>
        <v>95431</v>
      </c>
      <c r="O77" s="106">
        <f t="shared" si="31"/>
        <v>95431</v>
      </c>
      <c r="P77" s="106">
        <f t="shared" si="31"/>
        <v>95431</v>
      </c>
      <c r="Q77" s="106">
        <f t="shared" si="31"/>
        <v>95431</v>
      </c>
    </row>
    <row r="78" spans="1:17" x14ac:dyDescent="0.25">
      <c r="A78" s="9"/>
    </row>
    <row r="79" spans="1:17" x14ac:dyDescent="0.25">
      <c r="A79" s="7" t="s">
        <v>90</v>
      </c>
    </row>
    <row r="80" spans="1:17" x14ac:dyDescent="0.25">
      <c r="A80" s="93" t="s">
        <v>44</v>
      </c>
      <c r="B80" s="23">
        <f>Assumptions!D20</f>
        <v>20</v>
      </c>
      <c r="C80" s="372">
        <f>Asset4PurPrice</f>
        <v>-284960.34813910245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5">
      <c r="A81" s="2" t="s">
        <v>10</v>
      </c>
      <c r="C81" s="100"/>
      <c r="D81" s="100"/>
      <c r="E81" s="56"/>
      <c r="F81" s="19"/>
      <c r="G81" s="31">
        <f>C80/B80</f>
        <v>-14248.017406955123</v>
      </c>
      <c r="H81" s="31">
        <f t="shared" ref="H81:Q81" si="33">+G81</f>
        <v>-14248.017406955123</v>
      </c>
      <c r="I81" s="31">
        <f t="shared" si="33"/>
        <v>-14248.017406955123</v>
      </c>
      <c r="J81" s="31">
        <f t="shared" si="33"/>
        <v>-14248.017406955123</v>
      </c>
      <c r="K81" s="31">
        <f t="shared" si="33"/>
        <v>-14248.017406955123</v>
      </c>
      <c r="L81" s="31">
        <f t="shared" si="33"/>
        <v>-14248.017406955123</v>
      </c>
      <c r="M81" s="31">
        <f t="shared" si="33"/>
        <v>-14248.017406955123</v>
      </c>
      <c r="N81" s="31">
        <f t="shared" si="33"/>
        <v>-14248.017406955123</v>
      </c>
      <c r="O81" s="31">
        <f t="shared" si="33"/>
        <v>-14248.017406955123</v>
      </c>
      <c r="P81" s="31">
        <f t="shared" si="33"/>
        <v>-14248.017406955123</v>
      </c>
      <c r="Q81" s="31">
        <f t="shared" si="33"/>
        <v>-14248.017406955123</v>
      </c>
    </row>
    <row r="82" spans="1:17" ht="15" x14ac:dyDescent="0.4">
      <c r="A82" s="2" t="s">
        <v>11</v>
      </c>
      <c r="E82" s="56"/>
      <c r="F82" s="19"/>
      <c r="G82" s="6">
        <f>($G$29*G80)</f>
        <v>4771.55</v>
      </c>
      <c r="H82" s="6">
        <f>($G$29*H80)+($H$29*G80)</f>
        <v>9543.1</v>
      </c>
      <c r="I82" s="6">
        <f>($G$29*I80)+($H$29*H80)+($I$29*G80)</f>
        <v>14314.650000000001</v>
      </c>
      <c r="J82" s="6">
        <f>($G$29*J80)+($H$29*I80)+($I$29*H80)+($J$29*G80)</f>
        <v>19086.2</v>
      </c>
      <c r="K82" s="6">
        <f>($G$29*K80)+($H$29*J80)+($I$29*I80)+($J$29*H80)+($K$29*G80)</f>
        <v>23857.75</v>
      </c>
      <c r="L82" s="6">
        <f>($G$29*L80)+($H$29*K80)+($I$29*J80)+($J$29*I80)+($K$29*H80)+($L$29*G80)</f>
        <v>28629.3</v>
      </c>
      <c r="M82" s="6">
        <f>($G$29*M80)+($H$29*L80)+($I$29*K80)+($J$29*J80)+($K$29*I80)+($L$29*H80)+($M$29*G80)</f>
        <v>33400.85</v>
      </c>
      <c r="N82" s="6">
        <f>($G$29*N80)+($H$29*M80)+($I$29*L80)+($J$29*K80)+($K$29*J80)+($L$29*I80)+($M$29*H80)+($N$29*G80)</f>
        <v>38172.400000000001</v>
      </c>
      <c r="O82" s="6">
        <f>($G$29*O80)+($H$29*N80)+($I$29*M80)+($J$29*L80)+($K$29*K80)+($L$29*J80)+($M$29*I80)+($N$29*H80)+($O$29*G80)</f>
        <v>42943.950000000004</v>
      </c>
      <c r="P82" s="6">
        <f>($G$29*P80)+($H$29*O80)+($I$29*N80)+($J$29*M80)+($K$29*L80)+($L$29*K80)+($M$29*J80)+($N$29*I80)+($O$29*H80)+($P$29*G80)</f>
        <v>47715.500000000007</v>
      </c>
      <c r="Q82" s="6">
        <f>($G$29*Q80)+($H$29*P80)+($I$29*O80)+($J$29*N80)+($K$29*M80)+($L$29*L80)+($M$29*K80)+($N$29*J80)+($O$29*I80)+($P$29*H80)+($Q$29*G80)</f>
        <v>52487.05000000001</v>
      </c>
    </row>
    <row r="83" spans="1:17" x14ac:dyDescent="0.25">
      <c r="A83" s="9" t="s">
        <v>0</v>
      </c>
      <c r="E83" s="56"/>
      <c r="F83" s="19"/>
      <c r="G83" s="1">
        <f t="shared" ref="G83:Q83" si="34">SUM(G81:G82)</f>
        <v>-9476.467406955122</v>
      </c>
      <c r="H83" s="1">
        <f t="shared" si="34"/>
        <v>-4704.9174069551227</v>
      </c>
      <c r="I83" s="1">
        <f t="shared" si="34"/>
        <v>66.632593044878377</v>
      </c>
      <c r="J83" s="13">
        <f t="shared" si="34"/>
        <v>4838.1825930448776</v>
      </c>
      <c r="K83" s="13">
        <f t="shared" si="34"/>
        <v>9609.7325930448769</v>
      </c>
      <c r="L83" s="1">
        <f t="shared" si="34"/>
        <v>14381.282593044876</v>
      </c>
      <c r="M83" s="1">
        <f t="shared" si="34"/>
        <v>19152.832593044877</v>
      </c>
      <c r="N83" s="1">
        <f t="shared" si="34"/>
        <v>23924.38259304488</v>
      </c>
      <c r="O83" s="1">
        <f t="shared" si="34"/>
        <v>28695.932593044883</v>
      </c>
      <c r="P83" s="1">
        <f t="shared" si="34"/>
        <v>33467.482593044886</v>
      </c>
      <c r="Q83" s="1">
        <f t="shared" si="34"/>
        <v>38239.032593044889</v>
      </c>
    </row>
    <row r="84" spans="1:17" x14ac:dyDescent="0.25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5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5">
      <c r="A86" s="2" t="s">
        <v>10</v>
      </c>
      <c r="B86" s="15"/>
      <c r="E86" s="56"/>
      <c r="F86" s="19"/>
      <c r="G86" s="1">
        <f t="shared" ref="G86:Q86" si="35">G85*$C$80</f>
        <v>-14248.017406955123</v>
      </c>
      <c r="H86" s="1">
        <f t="shared" si="35"/>
        <v>-27071.233073214735</v>
      </c>
      <c r="I86" s="1">
        <f t="shared" si="35"/>
        <v>-24364.109765893263</v>
      </c>
      <c r="J86" s="1">
        <f t="shared" si="35"/>
        <v>-21941.94680671089</v>
      </c>
      <c r="K86" s="1">
        <f t="shared" si="35"/>
        <v>-19747.752126039799</v>
      </c>
      <c r="L86" s="1">
        <f t="shared" si="35"/>
        <v>-17753.029689066083</v>
      </c>
      <c r="M86" s="1">
        <f t="shared" si="35"/>
        <v>-16812.660540207045</v>
      </c>
      <c r="N86" s="1">
        <f t="shared" si="35"/>
        <v>-16812.660540207045</v>
      </c>
      <c r="O86" s="1">
        <f t="shared" si="35"/>
        <v>-16841.156575020956</v>
      </c>
      <c r="P86" s="1">
        <f t="shared" si="35"/>
        <v>-16812.660540207045</v>
      </c>
      <c r="Q86" s="1">
        <f t="shared" si="35"/>
        <v>-16841.156575020956</v>
      </c>
    </row>
    <row r="87" spans="1:17" ht="15" x14ac:dyDescent="0.4">
      <c r="A87" s="2" t="s">
        <v>11</v>
      </c>
      <c r="B87" s="16"/>
      <c r="E87" s="127"/>
      <c r="F87" s="19"/>
      <c r="G87" s="6">
        <f>($G$29*G$85)</f>
        <v>4771.55</v>
      </c>
      <c r="H87" s="6">
        <f>($G$29*H85)+($H$29*G85)</f>
        <v>13837.494999999999</v>
      </c>
      <c r="I87" s="6">
        <f>($G$29*I85)+($H$29*H85)+($I$29*G85)</f>
        <v>21996.845499999999</v>
      </c>
      <c r="J87" s="6">
        <f>($G$29*J85)+($H$29*I85)+($I$29*H85)+($J$29*G85)</f>
        <v>29345.032499999998</v>
      </c>
      <c r="K87" s="6">
        <f>($G$29*K85)+($H$29*J85)+($I$29*I85)+($J$29*H85)+($K$29*G85)</f>
        <v>35958.400800000003</v>
      </c>
      <c r="L87" s="6">
        <f>($G$29*L85)+($H$29*K85)+($I$29*J85)+($J$29*I85)+($K$29*H85)+($L$29*G85)</f>
        <v>41903.752100000005</v>
      </c>
      <c r="M87" s="6">
        <f>($G$29*M85)+($H$29*L85)+($I$29*K85)+($J$29*J85)+($K$29*I85)+($L$29*H85)+($M$29*G85)</f>
        <v>47534.181100000002</v>
      </c>
      <c r="N87" s="6">
        <f>($G$29*N85)+($H$29*M85)+($I$29*L85)+($J$29*K85)+($K$29*J85)+($L$29*I85)+($M$29*H85)+($N$29*G85)</f>
        <v>53164.610100000005</v>
      </c>
      <c r="O87" s="6">
        <f>($G$29*O85)+($H$29*N85)+($I$29*M85)+($J$29*L85)+($K$29*K85)+($L$29*J85)+($M$29*I85)+($N$29*H85)+($O$29*G85)</f>
        <v>58804.582200000004</v>
      </c>
      <c r="P87" s="6">
        <f>($G$29*P85)+($H$29*O85)+($I$29*N85)+($J$29*M85)+($K$29*L85)+($L$29*K85)+($M$29*J85)+($N$29*I85)+($O$29*H85)+($P$29*G85)</f>
        <v>64435.011200000001</v>
      </c>
      <c r="Q87" s="6">
        <f>($G$29*Q85)+($H$29*P85)+($I$29*O85)+($J$29*N85)+($K$29*M85)+($L$29*L85)+($M$29*K85)+($N$29*J85)+($O$29*I85)+($P$29*H85)+($Q$29*G85)</f>
        <v>70074.983299999993</v>
      </c>
    </row>
    <row r="88" spans="1:17" x14ac:dyDescent="0.25">
      <c r="A88" s="9" t="s">
        <v>0</v>
      </c>
      <c r="E88" s="56"/>
      <c r="F88" s="19"/>
      <c r="G88" s="1">
        <f t="shared" ref="G88:Q88" si="36">SUM(G86:G87)</f>
        <v>-9476.467406955122</v>
      </c>
      <c r="H88" s="1">
        <f t="shared" si="36"/>
        <v>-13233.738073214736</v>
      </c>
      <c r="I88" s="1">
        <f t="shared" si="36"/>
        <v>-2367.2642658932637</v>
      </c>
      <c r="J88" s="13">
        <f t="shared" si="36"/>
        <v>7403.0856932891074</v>
      </c>
      <c r="K88" s="13">
        <f t="shared" si="36"/>
        <v>16210.648673960204</v>
      </c>
      <c r="L88" s="1">
        <f t="shared" si="36"/>
        <v>24150.722410933922</v>
      </c>
      <c r="M88" s="1">
        <f t="shared" si="36"/>
        <v>30721.520559792956</v>
      </c>
      <c r="N88" s="1">
        <f t="shared" si="36"/>
        <v>36351.949559792964</v>
      </c>
      <c r="O88" s="1">
        <f t="shared" si="36"/>
        <v>41963.425624979049</v>
      </c>
      <c r="P88" s="1">
        <f t="shared" si="36"/>
        <v>47622.350659792952</v>
      </c>
      <c r="Q88" s="1">
        <f t="shared" si="36"/>
        <v>53233.826724979037</v>
      </c>
    </row>
  </sheetData>
  <mergeCells count="1">
    <mergeCell ref="K33:M33"/>
  </mergeCells>
  <phoneticPr fontId="0" type="noConversion"/>
  <conditionalFormatting sqref="D68 D71 D54 D51 C11:D11 D14:D15 D47:D48 D64:D65">
    <cfRule type="cellIs" dxfId="2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3"/>
  <dimension ref="A1:R88"/>
  <sheetViews>
    <sheetView topLeftCell="A34" zoomScale="75" zoomScaleNormal="75" workbookViewId="0">
      <selection activeCell="I71" sqref="G71:I71"/>
    </sheetView>
  </sheetViews>
  <sheetFormatPr defaultRowHeight="13.2" x14ac:dyDescent="0.25"/>
  <cols>
    <col min="1" max="1" width="28.109375" customWidth="1"/>
    <col min="2" max="2" width="14" bestFit="1" customWidth="1"/>
    <col min="3" max="3" width="12.88671875" customWidth="1"/>
    <col min="4" max="4" width="11.88671875" customWidth="1"/>
    <col min="5" max="5" width="9.109375" style="24" customWidth="1"/>
    <col min="6" max="6" width="13" style="24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74" t="str">
        <f>Assumptions!D5</f>
        <v>Oneok</v>
      </c>
      <c r="B1" s="38"/>
      <c r="E1" s="79"/>
    </row>
    <row r="2" spans="1:18" ht="15.6" x14ac:dyDescent="0.3">
      <c r="A2" s="377" t="s">
        <v>225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5">
      <c r="A3" s="266"/>
      <c r="B3" s="265"/>
      <c r="E3" s="56"/>
      <c r="F3" s="285" t="str">
        <f>IF(Asset5Loop&lt;&gt;0,"Run Macro","")</f>
        <v/>
      </c>
      <c r="G3" s="73"/>
      <c r="H3" s="286"/>
      <c r="I3" s="73"/>
      <c r="R3" s="24"/>
    </row>
    <row r="4" spans="1:18" ht="13.8" thickBot="1" x14ac:dyDescent="0.3">
      <c r="A4" s="266"/>
      <c r="B4" s="265"/>
      <c r="E4" s="56"/>
      <c r="F4" s="287"/>
      <c r="G4" s="288"/>
      <c r="H4" s="289"/>
      <c r="I4" s="73"/>
      <c r="R4" s="24"/>
    </row>
    <row r="5" spans="1:18" x14ac:dyDescent="0.25">
      <c r="A5" s="266"/>
      <c r="B5" s="265"/>
      <c r="E5" s="56"/>
      <c r="F5" s="387"/>
      <c r="G5" s="73"/>
      <c r="H5" s="73"/>
      <c r="I5" s="73"/>
      <c r="R5" s="24"/>
    </row>
    <row r="6" spans="1:18" x14ac:dyDescent="0.25">
      <c r="A6" s="266"/>
      <c r="B6" s="265"/>
      <c r="E6" s="56"/>
      <c r="G6" s="73"/>
      <c r="H6" s="73"/>
      <c r="I6" s="73"/>
      <c r="R6" s="24"/>
    </row>
    <row r="7" spans="1:18" x14ac:dyDescent="0.25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5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5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5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5">
      <c r="A11" s="120" t="s">
        <v>65</v>
      </c>
      <c r="B11" s="132"/>
      <c r="C11" s="124"/>
      <c r="D11" s="124"/>
      <c r="E11" s="101"/>
      <c r="F11" s="32">
        <f t="shared" ref="F11:Q11" si="1">F43</f>
        <v>404384</v>
      </c>
      <c r="G11" s="97">
        <f t="shared" si="1"/>
        <v>404384</v>
      </c>
      <c r="H11" s="97">
        <f t="shared" si="1"/>
        <v>404384</v>
      </c>
      <c r="I11" s="97">
        <f t="shared" si="1"/>
        <v>404384</v>
      </c>
      <c r="J11" s="97">
        <f t="shared" si="1"/>
        <v>404384</v>
      </c>
      <c r="K11" s="97">
        <f t="shared" si="1"/>
        <v>404384</v>
      </c>
      <c r="L11" s="97">
        <f t="shared" si="1"/>
        <v>404384</v>
      </c>
      <c r="M11" s="97">
        <f t="shared" si="1"/>
        <v>404384</v>
      </c>
      <c r="N11" s="97">
        <f t="shared" si="1"/>
        <v>404384</v>
      </c>
      <c r="O11" s="97">
        <f t="shared" si="1"/>
        <v>404384</v>
      </c>
      <c r="P11" s="97">
        <f t="shared" si="1"/>
        <v>404384</v>
      </c>
      <c r="Q11" s="97">
        <f t="shared" si="1"/>
        <v>404384</v>
      </c>
      <c r="R11" s="24"/>
    </row>
    <row r="12" spans="1:18" x14ac:dyDescent="0.25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5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5">
      <c r="A14" s="38" t="s">
        <v>6</v>
      </c>
      <c r="B14" s="131"/>
      <c r="C14" s="38"/>
      <c r="D14" s="124"/>
      <c r="E14" s="121"/>
      <c r="F14" s="32">
        <f t="shared" ref="F14:Q14" si="2">F60</f>
        <v>230868</v>
      </c>
      <c r="G14" s="97">
        <f t="shared" si="2"/>
        <v>230868</v>
      </c>
      <c r="H14" s="97">
        <f t="shared" si="2"/>
        <v>230868</v>
      </c>
      <c r="I14" s="97">
        <f t="shared" si="2"/>
        <v>230868</v>
      </c>
      <c r="J14" s="97">
        <f t="shared" si="2"/>
        <v>230868</v>
      </c>
      <c r="K14" s="97">
        <f t="shared" si="2"/>
        <v>230868</v>
      </c>
      <c r="L14" s="97">
        <f t="shared" si="2"/>
        <v>230868</v>
      </c>
      <c r="M14" s="97">
        <f t="shared" si="2"/>
        <v>230868</v>
      </c>
      <c r="N14" s="97">
        <f t="shared" si="2"/>
        <v>230868</v>
      </c>
      <c r="O14" s="97">
        <f t="shared" si="2"/>
        <v>230868</v>
      </c>
      <c r="P14" s="97">
        <f t="shared" si="2"/>
        <v>230868</v>
      </c>
      <c r="Q14" s="97">
        <f t="shared" si="2"/>
        <v>230868</v>
      </c>
      <c r="R14" s="24"/>
    </row>
    <row r="15" spans="1:18" x14ac:dyDescent="0.25">
      <c r="A15" s="8" t="s">
        <v>82</v>
      </c>
      <c r="B15" s="8"/>
      <c r="C15" s="8"/>
      <c r="D15" s="134"/>
      <c r="E15" s="135"/>
      <c r="F15" s="136">
        <f t="shared" ref="F15:Q15" si="3">F11/F14</f>
        <v>1.7515809900029453</v>
      </c>
      <c r="G15" s="137">
        <f t="shared" si="3"/>
        <v>1.7515809900029453</v>
      </c>
      <c r="H15" s="137">
        <f t="shared" si="3"/>
        <v>1.7515809900029453</v>
      </c>
      <c r="I15" s="137">
        <f t="shared" si="3"/>
        <v>1.7515809900029453</v>
      </c>
      <c r="J15" s="137">
        <f t="shared" si="3"/>
        <v>1.7515809900029453</v>
      </c>
      <c r="K15" s="137">
        <f t="shared" si="3"/>
        <v>1.7515809900029453</v>
      </c>
      <c r="L15" s="137">
        <f t="shared" si="3"/>
        <v>1.7515809900029453</v>
      </c>
      <c r="M15" s="137">
        <f t="shared" si="3"/>
        <v>1.7515809900029453</v>
      </c>
      <c r="N15" s="137">
        <f t="shared" si="3"/>
        <v>1.7515809900029453</v>
      </c>
      <c r="O15" s="137">
        <f t="shared" si="3"/>
        <v>1.7515809900029453</v>
      </c>
      <c r="P15" s="137">
        <f t="shared" si="3"/>
        <v>1.7515809900029453</v>
      </c>
      <c r="Q15" s="137">
        <f t="shared" si="3"/>
        <v>1.7515809900029453</v>
      </c>
      <c r="R15" s="24"/>
    </row>
    <row r="16" spans="1:18" x14ac:dyDescent="0.25">
      <c r="A16" s="50" t="s">
        <v>1</v>
      </c>
      <c r="B16" s="37"/>
      <c r="C16" s="37"/>
      <c r="D16" s="37"/>
      <c r="E16" s="105"/>
      <c r="F16" s="57">
        <f t="shared" ref="F16:Q16" si="4">(F11-F14)</f>
        <v>173516</v>
      </c>
      <c r="G16" s="54">
        <f t="shared" si="4"/>
        <v>173516</v>
      </c>
      <c r="H16" s="54">
        <f t="shared" si="4"/>
        <v>173516</v>
      </c>
      <c r="I16" s="54">
        <f t="shared" si="4"/>
        <v>173516</v>
      </c>
      <c r="J16" s="54">
        <f t="shared" si="4"/>
        <v>173516</v>
      </c>
      <c r="K16" s="54">
        <f t="shared" si="4"/>
        <v>173516</v>
      </c>
      <c r="L16" s="54">
        <f t="shared" si="4"/>
        <v>173516</v>
      </c>
      <c r="M16" s="54">
        <f t="shared" si="4"/>
        <v>173516</v>
      </c>
      <c r="N16" s="54">
        <f t="shared" si="4"/>
        <v>173516</v>
      </c>
      <c r="O16" s="54">
        <f t="shared" si="4"/>
        <v>173516</v>
      </c>
      <c r="P16" s="54">
        <f t="shared" si="4"/>
        <v>173516</v>
      </c>
      <c r="Q16" s="55">
        <f t="shared" si="4"/>
        <v>173516</v>
      </c>
      <c r="R16" s="24"/>
    </row>
    <row r="17" spans="1:18" x14ac:dyDescent="0.25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5">
      <c r="A18" t="s">
        <v>7</v>
      </c>
      <c r="B18" s="16"/>
      <c r="E18" s="56"/>
      <c r="F18" s="19">
        <v>0</v>
      </c>
      <c r="G18" s="31">
        <f t="shared" ref="G18:Q18" si="5">G83</f>
        <v>24654.433636097328</v>
      </c>
      <c r="H18" s="31">
        <f t="shared" si="5"/>
        <v>29588.683636097328</v>
      </c>
      <c r="I18" s="31">
        <f t="shared" si="5"/>
        <v>34522.933636097325</v>
      </c>
      <c r="J18" s="31">
        <f t="shared" si="5"/>
        <v>39457.183636097325</v>
      </c>
      <c r="K18" s="31">
        <f t="shared" si="5"/>
        <v>44391.433636097325</v>
      </c>
      <c r="L18" s="31">
        <f t="shared" si="5"/>
        <v>49325.683636097325</v>
      </c>
      <c r="M18" s="31">
        <f t="shared" si="5"/>
        <v>54259.933636097325</v>
      </c>
      <c r="N18" s="31">
        <f t="shared" si="5"/>
        <v>59194.183636097325</v>
      </c>
      <c r="O18" s="31">
        <f t="shared" si="5"/>
        <v>64128.433636097325</v>
      </c>
      <c r="P18" s="31">
        <f t="shared" si="5"/>
        <v>69062.683636097325</v>
      </c>
      <c r="Q18" s="31">
        <f t="shared" si="5"/>
        <v>73996.933636097325</v>
      </c>
      <c r="R18" s="24"/>
    </row>
    <row r="19" spans="1:18" x14ac:dyDescent="0.25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5">
      <c r="A20" s="50" t="s">
        <v>2</v>
      </c>
      <c r="B20" s="37"/>
      <c r="C20" s="37"/>
      <c r="D20" s="37"/>
      <c r="E20" s="105"/>
      <c r="F20" s="57">
        <f t="shared" ref="F20:Q20" si="6">F16-F18</f>
        <v>173516</v>
      </c>
      <c r="G20" s="58">
        <f t="shared" si="6"/>
        <v>148861.56636390268</v>
      </c>
      <c r="H20" s="58">
        <f t="shared" si="6"/>
        <v>143927.31636390268</v>
      </c>
      <c r="I20" s="58">
        <f t="shared" si="6"/>
        <v>138993.06636390268</v>
      </c>
      <c r="J20" s="54">
        <f t="shared" si="6"/>
        <v>134058.81636390268</v>
      </c>
      <c r="K20" s="54">
        <f t="shared" si="6"/>
        <v>129124.56636390268</v>
      </c>
      <c r="L20" s="58">
        <f t="shared" si="6"/>
        <v>124190.31636390268</v>
      </c>
      <c r="M20" s="58">
        <f t="shared" si="6"/>
        <v>119256.06636390268</v>
      </c>
      <c r="N20" s="58">
        <f t="shared" si="6"/>
        <v>114321.81636390268</v>
      </c>
      <c r="O20" s="58">
        <f t="shared" si="6"/>
        <v>109387.56636390268</v>
      </c>
      <c r="P20" s="58">
        <f t="shared" si="6"/>
        <v>104453.31636390268</v>
      </c>
      <c r="Q20" s="59">
        <f t="shared" si="6"/>
        <v>99519.066363902675</v>
      </c>
      <c r="R20" s="24"/>
    </row>
    <row r="21" spans="1:18" x14ac:dyDescent="0.25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5">
      <c r="A22" s="2" t="s">
        <v>3</v>
      </c>
      <c r="E22" s="127"/>
      <c r="F22" s="19"/>
      <c r="G22" s="1">
        <f t="shared" ref="G22:Q22" si="7">$B$24*(G16-G88)</f>
        <v>57311.703050102529</v>
      </c>
      <c r="H22" s="1">
        <f t="shared" si="7"/>
        <v>46869.255545194806</v>
      </c>
      <c r="I22" s="1">
        <f t="shared" si="7"/>
        <v>45063.323490675328</v>
      </c>
      <c r="J22" s="1">
        <f t="shared" si="7"/>
        <v>43428.492684657896</v>
      </c>
      <c r="K22" s="1">
        <f t="shared" si="7"/>
        <v>41964.737229942104</v>
      </c>
      <c r="L22" s="1">
        <f t="shared" si="7"/>
        <v>40660.646060427745</v>
      </c>
      <c r="M22" s="1">
        <f t="shared" si="7"/>
        <v>38920.106151620988</v>
      </c>
      <c r="N22" s="1">
        <f t="shared" si="7"/>
        <v>36678.476376620987</v>
      </c>
      <c r="O22" s="1">
        <f t="shared" si="7"/>
        <v>34417.862687721186</v>
      </c>
      <c r="P22" s="1">
        <f t="shared" si="7"/>
        <v>32191.417454120987</v>
      </c>
      <c r="Q22" s="1">
        <f t="shared" si="7"/>
        <v>29930.80376522119</v>
      </c>
      <c r="R22" s="24"/>
    </row>
    <row r="23" spans="1:18" ht="15" x14ac:dyDescent="0.4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8542.7612549077239</v>
      </c>
      <c r="I23" s="3">
        <f t="shared" si="8"/>
        <v>8449.0070594272038</v>
      </c>
      <c r="J23" s="3">
        <f t="shared" si="8"/>
        <v>8184.1516154446363</v>
      </c>
      <c r="K23" s="3">
        <f t="shared" si="8"/>
        <v>7748.2208201604299</v>
      </c>
      <c r="L23" s="3">
        <f t="shared" si="8"/>
        <v>7152.6257396747824</v>
      </c>
      <c r="M23" s="3">
        <f t="shared" si="8"/>
        <v>6993.4793984815406</v>
      </c>
      <c r="N23" s="3">
        <f t="shared" si="8"/>
        <v>7335.422923481543</v>
      </c>
      <c r="O23" s="3">
        <f t="shared" si="8"/>
        <v>7696.3503623813449</v>
      </c>
      <c r="P23" s="3">
        <f t="shared" si="8"/>
        <v>8023.1093459815456</v>
      </c>
      <c r="Q23" s="3">
        <f t="shared" si="8"/>
        <v>8384.0367848813439</v>
      </c>
      <c r="R23" s="24"/>
    </row>
    <row r="24" spans="1:18" x14ac:dyDescent="0.25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57311.703050102529</v>
      </c>
      <c r="H24" s="1">
        <f t="shared" si="9"/>
        <v>55412.01680010253</v>
      </c>
      <c r="I24" s="1">
        <f t="shared" si="9"/>
        <v>53512.330550102532</v>
      </c>
      <c r="J24" s="1">
        <f t="shared" si="9"/>
        <v>51612.644300102533</v>
      </c>
      <c r="K24" s="1">
        <f t="shared" si="9"/>
        <v>49712.958050102534</v>
      </c>
      <c r="L24" s="1">
        <f t="shared" si="9"/>
        <v>47813.271800102528</v>
      </c>
      <c r="M24" s="1">
        <f t="shared" si="9"/>
        <v>45913.585550102529</v>
      </c>
      <c r="N24" s="1">
        <f t="shared" si="9"/>
        <v>44013.89930010253</v>
      </c>
      <c r="O24" s="1">
        <f t="shared" si="9"/>
        <v>42114.213050102531</v>
      </c>
      <c r="P24" s="1">
        <f t="shared" si="9"/>
        <v>40214.526800102532</v>
      </c>
      <c r="Q24" s="1">
        <f t="shared" si="9"/>
        <v>38314.840550102534</v>
      </c>
      <c r="R24" s="24"/>
    </row>
    <row r="25" spans="1:18" x14ac:dyDescent="0.25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5">
      <c r="A26" s="78" t="s">
        <v>16</v>
      </c>
      <c r="B26" s="172"/>
      <c r="C26" s="37"/>
      <c r="D26" s="37"/>
      <c r="E26" s="128"/>
      <c r="F26" s="57">
        <f t="shared" ref="F26:Q26" si="10">F20-F24</f>
        <v>173516</v>
      </c>
      <c r="G26" s="58">
        <f t="shared" si="10"/>
        <v>91549.863313800146</v>
      </c>
      <c r="H26" s="58">
        <f t="shared" si="10"/>
        <v>88515.299563800145</v>
      </c>
      <c r="I26" s="58">
        <f t="shared" si="10"/>
        <v>85480.735813800144</v>
      </c>
      <c r="J26" s="54">
        <f t="shared" si="10"/>
        <v>82446.172063800142</v>
      </c>
      <c r="K26" s="54">
        <f t="shared" si="10"/>
        <v>79411.608313800141</v>
      </c>
      <c r="L26" s="58">
        <f t="shared" si="10"/>
        <v>76377.044563800155</v>
      </c>
      <c r="M26" s="58">
        <f t="shared" si="10"/>
        <v>73342.480813800154</v>
      </c>
      <c r="N26" s="58">
        <f t="shared" si="10"/>
        <v>70307.917063800152</v>
      </c>
      <c r="O26" s="58">
        <f t="shared" si="10"/>
        <v>67273.353313800151</v>
      </c>
      <c r="P26" s="58">
        <f t="shared" si="10"/>
        <v>64238.789563800143</v>
      </c>
      <c r="Q26" s="59">
        <f t="shared" si="10"/>
        <v>61204.225813800142</v>
      </c>
      <c r="R26" s="20" t="s">
        <v>1</v>
      </c>
    </row>
    <row r="27" spans="1:18" x14ac:dyDescent="0.25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5">
      <c r="A28" s="2" t="s">
        <v>15</v>
      </c>
      <c r="B28" s="23"/>
      <c r="E28" s="56"/>
      <c r="F28" s="19">
        <f t="shared" ref="F28:Q28" si="11">F26+F23+F18</f>
        <v>173516</v>
      </c>
      <c r="G28" s="1">
        <f t="shared" si="11"/>
        <v>116204.29694989747</v>
      </c>
      <c r="H28" s="1">
        <f t="shared" si="11"/>
        <v>126646.74445480519</v>
      </c>
      <c r="I28" s="1">
        <f t="shared" si="11"/>
        <v>128452.67650932466</v>
      </c>
      <c r="J28" s="13">
        <f t="shared" si="11"/>
        <v>130087.50731534211</v>
      </c>
      <c r="K28" s="13">
        <f t="shared" si="11"/>
        <v>131551.26277005789</v>
      </c>
      <c r="L28" s="1">
        <f t="shared" si="11"/>
        <v>132855.35393957226</v>
      </c>
      <c r="M28" s="1">
        <f t="shared" si="11"/>
        <v>134595.89384837903</v>
      </c>
      <c r="N28" s="1">
        <f t="shared" si="11"/>
        <v>136837.52362337901</v>
      </c>
      <c r="O28" s="1">
        <f t="shared" si="11"/>
        <v>139098.13731227882</v>
      </c>
      <c r="P28" s="1">
        <f t="shared" si="11"/>
        <v>141324.58254587901</v>
      </c>
      <c r="Q28" s="1">
        <f t="shared" si="11"/>
        <v>143585.19623477879</v>
      </c>
      <c r="R28" s="20" t="s">
        <v>71</v>
      </c>
    </row>
    <row r="29" spans="1:18" x14ac:dyDescent="0.25">
      <c r="A29" s="2" t="s">
        <v>23</v>
      </c>
      <c r="B29" s="164">
        <f>Assumptions!C50</f>
        <v>1</v>
      </c>
      <c r="E29" s="56"/>
      <c r="F29" s="19">
        <f t="shared" ref="F29:Q29" si="12">F77</f>
        <v>98685</v>
      </c>
      <c r="G29" s="13">
        <f t="shared" si="12"/>
        <v>98685</v>
      </c>
      <c r="H29" s="13">
        <f t="shared" si="12"/>
        <v>98685</v>
      </c>
      <c r="I29" s="13">
        <f t="shared" si="12"/>
        <v>98685</v>
      </c>
      <c r="J29" s="13">
        <f t="shared" si="12"/>
        <v>98685</v>
      </c>
      <c r="K29" s="13">
        <f t="shared" si="12"/>
        <v>98685</v>
      </c>
      <c r="L29" s="13">
        <f t="shared" si="12"/>
        <v>98685</v>
      </c>
      <c r="M29" s="13">
        <f t="shared" si="12"/>
        <v>98685</v>
      </c>
      <c r="N29" s="13">
        <f t="shared" si="12"/>
        <v>98685</v>
      </c>
      <c r="O29" s="13">
        <f t="shared" si="12"/>
        <v>98685</v>
      </c>
      <c r="P29" s="13">
        <f t="shared" si="12"/>
        <v>98685</v>
      </c>
      <c r="Q29" s="13">
        <f t="shared" si="12"/>
        <v>98685</v>
      </c>
      <c r="R29" s="168">
        <f>Assumptions!E49</f>
        <v>5</v>
      </c>
    </row>
    <row r="30" spans="1:18" x14ac:dyDescent="0.25">
      <c r="A30" s="112" t="s">
        <v>17</v>
      </c>
      <c r="B30" s="37"/>
      <c r="C30" s="37"/>
      <c r="D30" s="37"/>
      <c r="E30" s="105"/>
      <c r="F30" s="57">
        <f t="shared" ref="F30:Q30" si="13">F28-F29</f>
        <v>74831</v>
      </c>
      <c r="G30" s="54">
        <f t="shared" si="13"/>
        <v>17519.296949897471</v>
      </c>
      <c r="H30" s="54">
        <f t="shared" si="13"/>
        <v>27961.744454805186</v>
      </c>
      <c r="I30" s="54">
        <f t="shared" si="13"/>
        <v>29767.676509324665</v>
      </c>
      <c r="J30" s="54">
        <f t="shared" si="13"/>
        <v>31402.507315342111</v>
      </c>
      <c r="K30" s="54">
        <f t="shared" si="13"/>
        <v>32866.262770057889</v>
      </c>
      <c r="L30" s="54">
        <f t="shared" si="13"/>
        <v>34170.353939572262</v>
      </c>
      <c r="M30" s="54">
        <f t="shared" si="13"/>
        <v>35910.893848379026</v>
      </c>
      <c r="N30" s="54">
        <f t="shared" si="13"/>
        <v>38152.523623379006</v>
      </c>
      <c r="O30" s="54">
        <f t="shared" si="13"/>
        <v>40413.137312278821</v>
      </c>
      <c r="P30" s="54">
        <f t="shared" si="13"/>
        <v>42639.582545879006</v>
      </c>
      <c r="Q30" s="54">
        <f t="shared" si="13"/>
        <v>44900.196234778792</v>
      </c>
      <c r="R30" s="55">
        <f>Q16*R29</f>
        <v>867580</v>
      </c>
    </row>
    <row r="31" spans="1:18" x14ac:dyDescent="0.25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8" thickBot="1" x14ac:dyDescent="0.3">
      <c r="R32" s="13"/>
    </row>
    <row r="33" spans="1:18" ht="15" x14ac:dyDescent="0.4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4">
      <c r="F34"/>
      <c r="G34" s="272" t="s">
        <v>14</v>
      </c>
      <c r="H34" s="273" t="s">
        <v>24</v>
      </c>
      <c r="I34" s="273" t="s">
        <v>73</v>
      </c>
      <c r="J34" s="274"/>
      <c r="K34" s="275">
        <f>Asset5DRate-0.025</f>
        <v>0.1</v>
      </c>
      <c r="L34" s="275">
        <f>Assumptions!H43</f>
        <v>0.125</v>
      </c>
      <c r="M34" s="276">
        <f>Asset5DRate+0.025</f>
        <v>0.15</v>
      </c>
      <c r="P34" s="1"/>
      <c r="Q34" s="1"/>
      <c r="R34" s="1"/>
    </row>
    <row r="35" spans="1:18" x14ac:dyDescent="0.25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8" thickBot="1" x14ac:dyDescent="0.3">
      <c r="F36">
        <f>IF(ABS(G36-L36)&lt;0.05,0,1)</f>
        <v>0</v>
      </c>
      <c r="G36" s="348">
        <v>394403.67272194655</v>
      </c>
      <c r="H36" s="349">
        <f>G36/F16</f>
        <v>2.2730104008964394</v>
      </c>
      <c r="I36" s="350" t="str">
        <f>Assumptions!D40</f>
        <v>ETS</v>
      </c>
      <c r="J36" s="351"/>
      <c r="K36" s="352">
        <f>NPV(K34,$G$30:$R$30)</f>
        <v>484524.27207665419</v>
      </c>
      <c r="L36" s="353">
        <f>NPV(L34,$G$30:$R$30)</f>
        <v>394403.68915669201</v>
      </c>
      <c r="M36" s="347">
        <f>NPV(M34,$G$30:$R$30)</f>
        <v>324825.66102941346</v>
      </c>
      <c r="P36" s="1"/>
      <c r="Q36" s="1"/>
      <c r="R36" s="1"/>
    </row>
    <row r="37" spans="1:18" x14ac:dyDescent="0.25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5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8" thickBot="1" x14ac:dyDescent="0.3">
      <c r="A43" s="103" t="str">
        <f>A2</f>
        <v xml:space="preserve">  Distribution - Cash Flow Analysis</v>
      </c>
      <c r="B43" s="169">
        <f>Assumptions!C50</f>
        <v>1</v>
      </c>
      <c r="C43" s="170">
        <v>1</v>
      </c>
      <c r="D43" s="37"/>
      <c r="E43" s="89"/>
      <c r="F43" s="57">
        <f>F48*$B$43</f>
        <v>404384</v>
      </c>
      <c r="G43" s="58">
        <f t="shared" ref="G43:Q43" si="15">CHOOSE($C$43,G48,G51,G54)*$B$43+G44</f>
        <v>404384</v>
      </c>
      <c r="H43" s="58">
        <f t="shared" si="15"/>
        <v>404384</v>
      </c>
      <c r="I43" s="58">
        <f t="shared" si="15"/>
        <v>404384</v>
      </c>
      <c r="J43" s="58">
        <f t="shared" si="15"/>
        <v>404384</v>
      </c>
      <c r="K43" s="58">
        <f t="shared" si="15"/>
        <v>404384</v>
      </c>
      <c r="L43" s="58">
        <f t="shared" si="15"/>
        <v>404384</v>
      </c>
      <c r="M43" s="58">
        <f t="shared" si="15"/>
        <v>404384</v>
      </c>
      <c r="N43" s="58">
        <f t="shared" si="15"/>
        <v>404384</v>
      </c>
      <c r="O43" s="58">
        <f t="shared" si="15"/>
        <v>404384</v>
      </c>
      <c r="P43" s="58">
        <f t="shared" si="15"/>
        <v>404384</v>
      </c>
      <c r="Q43" s="59">
        <f t="shared" si="15"/>
        <v>404384</v>
      </c>
    </row>
    <row r="44" spans="1:18" x14ac:dyDescent="0.25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s="8" t="str">
        <f>Assumptions!B58</f>
        <v>1. Base Case</v>
      </c>
      <c r="C46" s="114">
        <v>1</v>
      </c>
    </row>
    <row r="47" spans="1:18" ht="15" x14ac:dyDescent="0.4">
      <c r="A47" t="s">
        <v>226</v>
      </c>
      <c r="C47" s="114"/>
      <c r="D47" s="152"/>
      <c r="E47" s="56"/>
      <c r="F47" s="18">
        <v>404384</v>
      </c>
      <c r="G47" s="6">
        <f>F47</f>
        <v>404384</v>
      </c>
      <c r="H47" s="6">
        <f t="shared" ref="H47:Q47" si="16">G47</f>
        <v>404384</v>
      </c>
      <c r="I47" s="6">
        <f t="shared" si="16"/>
        <v>404384</v>
      </c>
      <c r="J47" s="6">
        <f t="shared" si="16"/>
        <v>404384</v>
      </c>
      <c r="K47" s="6">
        <f t="shared" si="16"/>
        <v>404384</v>
      </c>
      <c r="L47" s="6">
        <f t="shared" si="16"/>
        <v>404384</v>
      </c>
      <c r="M47" s="6">
        <f t="shared" si="16"/>
        <v>404384</v>
      </c>
      <c r="N47" s="6">
        <f t="shared" si="16"/>
        <v>404384</v>
      </c>
      <c r="O47" s="6">
        <f t="shared" si="16"/>
        <v>404384</v>
      </c>
      <c r="P47" s="6">
        <f t="shared" si="16"/>
        <v>404384</v>
      </c>
      <c r="Q47" s="6">
        <f t="shared" si="16"/>
        <v>404384</v>
      </c>
    </row>
    <row r="48" spans="1:18" x14ac:dyDescent="0.25">
      <c r="A48" s="73" t="s">
        <v>0</v>
      </c>
      <c r="B48" s="151">
        <v>1</v>
      </c>
      <c r="C48" s="114"/>
      <c r="D48" s="126"/>
      <c r="E48" s="101"/>
      <c r="F48" s="32">
        <f>SUM(F47:F47)*$B$48</f>
        <v>404384</v>
      </c>
      <c r="G48" s="97">
        <f t="shared" ref="G48:Q48" si="17">SUM(G47:G47)*$B$48+G49</f>
        <v>404384</v>
      </c>
      <c r="H48" s="97">
        <f t="shared" si="17"/>
        <v>404384</v>
      </c>
      <c r="I48" s="97">
        <f t="shared" si="17"/>
        <v>404384</v>
      </c>
      <c r="J48" s="97">
        <f t="shared" si="17"/>
        <v>404384</v>
      </c>
      <c r="K48" s="97">
        <f t="shared" si="17"/>
        <v>404384</v>
      </c>
      <c r="L48" s="97">
        <f t="shared" si="17"/>
        <v>404384</v>
      </c>
      <c r="M48" s="97">
        <f t="shared" si="17"/>
        <v>404384</v>
      </c>
      <c r="N48" s="97">
        <f t="shared" si="17"/>
        <v>404384</v>
      </c>
      <c r="O48" s="97">
        <f t="shared" si="17"/>
        <v>404384</v>
      </c>
      <c r="P48" s="97">
        <f t="shared" si="17"/>
        <v>404384</v>
      </c>
      <c r="Q48" s="97">
        <f t="shared" si="17"/>
        <v>404384</v>
      </c>
    </row>
    <row r="49" spans="1:17" x14ac:dyDescent="0.25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5">
      <c r="C50" s="114"/>
    </row>
    <row r="51" spans="1:17" x14ac:dyDescent="0.25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404384</v>
      </c>
      <c r="G51" s="26">
        <f t="shared" ref="G51:Q51" si="19">F51*$B$51+G52</f>
        <v>412471.68</v>
      </c>
      <c r="H51" s="26">
        <f t="shared" si="19"/>
        <v>420721.11359999998</v>
      </c>
      <c r="I51" s="26">
        <f t="shared" si="19"/>
        <v>429135.53587199998</v>
      </c>
      <c r="J51" s="26">
        <f t="shared" si="19"/>
        <v>437718.24658943998</v>
      </c>
      <c r="K51" s="26">
        <f t="shared" si="19"/>
        <v>446472.6115212288</v>
      </c>
      <c r="L51" s="26">
        <f t="shared" si="19"/>
        <v>455402.06375165336</v>
      </c>
      <c r="M51" s="26">
        <f t="shared" si="19"/>
        <v>464510.10502668645</v>
      </c>
      <c r="N51" s="26">
        <f t="shared" si="19"/>
        <v>473800.30712722021</v>
      </c>
      <c r="O51" s="26">
        <f t="shared" si="19"/>
        <v>483276.31326976459</v>
      </c>
      <c r="P51" s="26">
        <f t="shared" si="19"/>
        <v>492941.83953515987</v>
      </c>
      <c r="Q51" s="26">
        <f t="shared" si="19"/>
        <v>502800.67632586305</v>
      </c>
    </row>
    <row r="52" spans="1:17" x14ac:dyDescent="0.25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5">
      <c r="A53" s="8"/>
      <c r="C53" s="114"/>
    </row>
    <row r="54" spans="1:17" x14ac:dyDescent="0.25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404384</v>
      </c>
      <c r="G54" s="26">
        <f t="shared" ref="G54:Q54" si="21">F54*$B$54+G55</f>
        <v>400340.16</v>
      </c>
      <c r="H54" s="26">
        <f t="shared" si="21"/>
        <v>396336.75839999999</v>
      </c>
      <c r="I54" s="26">
        <f t="shared" si="21"/>
        <v>392373.390816</v>
      </c>
      <c r="J54" s="26">
        <f t="shared" si="21"/>
        <v>388449.65690783999</v>
      </c>
      <c r="K54" s="26">
        <f t="shared" si="21"/>
        <v>384565.16033876158</v>
      </c>
      <c r="L54" s="26">
        <f t="shared" si="21"/>
        <v>380719.50873537397</v>
      </c>
      <c r="M54" s="26">
        <f t="shared" si="21"/>
        <v>376912.31364802021</v>
      </c>
      <c r="N54" s="26">
        <f t="shared" si="21"/>
        <v>373143.19051153999</v>
      </c>
      <c r="O54" s="26">
        <f t="shared" si="21"/>
        <v>369411.75860642456</v>
      </c>
      <c r="P54" s="26">
        <f t="shared" si="21"/>
        <v>365717.64102036029</v>
      </c>
      <c r="Q54" s="26">
        <f t="shared" si="21"/>
        <v>362060.46461015666</v>
      </c>
    </row>
    <row r="55" spans="1:17" ht="13.8" thickBot="1" x14ac:dyDescent="0.3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8" thickBot="1" x14ac:dyDescent="0.3">
      <c r="A60" s="103" t="str">
        <f>A2</f>
        <v xml:space="preserve">  Distribution - Cash Flow Analysis</v>
      </c>
      <c r="B60" s="169">
        <f>Assumptions!C50</f>
        <v>1</v>
      </c>
      <c r="C60" s="171">
        <v>1</v>
      </c>
      <c r="D60" s="37"/>
      <c r="E60" s="89"/>
      <c r="F60" s="111">
        <f>F65*$B$60</f>
        <v>230868</v>
      </c>
      <c r="G60" s="58">
        <f t="shared" ref="G60:Q60" si="24">CHOOSE($C$60,G65,G68,G71)*$B$60+G61</f>
        <v>230868</v>
      </c>
      <c r="H60" s="58">
        <f t="shared" si="24"/>
        <v>230868</v>
      </c>
      <c r="I60" s="58">
        <f t="shared" si="24"/>
        <v>230868</v>
      </c>
      <c r="J60" s="58">
        <f t="shared" si="24"/>
        <v>230868</v>
      </c>
      <c r="K60" s="58">
        <f t="shared" si="24"/>
        <v>230868</v>
      </c>
      <c r="L60" s="58">
        <f t="shared" si="24"/>
        <v>230868</v>
      </c>
      <c r="M60" s="58">
        <f t="shared" si="24"/>
        <v>230868</v>
      </c>
      <c r="N60" s="58">
        <f t="shared" si="24"/>
        <v>230868</v>
      </c>
      <c r="O60" s="58">
        <f t="shared" si="24"/>
        <v>230868</v>
      </c>
      <c r="P60" s="58">
        <f t="shared" si="24"/>
        <v>230868</v>
      </c>
      <c r="Q60" s="59">
        <f t="shared" si="24"/>
        <v>230868</v>
      </c>
    </row>
    <row r="61" spans="1:17" x14ac:dyDescent="0.25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6"/>
      <c r="D62" s="107"/>
      <c r="E62" s="108"/>
    </row>
    <row r="63" spans="1:17" x14ac:dyDescent="0.25">
      <c r="A63" s="8" t="str">
        <f>Assumptions!B64</f>
        <v>1. Base Case</v>
      </c>
      <c r="C63" s="116"/>
    </row>
    <row r="64" spans="1:17" ht="15" x14ac:dyDescent="0.4">
      <c r="A64" t="s">
        <v>226</v>
      </c>
      <c r="C64" s="116"/>
      <c r="D64" s="126"/>
      <c r="E64" s="154"/>
      <c r="F64" s="18">
        <v>230868</v>
      </c>
      <c r="G64" s="6">
        <f>F64</f>
        <v>230868</v>
      </c>
      <c r="H64" s="36">
        <f t="shared" ref="H64:Q64" si="25">G64</f>
        <v>230868</v>
      </c>
      <c r="I64" s="36">
        <f t="shared" si="25"/>
        <v>230868</v>
      </c>
      <c r="J64" s="36">
        <f t="shared" si="25"/>
        <v>230868</v>
      </c>
      <c r="K64" s="36">
        <f t="shared" si="25"/>
        <v>230868</v>
      </c>
      <c r="L64" s="36">
        <f t="shared" si="25"/>
        <v>230868</v>
      </c>
      <c r="M64" s="36">
        <f t="shared" si="25"/>
        <v>230868</v>
      </c>
      <c r="N64" s="36">
        <f t="shared" si="25"/>
        <v>230868</v>
      </c>
      <c r="O64" s="36">
        <f t="shared" si="25"/>
        <v>230868</v>
      </c>
      <c r="P64" s="36">
        <f t="shared" si="25"/>
        <v>230868</v>
      </c>
      <c r="Q64" s="36">
        <f t="shared" si="25"/>
        <v>230868</v>
      </c>
    </row>
    <row r="65" spans="1:17" x14ac:dyDescent="0.25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230868</v>
      </c>
      <c r="G65" s="106">
        <f t="shared" ref="G65:Q65" si="26">SUM(G64:G64)*$B$65+G66</f>
        <v>230868</v>
      </c>
      <c r="H65" s="106">
        <f t="shared" si="26"/>
        <v>230868</v>
      </c>
      <c r="I65" s="106">
        <f t="shared" si="26"/>
        <v>230868</v>
      </c>
      <c r="J65" s="106">
        <f t="shared" si="26"/>
        <v>230868</v>
      </c>
      <c r="K65" s="106">
        <f t="shared" si="26"/>
        <v>230868</v>
      </c>
      <c r="L65" s="106">
        <f t="shared" si="26"/>
        <v>230868</v>
      </c>
      <c r="M65" s="106">
        <f t="shared" si="26"/>
        <v>230868</v>
      </c>
      <c r="N65" s="106">
        <f t="shared" si="26"/>
        <v>230868</v>
      </c>
      <c r="O65" s="106">
        <f t="shared" si="26"/>
        <v>230868</v>
      </c>
      <c r="P65" s="106">
        <f t="shared" si="26"/>
        <v>230868</v>
      </c>
      <c r="Q65" s="106">
        <f t="shared" si="26"/>
        <v>230868</v>
      </c>
    </row>
    <row r="66" spans="1:17" x14ac:dyDescent="0.25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6"/>
    </row>
    <row r="68" spans="1:17" x14ac:dyDescent="0.25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230868</v>
      </c>
      <c r="G68" s="26">
        <f t="shared" ref="G68:Q68" si="27">F68*$B$68+G69</f>
        <v>228559.32</v>
      </c>
      <c r="H68" s="26">
        <f t="shared" si="27"/>
        <v>226273.7268</v>
      </c>
      <c r="I68" s="26">
        <f t="shared" si="27"/>
        <v>224010.98953200001</v>
      </c>
      <c r="J68" s="26">
        <f t="shared" si="27"/>
        <v>221770.87963668001</v>
      </c>
      <c r="K68" s="26">
        <f t="shared" si="27"/>
        <v>219553.17084031319</v>
      </c>
      <c r="L68" s="26">
        <f t="shared" si="27"/>
        <v>217357.63913191005</v>
      </c>
      <c r="M68" s="26">
        <f t="shared" si="27"/>
        <v>215184.06274059095</v>
      </c>
      <c r="N68" s="26">
        <f t="shared" si="27"/>
        <v>213032.22211318504</v>
      </c>
      <c r="O68" s="26">
        <f t="shared" si="27"/>
        <v>210901.89989205319</v>
      </c>
      <c r="P68" s="26">
        <f t="shared" si="27"/>
        <v>208792.88089313265</v>
      </c>
      <c r="Q68" s="26">
        <f t="shared" si="27"/>
        <v>206704.95208420133</v>
      </c>
    </row>
    <row r="69" spans="1:17" x14ac:dyDescent="0.25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5">
      <c r="A70" s="8"/>
      <c r="C70" s="117"/>
    </row>
    <row r="71" spans="1:17" x14ac:dyDescent="0.25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230868</v>
      </c>
      <c r="G71" s="26">
        <f t="shared" ref="G71:Q71" si="29">F71*$B$71+G72</f>
        <v>233176.68</v>
      </c>
      <c r="H71" s="26">
        <f t="shared" si="29"/>
        <v>235508.44680000001</v>
      </c>
      <c r="I71" s="26">
        <f t="shared" si="29"/>
        <v>237863.53126800002</v>
      </c>
      <c r="J71" s="26">
        <f t="shared" si="29"/>
        <v>240242.16658068003</v>
      </c>
      <c r="K71" s="26">
        <f t="shared" si="29"/>
        <v>242644.58824648682</v>
      </c>
      <c r="L71" s="26">
        <f t="shared" si="29"/>
        <v>245071.03412895169</v>
      </c>
      <c r="M71" s="26">
        <f t="shared" si="29"/>
        <v>247521.74447024122</v>
      </c>
      <c r="N71" s="26">
        <f t="shared" si="29"/>
        <v>249996.96191494362</v>
      </c>
      <c r="O71" s="26">
        <f t="shared" si="29"/>
        <v>252496.93153409305</v>
      </c>
      <c r="P71" s="26">
        <f t="shared" si="29"/>
        <v>255021.90084943399</v>
      </c>
      <c r="Q71" s="26">
        <f t="shared" si="29"/>
        <v>257572.11985792834</v>
      </c>
    </row>
    <row r="72" spans="1:17" ht="13.8" thickBot="1" x14ac:dyDescent="0.3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5">
      <c r="A74" s="7" t="s">
        <v>23</v>
      </c>
    </row>
    <row r="75" spans="1:17" x14ac:dyDescent="0.25">
      <c r="A75" t="s">
        <v>127</v>
      </c>
    </row>
    <row r="76" spans="1:17" x14ac:dyDescent="0.25">
      <c r="A76" t="s">
        <v>129</v>
      </c>
    </row>
    <row r="77" spans="1:17" x14ac:dyDescent="0.25">
      <c r="A77" s="9" t="s">
        <v>0</v>
      </c>
      <c r="F77" s="25">
        <v>98685</v>
      </c>
      <c r="G77" s="106">
        <f>F77</f>
        <v>98685</v>
      </c>
      <c r="H77" s="106">
        <f t="shared" ref="H77:Q77" si="31">G77</f>
        <v>98685</v>
      </c>
      <c r="I77" s="106">
        <f t="shared" si="31"/>
        <v>98685</v>
      </c>
      <c r="J77" s="106">
        <f t="shared" si="31"/>
        <v>98685</v>
      </c>
      <c r="K77" s="106">
        <f t="shared" si="31"/>
        <v>98685</v>
      </c>
      <c r="L77" s="106">
        <f t="shared" si="31"/>
        <v>98685</v>
      </c>
      <c r="M77" s="106">
        <f t="shared" si="31"/>
        <v>98685</v>
      </c>
      <c r="N77" s="106">
        <f t="shared" si="31"/>
        <v>98685</v>
      </c>
      <c r="O77" s="106">
        <f t="shared" si="31"/>
        <v>98685</v>
      </c>
      <c r="P77" s="106">
        <f t="shared" si="31"/>
        <v>98685</v>
      </c>
      <c r="Q77" s="106">
        <f t="shared" si="31"/>
        <v>98685</v>
      </c>
    </row>
    <row r="78" spans="1:17" x14ac:dyDescent="0.25">
      <c r="A78" s="9"/>
    </row>
    <row r="79" spans="1:17" x14ac:dyDescent="0.25">
      <c r="A79" s="7" t="s">
        <v>90</v>
      </c>
    </row>
    <row r="80" spans="1:17" x14ac:dyDescent="0.25">
      <c r="A80" s="93" t="s">
        <v>44</v>
      </c>
      <c r="B80" s="23">
        <f>Assumptions!D20</f>
        <v>20</v>
      </c>
      <c r="C80" s="372">
        <f>Asset5PurPrice</f>
        <v>394403.67272194655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5">
      <c r="A81" s="2" t="s">
        <v>10</v>
      </c>
      <c r="C81" s="100"/>
      <c r="D81" s="100"/>
      <c r="E81" s="56"/>
      <c r="F81" s="19"/>
      <c r="G81" s="31">
        <f>C80/B80</f>
        <v>19720.183636097328</v>
      </c>
      <c r="H81" s="31">
        <f t="shared" ref="H81:Q81" si="33">+G81</f>
        <v>19720.183636097328</v>
      </c>
      <c r="I81" s="31">
        <f t="shared" si="33"/>
        <v>19720.183636097328</v>
      </c>
      <c r="J81" s="31">
        <f t="shared" si="33"/>
        <v>19720.183636097328</v>
      </c>
      <c r="K81" s="31">
        <f t="shared" si="33"/>
        <v>19720.183636097328</v>
      </c>
      <c r="L81" s="31">
        <f t="shared" si="33"/>
        <v>19720.183636097328</v>
      </c>
      <c r="M81" s="31">
        <f t="shared" si="33"/>
        <v>19720.183636097328</v>
      </c>
      <c r="N81" s="31">
        <f t="shared" si="33"/>
        <v>19720.183636097328</v>
      </c>
      <c r="O81" s="31">
        <f t="shared" si="33"/>
        <v>19720.183636097328</v>
      </c>
      <c r="P81" s="31">
        <f t="shared" si="33"/>
        <v>19720.183636097328</v>
      </c>
      <c r="Q81" s="31">
        <f t="shared" si="33"/>
        <v>19720.183636097328</v>
      </c>
    </row>
    <row r="82" spans="1:17" ht="15" x14ac:dyDescent="0.4">
      <c r="A82" s="2" t="s">
        <v>11</v>
      </c>
      <c r="E82" s="56"/>
      <c r="F82" s="19"/>
      <c r="G82" s="6">
        <f>($G$29*G80)</f>
        <v>4934.25</v>
      </c>
      <c r="H82" s="6">
        <f>($G$29*H80)+($H$29*G80)</f>
        <v>9868.5</v>
      </c>
      <c r="I82" s="6">
        <f>($G$29*I80)+($H$29*H80)+($I$29*G80)</f>
        <v>14802.75</v>
      </c>
      <c r="J82" s="6">
        <f>($G$29*J80)+($H$29*I80)+($I$29*H80)+($J$29*G80)</f>
        <v>19737</v>
      </c>
      <c r="K82" s="6">
        <f>($G$29*K80)+($H$29*J80)+($I$29*I80)+($J$29*H80)+($K$29*G80)</f>
        <v>24671.25</v>
      </c>
      <c r="L82" s="6">
        <f>($G$29*L80)+($H$29*K80)+($I$29*J80)+($J$29*I80)+($K$29*H80)+($L$29*G80)</f>
        <v>29605.5</v>
      </c>
      <c r="M82" s="6">
        <f>($G$29*M80)+($H$29*L80)+($I$29*K80)+($J$29*J80)+($K$29*I80)+($L$29*H80)+($M$29*G80)</f>
        <v>34539.75</v>
      </c>
      <c r="N82" s="6">
        <f>($G$29*N80)+($H$29*M80)+($I$29*L80)+($J$29*K80)+($K$29*J80)+($L$29*I80)+($M$29*H80)+($N$29*G80)</f>
        <v>39474</v>
      </c>
      <c r="O82" s="6">
        <f>($G$29*O80)+($H$29*N80)+($I$29*M80)+($J$29*L80)+($K$29*K80)+($L$29*J80)+($M$29*I80)+($N$29*H80)+($O$29*G80)</f>
        <v>44408.25</v>
      </c>
      <c r="P82" s="6">
        <f>($G$29*P80)+($H$29*O80)+($I$29*N80)+($J$29*M80)+($K$29*L80)+($L$29*K80)+($M$29*J80)+($N$29*I80)+($O$29*H80)+($P$29*G80)</f>
        <v>49342.5</v>
      </c>
      <c r="Q82" s="6">
        <f>($G$29*Q80)+($H$29*P80)+($I$29*O80)+($J$29*N80)+($K$29*M80)+($L$29*L80)+($M$29*K80)+($N$29*J80)+($O$29*I80)+($P$29*H80)+($Q$29*G80)</f>
        <v>54276.75</v>
      </c>
    </row>
    <row r="83" spans="1:17" x14ac:dyDescent="0.25">
      <c r="A83" s="9" t="s">
        <v>0</v>
      </c>
      <c r="E83" s="56"/>
      <c r="F83" s="19"/>
      <c r="G83" s="1">
        <f t="shared" ref="G83:Q83" si="34">SUM(G81:G82)</f>
        <v>24654.433636097328</v>
      </c>
      <c r="H83" s="1">
        <f t="shared" si="34"/>
        <v>29588.683636097328</v>
      </c>
      <c r="I83" s="1">
        <f t="shared" si="34"/>
        <v>34522.933636097325</v>
      </c>
      <c r="J83" s="13">
        <f t="shared" si="34"/>
        <v>39457.183636097325</v>
      </c>
      <c r="K83" s="13">
        <f t="shared" si="34"/>
        <v>44391.433636097325</v>
      </c>
      <c r="L83" s="1">
        <f t="shared" si="34"/>
        <v>49325.683636097325</v>
      </c>
      <c r="M83" s="1">
        <f t="shared" si="34"/>
        <v>54259.933636097325</v>
      </c>
      <c r="N83" s="1">
        <f t="shared" si="34"/>
        <v>59194.183636097325</v>
      </c>
      <c r="O83" s="1">
        <f t="shared" si="34"/>
        <v>64128.433636097325</v>
      </c>
      <c r="P83" s="1">
        <f t="shared" si="34"/>
        <v>69062.683636097325</v>
      </c>
      <c r="Q83" s="1">
        <f t="shared" si="34"/>
        <v>73996.933636097325</v>
      </c>
    </row>
    <row r="84" spans="1:17" x14ac:dyDescent="0.25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5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5">
      <c r="A86" s="2" t="s">
        <v>10</v>
      </c>
      <c r="B86" s="15"/>
      <c r="E86" s="56"/>
      <c r="F86" s="19"/>
      <c r="G86" s="1">
        <f t="shared" ref="G86:Q86" si="35">G85*$C$80</f>
        <v>19720.183636097328</v>
      </c>
      <c r="H86" s="1">
        <f t="shared" si="35"/>
        <v>37468.348908584921</v>
      </c>
      <c r="I86" s="1">
        <f t="shared" si="35"/>
        <v>33721.514017726433</v>
      </c>
      <c r="J86" s="1">
        <f t="shared" si="35"/>
        <v>30369.082799589884</v>
      </c>
      <c r="K86" s="1">
        <f t="shared" si="35"/>
        <v>27332.174519630895</v>
      </c>
      <c r="L86" s="1">
        <f t="shared" si="35"/>
        <v>24571.34881057727</v>
      </c>
      <c r="M86" s="1">
        <f t="shared" si="35"/>
        <v>23269.816690594846</v>
      </c>
      <c r="N86" s="1">
        <f t="shared" si="35"/>
        <v>23269.816690594846</v>
      </c>
      <c r="O86" s="1">
        <f t="shared" si="35"/>
        <v>23309.257057867042</v>
      </c>
      <c r="P86" s="1">
        <f t="shared" si="35"/>
        <v>23269.816690594846</v>
      </c>
      <c r="Q86" s="1">
        <f t="shared" si="35"/>
        <v>23309.257057867042</v>
      </c>
    </row>
    <row r="87" spans="1:17" ht="15" x14ac:dyDescent="0.4">
      <c r="A87" s="2" t="s">
        <v>11</v>
      </c>
      <c r="B87" s="16"/>
      <c r="E87" s="127"/>
      <c r="F87" s="19"/>
      <c r="G87" s="6">
        <f>($G$29*G$85)</f>
        <v>4934.25</v>
      </c>
      <c r="H87" s="6">
        <f>($G$29*H85)+($H$29*G85)</f>
        <v>14309.325000000001</v>
      </c>
      <c r="I87" s="6">
        <f>($G$29*I85)+($H$29*H85)+($I$29*G85)</f>
        <v>22746.892500000002</v>
      </c>
      <c r="J87" s="6">
        <f>($G$29*J85)+($H$29*I85)+($I$29*H85)+($J$29*G85)</f>
        <v>30345.637500000001</v>
      </c>
      <c r="K87" s="6">
        <f>($G$29*K85)+($H$29*J85)+($I$29*I85)+($J$29*H85)+($K$29*G85)</f>
        <v>37184.508000000002</v>
      </c>
      <c r="L87" s="6">
        <f>($G$29*L85)+($H$29*K85)+($I$29*J85)+($J$29*I85)+($K$29*H85)+($L$29*G85)</f>
        <v>43332.583500000001</v>
      </c>
      <c r="M87" s="6">
        <f>($G$29*M85)+($H$29*L85)+($I$29*K85)+($J$29*J85)+($K$29*I85)+($L$29*H85)+($M$29*G85)</f>
        <v>49154.998500000002</v>
      </c>
      <c r="N87" s="6">
        <f>($G$29*N85)+($H$29*M85)+($I$29*L85)+($J$29*K85)+($K$29*J85)+($L$29*I85)+($M$29*H85)+($N$29*G85)</f>
        <v>54977.413499999995</v>
      </c>
      <c r="O87" s="6">
        <f>($G$29*O85)+($H$29*N85)+($I$29*M85)+($J$29*L85)+($K$29*K85)+($L$29*J85)+($M$29*I85)+($N$29*H85)+($O$29*G85)</f>
        <v>60809.697</v>
      </c>
      <c r="P87" s="6">
        <f>($G$29*P85)+($H$29*O85)+($I$29*N85)+($J$29*M85)+($K$29*L85)+($L$29*K85)+($M$29*J85)+($N$29*I85)+($O$29*H85)+($P$29*G85)</f>
        <v>66632.111999999994</v>
      </c>
      <c r="Q87" s="6">
        <f>($G$29*Q85)+($H$29*P85)+($I$29*O85)+($J$29*N85)+($K$29*M85)+($L$29*L85)+($M$29*K85)+($N$29*J85)+($O$29*I85)+($P$29*H85)+($Q$29*G85)</f>
        <v>72464.395499999999</v>
      </c>
    </row>
    <row r="88" spans="1:17" x14ac:dyDescent="0.25">
      <c r="A88" s="9" t="s">
        <v>0</v>
      </c>
      <c r="E88" s="56"/>
      <c r="F88" s="19"/>
      <c r="G88" s="1">
        <f t="shared" ref="G88:Q88" si="36">SUM(G86:G87)</f>
        <v>24654.433636097328</v>
      </c>
      <c r="H88" s="1">
        <f t="shared" si="36"/>
        <v>51777.673908584926</v>
      </c>
      <c r="I88" s="1">
        <f t="shared" si="36"/>
        <v>56468.406517726435</v>
      </c>
      <c r="J88" s="13">
        <f t="shared" si="36"/>
        <v>60714.720299589884</v>
      </c>
      <c r="K88" s="13">
        <f t="shared" si="36"/>
        <v>64516.682519630893</v>
      </c>
      <c r="L88" s="1">
        <f t="shared" si="36"/>
        <v>67903.932310577278</v>
      </c>
      <c r="M88" s="1">
        <f t="shared" si="36"/>
        <v>72424.815190594847</v>
      </c>
      <c r="N88" s="1">
        <f t="shared" si="36"/>
        <v>78247.230190594841</v>
      </c>
      <c r="O88" s="1">
        <f t="shared" si="36"/>
        <v>84118.954057867042</v>
      </c>
      <c r="P88" s="1">
        <f t="shared" si="36"/>
        <v>89901.928690594839</v>
      </c>
      <c r="Q88" s="1">
        <f t="shared" si="36"/>
        <v>95773.652557867041</v>
      </c>
    </row>
  </sheetData>
  <mergeCells count="1">
    <mergeCell ref="K33:M33"/>
  </mergeCells>
  <phoneticPr fontId="0" type="noConversion"/>
  <conditionalFormatting sqref="D68 D71 D54 D51 C11:D11 D14:D15 D47:D48 D64:D65">
    <cfRule type="cellIs" dxfId="1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11514"/>
  <dimension ref="A1:R88"/>
  <sheetViews>
    <sheetView topLeftCell="A33" zoomScale="75" zoomScaleNormal="75" workbookViewId="0">
      <selection activeCell="G36" sqref="G36"/>
    </sheetView>
  </sheetViews>
  <sheetFormatPr defaultRowHeight="13.2" x14ac:dyDescent="0.25"/>
  <cols>
    <col min="1" max="1" width="28.109375" customWidth="1"/>
    <col min="2" max="2" width="14" bestFit="1" customWidth="1"/>
    <col min="3" max="3" width="12.88671875" customWidth="1"/>
    <col min="4" max="4" width="11.88671875" customWidth="1"/>
    <col min="5" max="5" width="9.109375" style="24" customWidth="1"/>
    <col min="6" max="6" width="13" style="24" bestFit="1" customWidth="1"/>
    <col min="7" max="7" width="12.33203125" customWidth="1"/>
    <col min="8" max="9" width="14.109375" bestFit="1" customWidth="1"/>
    <col min="10" max="10" width="12.33203125" bestFit="1" customWidth="1"/>
    <col min="11" max="11" width="12.33203125" customWidth="1"/>
    <col min="12" max="12" width="14" customWidth="1"/>
    <col min="13" max="14" width="13.44140625" customWidth="1"/>
    <col min="15" max="17" width="12.33203125" customWidth="1"/>
    <col min="18" max="18" width="13.44140625" customWidth="1"/>
  </cols>
  <sheetData>
    <row r="1" spans="1:18" ht="18" thickBot="1" x14ac:dyDescent="0.35">
      <c r="A1" s="374" t="str">
        <f>Assumptions!D5</f>
        <v>Oneok</v>
      </c>
      <c r="B1" s="38"/>
      <c r="E1" s="79"/>
    </row>
    <row r="2" spans="1:18" ht="15.6" x14ac:dyDescent="0.3">
      <c r="A2" s="377" t="s">
        <v>227</v>
      </c>
      <c r="B2" s="265"/>
      <c r="E2" s="56"/>
      <c r="F2" s="318" t="s">
        <v>172</v>
      </c>
      <c r="G2" s="283"/>
      <c r="H2" s="284"/>
      <c r="I2" s="73"/>
      <c r="R2" s="24"/>
    </row>
    <row r="3" spans="1:18" x14ac:dyDescent="0.25">
      <c r="A3" s="266"/>
      <c r="B3" s="265"/>
      <c r="E3" s="56"/>
      <c r="F3" s="285" t="str">
        <f>IF(Asset6Loop&lt;&gt;0,"Run Macro","")</f>
        <v/>
      </c>
      <c r="G3" s="73"/>
      <c r="H3" s="286"/>
      <c r="I3" s="73"/>
      <c r="R3" s="24"/>
    </row>
    <row r="4" spans="1:18" ht="13.8" thickBot="1" x14ac:dyDescent="0.3">
      <c r="A4" s="266"/>
      <c r="B4" s="265"/>
      <c r="E4" s="56"/>
      <c r="F4" s="287"/>
      <c r="G4" s="288"/>
      <c r="H4" s="289"/>
      <c r="I4" s="73"/>
      <c r="R4" s="24"/>
    </row>
    <row r="5" spans="1:18" x14ac:dyDescent="0.25">
      <c r="A5" s="266"/>
      <c r="B5" s="265"/>
      <c r="E5" s="56"/>
      <c r="F5" s="387"/>
      <c r="G5" s="73"/>
      <c r="H5" s="73"/>
      <c r="I5" s="73"/>
      <c r="R5" s="24"/>
    </row>
    <row r="6" spans="1:18" x14ac:dyDescent="0.25">
      <c r="A6" s="266"/>
      <c r="B6" s="265"/>
      <c r="E6" s="56"/>
      <c r="G6" s="73"/>
      <c r="H6" s="73"/>
      <c r="I6" s="73"/>
      <c r="R6" s="24"/>
    </row>
    <row r="7" spans="1:18" x14ac:dyDescent="0.25">
      <c r="E7" s="104"/>
      <c r="F7" s="35">
        <f>G7-1</f>
        <v>1999</v>
      </c>
      <c r="G7" s="34">
        <f>Assumptions!$D$12</f>
        <v>2000</v>
      </c>
      <c r="H7" s="34">
        <f t="shared" ref="H7:Q7" si="0">G7+1</f>
        <v>2001</v>
      </c>
      <c r="I7" s="34">
        <f t="shared" si="0"/>
        <v>2002</v>
      </c>
      <c r="J7" s="34">
        <f t="shared" si="0"/>
        <v>2003</v>
      </c>
      <c r="K7" s="34">
        <f t="shared" si="0"/>
        <v>2004</v>
      </c>
      <c r="L7" s="34">
        <f t="shared" si="0"/>
        <v>2005</v>
      </c>
      <c r="M7" s="34">
        <f t="shared" si="0"/>
        <v>2006</v>
      </c>
      <c r="N7" s="34">
        <f t="shared" si="0"/>
        <v>2007</v>
      </c>
      <c r="O7" s="34">
        <f t="shared" si="0"/>
        <v>2008</v>
      </c>
      <c r="P7" s="34">
        <f t="shared" si="0"/>
        <v>2009</v>
      </c>
      <c r="Q7" s="34">
        <f t="shared" si="0"/>
        <v>2010</v>
      </c>
      <c r="R7" s="24"/>
    </row>
    <row r="8" spans="1:18" x14ac:dyDescent="0.25">
      <c r="A8" s="10" t="s">
        <v>91</v>
      </c>
      <c r="E8" s="56"/>
      <c r="F8" s="19"/>
      <c r="G8" s="1"/>
      <c r="H8" s="1"/>
      <c r="I8" s="1"/>
      <c r="J8" s="13"/>
      <c r="K8" s="13"/>
      <c r="L8" s="1"/>
      <c r="M8" s="1"/>
      <c r="N8" s="1"/>
      <c r="O8" s="1"/>
      <c r="P8" s="1"/>
      <c r="Q8" s="1"/>
      <c r="R8" s="24"/>
    </row>
    <row r="9" spans="1:18" x14ac:dyDescent="0.25">
      <c r="E9" s="56"/>
      <c r="F9" s="19"/>
      <c r="H9" s="1"/>
      <c r="I9" s="1"/>
      <c r="J9" s="13"/>
      <c r="K9" s="13"/>
      <c r="L9" s="1"/>
      <c r="M9" s="1"/>
      <c r="N9" s="1"/>
      <c r="O9" s="1"/>
      <c r="P9" s="1"/>
      <c r="Q9" s="1"/>
      <c r="R9" s="24"/>
    </row>
    <row r="10" spans="1:18" x14ac:dyDescent="0.25">
      <c r="D10" s="107"/>
      <c r="E10" s="56"/>
      <c r="F10" s="19"/>
      <c r="G10" s="83" t="str">
        <f>IF(C43=1,A46,IF(C43=2,A51,A54))</f>
        <v>1. Base Case</v>
      </c>
      <c r="H10" s="1"/>
      <c r="I10" s="1"/>
      <c r="J10" s="13"/>
      <c r="K10" s="13"/>
      <c r="L10" s="1"/>
      <c r="M10" s="1"/>
      <c r="N10" s="1"/>
      <c r="O10" s="1"/>
      <c r="P10" s="1"/>
      <c r="Q10" s="1"/>
      <c r="R10" s="24"/>
    </row>
    <row r="11" spans="1:18" x14ac:dyDescent="0.25">
      <c r="A11" s="120" t="s">
        <v>65</v>
      </c>
      <c r="B11" s="132"/>
      <c r="C11" s="124"/>
      <c r="D11" s="124"/>
      <c r="E11" s="101"/>
      <c r="F11" s="32">
        <f t="shared" ref="F11:Q11" si="1">F43</f>
        <v>-15471</v>
      </c>
      <c r="G11" s="97">
        <f t="shared" si="1"/>
        <v>-15471</v>
      </c>
      <c r="H11" s="97">
        <f t="shared" si="1"/>
        <v>-15471</v>
      </c>
      <c r="I11" s="97">
        <f t="shared" si="1"/>
        <v>-15471</v>
      </c>
      <c r="J11" s="97">
        <f t="shared" si="1"/>
        <v>-15471</v>
      </c>
      <c r="K11" s="97">
        <f t="shared" si="1"/>
        <v>-15471</v>
      </c>
      <c r="L11" s="97">
        <f t="shared" si="1"/>
        <v>-15471</v>
      </c>
      <c r="M11" s="97">
        <f t="shared" si="1"/>
        <v>-15471</v>
      </c>
      <c r="N11" s="97">
        <f t="shared" si="1"/>
        <v>-15471</v>
      </c>
      <c r="O11" s="97">
        <f t="shared" si="1"/>
        <v>-15471</v>
      </c>
      <c r="P11" s="97">
        <f t="shared" si="1"/>
        <v>-15471</v>
      </c>
      <c r="Q11" s="97">
        <f t="shared" si="1"/>
        <v>-15471</v>
      </c>
      <c r="R11" s="24"/>
    </row>
    <row r="12" spans="1:18" x14ac:dyDescent="0.25">
      <c r="E12" s="56"/>
      <c r="F12" s="125"/>
      <c r="G12" s="13"/>
      <c r="H12" s="13"/>
      <c r="I12" s="13"/>
      <c r="J12" s="13"/>
      <c r="K12" s="13"/>
      <c r="L12" s="1"/>
      <c r="M12" s="1"/>
      <c r="N12" s="1"/>
      <c r="O12" s="1"/>
      <c r="P12" s="1"/>
      <c r="Q12" s="1"/>
      <c r="R12" s="24"/>
    </row>
    <row r="13" spans="1:18" x14ac:dyDescent="0.25">
      <c r="D13" s="107"/>
      <c r="E13" s="108"/>
      <c r="F13" s="19"/>
      <c r="G13" s="83" t="str">
        <f>IF(C60=1,A63,IF(C60=2,A68,A71))</f>
        <v>1. Base Case</v>
      </c>
      <c r="H13" s="13"/>
      <c r="I13" s="13"/>
      <c r="J13" s="13"/>
      <c r="K13" s="13"/>
      <c r="L13" s="1"/>
      <c r="M13" s="1"/>
      <c r="N13" s="1"/>
      <c r="O13" s="1"/>
      <c r="P13" s="1"/>
      <c r="Q13" s="1"/>
      <c r="R13" s="24"/>
    </row>
    <row r="14" spans="1:18" x14ac:dyDescent="0.25">
      <c r="A14" s="38" t="s">
        <v>6</v>
      </c>
      <c r="B14" s="131"/>
      <c r="C14" s="38"/>
      <c r="D14" s="124"/>
      <c r="E14" s="121"/>
      <c r="F14" s="32">
        <f t="shared" ref="F14:Q14" si="2">F60</f>
        <v>-19146</v>
      </c>
      <c r="G14" s="97">
        <f t="shared" si="2"/>
        <v>-19146</v>
      </c>
      <c r="H14" s="97">
        <f t="shared" si="2"/>
        <v>-19146</v>
      </c>
      <c r="I14" s="97">
        <f t="shared" si="2"/>
        <v>-19146</v>
      </c>
      <c r="J14" s="97">
        <f t="shared" si="2"/>
        <v>-19146</v>
      </c>
      <c r="K14" s="97">
        <f t="shared" si="2"/>
        <v>-19146</v>
      </c>
      <c r="L14" s="97">
        <f t="shared" si="2"/>
        <v>-19146</v>
      </c>
      <c r="M14" s="97">
        <f t="shared" si="2"/>
        <v>-19146</v>
      </c>
      <c r="N14" s="97">
        <f t="shared" si="2"/>
        <v>-19146</v>
      </c>
      <c r="O14" s="97">
        <f t="shared" si="2"/>
        <v>-19146</v>
      </c>
      <c r="P14" s="97">
        <f t="shared" si="2"/>
        <v>-19146</v>
      </c>
      <c r="Q14" s="97">
        <f t="shared" si="2"/>
        <v>-19146</v>
      </c>
      <c r="R14" s="24"/>
    </row>
    <row r="15" spans="1:18" x14ac:dyDescent="0.25">
      <c r="A15" s="8" t="s">
        <v>82</v>
      </c>
      <c r="B15" s="8"/>
      <c r="C15" s="8"/>
      <c r="D15" s="134"/>
      <c r="E15" s="135"/>
      <c r="F15" s="136">
        <f t="shared" ref="F15:Q15" si="3">F11/F14</f>
        <v>0.80805390159824508</v>
      </c>
      <c r="G15" s="137">
        <f t="shared" si="3"/>
        <v>0.80805390159824508</v>
      </c>
      <c r="H15" s="137">
        <f t="shared" si="3"/>
        <v>0.80805390159824508</v>
      </c>
      <c r="I15" s="137">
        <f t="shared" si="3"/>
        <v>0.80805390159824508</v>
      </c>
      <c r="J15" s="137">
        <f t="shared" si="3"/>
        <v>0.80805390159824508</v>
      </c>
      <c r="K15" s="137">
        <f t="shared" si="3"/>
        <v>0.80805390159824508</v>
      </c>
      <c r="L15" s="137">
        <f t="shared" si="3"/>
        <v>0.80805390159824508</v>
      </c>
      <c r="M15" s="137">
        <f t="shared" si="3"/>
        <v>0.80805390159824508</v>
      </c>
      <c r="N15" s="137">
        <f t="shared" si="3"/>
        <v>0.80805390159824508</v>
      </c>
      <c r="O15" s="137">
        <f t="shared" si="3"/>
        <v>0.80805390159824508</v>
      </c>
      <c r="P15" s="137">
        <f t="shared" si="3"/>
        <v>0.80805390159824508</v>
      </c>
      <c r="Q15" s="137">
        <f t="shared" si="3"/>
        <v>0.80805390159824508</v>
      </c>
      <c r="R15" s="24"/>
    </row>
    <row r="16" spans="1:18" x14ac:dyDescent="0.25">
      <c r="A16" s="50" t="s">
        <v>1</v>
      </c>
      <c r="B16" s="37"/>
      <c r="C16" s="37"/>
      <c r="D16" s="37"/>
      <c r="E16" s="105"/>
      <c r="F16" s="57">
        <f t="shared" ref="F16:Q16" si="4">(F11-F14)</f>
        <v>3675</v>
      </c>
      <c r="G16" s="54">
        <f t="shared" si="4"/>
        <v>3675</v>
      </c>
      <c r="H16" s="54">
        <f t="shared" si="4"/>
        <v>3675</v>
      </c>
      <c r="I16" s="54">
        <f t="shared" si="4"/>
        <v>3675</v>
      </c>
      <c r="J16" s="54">
        <f t="shared" si="4"/>
        <v>3675</v>
      </c>
      <c r="K16" s="54">
        <f t="shared" si="4"/>
        <v>3675</v>
      </c>
      <c r="L16" s="54">
        <f t="shared" si="4"/>
        <v>3675</v>
      </c>
      <c r="M16" s="54">
        <f t="shared" si="4"/>
        <v>3675</v>
      </c>
      <c r="N16" s="54">
        <f t="shared" si="4"/>
        <v>3675</v>
      </c>
      <c r="O16" s="54">
        <f t="shared" si="4"/>
        <v>3675</v>
      </c>
      <c r="P16" s="54">
        <f t="shared" si="4"/>
        <v>3675</v>
      </c>
      <c r="Q16" s="55">
        <f t="shared" si="4"/>
        <v>3675</v>
      </c>
      <c r="R16" s="24"/>
    </row>
    <row r="17" spans="1:18" x14ac:dyDescent="0.25">
      <c r="E17" s="56"/>
      <c r="F17" s="19"/>
      <c r="G17" s="1"/>
      <c r="H17" s="1"/>
      <c r="I17" s="1"/>
      <c r="J17" s="13"/>
      <c r="K17" s="13"/>
      <c r="L17" s="1"/>
      <c r="M17" s="1"/>
      <c r="N17" s="1"/>
      <c r="O17" s="1"/>
      <c r="P17" s="1"/>
      <c r="Q17" s="1"/>
      <c r="R17" s="24"/>
    </row>
    <row r="18" spans="1:18" x14ac:dyDescent="0.25">
      <c r="A18" t="s">
        <v>7</v>
      </c>
      <c r="B18" s="16"/>
      <c r="E18" s="56"/>
      <c r="F18" s="19">
        <v>0</v>
      </c>
      <c r="G18" s="31">
        <f t="shared" ref="G18:Q18" si="5">G83</f>
        <v>31.598430842348279</v>
      </c>
      <c r="H18" s="31">
        <f t="shared" si="5"/>
        <v>234.99843084234828</v>
      </c>
      <c r="I18" s="31">
        <f t="shared" si="5"/>
        <v>438.39843084234832</v>
      </c>
      <c r="J18" s="31">
        <f t="shared" si="5"/>
        <v>641.79843084234835</v>
      </c>
      <c r="K18" s="31">
        <f t="shared" si="5"/>
        <v>845.19843084234822</v>
      </c>
      <c r="L18" s="31">
        <f t="shared" si="5"/>
        <v>1048.5984308423483</v>
      </c>
      <c r="M18" s="31">
        <f t="shared" si="5"/>
        <v>1251.9984308423484</v>
      </c>
      <c r="N18" s="31">
        <f t="shared" si="5"/>
        <v>1455.3984308423485</v>
      </c>
      <c r="O18" s="31">
        <f t="shared" si="5"/>
        <v>1658.7984308423486</v>
      </c>
      <c r="P18" s="31">
        <f t="shared" si="5"/>
        <v>1862.1984308423487</v>
      </c>
      <c r="Q18" s="31">
        <f t="shared" si="5"/>
        <v>2065.598430842349</v>
      </c>
      <c r="R18" s="24"/>
    </row>
    <row r="19" spans="1:18" x14ac:dyDescent="0.25">
      <c r="E19" s="56"/>
      <c r="F19" s="19"/>
      <c r="G19" s="1"/>
      <c r="H19" s="1"/>
      <c r="I19" s="1"/>
      <c r="J19" s="13"/>
      <c r="K19" s="13"/>
      <c r="L19" s="1"/>
      <c r="M19" s="1"/>
      <c r="N19" s="1"/>
      <c r="O19" s="1"/>
      <c r="P19" s="1"/>
      <c r="Q19" s="1"/>
      <c r="R19" s="24"/>
    </row>
    <row r="20" spans="1:18" x14ac:dyDescent="0.25">
      <c r="A20" s="50" t="s">
        <v>2</v>
      </c>
      <c r="B20" s="37"/>
      <c r="C20" s="37"/>
      <c r="D20" s="37"/>
      <c r="E20" s="105"/>
      <c r="F20" s="57">
        <f t="shared" ref="F20:Q20" si="6">F16-F18</f>
        <v>3675</v>
      </c>
      <c r="G20" s="58">
        <f t="shared" si="6"/>
        <v>3643.4015691576519</v>
      </c>
      <c r="H20" s="58">
        <f t="shared" si="6"/>
        <v>3440.0015691576518</v>
      </c>
      <c r="I20" s="58">
        <f t="shared" si="6"/>
        <v>3236.6015691576517</v>
      </c>
      <c r="J20" s="54">
        <f t="shared" si="6"/>
        <v>3033.2015691576516</v>
      </c>
      <c r="K20" s="54">
        <f t="shared" si="6"/>
        <v>2829.801569157652</v>
      </c>
      <c r="L20" s="58">
        <f t="shared" si="6"/>
        <v>2626.4015691576515</v>
      </c>
      <c r="M20" s="58">
        <f t="shared" si="6"/>
        <v>2423.0015691576518</v>
      </c>
      <c r="N20" s="58">
        <f t="shared" si="6"/>
        <v>2219.6015691576513</v>
      </c>
      <c r="O20" s="58">
        <f t="shared" si="6"/>
        <v>2016.2015691576514</v>
      </c>
      <c r="P20" s="58">
        <f t="shared" si="6"/>
        <v>1812.8015691576513</v>
      </c>
      <c r="Q20" s="59">
        <f t="shared" si="6"/>
        <v>1609.401569157651</v>
      </c>
      <c r="R20" s="24"/>
    </row>
    <row r="21" spans="1:18" x14ac:dyDescent="0.25">
      <c r="E21" s="56"/>
      <c r="F21" s="19"/>
      <c r="G21" s="1"/>
      <c r="H21" s="1"/>
      <c r="I21" s="1"/>
      <c r="J21" s="13"/>
      <c r="K21" s="13"/>
      <c r="L21" s="1"/>
      <c r="M21" s="1"/>
      <c r="N21" s="1"/>
      <c r="O21" s="1"/>
      <c r="P21" s="1"/>
      <c r="Q21" s="1"/>
      <c r="R21" s="24"/>
    </row>
    <row r="22" spans="1:18" x14ac:dyDescent="0.25">
      <c r="A22" s="2" t="s">
        <v>3</v>
      </c>
      <c r="E22" s="127"/>
      <c r="F22" s="19"/>
      <c r="G22" s="1">
        <f t="shared" ref="G22:Q22" si="7">$B$24*(G16-G88)</f>
        <v>1402.7096041256959</v>
      </c>
      <c r="H22" s="1">
        <f t="shared" si="7"/>
        <v>1313.4517478388223</v>
      </c>
      <c r="I22" s="1">
        <f t="shared" si="7"/>
        <v>1166.9760730549399</v>
      </c>
      <c r="J22" s="1">
        <f t="shared" si="7"/>
        <v>1035.1358003535718</v>
      </c>
      <c r="K22" s="1">
        <f t="shared" si="7"/>
        <v>916.41341131821457</v>
      </c>
      <c r="L22" s="1">
        <f t="shared" si="7"/>
        <v>809.58029274061698</v>
      </c>
      <c r="M22" s="1">
        <f t="shared" si="7"/>
        <v>712.81019486832122</v>
      </c>
      <c r="N22" s="1">
        <f t="shared" si="7"/>
        <v>620.40557486832131</v>
      </c>
      <c r="O22" s="1">
        <f t="shared" si="7"/>
        <v>527.97662407657265</v>
      </c>
      <c r="P22" s="1">
        <f t="shared" si="7"/>
        <v>435.43971686832123</v>
      </c>
      <c r="Q22" s="1">
        <f t="shared" si="7"/>
        <v>343.01076607657268</v>
      </c>
      <c r="R22" s="24"/>
    </row>
    <row r="23" spans="1:18" ht="15" x14ac:dyDescent="0.4">
      <c r="A23" s="2" t="s">
        <v>4</v>
      </c>
      <c r="E23" s="102"/>
      <c r="F23" s="18"/>
      <c r="G23" s="3">
        <f t="shared" ref="G23:Q23" si="8">G24-G22</f>
        <v>0</v>
      </c>
      <c r="H23" s="3">
        <f t="shared" si="8"/>
        <v>10.948856286873706</v>
      </c>
      <c r="I23" s="3">
        <f t="shared" si="8"/>
        <v>79.115531070756106</v>
      </c>
      <c r="J23" s="3">
        <f t="shared" si="8"/>
        <v>132.64680377212403</v>
      </c>
      <c r="K23" s="3">
        <f t="shared" si="8"/>
        <v>173.06019280748149</v>
      </c>
      <c r="L23" s="3">
        <f t="shared" si="8"/>
        <v>201.58431138507888</v>
      </c>
      <c r="M23" s="3">
        <f t="shared" si="8"/>
        <v>220.04540925737479</v>
      </c>
      <c r="N23" s="3">
        <f t="shared" si="8"/>
        <v>234.1410292573745</v>
      </c>
      <c r="O23" s="3">
        <f t="shared" si="8"/>
        <v>248.26098004912319</v>
      </c>
      <c r="P23" s="3">
        <f t="shared" si="8"/>
        <v>262.48888725737453</v>
      </c>
      <c r="Q23" s="3">
        <f t="shared" si="8"/>
        <v>276.60883804912299</v>
      </c>
      <c r="R23" s="24"/>
    </row>
    <row r="24" spans="1:18" x14ac:dyDescent="0.25">
      <c r="A24" s="4" t="s">
        <v>0</v>
      </c>
      <c r="B24" s="163">
        <f>Assumptions!D19</f>
        <v>0.38500000000000001</v>
      </c>
      <c r="E24" s="127"/>
      <c r="F24" s="19">
        <v>0</v>
      </c>
      <c r="G24" s="1">
        <f t="shared" ref="G24:Q24" si="9">$B$24*G20</f>
        <v>1402.7096041256959</v>
      </c>
      <c r="H24" s="1">
        <f t="shared" si="9"/>
        <v>1324.400604125696</v>
      </c>
      <c r="I24" s="1">
        <f t="shared" si="9"/>
        <v>1246.091604125696</v>
      </c>
      <c r="J24" s="1">
        <f t="shared" si="9"/>
        <v>1167.7826041256958</v>
      </c>
      <c r="K24" s="1">
        <f t="shared" si="9"/>
        <v>1089.4736041256961</v>
      </c>
      <c r="L24" s="1">
        <f t="shared" si="9"/>
        <v>1011.1646041256959</v>
      </c>
      <c r="M24" s="1">
        <f t="shared" si="9"/>
        <v>932.855604125696</v>
      </c>
      <c r="N24" s="1">
        <f t="shared" si="9"/>
        <v>854.54660412569581</v>
      </c>
      <c r="O24" s="1">
        <f t="shared" si="9"/>
        <v>776.23760412569584</v>
      </c>
      <c r="P24" s="1">
        <f t="shared" si="9"/>
        <v>697.92860412569576</v>
      </c>
      <c r="Q24" s="1">
        <f t="shared" si="9"/>
        <v>619.61960412569567</v>
      </c>
      <c r="R24" s="24"/>
    </row>
    <row r="25" spans="1:18" x14ac:dyDescent="0.25">
      <c r="A25" s="1"/>
      <c r="B25" s="23"/>
      <c r="E25" s="56"/>
      <c r="F25" s="19"/>
      <c r="G25" s="1"/>
      <c r="H25" s="1"/>
      <c r="I25" s="1"/>
      <c r="J25" s="13"/>
      <c r="K25" s="13"/>
      <c r="L25" s="1"/>
      <c r="M25" s="1"/>
      <c r="N25" s="1"/>
      <c r="O25" s="1"/>
      <c r="P25" s="1"/>
      <c r="Q25" s="1"/>
      <c r="R25" s="24"/>
    </row>
    <row r="26" spans="1:18" x14ac:dyDescent="0.25">
      <c r="A26" s="78" t="s">
        <v>16</v>
      </c>
      <c r="B26" s="172"/>
      <c r="C26" s="37"/>
      <c r="D26" s="37"/>
      <c r="E26" s="128"/>
      <c r="F26" s="57">
        <f t="shared" ref="F26:Q26" si="10">F20-F24</f>
        <v>3675</v>
      </c>
      <c r="G26" s="58">
        <f t="shared" si="10"/>
        <v>2240.691965031956</v>
      </c>
      <c r="H26" s="58">
        <f t="shared" si="10"/>
        <v>2115.6009650319556</v>
      </c>
      <c r="I26" s="58">
        <f t="shared" si="10"/>
        <v>1990.5099650319557</v>
      </c>
      <c r="J26" s="54">
        <f t="shared" si="10"/>
        <v>1865.4189650319558</v>
      </c>
      <c r="K26" s="54">
        <f t="shared" si="10"/>
        <v>1740.327965031956</v>
      </c>
      <c r="L26" s="58">
        <f t="shared" si="10"/>
        <v>1615.2369650319556</v>
      </c>
      <c r="M26" s="58">
        <f t="shared" si="10"/>
        <v>1490.1459650319557</v>
      </c>
      <c r="N26" s="58">
        <f t="shared" si="10"/>
        <v>1365.0549650319554</v>
      </c>
      <c r="O26" s="58">
        <f t="shared" si="10"/>
        <v>1239.9639650319555</v>
      </c>
      <c r="P26" s="58">
        <f t="shared" si="10"/>
        <v>1114.8729650319556</v>
      </c>
      <c r="Q26" s="59">
        <f t="shared" si="10"/>
        <v>989.78196503195534</v>
      </c>
      <c r="R26" s="20" t="s">
        <v>1</v>
      </c>
    </row>
    <row r="27" spans="1:18" x14ac:dyDescent="0.25">
      <c r="A27" s="2"/>
      <c r="B27" s="23"/>
      <c r="E27" s="56"/>
      <c r="F27" s="19"/>
      <c r="G27" s="1"/>
      <c r="H27" s="1"/>
      <c r="I27" s="1"/>
      <c r="J27" s="13"/>
      <c r="K27" s="13"/>
      <c r="L27" s="1"/>
      <c r="M27" s="1"/>
      <c r="N27" s="1"/>
      <c r="O27" s="1"/>
      <c r="P27" s="1"/>
      <c r="Q27" s="1"/>
      <c r="R27" s="20" t="s">
        <v>70</v>
      </c>
    </row>
    <row r="28" spans="1:18" x14ac:dyDescent="0.25">
      <c r="A28" s="2" t="s">
        <v>15</v>
      </c>
      <c r="B28" s="23"/>
      <c r="E28" s="56"/>
      <c r="F28" s="19">
        <f t="shared" ref="F28:Q28" si="11">F26+F23+F18</f>
        <v>3675</v>
      </c>
      <c r="G28" s="1">
        <f t="shared" si="11"/>
        <v>2272.2903958743041</v>
      </c>
      <c r="H28" s="1">
        <f t="shared" si="11"/>
        <v>2361.5482521611775</v>
      </c>
      <c r="I28" s="1">
        <f t="shared" si="11"/>
        <v>2508.0239269450599</v>
      </c>
      <c r="J28" s="13">
        <f t="shared" si="11"/>
        <v>2639.8641996464285</v>
      </c>
      <c r="K28" s="13">
        <f t="shared" si="11"/>
        <v>2758.5865886817855</v>
      </c>
      <c r="L28" s="1">
        <f t="shared" si="11"/>
        <v>2865.4197072593824</v>
      </c>
      <c r="M28" s="1">
        <f t="shared" si="11"/>
        <v>2962.1898051316789</v>
      </c>
      <c r="N28" s="1">
        <f t="shared" si="11"/>
        <v>3054.5944251316787</v>
      </c>
      <c r="O28" s="1">
        <f t="shared" si="11"/>
        <v>3147.023375923427</v>
      </c>
      <c r="P28" s="1">
        <f t="shared" si="11"/>
        <v>3239.5602831316787</v>
      </c>
      <c r="Q28" s="1">
        <f t="shared" si="11"/>
        <v>3331.9892339234275</v>
      </c>
      <c r="R28" s="20" t="s">
        <v>71</v>
      </c>
    </row>
    <row r="29" spans="1:18" x14ac:dyDescent="0.25">
      <c r="A29" s="2" t="s">
        <v>23</v>
      </c>
      <c r="B29" s="164">
        <f>Assumptions!C53</f>
        <v>1</v>
      </c>
      <c r="E29" s="56"/>
      <c r="F29" s="19">
        <f t="shared" ref="F29:Q29" si="12">F77</f>
        <v>4068</v>
      </c>
      <c r="G29" s="13">
        <f t="shared" si="12"/>
        <v>4068</v>
      </c>
      <c r="H29" s="13">
        <f t="shared" si="12"/>
        <v>4068</v>
      </c>
      <c r="I29" s="13">
        <f t="shared" si="12"/>
        <v>4068</v>
      </c>
      <c r="J29" s="13">
        <f t="shared" si="12"/>
        <v>4068</v>
      </c>
      <c r="K29" s="13">
        <f t="shared" si="12"/>
        <v>4068</v>
      </c>
      <c r="L29" s="13">
        <f t="shared" si="12"/>
        <v>4068</v>
      </c>
      <c r="M29" s="13">
        <f t="shared" si="12"/>
        <v>4068</v>
      </c>
      <c r="N29" s="13">
        <f t="shared" si="12"/>
        <v>4068</v>
      </c>
      <c r="O29" s="13">
        <f t="shared" si="12"/>
        <v>4068</v>
      </c>
      <c r="P29" s="13">
        <f t="shared" si="12"/>
        <v>4068</v>
      </c>
      <c r="Q29" s="13">
        <f t="shared" si="12"/>
        <v>4068</v>
      </c>
      <c r="R29" s="168">
        <f>Assumptions!E52</f>
        <v>5</v>
      </c>
    </row>
    <row r="30" spans="1:18" x14ac:dyDescent="0.25">
      <c r="A30" s="112" t="s">
        <v>17</v>
      </c>
      <c r="B30" s="37"/>
      <c r="C30" s="37"/>
      <c r="D30" s="37"/>
      <c r="E30" s="105"/>
      <c r="F30" s="57">
        <f t="shared" ref="F30:Q30" si="13">F28-F29</f>
        <v>-393</v>
      </c>
      <c r="G30" s="54">
        <f t="shared" si="13"/>
        <v>-1795.7096041256959</v>
      </c>
      <c r="H30" s="54">
        <f t="shared" si="13"/>
        <v>-1706.4517478388225</v>
      </c>
      <c r="I30" s="54">
        <f t="shared" si="13"/>
        <v>-1559.9760730549401</v>
      </c>
      <c r="J30" s="54">
        <f t="shared" si="13"/>
        <v>-1428.1358003535715</v>
      </c>
      <c r="K30" s="54">
        <f t="shared" si="13"/>
        <v>-1309.4134113182145</v>
      </c>
      <c r="L30" s="54">
        <f t="shared" si="13"/>
        <v>-1202.5802927406176</v>
      </c>
      <c r="M30" s="54">
        <f t="shared" si="13"/>
        <v>-1105.8101948683211</v>
      </c>
      <c r="N30" s="54">
        <f t="shared" si="13"/>
        <v>-1013.4055748683213</v>
      </c>
      <c r="O30" s="54">
        <f t="shared" si="13"/>
        <v>-920.97662407657299</v>
      </c>
      <c r="P30" s="54">
        <f t="shared" si="13"/>
        <v>-828.43971686832128</v>
      </c>
      <c r="Q30" s="54">
        <f t="shared" si="13"/>
        <v>-736.01076607657251</v>
      </c>
      <c r="R30" s="55">
        <f>Q16*R29</f>
        <v>18375</v>
      </c>
    </row>
    <row r="31" spans="1:18" x14ac:dyDescent="0.25">
      <c r="A31" s="4"/>
      <c r="E31" s="56"/>
      <c r="F31" s="19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spans="1:18" ht="13.8" thickBot="1" x14ac:dyDescent="0.3">
      <c r="R32" s="13"/>
    </row>
    <row r="33" spans="1:18" ht="15" x14ac:dyDescent="0.4">
      <c r="F33"/>
      <c r="G33" s="269" t="s">
        <v>12</v>
      </c>
      <c r="H33" s="270" t="str">
        <f>(Assumptions!D12-1&amp;" EBITDA")</f>
        <v>1999 EBITDA</v>
      </c>
      <c r="I33" s="270" t="s">
        <v>72</v>
      </c>
      <c r="J33" s="271"/>
      <c r="K33" s="400" t="s">
        <v>13</v>
      </c>
      <c r="L33" s="400"/>
      <c r="M33" s="401"/>
      <c r="P33" s="1"/>
      <c r="Q33" s="1"/>
      <c r="R33" s="1"/>
    </row>
    <row r="34" spans="1:18" ht="15" x14ac:dyDescent="0.4">
      <c r="F34"/>
      <c r="G34" s="272" t="s">
        <v>14</v>
      </c>
      <c r="H34" s="273" t="s">
        <v>24</v>
      </c>
      <c r="I34" s="273" t="s">
        <v>73</v>
      </c>
      <c r="J34" s="274"/>
      <c r="K34" s="275">
        <f>Asset5DRate-0.025</f>
        <v>0.1</v>
      </c>
      <c r="L34" s="275">
        <f>Assumptions!H43</f>
        <v>0.125</v>
      </c>
      <c r="M34" s="276">
        <f>Asset5DRate+0.025</f>
        <v>0.15</v>
      </c>
      <c r="P34" s="1"/>
      <c r="Q34" s="1"/>
      <c r="R34" s="1"/>
    </row>
    <row r="35" spans="1:18" x14ac:dyDescent="0.25">
      <c r="F35" s="9" t="s">
        <v>22</v>
      </c>
      <c r="G35" s="277"/>
      <c r="H35" s="278"/>
      <c r="I35" s="278"/>
      <c r="J35" s="267"/>
      <c r="K35" s="267"/>
      <c r="L35" s="267"/>
      <c r="M35" s="279"/>
      <c r="P35" s="1"/>
      <c r="Q35" s="1"/>
      <c r="R35" s="1"/>
    </row>
    <row r="36" spans="1:18" ht="13.8" thickBot="1" x14ac:dyDescent="0.3">
      <c r="F36">
        <f>IF(ABS(G36-L36)&lt;0.05,0,1)</f>
        <v>0</v>
      </c>
      <c r="G36" s="348">
        <v>-3436.0313831530343</v>
      </c>
      <c r="H36" s="349">
        <f>G36/F16</f>
        <v>-0.93497452602803655</v>
      </c>
      <c r="I36" s="350" t="str">
        <f>Assumptions!D40</f>
        <v>ETS</v>
      </c>
      <c r="J36" s="351"/>
      <c r="K36" s="352">
        <f>NPV(K34,$G$30:$R$30)</f>
        <v>-2835.4170224337922</v>
      </c>
      <c r="L36" s="353">
        <f>NPV(L34,$G$30:$R$30)</f>
        <v>-3436.0704975598692</v>
      </c>
      <c r="M36" s="347">
        <f>NPV(M34,$G$30:$R$30)</f>
        <v>-3802.3360933493159</v>
      </c>
      <c r="P36" s="1"/>
      <c r="Q36" s="1"/>
      <c r="R36" s="1"/>
    </row>
    <row r="37" spans="1:18" x14ac:dyDescent="0.25">
      <c r="F37"/>
      <c r="G37" s="13"/>
      <c r="H37" s="268"/>
      <c r="I37" s="268"/>
      <c r="J37" s="13"/>
      <c r="K37" s="97"/>
      <c r="L37" s="97"/>
      <c r="M37" s="97"/>
      <c r="P37" s="1"/>
      <c r="Q37" s="1"/>
      <c r="R37" s="1"/>
    </row>
    <row r="38" spans="1:18" x14ac:dyDescent="0.25">
      <c r="F38" s="13"/>
      <c r="G38" s="1"/>
      <c r="H38" s="1"/>
      <c r="I38" s="1"/>
      <c r="J38" s="1"/>
      <c r="K38" s="1"/>
      <c r="L38" s="1"/>
      <c r="N38" s="1"/>
      <c r="O38" s="1"/>
      <c r="P38" s="1"/>
      <c r="Q38" s="1"/>
    </row>
    <row r="39" spans="1:18" x14ac:dyDescent="0.25">
      <c r="E39" s="13"/>
      <c r="F39" s="13"/>
      <c r="G39" s="13"/>
      <c r="I39" s="24"/>
      <c r="J39" s="24"/>
      <c r="K39" s="24"/>
      <c r="L39" s="24"/>
      <c r="M39" s="24"/>
      <c r="N39" s="24"/>
      <c r="O39" s="24"/>
      <c r="P39" s="24"/>
      <c r="Q39" s="24"/>
    </row>
    <row r="40" spans="1:18" x14ac:dyDescent="0.25">
      <c r="E40" s="13"/>
      <c r="F40" s="13"/>
      <c r="G40" s="13"/>
      <c r="H40" s="13"/>
      <c r="I40" s="24"/>
      <c r="J40" s="24"/>
      <c r="K40" s="24"/>
      <c r="L40" s="24"/>
      <c r="M40" s="24"/>
      <c r="N40" s="24"/>
      <c r="O40" s="24"/>
      <c r="P40" s="24"/>
      <c r="Q40" s="24"/>
    </row>
    <row r="41" spans="1:18" ht="13.8" thickBot="1" x14ac:dyDescent="0.3">
      <c r="A41" s="7" t="s">
        <v>75</v>
      </c>
    </row>
    <row r="42" spans="1:18" ht="13.8" thickBot="1" x14ac:dyDescent="0.3">
      <c r="B42" s="21" t="s">
        <v>69</v>
      </c>
      <c r="C42" s="113" t="s">
        <v>47</v>
      </c>
      <c r="F42" s="110">
        <f>G42-1</f>
        <v>1999</v>
      </c>
      <c r="G42" s="7">
        <f>Assumptions!D12</f>
        <v>2000</v>
      </c>
      <c r="H42" s="7">
        <f t="shared" ref="H42:Q42" si="14">G42+1</f>
        <v>2001</v>
      </c>
      <c r="I42" s="7">
        <f t="shared" si="14"/>
        <v>2002</v>
      </c>
      <c r="J42" s="7">
        <f t="shared" si="14"/>
        <v>2003</v>
      </c>
      <c r="K42" s="7">
        <f t="shared" si="14"/>
        <v>2004</v>
      </c>
      <c r="L42" s="7">
        <f t="shared" si="14"/>
        <v>2005</v>
      </c>
      <c r="M42" s="7">
        <f t="shared" si="14"/>
        <v>2006</v>
      </c>
      <c r="N42" s="7">
        <f t="shared" si="14"/>
        <v>2007</v>
      </c>
      <c r="O42" s="7">
        <f t="shared" si="14"/>
        <v>2008</v>
      </c>
      <c r="P42" s="7">
        <f t="shared" si="14"/>
        <v>2009</v>
      </c>
      <c r="Q42" s="7">
        <f t="shared" si="14"/>
        <v>2010</v>
      </c>
    </row>
    <row r="43" spans="1:18" ht="13.8" thickBot="1" x14ac:dyDescent="0.3">
      <c r="A43" s="103" t="str">
        <f>A2</f>
        <v xml:space="preserve">  Other - Cash Flow Analysis</v>
      </c>
      <c r="B43" s="169">
        <f>Assumptions!C53</f>
        <v>1</v>
      </c>
      <c r="C43" s="170">
        <v>1</v>
      </c>
      <c r="D43" s="37"/>
      <c r="E43" s="89"/>
      <c r="F43" s="57">
        <f>F48*$B$43</f>
        <v>-15471</v>
      </c>
      <c r="G43" s="58">
        <f t="shared" ref="G43:Q43" si="15">CHOOSE($C$43,G48,G51,G54)*$B$43+G44</f>
        <v>-15471</v>
      </c>
      <c r="H43" s="58">
        <f t="shared" si="15"/>
        <v>-15471</v>
      </c>
      <c r="I43" s="58">
        <f t="shared" si="15"/>
        <v>-15471</v>
      </c>
      <c r="J43" s="58">
        <f t="shared" si="15"/>
        <v>-15471</v>
      </c>
      <c r="K43" s="58">
        <f t="shared" si="15"/>
        <v>-15471</v>
      </c>
      <c r="L43" s="58">
        <f t="shared" si="15"/>
        <v>-15471</v>
      </c>
      <c r="M43" s="58">
        <f t="shared" si="15"/>
        <v>-15471</v>
      </c>
      <c r="N43" s="58">
        <f t="shared" si="15"/>
        <v>-15471</v>
      </c>
      <c r="O43" s="58">
        <f t="shared" si="15"/>
        <v>-15471</v>
      </c>
      <c r="P43" s="58">
        <f t="shared" si="15"/>
        <v>-15471</v>
      </c>
      <c r="Q43" s="59">
        <f t="shared" si="15"/>
        <v>-15471</v>
      </c>
    </row>
    <row r="44" spans="1:18" x14ac:dyDescent="0.25">
      <c r="C44" s="47"/>
      <c r="F44" s="125" t="s">
        <v>45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</row>
    <row r="45" spans="1:18" x14ac:dyDescent="0.25">
      <c r="C45" s="114"/>
      <c r="D45" s="107"/>
      <c r="F45" s="129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  <row r="46" spans="1:18" x14ac:dyDescent="0.25">
      <c r="A46" s="8" t="str">
        <f>Assumptions!B58</f>
        <v>1. Base Case</v>
      </c>
      <c r="C46" s="114">
        <v>1</v>
      </c>
    </row>
    <row r="47" spans="1:18" ht="15" x14ac:dyDescent="0.4">
      <c r="A47" t="s">
        <v>226</v>
      </c>
      <c r="C47" s="114"/>
      <c r="D47" s="152"/>
      <c r="E47" s="56"/>
      <c r="F47" s="18">
        <v>-15471</v>
      </c>
      <c r="G47" s="6">
        <f t="shared" ref="G47:Q47" si="16">F47</f>
        <v>-15471</v>
      </c>
      <c r="H47" s="6">
        <f t="shared" si="16"/>
        <v>-15471</v>
      </c>
      <c r="I47" s="6">
        <f t="shared" si="16"/>
        <v>-15471</v>
      </c>
      <c r="J47" s="6">
        <f t="shared" si="16"/>
        <v>-15471</v>
      </c>
      <c r="K47" s="6">
        <f t="shared" si="16"/>
        <v>-15471</v>
      </c>
      <c r="L47" s="6">
        <f t="shared" si="16"/>
        <v>-15471</v>
      </c>
      <c r="M47" s="6">
        <f t="shared" si="16"/>
        <v>-15471</v>
      </c>
      <c r="N47" s="6">
        <f t="shared" si="16"/>
        <v>-15471</v>
      </c>
      <c r="O47" s="6">
        <f t="shared" si="16"/>
        <v>-15471</v>
      </c>
      <c r="P47" s="6">
        <f t="shared" si="16"/>
        <v>-15471</v>
      </c>
      <c r="Q47" s="6">
        <f t="shared" si="16"/>
        <v>-15471</v>
      </c>
    </row>
    <row r="48" spans="1:18" x14ac:dyDescent="0.25">
      <c r="A48" s="73" t="s">
        <v>0</v>
      </c>
      <c r="B48" s="151">
        <v>1</v>
      </c>
      <c r="C48" s="114"/>
      <c r="D48" s="126"/>
      <c r="E48" s="101"/>
      <c r="F48" s="32">
        <f>SUM(F47:F47)*$B$48</f>
        <v>-15471</v>
      </c>
      <c r="G48" s="97">
        <f t="shared" ref="G48:Q48" si="17">SUM(G47:G47)*$B$48+G49</f>
        <v>-15471</v>
      </c>
      <c r="H48" s="97">
        <f t="shared" si="17"/>
        <v>-15471</v>
      </c>
      <c r="I48" s="97">
        <f t="shared" si="17"/>
        <v>-15471</v>
      </c>
      <c r="J48" s="97">
        <f t="shared" si="17"/>
        <v>-15471</v>
      </c>
      <c r="K48" s="97">
        <f t="shared" si="17"/>
        <v>-15471</v>
      </c>
      <c r="L48" s="97">
        <f t="shared" si="17"/>
        <v>-15471</v>
      </c>
      <c r="M48" s="97">
        <f t="shared" si="17"/>
        <v>-15471</v>
      </c>
      <c r="N48" s="97">
        <f t="shared" si="17"/>
        <v>-15471</v>
      </c>
      <c r="O48" s="97">
        <f t="shared" si="17"/>
        <v>-15471</v>
      </c>
      <c r="P48" s="97">
        <f t="shared" si="17"/>
        <v>-15471</v>
      </c>
      <c r="Q48" s="97">
        <f t="shared" si="17"/>
        <v>-15471</v>
      </c>
    </row>
    <row r="49" spans="1:17" x14ac:dyDescent="0.25">
      <c r="C49" s="114"/>
      <c r="F49" s="125" t="s">
        <v>45</v>
      </c>
      <c r="G49" s="1">
        <v>0</v>
      </c>
      <c r="H49" s="1">
        <v>0</v>
      </c>
      <c r="I49" s="1">
        <f t="shared" ref="I49:Q49" si="18">H49</f>
        <v>0</v>
      </c>
      <c r="J49" s="13">
        <f t="shared" si="18"/>
        <v>0</v>
      </c>
      <c r="K49" s="13">
        <f t="shared" si="18"/>
        <v>0</v>
      </c>
      <c r="L49" s="1">
        <f t="shared" si="18"/>
        <v>0</v>
      </c>
      <c r="M49" s="1">
        <f t="shared" si="18"/>
        <v>0</v>
      </c>
      <c r="N49" s="1">
        <f t="shared" si="18"/>
        <v>0</v>
      </c>
      <c r="O49" s="1">
        <f t="shared" si="18"/>
        <v>0</v>
      </c>
      <c r="P49" s="1">
        <f t="shared" si="18"/>
        <v>0</v>
      </c>
      <c r="Q49" s="1">
        <f t="shared" si="18"/>
        <v>0</v>
      </c>
    </row>
    <row r="50" spans="1:17" x14ac:dyDescent="0.25">
      <c r="C50" s="114"/>
    </row>
    <row r="51" spans="1:17" x14ac:dyDescent="0.25">
      <c r="A51" s="8" t="str">
        <f>Assumptions!B59</f>
        <v>2. Optimistic</v>
      </c>
      <c r="B51" s="151">
        <v>1.02</v>
      </c>
      <c r="C51" s="114">
        <v>2</v>
      </c>
      <c r="D51" s="126"/>
      <c r="F51" s="32">
        <f>F48</f>
        <v>-15471</v>
      </c>
      <c r="G51" s="26">
        <f t="shared" ref="G51:Q51" si="19">F51*$B$51+G52</f>
        <v>-15780.42</v>
      </c>
      <c r="H51" s="26">
        <f t="shared" si="19"/>
        <v>-16096.028400000001</v>
      </c>
      <c r="I51" s="26">
        <f t="shared" si="19"/>
        <v>-16417.948968000001</v>
      </c>
      <c r="J51" s="26">
        <f t="shared" si="19"/>
        <v>-16746.307947360001</v>
      </c>
      <c r="K51" s="26">
        <f t="shared" si="19"/>
        <v>-17081.234106307202</v>
      </c>
      <c r="L51" s="26">
        <f t="shared" si="19"/>
        <v>-17422.858788433346</v>
      </c>
      <c r="M51" s="26">
        <f t="shared" si="19"/>
        <v>-17771.315964202015</v>
      </c>
      <c r="N51" s="26">
        <f t="shared" si="19"/>
        <v>-18126.742283486055</v>
      </c>
      <c r="O51" s="26">
        <f t="shared" si="19"/>
        <v>-18489.277129155776</v>
      </c>
      <c r="P51" s="26">
        <f t="shared" si="19"/>
        <v>-18859.062671738891</v>
      </c>
      <c r="Q51" s="26">
        <f t="shared" si="19"/>
        <v>-19236.243925173669</v>
      </c>
    </row>
    <row r="52" spans="1:17" x14ac:dyDescent="0.25">
      <c r="A52" s="8"/>
      <c r="C52" s="114"/>
      <c r="F52" s="125" t="s">
        <v>45</v>
      </c>
      <c r="G52" s="1">
        <v>0</v>
      </c>
      <c r="H52" s="1">
        <v>0</v>
      </c>
      <c r="I52" s="1">
        <f t="shared" ref="I52:Q52" si="20">H52</f>
        <v>0</v>
      </c>
      <c r="J52" s="13">
        <f t="shared" si="20"/>
        <v>0</v>
      </c>
      <c r="K52" s="13">
        <f t="shared" si="20"/>
        <v>0</v>
      </c>
      <c r="L52" s="1">
        <f t="shared" si="20"/>
        <v>0</v>
      </c>
      <c r="M52" s="1">
        <f t="shared" si="20"/>
        <v>0</v>
      </c>
      <c r="N52" s="1">
        <f t="shared" si="20"/>
        <v>0</v>
      </c>
      <c r="O52" s="1">
        <f t="shared" si="20"/>
        <v>0</v>
      </c>
      <c r="P52" s="1">
        <f t="shared" si="20"/>
        <v>0</v>
      </c>
      <c r="Q52" s="1">
        <f t="shared" si="20"/>
        <v>0</v>
      </c>
    </row>
    <row r="53" spans="1:17" x14ac:dyDescent="0.25">
      <c r="A53" s="8"/>
      <c r="C53" s="114"/>
    </row>
    <row r="54" spans="1:17" x14ac:dyDescent="0.25">
      <c r="A54" s="8" t="str">
        <f>Assumptions!B60</f>
        <v>3. Pessimistic</v>
      </c>
      <c r="B54" s="151">
        <v>0.99</v>
      </c>
      <c r="C54" s="114">
        <v>3</v>
      </c>
      <c r="D54" s="126"/>
      <c r="F54" s="32">
        <f>F48</f>
        <v>-15471</v>
      </c>
      <c r="G54" s="26">
        <f>F54*$B$54+G55</f>
        <v>-15316.289999999999</v>
      </c>
      <c r="H54" s="26">
        <f>G54*$B$54+H55</f>
        <v>-15163.1271</v>
      </c>
      <c r="I54" s="26">
        <f t="shared" ref="I54:Q54" si="21">H54*$B$54+I55</f>
        <v>-15011.495829</v>
      </c>
      <c r="J54" s="26">
        <f t="shared" si="21"/>
        <v>-14861.38087071</v>
      </c>
      <c r="K54" s="26">
        <f t="shared" si="21"/>
        <v>-14712.7670620029</v>
      </c>
      <c r="L54" s="26">
        <f t="shared" si="21"/>
        <v>-14565.639391382871</v>
      </c>
      <c r="M54" s="26">
        <f t="shared" si="21"/>
        <v>-14419.982997469042</v>
      </c>
      <c r="N54" s="26">
        <f t="shared" si="21"/>
        <v>-14275.783167494352</v>
      </c>
      <c r="O54" s="26">
        <f t="shared" si="21"/>
        <v>-14133.025335819408</v>
      </c>
      <c r="P54" s="26">
        <f t="shared" si="21"/>
        <v>-13991.695082461214</v>
      </c>
      <c r="Q54" s="26">
        <f t="shared" si="21"/>
        <v>-13851.778131636602</v>
      </c>
    </row>
    <row r="55" spans="1:17" ht="13.8" thickBot="1" x14ac:dyDescent="0.3">
      <c r="C55" s="118"/>
      <c r="F55" s="125" t="s">
        <v>45</v>
      </c>
      <c r="G55" s="1">
        <v>0</v>
      </c>
      <c r="H55" s="1">
        <v>0</v>
      </c>
      <c r="I55" s="1">
        <f t="shared" ref="I55:Q55" si="22">H55</f>
        <v>0</v>
      </c>
      <c r="J55" s="13">
        <f t="shared" si="22"/>
        <v>0</v>
      </c>
      <c r="K55" s="13">
        <f t="shared" si="22"/>
        <v>0</v>
      </c>
      <c r="L55" s="1">
        <f t="shared" si="22"/>
        <v>0</v>
      </c>
      <c r="M55" s="1">
        <f t="shared" si="22"/>
        <v>0</v>
      </c>
      <c r="N55" s="1">
        <f t="shared" si="22"/>
        <v>0</v>
      </c>
      <c r="O55" s="1">
        <f t="shared" si="22"/>
        <v>0</v>
      </c>
      <c r="P55" s="1">
        <f t="shared" si="22"/>
        <v>0</v>
      </c>
      <c r="Q55" s="1">
        <f t="shared" si="22"/>
        <v>0</v>
      </c>
    </row>
    <row r="58" spans="1:17" ht="13.8" thickBot="1" x14ac:dyDescent="0.3">
      <c r="A58" s="7" t="s">
        <v>52</v>
      </c>
    </row>
    <row r="59" spans="1:17" ht="13.8" thickBot="1" x14ac:dyDescent="0.3">
      <c r="B59" s="21" t="s">
        <v>69</v>
      </c>
      <c r="C59" s="113" t="s">
        <v>47</v>
      </c>
      <c r="F59" s="110">
        <f>G59-1</f>
        <v>1999</v>
      </c>
      <c r="G59" s="7">
        <f>Assumptions!D12</f>
        <v>2000</v>
      </c>
      <c r="H59" s="7">
        <f t="shared" ref="H59:Q59" si="23">G59+1</f>
        <v>2001</v>
      </c>
      <c r="I59" s="7">
        <f t="shared" si="23"/>
        <v>2002</v>
      </c>
      <c r="J59" s="7">
        <f t="shared" si="23"/>
        <v>2003</v>
      </c>
      <c r="K59" s="7">
        <f t="shared" si="23"/>
        <v>2004</v>
      </c>
      <c r="L59" s="7">
        <f t="shared" si="23"/>
        <v>2005</v>
      </c>
      <c r="M59" s="7">
        <f t="shared" si="23"/>
        <v>2006</v>
      </c>
      <c r="N59" s="7">
        <f t="shared" si="23"/>
        <v>2007</v>
      </c>
      <c r="O59" s="7">
        <f t="shared" si="23"/>
        <v>2008</v>
      </c>
      <c r="P59" s="7">
        <f t="shared" si="23"/>
        <v>2009</v>
      </c>
      <c r="Q59" s="7">
        <f t="shared" si="23"/>
        <v>2010</v>
      </c>
    </row>
    <row r="60" spans="1:17" ht="13.8" thickBot="1" x14ac:dyDescent="0.3">
      <c r="A60" s="103" t="str">
        <f>A2</f>
        <v xml:space="preserve">  Other - Cash Flow Analysis</v>
      </c>
      <c r="B60" s="169">
        <f>Assumptions!C53</f>
        <v>1</v>
      </c>
      <c r="C60" s="171">
        <v>1</v>
      </c>
      <c r="D60" s="37"/>
      <c r="E60" s="89"/>
      <c r="F60" s="111">
        <f>F65*$B$60</f>
        <v>-19146</v>
      </c>
      <c r="G60" s="58">
        <f t="shared" ref="G60:Q60" si="24">CHOOSE($C$60,G65,G68,G71)*$B$60+G61</f>
        <v>-19146</v>
      </c>
      <c r="H60" s="58">
        <f t="shared" si="24"/>
        <v>-19146</v>
      </c>
      <c r="I60" s="58">
        <f t="shared" si="24"/>
        <v>-19146</v>
      </c>
      <c r="J60" s="58">
        <f t="shared" si="24"/>
        <v>-19146</v>
      </c>
      <c r="K60" s="58">
        <f t="shared" si="24"/>
        <v>-19146</v>
      </c>
      <c r="L60" s="58">
        <f t="shared" si="24"/>
        <v>-19146</v>
      </c>
      <c r="M60" s="58">
        <f t="shared" si="24"/>
        <v>-19146</v>
      </c>
      <c r="N60" s="58">
        <f t="shared" si="24"/>
        <v>-19146</v>
      </c>
      <c r="O60" s="58">
        <f t="shared" si="24"/>
        <v>-19146</v>
      </c>
      <c r="P60" s="58">
        <f t="shared" si="24"/>
        <v>-19146</v>
      </c>
      <c r="Q60" s="59">
        <f t="shared" si="24"/>
        <v>-19146</v>
      </c>
    </row>
    <row r="61" spans="1:17" x14ac:dyDescent="0.25">
      <c r="C61" s="115"/>
      <c r="F61" s="125" t="s">
        <v>45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</row>
    <row r="62" spans="1:17" x14ac:dyDescent="0.25">
      <c r="C62" s="116"/>
      <c r="D62" s="107"/>
      <c r="E62" s="108"/>
    </row>
    <row r="63" spans="1:17" x14ac:dyDescent="0.25">
      <c r="A63" s="8" t="str">
        <f>Assumptions!B64</f>
        <v>1. Base Case</v>
      </c>
      <c r="C63" s="116"/>
    </row>
    <row r="64" spans="1:17" ht="15" x14ac:dyDescent="0.4">
      <c r="A64" t="s">
        <v>226</v>
      </c>
      <c r="C64" s="116"/>
      <c r="D64" s="126"/>
      <c r="E64" s="154"/>
      <c r="F64" s="18">
        <v>-19146</v>
      </c>
      <c r="G64" s="6">
        <f t="shared" ref="G64:Q64" si="25">F64</f>
        <v>-19146</v>
      </c>
      <c r="H64" s="36">
        <f t="shared" si="25"/>
        <v>-19146</v>
      </c>
      <c r="I64" s="36">
        <f t="shared" si="25"/>
        <v>-19146</v>
      </c>
      <c r="J64" s="36">
        <f t="shared" si="25"/>
        <v>-19146</v>
      </c>
      <c r="K64" s="36">
        <f t="shared" si="25"/>
        <v>-19146</v>
      </c>
      <c r="L64" s="36">
        <f t="shared" si="25"/>
        <v>-19146</v>
      </c>
      <c r="M64" s="36">
        <f t="shared" si="25"/>
        <v>-19146</v>
      </c>
      <c r="N64" s="36">
        <f t="shared" si="25"/>
        <v>-19146</v>
      </c>
      <c r="O64" s="36">
        <f t="shared" si="25"/>
        <v>-19146</v>
      </c>
      <c r="P64" s="36">
        <f t="shared" si="25"/>
        <v>-19146</v>
      </c>
      <c r="Q64" s="36">
        <f t="shared" si="25"/>
        <v>-19146</v>
      </c>
    </row>
    <row r="65" spans="1:17" x14ac:dyDescent="0.25">
      <c r="A65" s="73" t="s">
        <v>0</v>
      </c>
      <c r="B65" s="153">
        <v>1</v>
      </c>
      <c r="C65" s="114">
        <v>1</v>
      </c>
      <c r="D65" s="126"/>
      <c r="E65" s="130"/>
      <c r="F65" s="29">
        <f>SUM(F64:F64)</f>
        <v>-19146</v>
      </c>
      <c r="G65" s="106">
        <f t="shared" ref="G65:Q65" si="26">SUM(G64:G64)*$B$65+G66</f>
        <v>-19146</v>
      </c>
      <c r="H65" s="106">
        <f t="shared" si="26"/>
        <v>-19146</v>
      </c>
      <c r="I65" s="106">
        <f t="shared" si="26"/>
        <v>-19146</v>
      </c>
      <c r="J65" s="106">
        <f t="shared" si="26"/>
        <v>-19146</v>
      </c>
      <c r="K65" s="106">
        <f t="shared" si="26"/>
        <v>-19146</v>
      </c>
      <c r="L65" s="106">
        <f t="shared" si="26"/>
        <v>-19146</v>
      </c>
      <c r="M65" s="106">
        <f t="shared" si="26"/>
        <v>-19146</v>
      </c>
      <c r="N65" s="106">
        <f t="shared" si="26"/>
        <v>-19146</v>
      </c>
      <c r="O65" s="106">
        <f t="shared" si="26"/>
        <v>-19146</v>
      </c>
      <c r="P65" s="106">
        <f t="shared" si="26"/>
        <v>-19146</v>
      </c>
      <c r="Q65" s="106">
        <f t="shared" si="26"/>
        <v>-19146</v>
      </c>
    </row>
    <row r="66" spans="1:17" x14ac:dyDescent="0.25">
      <c r="C66" s="116"/>
      <c r="F66" s="125" t="s">
        <v>45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</row>
    <row r="67" spans="1:17" x14ac:dyDescent="0.25">
      <c r="C67" s="116"/>
    </row>
    <row r="68" spans="1:17" x14ac:dyDescent="0.25">
      <c r="A68" s="8" t="str">
        <f>Assumptions!B65</f>
        <v>2. Optimistic</v>
      </c>
      <c r="B68" s="153">
        <v>0.99</v>
      </c>
      <c r="C68" s="114">
        <v>2</v>
      </c>
      <c r="D68" s="126"/>
      <c r="F68" s="29">
        <f>F65</f>
        <v>-19146</v>
      </c>
      <c r="G68" s="26">
        <f t="shared" ref="G68:Q68" si="27">F68*$B$68+G69</f>
        <v>-18954.54</v>
      </c>
      <c r="H68" s="26">
        <f t="shared" si="27"/>
        <v>-18764.994600000002</v>
      </c>
      <c r="I68" s="26">
        <f t="shared" si="27"/>
        <v>-18577.344654</v>
      </c>
      <c r="J68" s="26">
        <f t="shared" si="27"/>
        <v>-18391.571207460001</v>
      </c>
      <c r="K68" s="26">
        <f t="shared" si="27"/>
        <v>-18207.655495385403</v>
      </c>
      <c r="L68" s="26">
        <f t="shared" si="27"/>
        <v>-18025.578940431547</v>
      </c>
      <c r="M68" s="26">
        <f t="shared" si="27"/>
        <v>-17845.323151027231</v>
      </c>
      <c r="N68" s="26">
        <f t="shared" si="27"/>
        <v>-17666.869919516957</v>
      </c>
      <c r="O68" s="26">
        <f t="shared" si="27"/>
        <v>-17490.201220321789</v>
      </c>
      <c r="P68" s="26">
        <f t="shared" si="27"/>
        <v>-17315.299208118569</v>
      </c>
      <c r="Q68" s="26">
        <f t="shared" si="27"/>
        <v>-17142.146216037385</v>
      </c>
    </row>
    <row r="69" spans="1:17" x14ac:dyDescent="0.25">
      <c r="A69" s="8"/>
      <c r="C69" s="117"/>
      <c r="F69" s="125" t="s">
        <v>45</v>
      </c>
      <c r="G69" s="1">
        <v>0</v>
      </c>
      <c r="H69" s="1">
        <v>0</v>
      </c>
      <c r="I69" s="1">
        <f t="shared" ref="I69:Q69" si="28">H69</f>
        <v>0</v>
      </c>
      <c r="J69" s="13">
        <f t="shared" si="28"/>
        <v>0</v>
      </c>
      <c r="K69" s="13">
        <f t="shared" si="28"/>
        <v>0</v>
      </c>
      <c r="L69" s="1">
        <f t="shared" si="28"/>
        <v>0</v>
      </c>
      <c r="M69" s="1">
        <f t="shared" si="28"/>
        <v>0</v>
      </c>
      <c r="N69" s="1">
        <f t="shared" si="28"/>
        <v>0</v>
      </c>
      <c r="O69" s="1">
        <f t="shared" si="28"/>
        <v>0</v>
      </c>
      <c r="P69" s="1">
        <f t="shared" si="28"/>
        <v>0</v>
      </c>
      <c r="Q69" s="1">
        <f t="shared" si="28"/>
        <v>0</v>
      </c>
    </row>
    <row r="70" spans="1:17" x14ac:dyDescent="0.25">
      <c r="A70" s="8"/>
      <c r="C70" s="117"/>
    </row>
    <row r="71" spans="1:17" x14ac:dyDescent="0.25">
      <c r="A71" s="8" t="str">
        <f>Assumptions!B66</f>
        <v>3. Pessimistic</v>
      </c>
      <c r="B71" s="153">
        <v>1.01</v>
      </c>
      <c r="C71" s="114">
        <v>3</v>
      </c>
      <c r="D71" s="126"/>
      <c r="F71" s="29">
        <f>F65</f>
        <v>-19146</v>
      </c>
      <c r="G71" s="26">
        <f>F71*$B$71+G72</f>
        <v>-19337.46</v>
      </c>
      <c r="H71" s="26">
        <f>G71*$B$71+H72</f>
        <v>-19530.834599999998</v>
      </c>
      <c r="I71" s="26">
        <f t="shared" ref="I71:Q71" si="29">H71*$B$71+I72</f>
        <v>-19726.142946</v>
      </c>
      <c r="J71" s="26">
        <f t="shared" si="29"/>
        <v>-19923.404375459999</v>
      </c>
      <c r="K71" s="26">
        <f t="shared" si="29"/>
        <v>-20122.6384192146</v>
      </c>
      <c r="L71" s="26">
        <f t="shared" si="29"/>
        <v>-20323.864803406745</v>
      </c>
      <c r="M71" s="26">
        <f t="shared" si="29"/>
        <v>-20527.103451440813</v>
      </c>
      <c r="N71" s="26">
        <f t="shared" si="29"/>
        <v>-20732.374485955221</v>
      </c>
      <c r="O71" s="26">
        <f t="shared" si="29"/>
        <v>-20939.698230814774</v>
      </c>
      <c r="P71" s="26">
        <f t="shared" si="29"/>
        <v>-21149.095213122924</v>
      </c>
      <c r="Q71" s="26">
        <f t="shared" si="29"/>
        <v>-21360.586165254153</v>
      </c>
    </row>
    <row r="72" spans="1:17" ht="13.8" thickBot="1" x14ac:dyDescent="0.3">
      <c r="C72" s="118"/>
      <c r="F72" s="125" t="s">
        <v>45</v>
      </c>
      <c r="G72" s="1">
        <v>0</v>
      </c>
      <c r="H72" s="1">
        <v>0</v>
      </c>
      <c r="I72" s="1">
        <f t="shared" ref="I72:Q72" si="30">H72</f>
        <v>0</v>
      </c>
      <c r="J72" s="13">
        <f t="shared" si="30"/>
        <v>0</v>
      </c>
      <c r="K72" s="13">
        <f t="shared" si="30"/>
        <v>0</v>
      </c>
      <c r="L72" s="1">
        <f t="shared" si="30"/>
        <v>0</v>
      </c>
      <c r="M72" s="1">
        <f t="shared" si="30"/>
        <v>0</v>
      </c>
      <c r="N72" s="1">
        <f t="shared" si="30"/>
        <v>0</v>
      </c>
      <c r="O72" s="1">
        <f t="shared" si="30"/>
        <v>0</v>
      </c>
      <c r="P72" s="1">
        <f t="shared" si="30"/>
        <v>0</v>
      </c>
      <c r="Q72" s="1">
        <f t="shared" si="30"/>
        <v>0</v>
      </c>
    </row>
    <row r="74" spans="1:17" x14ac:dyDescent="0.25">
      <c r="A74" s="7" t="s">
        <v>23</v>
      </c>
    </row>
    <row r="75" spans="1:17" x14ac:dyDescent="0.25">
      <c r="A75" t="s">
        <v>127</v>
      </c>
    </row>
    <row r="76" spans="1:17" x14ac:dyDescent="0.25">
      <c r="A76" t="s">
        <v>129</v>
      </c>
    </row>
    <row r="77" spans="1:17" x14ac:dyDescent="0.25">
      <c r="A77" s="9" t="s">
        <v>0</v>
      </c>
      <c r="F77" s="13">
        <v>4068</v>
      </c>
      <c r="G77" s="106">
        <f t="shared" ref="G77:Q77" si="31">F77</f>
        <v>4068</v>
      </c>
      <c r="H77" s="106">
        <f t="shared" si="31"/>
        <v>4068</v>
      </c>
      <c r="I77" s="106">
        <f t="shared" si="31"/>
        <v>4068</v>
      </c>
      <c r="J77" s="106">
        <f t="shared" si="31"/>
        <v>4068</v>
      </c>
      <c r="K77" s="106">
        <f t="shared" si="31"/>
        <v>4068</v>
      </c>
      <c r="L77" s="106">
        <f t="shared" si="31"/>
        <v>4068</v>
      </c>
      <c r="M77" s="106">
        <f t="shared" si="31"/>
        <v>4068</v>
      </c>
      <c r="N77" s="106">
        <f t="shared" si="31"/>
        <v>4068</v>
      </c>
      <c r="O77" s="106">
        <f t="shared" si="31"/>
        <v>4068</v>
      </c>
      <c r="P77" s="106">
        <f t="shared" si="31"/>
        <v>4068</v>
      </c>
      <c r="Q77" s="106">
        <f t="shared" si="31"/>
        <v>4068</v>
      </c>
    </row>
    <row r="78" spans="1:17" x14ac:dyDescent="0.25">
      <c r="A78" s="9"/>
    </row>
    <row r="79" spans="1:17" x14ac:dyDescent="0.25">
      <c r="A79" s="7" t="s">
        <v>90</v>
      </c>
    </row>
    <row r="80" spans="1:17" x14ac:dyDescent="0.25">
      <c r="A80" s="93" t="s">
        <v>44</v>
      </c>
      <c r="B80" s="23">
        <f>Assumptions!D20</f>
        <v>20</v>
      </c>
      <c r="C80" s="372">
        <f>Asset6PurPrice</f>
        <v>-3436.0313831530343</v>
      </c>
      <c r="D80" s="13"/>
      <c r="E80" s="56"/>
      <c r="F80" s="19"/>
      <c r="G80" s="99">
        <f>1/B80</f>
        <v>0.05</v>
      </c>
      <c r="H80" s="76">
        <f t="shared" ref="H80:Q80" si="32">G80</f>
        <v>0.05</v>
      </c>
      <c r="I80" s="76">
        <f t="shared" si="32"/>
        <v>0.05</v>
      </c>
      <c r="J80" s="76">
        <f t="shared" si="32"/>
        <v>0.05</v>
      </c>
      <c r="K80" s="76">
        <f t="shared" si="32"/>
        <v>0.05</v>
      </c>
      <c r="L80" s="76">
        <f t="shared" si="32"/>
        <v>0.05</v>
      </c>
      <c r="M80" s="76">
        <f t="shared" si="32"/>
        <v>0.05</v>
      </c>
      <c r="N80" s="76">
        <f t="shared" si="32"/>
        <v>0.05</v>
      </c>
      <c r="O80" s="76">
        <f t="shared" si="32"/>
        <v>0.05</v>
      </c>
      <c r="P80" s="76">
        <f t="shared" si="32"/>
        <v>0.05</v>
      </c>
      <c r="Q80" s="77">
        <f t="shared" si="32"/>
        <v>0.05</v>
      </c>
    </row>
    <row r="81" spans="1:17" x14ac:dyDescent="0.25">
      <c r="A81" s="2" t="s">
        <v>10</v>
      </c>
      <c r="C81" s="100"/>
      <c r="D81" s="100"/>
      <c r="E81" s="56"/>
      <c r="F81" s="19"/>
      <c r="G81" s="31">
        <f>C80/B80</f>
        <v>-171.80156915765173</v>
      </c>
      <c r="H81" s="31">
        <f t="shared" ref="H81:Q81" si="33">+G81</f>
        <v>-171.80156915765173</v>
      </c>
      <c r="I81" s="31">
        <f t="shared" si="33"/>
        <v>-171.80156915765173</v>
      </c>
      <c r="J81" s="31">
        <f t="shared" si="33"/>
        <v>-171.80156915765173</v>
      </c>
      <c r="K81" s="31">
        <f t="shared" si="33"/>
        <v>-171.80156915765173</v>
      </c>
      <c r="L81" s="31">
        <f t="shared" si="33"/>
        <v>-171.80156915765173</v>
      </c>
      <c r="M81" s="31">
        <f t="shared" si="33"/>
        <v>-171.80156915765173</v>
      </c>
      <c r="N81" s="31">
        <f t="shared" si="33"/>
        <v>-171.80156915765173</v>
      </c>
      <c r="O81" s="31">
        <f t="shared" si="33"/>
        <v>-171.80156915765173</v>
      </c>
      <c r="P81" s="31">
        <f t="shared" si="33"/>
        <v>-171.80156915765173</v>
      </c>
      <c r="Q81" s="31">
        <f t="shared" si="33"/>
        <v>-171.80156915765173</v>
      </c>
    </row>
    <row r="82" spans="1:17" ht="15" x14ac:dyDescent="0.4">
      <c r="A82" s="2" t="s">
        <v>11</v>
      </c>
      <c r="E82" s="56"/>
      <c r="F82" s="19"/>
      <c r="G82" s="6">
        <f>($G$29*G80)</f>
        <v>203.4</v>
      </c>
      <c r="H82" s="6">
        <f>($G$29*H80)+($H$29*G80)</f>
        <v>406.8</v>
      </c>
      <c r="I82" s="6">
        <f>($G$29*I80)+($H$29*H80)+($I$29*G80)</f>
        <v>610.20000000000005</v>
      </c>
      <c r="J82" s="6">
        <f>($G$29*J80)+($H$29*I80)+($I$29*H80)+($J$29*G80)</f>
        <v>813.6</v>
      </c>
      <c r="K82" s="6">
        <f>($G$29*K80)+($H$29*J80)+($I$29*I80)+($J$29*H80)+($K$29*G80)</f>
        <v>1017</v>
      </c>
      <c r="L82" s="6">
        <f>($G$29*L80)+($H$29*K80)+($I$29*J80)+($J$29*I80)+($K$29*H80)+($L$29*G80)</f>
        <v>1220.4000000000001</v>
      </c>
      <c r="M82" s="6">
        <f>($G$29*M80)+($H$29*L80)+($I$29*K80)+($J$29*J80)+($K$29*I80)+($L$29*H80)+($M$29*G80)</f>
        <v>1423.8000000000002</v>
      </c>
      <c r="N82" s="6">
        <f>($G$29*N80)+($H$29*M80)+($I$29*L80)+($J$29*K80)+($K$29*J80)+($L$29*I80)+($M$29*H80)+($N$29*G80)</f>
        <v>1627.2000000000003</v>
      </c>
      <c r="O82" s="6">
        <f>($G$29*O80)+($H$29*N80)+($I$29*M80)+($J$29*L80)+($K$29*K80)+($L$29*J80)+($M$29*I80)+($N$29*H80)+($O$29*G80)</f>
        <v>1830.6000000000004</v>
      </c>
      <c r="P82" s="6">
        <f>($G$29*P80)+($H$29*O80)+($I$29*N80)+($J$29*M80)+($K$29*L80)+($L$29*K80)+($M$29*J80)+($N$29*I80)+($O$29*H80)+($P$29*G80)</f>
        <v>2034.0000000000005</v>
      </c>
      <c r="Q82" s="6">
        <f>($G$29*Q80)+($H$29*P80)+($I$29*O80)+($J$29*N80)+($K$29*M80)+($L$29*L80)+($M$29*K80)+($N$29*J80)+($O$29*I80)+($P$29*H80)+($Q$29*G80)</f>
        <v>2237.4000000000005</v>
      </c>
    </row>
    <row r="83" spans="1:17" x14ac:dyDescent="0.25">
      <c r="A83" s="9" t="s">
        <v>0</v>
      </c>
      <c r="E83" s="56"/>
      <c r="F83" s="19"/>
      <c r="G83" s="1">
        <f t="shared" ref="G83:Q83" si="34">SUM(G81:G82)</f>
        <v>31.598430842348279</v>
      </c>
      <c r="H83" s="1">
        <f t="shared" si="34"/>
        <v>234.99843084234828</v>
      </c>
      <c r="I83" s="1">
        <f t="shared" si="34"/>
        <v>438.39843084234832</v>
      </c>
      <c r="J83" s="13">
        <f t="shared" si="34"/>
        <v>641.79843084234835</v>
      </c>
      <c r="K83" s="13">
        <f t="shared" si="34"/>
        <v>845.19843084234822</v>
      </c>
      <c r="L83" s="1">
        <f t="shared" si="34"/>
        <v>1048.5984308423483</v>
      </c>
      <c r="M83" s="1">
        <f t="shared" si="34"/>
        <v>1251.9984308423484</v>
      </c>
      <c r="N83" s="1">
        <f t="shared" si="34"/>
        <v>1455.3984308423485</v>
      </c>
      <c r="O83" s="1">
        <f t="shared" si="34"/>
        <v>1658.7984308423486</v>
      </c>
      <c r="P83" s="1">
        <f t="shared" si="34"/>
        <v>1862.1984308423487</v>
      </c>
      <c r="Q83" s="1">
        <f t="shared" si="34"/>
        <v>2065.598430842349</v>
      </c>
    </row>
    <row r="84" spans="1:17" x14ac:dyDescent="0.25">
      <c r="A84" s="1"/>
      <c r="E84" s="56"/>
      <c r="F84" s="19"/>
      <c r="G84" s="1"/>
      <c r="H84" s="1"/>
      <c r="I84" s="1"/>
      <c r="J84" s="13"/>
      <c r="K84" s="13"/>
      <c r="L84" s="1"/>
      <c r="M84" s="1"/>
      <c r="N84" s="1"/>
      <c r="O84" s="1"/>
      <c r="P84" s="1"/>
      <c r="Q84" s="1"/>
    </row>
    <row r="85" spans="1:17" x14ac:dyDescent="0.25">
      <c r="A85" s="96" t="s">
        <v>9</v>
      </c>
      <c r="E85" s="56"/>
      <c r="F85" s="19"/>
      <c r="G85" s="68">
        <v>0.05</v>
      </c>
      <c r="H85" s="69">
        <v>9.5000000000000001E-2</v>
      </c>
      <c r="I85" s="69">
        <v>8.5500000000000007E-2</v>
      </c>
      <c r="J85" s="69">
        <v>7.6999999999999999E-2</v>
      </c>
      <c r="K85" s="69">
        <v>6.93E-2</v>
      </c>
      <c r="L85" s="69">
        <v>6.2300000000000001E-2</v>
      </c>
      <c r="M85" s="69">
        <v>5.8999999999999997E-2</v>
      </c>
      <c r="N85" s="69">
        <v>5.8999999999999997E-2</v>
      </c>
      <c r="O85" s="69">
        <v>5.91E-2</v>
      </c>
      <c r="P85" s="69">
        <v>5.8999999999999997E-2</v>
      </c>
      <c r="Q85" s="70">
        <v>5.91E-2</v>
      </c>
    </row>
    <row r="86" spans="1:17" x14ac:dyDescent="0.25">
      <c r="A86" s="2" t="s">
        <v>10</v>
      </c>
      <c r="B86" s="15"/>
      <c r="E86" s="56"/>
      <c r="F86" s="19"/>
      <c r="G86" s="1">
        <f t="shared" ref="G86:Q86" si="35">G85*$C$80</f>
        <v>-171.80156915765173</v>
      </c>
      <c r="H86" s="1">
        <f t="shared" si="35"/>
        <v>-326.42298139953829</v>
      </c>
      <c r="I86" s="1">
        <f t="shared" si="35"/>
        <v>-293.78068325958446</v>
      </c>
      <c r="J86" s="1">
        <f t="shared" si="35"/>
        <v>-264.57441650278366</v>
      </c>
      <c r="K86" s="1">
        <f t="shared" si="35"/>
        <v>-238.11697485250528</v>
      </c>
      <c r="L86" s="1">
        <f t="shared" si="35"/>
        <v>-214.06475517043404</v>
      </c>
      <c r="M86" s="1">
        <f t="shared" si="35"/>
        <v>-202.72585160602901</v>
      </c>
      <c r="N86" s="1">
        <f t="shared" si="35"/>
        <v>-202.72585160602901</v>
      </c>
      <c r="O86" s="1">
        <f t="shared" si="35"/>
        <v>-203.06945474434434</v>
      </c>
      <c r="P86" s="1">
        <f t="shared" si="35"/>
        <v>-202.72585160602901</v>
      </c>
      <c r="Q86" s="1">
        <f t="shared" si="35"/>
        <v>-203.06945474434434</v>
      </c>
    </row>
    <row r="87" spans="1:17" ht="15" x14ac:dyDescent="0.4">
      <c r="A87" s="2" t="s">
        <v>11</v>
      </c>
      <c r="B87" s="16"/>
      <c r="E87" s="127"/>
      <c r="F87" s="19"/>
      <c r="G87" s="6">
        <f>($G$29*G$85)</f>
        <v>203.4</v>
      </c>
      <c r="H87" s="6">
        <f>($G$29*H85)+($H$29*G85)</f>
        <v>589.86</v>
      </c>
      <c r="I87" s="6">
        <f>($G$29*I85)+($H$29*H85)+($I$29*G85)</f>
        <v>937.67399999999998</v>
      </c>
      <c r="J87" s="6">
        <f>($G$29*J85)+($H$29*I85)+($I$29*H85)+($J$29*G85)</f>
        <v>1250.9100000000001</v>
      </c>
      <c r="K87" s="6">
        <f>($G$29*K85)+($H$29*J85)+($I$29*I85)+($J$29*H85)+($K$29*G85)</f>
        <v>1532.8224000000002</v>
      </c>
      <c r="L87" s="6">
        <f>($G$29*L85)+($H$29*K85)+($I$29*J85)+($J$29*I85)+($K$29*H85)+($L$29*G85)</f>
        <v>1786.2588000000001</v>
      </c>
      <c r="M87" s="6">
        <f>($G$29*M85)+($H$29*L85)+($I$29*K85)+($J$29*J85)+($K$29*I85)+($L$29*H85)+($M$29*G85)</f>
        <v>2026.2708</v>
      </c>
      <c r="N87" s="6">
        <f>($G$29*N85)+($H$29*M85)+($I$29*L85)+($J$29*K85)+($K$29*J85)+($L$29*I85)+($M$29*H85)+($N$29*G85)</f>
        <v>2266.2828</v>
      </c>
      <c r="O87" s="6">
        <f>($G$29*O85)+($H$29*N85)+($I$29*M85)+($J$29*L85)+($K$29*K85)+($L$29*J85)+($M$29*I85)+($N$29*H85)+($O$29*G85)</f>
        <v>2506.7015999999999</v>
      </c>
      <c r="P87" s="6">
        <f>($G$29*P85)+($H$29*O85)+($I$29*N85)+($J$29*M85)+($K$29*L85)+($L$29*K85)+($M$29*J85)+($N$29*I85)+($O$29*H85)+($P$29*G85)</f>
        <v>2746.7136</v>
      </c>
      <c r="Q87" s="6">
        <f>($G$29*Q85)+($H$29*P85)+($I$29*O85)+($J$29*N85)+($K$29*M85)+($L$29*L85)+($M$29*K85)+($N$29*J85)+($O$29*I85)+($P$29*H85)+($Q$29*G85)</f>
        <v>2987.1324</v>
      </c>
    </row>
    <row r="88" spans="1:17" x14ac:dyDescent="0.25">
      <c r="A88" s="9" t="s">
        <v>0</v>
      </c>
      <c r="E88" s="56"/>
      <c r="F88" s="19"/>
      <c r="G88" s="1">
        <f t="shared" ref="G88:Q88" si="36">SUM(G86:G87)</f>
        <v>31.598430842348279</v>
      </c>
      <c r="H88" s="1">
        <f t="shared" si="36"/>
        <v>263.43701860046173</v>
      </c>
      <c r="I88" s="1">
        <f t="shared" si="36"/>
        <v>643.89331674041546</v>
      </c>
      <c r="J88" s="13">
        <f t="shared" si="36"/>
        <v>986.33558349721648</v>
      </c>
      <c r="K88" s="13">
        <f t="shared" si="36"/>
        <v>1294.7054251474949</v>
      </c>
      <c r="L88" s="1">
        <f t="shared" si="36"/>
        <v>1572.1940448295661</v>
      </c>
      <c r="M88" s="1">
        <f t="shared" si="36"/>
        <v>1823.544948393971</v>
      </c>
      <c r="N88" s="1">
        <f t="shared" si="36"/>
        <v>2063.5569483939707</v>
      </c>
      <c r="O88" s="1">
        <f t="shared" si="36"/>
        <v>2303.6321452556554</v>
      </c>
      <c r="P88" s="1">
        <f t="shared" si="36"/>
        <v>2543.9877483939708</v>
      </c>
      <c r="Q88" s="1">
        <f t="shared" si="36"/>
        <v>2784.0629452556554</v>
      </c>
    </row>
  </sheetData>
  <mergeCells count="1">
    <mergeCell ref="K33:M33"/>
  </mergeCells>
  <phoneticPr fontId="0" type="noConversion"/>
  <conditionalFormatting sqref="D68 D71 D54 D51 C11:D11 D14:D15 D47:D48 D64:D65">
    <cfRule type="cellIs" dxfId="0" priority="1" stopIfTrue="1" operator="notBetween">
      <formula>0.25</formula>
      <formula>-0.25</formula>
    </cfRule>
  </conditionalFormatting>
  <pageMargins left="0.5" right="0.5" top="0.75" bottom="0.75" header="0.5" footer="0.5"/>
  <pageSetup scale="44" orientation="landscape" horizontalDpi="300" verticalDpi="300" r:id="rId1"/>
  <headerFooter alignWithMargins="0">
    <oddFooter>&amp;R&amp;F
&amp;A
&amp;D, &amp;T</oddFooter>
  </headerFooter>
  <rowBreaks count="1" manualBreakCount="1">
    <brk id="39" max="16383" man="1"/>
  </rowBreaks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pageSetUpPr fitToPage="1"/>
  </sheetPr>
  <dimension ref="A1:E51"/>
  <sheetViews>
    <sheetView topLeftCell="A15" zoomScale="75" zoomScaleNormal="100" workbookViewId="0">
      <selection activeCell="B55" sqref="B55"/>
    </sheetView>
  </sheetViews>
  <sheetFormatPr defaultRowHeight="13.2" x14ac:dyDescent="0.25"/>
  <cols>
    <col min="1" max="1" width="36.44140625" bestFit="1" customWidth="1"/>
    <col min="2" max="3" width="12.88671875" customWidth="1"/>
    <col min="4" max="4" width="12.6640625" customWidth="1"/>
    <col min="5" max="5" width="9.88671875" customWidth="1"/>
  </cols>
  <sheetData>
    <row r="1" spans="1:5" ht="17.399999999999999" x14ac:dyDescent="0.3">
      <c r="A1" s="291" t="str">
        <f>Assumptions!D5</f>
        <v>Oneok</v>
      </c>
      <c r="B1" s="8"/>
    </row>
    <row r="2" spans="1:5" ht="15.6" x14ac:dyDescent="0.3">
      <c r="A2" s="354" t="s">
        <v>43</v>
      </c>
      <c r="B2" s="8"/>
    </row>
    <row r="3" spans="1:5" x14ac:dyDescent="0.25">
      <c r="B3" s="88"/>
    </row>
    <row r="4" spans="1:5" x14ac:dyDescent="0.25">
      <c r="A4" s="21"/>
      <c r="B4" s="161">
        <v>36708</v>
      </c>
      <c r="C4" s="46" t="s">
        <v>35</v>
      </c>
      <c r="D4" s="46" t="s">
        <v>36</v>
      </c>
    </row>
    <row r="5" spans="1:5" x14ac:dyDescent="0.25">
      <c r="A5" s="7"/>
      <c r="B5" s="85"/>
      <c r="C5" s="46"/>
      <c r="D5" s="46"/>
    </row>
    <row r="6" spans="1:5" x14ac:dyDescent="0.25">
      <c r="A6" t="s">
        <v>5</v>
      </c>
    </row>
    <row r="7" spans="1:5" x14ac:dyDescent="0.25">
      <c r="A7" t="s">
        <v>104</v>
      </c>
    </row>
    <row r="8" spans="1:5" x14ac:dyDescent="0.25">
      <c r="A8" s="72" t="s">
        <v>102</v>
      </c>
      <c r="B8" s="26"/>
      <c r="C8" s="11"/>
      <c r="D8" s="11"/>
      <c r="E8" s="11"/>
    </row>
    <row r="9" spans="1:5" x14ac:dyDescent="0.25">
      <c r="A9" s="72" t="s">
        <v>105</v>
      </c>
      <c r="B9" s="26">
        <v>-1535</v>
      </c>
      <c r="C9" s="11">
        <v>0</v>
      </c>
      <c r="D9" s="5">
        <f t="shared" ref="D9:D15" si="0">SUM(B9:C9)</f>
        <v>-1535</v>
      </c>
      <c r="E9" s="11"/>
    </row>
    <row r="10" spans="1:5" x14ac:dyDescent="0.25">
      <c r="A10" s="72" t="s">
        <v>106</v>
      </c>
      <c r="B10" s="26">
        <v>2763</v>
      </c>
      <c r="C10" s="11">
        <v>0</v>
      </c>
      <c r="D10" s="5">
        <f t="shared" si="0"/>
        <v>2763</v>
      </c>
      <c r="E10" s="11"/>
    </row>
    <row r="11" spans="1:5" x14ac:dyDescent="0.25">
      <c r="A11" t="s">
        <v>103</v>
      </c>
      <c r="B11" s="159">
        <v>7</v>
      </c>
      <c r="C11" s="5">
        <v>0</v>
      </c>
      <c r="D11" s="5">
        <f t="shared" si="0"/>
        <v>7</v>
      </c>
      <c r="E11" s="11"/>
    </row>
    <row r="12" spans="1:5" x14ac:dyDescent="0.25">
      <c r="A12" s="72" t="s">
        <v>99</v>
      </c>
      <c r="B12" s="26">
        <v>27020</v>
      </c>
      <c r="C12" s="5">
        <v>0</v>
      </c>
      <c r="D12" s="5">
        <f t="shared" si="0"/>
        <v>27020</v>
      </c>
      <c r="E12" s="11"/>
    </row>
    <row r="13" spans="1:5" x14ac:dyDescent="0.25">
      <c r="A13" s="72" t="s">
        <v>100</v>
      </c>
      <c r="B13" s="26">
        <v>9110</v>
      </c>
      <c r="C13" s="5">
        <v>0</v>
      </c>
      <c r="D13" s="5">
        <f t="shared" si="0"/>
        <v>9110</v>
      </c>
      <c r="E13" s="11"/>
    </row>
    <row r="14" spans="1:5" x14ac:dyDescent="0.25">
      <c r="A14" s="72" t="s">
        <v>101</v>
      </c>
      <c r="B14" s="26">
        <v>0</v>
      </c>
      <c r="C14" s="5">
        <v>0</v>
      </c>
      <c r="D14" s="5">
        <f t="shared" si="0"/>
        <v>0</v>
      </c>
      <c r="E14" s="11"/>
    </row>
    <row r="15" spans="1:5" ht="15" x14ac:dyDescent="0.4">
      <c r="A15" s="72" t="s">
        <v>107</v>
      </c>
      <c r="B15" s="36">
        <v>10850</v>
      </c>
      <c r="C15" s="3">
        <v>0</v>
      </c>
      <c r="D15" s="3">
        <f t="shared" si="0"/>
        <v>10850</v>
      </c>
      <c r="E15" s="11"/>
    </row>
    <row r="16" spans="1:5" x14ac:dyDescent="0.25">
      <c r="A16" s="73" t="s">
        <v>42</v>
      </c>
      <c r="B16" s="86">
        <f>SUM(B9:B15)</f>
        <v>48215</v>
      </c>
      <c r="C16" s="86">
        <f>SUM(C9:C15)</f>
        <v>0</v>
      </c>
      <c r="D16" s="86">
        <f>SUM(D9:D15)</f>
        <v>48215</v>
      </c>
      <c r="E16" s="11"/>
    </row>
    <row r="17" spans="1:5" x14ac:dyDescent="0.25">
      <c r="A17" s="120" t="s">
        <v>108</v>
      </c>
      <c r="B17" s="86"/>
      <c r="C17" s="86"/>
      <c r="D17" s="86"/>
      <c r="E17" s="11"/>
    </row>
    <row r="18" spans="1:5" x14ac:dyDescent="0.25">
      <c r="A18" s="120" t="s">
        <v>109</v>
      </c>
      <c r="B18" s="86">
        <v>102263</v>
      </c>
      <c r="C18" s="5">
        <v>0</v>
      </c>
      <c r="D18" s="5">
        <f>SUM(B18:C18)</f>
        <v>102263</v>
      </c>
      <c r="E18" s="11"/>
    </row>
    <row r="19" spans="1:5" ht="15" x14ac:dyDescent="0.4">
      <c r="A19" s="120" t="s">
        <v>110</v>
      </c>
      <c r="B19" s="87">
        <v>-19169</v>
      </c>
      <c r="C19" s="3">
        <v>0</v>
      </c>
      <c r="D19" s="3">
        <f>SUM(B19:C19)</f>
        <v>-19169</v>
      </c>
      <c r="E19" s="11"/>
    </row>
    <row r="20" spans="1:5" x14ac:dyDescent="0.25">
      <c r="A20" s="73" t="s">
        <v>42</v>
      </c>
      <c r="B20" s="86">
        <f>B19+B18</f>
        <v>83094</v>
      </c>
      <c r="C20" s="86">
        <f>C19+C18</f>
        <v>0</v>
      </c>
      <c r="D20" s="86">
        <f>D19+D18</f>
        <v>83094</v>
      </c>
      <c r="E20" s="11"/>
    </row>
    <row r="21" spans="1:5" x14ac:dyDescent="0.25">
      <c r="A21" s="120" t="s">
        <v>111</v>
      </c>
      <c r="B21" s="86">
        <v>4875</v>
      </c>
      <c r="C21" s="5">
        <v>0</v>
      </c>
      <c r="D21" s="5">
        <f>SUM(B21:C21)</f>
        <v>4875</v>
      </c>
      <c r="E21" s="11"/>
    </row>
    <row r="22" spans="1:5" ht="13.8" thickBot="1" x14ac:dyDescent="0.3">
      <c r="A22" s="73"/>
      <c r="B22" s="86"/>
      <c r="C22" s="67"/>
      <c r="D22" s="67"/>
      <c r="E22" s="11"/>
    </row>
    <row r="23" spans="1:5" s="11" customFormat="1" ht="13.8" thickBot="1" x14ac:dyDescent="0.3">
      <c r="A23" s="141" t="s">
        <v>76</v>
      </c>
      <c r="B23" s="142">
        <f>B21+B20+B16</f>
        <v>136184</v>
      </c>
      <c r="C23" s="142">
        <f>C21+C20+C16</f>
        <v>0</v>
      </c>
      <c r="D23" s="160">
        <f>D21+D20+D16</f>
        <v>136184</v>
      </c>
    </row>
    <row r="24" spans="1:5" s="11" customFormat="1" ht="15" x14ac:dyDescent="0.4">
      <c r="A24" s="74"/>
      <c r="C24" s="45"/>
    </row>
    <row r="25" spans="1:5" x14ac:dyDescent="0.25">
      <c r="A25" t="s">
        <v>122</v>
      </c>
      <c r="C25" s="11"/>
      <c r="D25" s="11"/>
      <c r="E25" s="11"/>
    </row>
    <row r="26" spans="1:5" x14ac:dyDescent="0.25">
      <c r="A26" s="9"/>
      <c r="C26" s="11"/>
      <c r="D26" s="11"/>
      <c r="E26" s="11"/>
    </row>
    <row r="27" spans="1:5" x14ac:dyDescent="0.25">
      <c r="A27" s="72" t="s">
        <v>112</v>
      </c>
      <c r="C27" s="11"/>
      <c r="D27" s="11"/>
      <c r="E27" s="11"/>
    </row>
    <row r="28" spans="1:5" x14ac:dyDescent="0.25">
      <c r="A28" s="72" t="s">
        <v>113</v>
      </c>
      <c r="B28" s="143">
        <v>0</v>
      </c>
      <c r="C28" s="143">
        <v>0</v>
      </c>
      <c r="D28" s="5">
        <f t="shared" ref="D28:D33" si="1">SUM(B28:C28)</f>
        <v>0</v>
      </c>
      <c r="E28" s="11"/>
    </row>
    <row r="29" spans="1:5" x14ac:dyDescent="0.25">
      <c r="A29" s="72" t="s">
        <v>114</v>
      </c>
      <c r="B29" s="143">
        <v>6773</v>
      </c>
      <c r="C29" s="143">
        <v>0</v>
      </c>
      <c r="D29" s="5">
        <f t="shared" si="1"/>
        <v>6773</v>
      </c>
      <c r="E29" s="11"/>
    </row>
    <row r="30" spans="1:5" x14ac:dyDescent="0.25">
      <c r="A30" s="72" t="s">
        <v>115</v>
      </c>
      <c r="B30" s="143">
        <v>43</v>
      </c>
      <c r="C30" s="143">
        <v>0</v>
      </c>
      <c r="D30" s="5">
        <f t="shared" si="1"/>
        <v>43</v>
      </c>
      <c r="E30" s="11"/>
    </row>
    <row r="31" spans="1:5" x14ac:dyDescent="0.25">
      <c r="A31" s="72" t="s">
        <v>116</v>
      </c>
      <c r="B31" s="143">
        <v>2191</v>
      </c>
      <c r="C31" s="143">
        <v>0</v>
      </c>
      <c r="D31" s="5">
        <f t="shared" si="1"/>
        <v>2191</v>
      </c>
      <c r="E31" s="11"/>
    </row>
    <row r="32" spans="1:5" x14ac:dyDescent="0.25">
      <c r="A32" s="72" t="s">
        <v>117</v>
      </c>
      <c r="B32" s="143">
        <v>-11832</v>
      </c>
      <c r="C32" s="143">
        <v>0</v>
      </c>
      <c r="D32" s="5">
        <f t="shared" si="1"/>
        <v>-11832</v>
      </c>
      <c r="E32" s="11"/>
    </row>
    <row r="33" spans="1:5" ht="15" x14ac:dyDescent="0.4">
      <c r="A33" s="98" t="s">
        <v>118</v>
      </c>
      <c r="B33" s="87">
        <v>0</v>
      </c>
      <c r="C33" s="3">
        <v>0</v>
      </c>
      <c r="D33" s="3">
        <f t="shared" si="1"/>
        <v>0</v>
      </c>
      <c r="E33" s="11"/>
    </row>
    <row r="34" spans="1:5" x14ac:dyDescent="0.25">
      <c r="A34" s="9" t="s">
        <v>42</v>
      </c>
      <c r="B34" s="86">
        <f>SUM(B28:B33)</f>
        <v>-2825</v>
      </c>
      <c r="C34" s="86">
        <f>SUM(C28:C33)</f>
        <v>0</v>
      </c>
      <c r="D34" s="86">
        <f>SUM(D28:D33)</f>
        <v>-2825</v>
      </c>
      <c r="E34" s="11"/>
    </row>
    <row r="35" spans="1:5" x14ac:dyDescent="0.25">
      <c r="A35" s="98" t="s">
        <v>119</v>
      </c>
      <c r="B35" s="86"/>
      <c r="C35" s="11"/>
      <c r="D35" s="11"/>
      <c r="E35" s="11"/>
    </row>
    <row r="36" spans="1:5" x14ac:dyDescent="0.25">
      <c r="A36" s="98" t="s">
        <v>120</v>
      </c>
      <c r="B36" s="26">
        <v>0</v>
      </c>
      <c r="C36" s="11">
        <f>-B36</f>
        <v>0</v>
      </c>
      <c r="D36" s="11">
        <f>SUM(B36:C36)</f>
        <v>0</v>
      </c>
      <c r="E36" s="11"/>
    </row>
    <row r="37" spans="1:5" ht="15" x14ac:dyDescent="0.4">
      <c r="A37" s="98" t="s">
        <v>121</v>
      </c>
      <c r="B37" s="87">
        <v>-52378</v>
      </c>
      <c r="C37" s="3">
        <v>0</v>
      </c>
      <c r="D37" s="3">
        <f>SUM(B37:C37)</f>
        <v>-52378</v>
      </c>
      <c r="E37" s="11"/>
    </row>
    <row r="38" spans="1:5" x14ac:dyDescent="0.25">
      <c r="A38" s="9" t="s">
        <v>42</v>
      </c>
      <c r="B38" s="86">
        <f>SUM(B36:B37)</f>
        <v>-52378</v>
      </c>
      <c r="C38" s="11">
        <f>SUM(C36:C37)</f>
        <v>0</v>
      </c>
      <c r="D38" s="11">
        <f>SUM(D36:D37)</f>
        <v>-52378</v>
      </c>
      <c r="E38" s="11"/>
    </row>
    <row r="39" spans="1:5" x14ac:dyDescent="0.25">
      <c r="A39" s="98" t="s">
        <v>123</v>
      </c>
      <c r="B39" s="26"/>
      <c r="C39" s="11"/>
      <c r="D39" s="11"/>
      <c r="E39" s="11"/>
    </row>
    <row r="40" spans="1:5" x14ac:dyDescent="0.25">
      <c r="A40" s="98" t="s">
        <v>124</v>
      </c>
      <c r="B40" s="26">
        <v>0</v>
      </c>
      <c r="C40" s="11">
        <v>0</v>
      </c>
      <c r="D40" s="11">
        <f>SUM(B40:C40)</f>
        <v>0</v>
      </c>
      <c r="E40" s="11"/>
    </row>
    <row r="41" spans="1:5" x14ac:dyDescent="0.25">
      <c r="A41" s="98" t="s">
        <v>125</v>
      </c>
      <c r="B41" s="162">
        <v>575987</v>
      </c>
      <c r="C41" s="5">
        <v>0</v>
      </c>
      <c r="D41" s="5">
        <f>SUM(B41:C41)</f>
        <v>575987</v>
      </c>
      <c r="E41" s="11"/>
    </row>
    <row r="42" spans="1:5" ht="15" x14ac:dyDescent="0.4">
      <c r="A42" t="s">
        <v>126</v>
      </c>
      <c r="B42" s="87">
        <v>-384600</v>
      </c>
      <c r="C42" s="3">
        <v>0</v>
      </c>
      <c r="D42" s="3">
        <f>SUM(B42:C42)</f>
        <v>-384600</v>
      </c>
      <c r="E42" s="11"/>
    </row>
    <row r="43" spans="1:5" x14ac:dyDescent="0.25">
      <c r="A43" s="9" t="s">
        <v>42</v>
      </c>
      <c r="B43" s="86">
        <f>SUM(B40:B42)</f>
        <v>191387</v>
      </c>
      <c r="C43" s="86">
        <f>SUM(C40:C42)</f>
        <v>0</v>
      </c>
      <c r="D43" s="86">
        <f>SUM(D40:D42)</f>
        <v>191387</v>
      </c>
      <c r="E43" s="11"/>
    </row>
    <row r="44" spans="1:5" ht="13.8" thickBot="1" x14ac:dyDescent="0.3">
      <c r="C44" s="11"/>
      <c r="D44" s="11"/>
      <c r="E44" s="11"/>
    </row>
    <row r="45" spans="1:5" s="11" customFormat="1" ht="13.8" thickBot="1" x14ac:dyDescent="0.3">
      <c r="A45" s="141" t="s">
        <v>8</v>
      </c>
      <c r="B45" s="142">
        <f>B43+B38+B34</f>
        <v>136184</v>
      </c>
      <c r="C45" s="142">
        <f>C43+C38+C34</f>
        <v>0</v>
      </c>
      <c r="D45" s="160">
        <f>D43+D38+D34</f>
        <v>136184</v>
      </c>
    </row>
    <row r="46" spans="1:5" s="11" customFormat="1" x14ac:dyDescent="0.25">
      <c r="B46" s="11">
        <f>B23-B45</f>
        <v>0</v>
      </c>
      <c r="C46" s="11">
        <f>C23-C45</f>
        <v>0</v>
      </c>
      <c r="D46" s="11">
        <f>D23-D45</f>
        <v>0</v>
      </c>
    </row>
    <row r="47" spans="1:5" s="23" customFormat="1" x14ac:dyDescent="0.25">
      <c r="C47" s="5"/>
      <c r="D47" s="5"/>
      <c r="E47" s="5"/>
    </row>
    <row r="48" spans="1:5" x14ac:dyDescent="0.25">
      <c r="C48" s="11"/>
      <c r="D48" s="11"/>
      <c r="E48" s="11"/>
    </row>
    <row r="49" spans="3:5" x14ac:dyDescent="0.25">
      <c r="C49" s="11"/>
      <c r="D49" s="11"/>
      <c r="E49" s="11"/>
    </row>
    <row r="50" spans="3:5" x14ac:dyDescent="0.25">
      <c r="D50" s="11"/>
      <c r="E50" s="11"/>
    </row>
    <row r="51" spans="3:5" x14ac:dyDescent="0.25">
      <c r="C51" s="11"/>
      <c r="D51" s="11"/>
      <c r="E51" s="11"/>
    </row>
  </sheetData>
  <phoneticPr fontId="0" type="noConversion"/>
  <pageMargins left="0.75" right="0.75" top="1" bottom="1" header="0.5" footer="0.5"/>
  <pageSetup scale="78" orientation="landscape" horizontalDpi="4294967292" r:id="rId1"/>
  <headerFooter alignWithMargins="0">
    <oddFooter>&amp;R&amp;F
&amp;A
&amp;D,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29</vt:i4>
      </vt:variant>
    </vt:vector>
  </HeadingPairs>
  <TitlesOfParts>
    <vt:vector size="41" baseType="lpstr">
      <vt:lpstr>Explaination about this model</vt:lpstr>
      <vt:lpstr>Assumptions</vt:lpstr>
      <vt:lpstr>Summary</vt:lpstr>
      <vt:lpstr>Lev. Consolid</vt:lpstr>
      <vt:lpstr>Unlev. Consolid</vt:lpstr>
      <vt:lpstr>Asset 1</vt:lpstr>
      <vt:lpstr>Asset 2</vt:lpstr>
      <vt:lpstr>Asset 3</vt:lpstr>
      <vt:lpstr>Asset 4</vt:lpstr>
      <vt:lpstr>Asset 5</vt:lpstr>
      <vt:lpstr>Asset 6</vt:lpstr>
      <vt:lpstr>Cons. BS</vt:lpstr>
      <vt:lpstr>Asset1Drate</vt:lpstr>
      <vt:lpstr>Asset1Loop</vt:lpstr>
      <vt:lpstr>Asset1NPVPrice</vt:lpstr>
      <vt:lpstr>Asset1PurPrice</vt:lpstr>
      <vt:lpstr>Asset2DRate</vt:lpstr>
      <vt:lpstr>Asset2Loop</vt:lpstr>
      <vt:lpstr>Asset2NPVPrice</vt:lpstr>
      <vt:lpstr>Asset2PurPrice</vt:lpstr>
      <vt:lpstr>Asset3DRate</vt:lpstr>
      <vt:lpstr>Asset3Loop</vt:lpstr>
      <vt:lpstr>Asset3NPVPrice</vt:lpstr>
      <vt:lpstr>Asset3PurPrice</vt:lpstr>
      <vt:lpstr>Asset4DRate</vt:lpstr>
      <vt:lpstr>Asset4Loop</vt:lpstr>
      <vt:lpstr>Asset4NPVPrice</vt:lpstr>
      <vt:lpstr>Asset4PurPrice</vt:lpstr>
      <vt:lpstr>Asset5DRate</vt:lpstr>
      <vt:lpstr>Asset5Loop</vt:lpstr>
      <vt:lpstr>Asset5NPVPrice</vt:lpstr>
      <vt:lpstr>Asset5PurPrice</vt:lpstr>
      <vt:lpstr>Asset6DRate</vt:lpstr>
      <vt:lpstr>Asset6Loop</vt:lpstr>
      <vt:lpstr>Asset6NPVPrice</vt:lpstr>
      <vt:lpstr>Asset6PurPrice</vt:lpstr>
      <vt:lpstr>CDRate</vt:lpstr>
      <vt:lpstr>CLoop</vt:lpstr>
      <vt:lpstr>CNPVPrice</vt:lpstr>
      <vt:lpstr>ConsDRate</vt:lpstr>
      <vt:lpstr>CPurPrice</vt:lpstr>
    </vt:vector>
  </TitlesOfParts>
  <Company>EI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MLR</dc:creator>
  <cp:lastModifiedBy>Havlíček Jan</cp:lastModifiedBy>
  <cp:lastPrinted>2001-02-28T15:46:48Z</cp:lastPrinted>
  <dcterms:created xsi:type="dcterms:W3CDTF">2000-03-09T01:43:06Z</dcterms:created>
  <dcterms:modified xsi:type="dcterms:W3CDTF">2023-09-10T12:04:57Z</dcterms:modified>
</cp:coreProperties>
</file>