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 activeTab="3"/>
  </bookViews>
  <sheets>
    <sheet name="Key" sheetId="5" r:id="rId1"/>
    <sheet name="Pre" sheetId="2" r:id="rId2"/>
    <sheet name="Post" sheetId="4" r:id="rId3"/>
    <sheet name="Trans" sheetId="3" r:id="rId4"/>
  </sheets>
  <calcPr calcId="92512"/>
</workbook>
</file>

<file path=xl/calcChain.xml><?xml version="1.0" encoding="utf-8"?>
<calcChain xmlns="http://schemas.openxmlformats.org/spreadsheetml/2006/main">
  <c r="C4" i="5" l="1"/>
  <c r="B4" i="4"/>
  <c r="B6" i="4"/>
  <c r="E6" i="4"/>
  <c r="C7" i="4"/>
  <c r="F7" i="4"/>
  <c r="L7" i="4"/>
  <c r="M7" i="4"/>
  <c r="C8" i="4"/>
  <c r="F8" i="4"/>
  <c r="L8" i="4"/>
  <c r="C9" i="4"/>
  <c r="F9" i="4"/>
  <c r="I9" i="4"/>
  <c r="L9" i="4"/>
  <c r="M9" i="4"/>
  <c r="C10" i="4"/>
  <c r="F10" i="4"/>
  <c r="M10" i="4"/>
  <c r="L11" i="4"/>
  <c r="M11" i="4"/>
  <c r="C12" i="4"/>
  <c r="F12" i="4"/>
  <c r="I12" i="4"/>
  <c r="L12" i="4"/>
  <c r="M12" i="4"/>
  <c r="C13" i="4"/>
  <c r="F13" i="4"/>
  <c r="I13" i="4"/>
  <c r="L13" i="4"/>
  <c r="M13" i="4"/>
  <c r="C15" i="4"/>
  <c r="F15" i="4"/>
  <c r="I15" i="4"/>
  <c r="L15" i="4"/>
  <c r="F18" i="4"/>
  <c r="E23" i="4"/>
  <c r="H23" i="4"/>
  <c r="F24" i="4"/>
  <c r="E26" i="4"/>
  <c r="F26" i="4"/>
  <c r="H26" i="4"/>
  <c r="H27" i="4"/>
  <c r="E28" i="4"/>
  <c r="F28" i="4"/>
  <c r="H28" i="4"/>
  <c r="E29" i="4"/>
  <c r="F29" i="4"/>
  <c r="H29" i="4"/>
  <c r="E30" i="4"/>
  <c r="F30" i="4"/>
  <c r="H30" i="4"/>
  <c r="E31" i="4"/>
  <c r="F31" i="4"/>
  <c r="H31" i="4"/>
  <c r="E33" i="4"/>
  <c r="F33" i="4"/>
  <c r="H33" i="4"/>
  <c r="E35" i="4"/>
  <c r="F35" i="4"/>
  <c r="H35" i="4"/>
  <c r="F36" i="4"/>
  <c r="H36" i="4"/>
  <c r="E37" i="4"/>
  <c r="F37" i="4"/>
  <c r="H37" i="4"/>
  <c r="E38" i="4"/>
  <c r="F38" i="4"/>
  <c r="H38" i="4"/>
  <c r="E39" i="4"/>
  <c r="F39" i="4"/>
  <c r="H39" i="4"/>
  <c r="E40" i="4"/>
  <c r="F40" i="4"/>
  <c r="H40" i="4"/>
  <c r="E42" i="4"/>
  <c r="F42" i="4"/>
  <c r="H42" i="4"/>
  <c r="E44" i="4"/>
  <c r="F44" i="4"/>
  <c r="H44" i="4"/>
  <c r="E49" i="4"/>
  <c r="H49" i="4"/>
  <c r="E50" i="4"/>
  <c r="H50" i="4"/>
  <c r="E52" i="4"/>
  <c r="H52" i="4"/>
  <c r="E53" i="4"/>
  <c r="H53" i="4"/>
  <c r="E54" i="4"/>
  <c r="H54" i="4"/>
  <c r="E55" i="4"/>
  <c r="H55" i="4"/>
  <c r="E56" i="4"/>
  <c r="H56" i="4"/>
  <c r="E58" i="4"/>
  <c r="H58" i="4"/>
  <c r="E59" i="4"/>
  <c r="H59" i="4"/>
  <c r="E60" i="4"/>
  <c r="H60" i="4"/>
  <c r="E61" i="4"/>
  <c r="H61" i="4"/>
  <c r="E62" i="4"/>
  <c r="H62" i="4"/>
  <c r="E64" i="4"/>
  <c r="H64" i="4"/>
  <c r="E66" i="4"/>
  <c r="H66" i="4"/>
  <c r="B71" i="4"/>
  <c r="E71" i="4"/>
  <c r="H71" i="4"/>
  <c r="B72" i="4"/>
  <c r="E72" i="4"/>
  <c r="H72" i="4"/>
  <c r="B73" i="4"/>
  <c r="E73" i="4"/>
  <c r="H73" i="4"/>
  <c r="B3" i="2"/>
  <c r="M3" i="2"/>
  <c r="B5" i="2"/>
  <c r="E5" i="2"/>
  <c r="M5" i="2"/>
  <c r="C6" i="2"/>
  <c r="F6" i="2"/>
  <c r="N6" i="2"/>
  <c r="C7" i="2"/>
  <c r="F7" i="2"/>
  <c r="N7" i="2"/>
  <c r="T7" i="2"/>
  <c r="F8" i="2"/>
  <c r="C9" i="2"/>
  <c r="F9" i="2"/>
  <c r="I9" i="2"/>
  <c r="N9" i="2"/>
  <c r="Q9" i="2"/>
  <c r="C10" i="2"/>
  <c r="F10" i="2"/>
  <c r="N10" i="2"/>
  <c r="C11" i="2"/>
  <c r="F11" i="2"/>
  <c r="I11" i="2"/>
  <c r="N11" i="2"/>
  <c r="Q11" i="2"/>
  <c r="T11" i="2"/>
  <c r="C13" i="2"/>
  <c r="F13" i="2"/>
  <c r="I13" i="2"/>
  <c r="N13" i="2"/>
  <c r="Q13" i="2"/>
  <c r="T13" i="2"/>
  <c r="F16" i="2"/>
  <c r="Q16" i="2"/>
  <c r="F20" i="2"/>
  <c r="B26" i="2"/>
  <c r="F26" i="2"/>
  <c r="M26" i="2"/>
  <c r="Q26" i="2"/>
  <c r="B28" i="2"/>
  <c r="M28" i="2"/>
  <c r="B30" i="2"/>
  <c r="F30" i="2"/>
  <c r="Q30" i="2"/>
  <c r="B32" i="2"/>
  <c r="B34" i="2"/>
  <c r="F36" i="2"/>
  <c r="F40" i="2"/>
  <c r="Q40" i="2"/>
  <c r="F42" i="2"/>
  <c r="Q42" i="2"/>
  <c r="C50" i="2"/>
  <c r="E50" i="2"/>
  <c r="N50" i="2"/>
  <c r="P50" i="2"/>
  <c r="C51" i="2"/>
  <c r="E51" i="2"/>
  <c r="N51" i="2"/>
  <c r="P51" i="2"/>
  <c r="C52" i="2"/>
  <c r="E52" i="2"/>
  <c r="N52" i="2"/>
  <c r="P52" i="2"/>
  <c r="C53" i="2"/>
  <c r="E53" i="2"/>
  <c r="N53" i="2"/>
  <c r="P53" i="2"/>
  <c r="C54" i="2"/>
  <c r="E54" i="2"/>
  <c r="N54" i="2"/>
  <c r="P54" i="2"/>
  <c r="C55" i="2"/>
  <c r="E55" i="2"/>
  <c r="N55" i="2"/>
  <c r="P55" i="2"/>
  <c r="C56" i="2"/>
  <c r="E56" i="2"/>
  <c r="N56" i="2"/>
  <c r="P56" i="2"/>
  <c r="C57" i="2"/>
  <c r="E57" i="2"/>
  <c r="N57" i="2"/>
  <c r="P57" i="2"/>
  <c r="C58" i="2"/>
  <c r="E58" i="2"/>
  <c r="N58" i="2"/>
  <c r="P58" i="2"/>
  <c r="C59" i="2"/>
  <c r="E59" i="2"/>
  <c r="N59" i="2"/>
  <c r="P59" i="2"/>
  <c r="C60" i="2"/>
  <c r="E60" i="2"/>
  <c r="N60" i="2"/>
  <c r="P60" i="2"/>
  <c r="H2" i="3"/>
  <c r="G6" i="3"/>
  <c r="I6" i="3"/>
  <c r="F9" i="3"/>
  <c r="B10" i="3"/>
  <c r="H10" i="3"/>
  <c r="F11" i="3"/>
  <c r="F12" i="3"/>
  <c r="F13" i="3"/>
  <c r="G14" i="3"/>
  <c r="I14" i="3"/>
  <c r="G15" i="3"/>
  <c r="I15" i="3"/>
  <c r="J15" i="3"/>
  <c r="G17" i="3"/>
  <c r="I17" i="3"/>
  <c r="J17" i="3"/>
  <c r="D20" i="3"/>
  <c r="E20" i="3"/>
  <c r="D21" i="3"/>
  <c r="D22" i="3"/>
  <c r="F22" i="3"/>
  <c r="D24" i="3"/>
  <c r="B25" i="3"/>
  <c r="H25" i="3"/>
  <c r="D26" i="3"/>
  <c r="E26" i="3"/>
  <c r="D27" i="3"/>
</calcChain>
</file>

<file path=xl/sharedStrings.xml><?xml version="1.0" encoding="utf-8"?>
<sst xmlns="http://schemas.openxmlformats.org/spreadsheetml/2006/main" count="170" uniqueCount="81">
  <si>
    <t>Common Units</t>
  </si>
  <si>
    <t>Border Midstream</t>
  </si>
  <si>
    <t>Value =</t>
  </si>
  <si>
    <t>Yield =</t>
  </si>
  <si>
    <t>DPU =</t>
  </si>
  <si>
    <t>2002 EPU =</t>
  </si>
  <si>
    <t>Units O/S =</t>
  </si>
  <si>
    <t>Subordinated Units</t>
  </si>
  <si>
    <t>PE Ratio =</t>
  </si>
  <si>
    <t>Equiv Units O/S =</t>
  </si>
  <si>
    <t>Unit Value =</t>
  </si>
  <si>
    <t>Total Value</t>
  </si>
  <si>
    <t>Northern Border Partners</t>
  </si>
  <si>
    <t>TC PipeLines</t>
  </si>
  <si>
    <t>Crestone / Bearpaw</t>
  </si>
  <si>
    <t>Black Mesa</t>
  </si>
  <si>
    <t>Other Assets, Net</t>
  </si>
  <si>
    <t>Tuscarora</t>
  </si>
  <si>
    <t>Unidentified Value</t>
  </si>
  <si>
    <t>Cash</t>
  </si>
  <si>
    <t>Common Units (Old)</t>
  </si>
  <si>
    <t>Common Units (New)</t>
  </si>
  <si>
    <t>Pre</t>
  </si>
  <si>
    <t>Post</t>
  </si>
  <si>
    <t>Gross Cash Flow</t>
  </si>
  <si>
    <t>Admin Cost Savings</t>
  </si>
  <si>
    <t xml:space="preserve">  Total Cash Flow</t>
  </si>
  <si>
    <t>Earnings</t>
  </si>
  <si>
    <t xml:space="preserve">  Total Earnings</t>
  </si>
  <si>
    <t>Per Unit</t>
  </si>
  <si>
    <t>Cash Received(Paid)</t>
  </si>
  <si>
    <t>Units Outstanding</t>
  </si>
  <si>
    <t xml:space="preserve">  GP %</t>
  </si>
  <si>
    <t xml:space="preserve">  GP Promote</t>
  </si>
  <si>
    <t xml:space="preserve">    Cash to Units</t>
  </si>
  <si>
    <t xml:space="preserve">    Earnings to Units</t>
  </si>
  <si>
    <t>LP Units Outstanding</t>
  </si>
  <si>
    <t>GP Equivalent Units</t>
  </si>
  <si>
    <t>Target Distribution</t>
  </si>
  <si>
    <t>Calculation of GP Promote</t>
  </si>
  <si>
    <t>Distributable Cash</t>
  </si>
  <si>
    <t>Payout - Level 1</t>
  </si>
  <si>
    <t xml:space="preserve">           - Level 2</t>
  </si>
  <si>
    <t xml:space="preserve">           - Level 3</t>
  </si>
  <si>
    <t xml:space="preserve">           - Level 4</t>
  </si>
  <si>
    <t>To GP - Level 1</t>
  </si>
  <si>
    <t xml:space="preserve">          - Level 2</t>
  </si>
  <si>
    <t xml:space="preserve">          - Level 3</t>
  </si>
  <si>
    <t xml:space="preserve">          - Level 4</t>
  </si>
  <si>
    <t xml:space="preserve">  Total to GP</t>
  </si>
  <si>
    <t xml:space="preserve">  Total to LP</t>
  </si>
  <si>
    <t>GP Yield Sensitivity</t>
  </si>
  <si>
    <t>GP Value</t>
  </si>
  <si>
    <t>Enron</t>
  </si>
  <si>
    <t>Williams</t>
  </si>
  <si>
    <t>Boulder</t>
  </si>
  <si>
    <t>Tucson</t>
  </si>
  <si>
    <t>Austin</t>
  </si>
  <si>
    <t>Norman</t>
  </si>
  <si>
    <t>Tempe</t>
  </si>
  <si>
    <t xml:space="preserve">Total </t>
  </si>
  <si>
    <t>TransCanada</t>
  </si>
  <si>
    <t>Total</t>
  </si>
  <si>
    <t xml:space="preserve">Northern Border Pipeline </t>
  </si>
  <si>
    <t xml:space="preserve">Midwestern Gas </t>
  </si>
  <si>
    <t>Ames</t>
  </si>
  <si>
    <t>Stillwater</t>
  </si>
  <si>
    <t>College Station</t>
  </si>
  <si>
    <t>Ann Arbor</t>
  </si>
  <si>
    <t>South Bend</t>
  </si>
  <si>
    <t>Manhatten</t>
  </si>
  <si>
    <t>Debt O/S</t>
  </si>
  <si>
    <t xml:space="preserve">  Total Equity Value</t>
  </si>
  <si>
    <t xml:space="preserve">       32.5% GP interest in</t>
  </si>
  <si>
    <t>17.5% GP interest in</t>
  </si>
  <si>
    <t xml:space="preserve"> Common Units</t>
  </si>
  <si>
    <t xml:space="preserve">  Sub Units</t>
  </si>
  <si>
    <t xml:space="preserve">GP Interest </t>
  </si>
  <si>
    <t xml:space="preserve">   Common Units</t>
  </si>
  <si>
    <t>=</t>
  </si>
  <si>
    <t>Use 0 or 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</si>
</sst>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8" formatCode="0.000"/>
    <numFmt numFmtId="169" formatCode="_(&quot;$&quot;* #,##0.0_);_(&quot;$&quot;* \(#,##0.0\);_(&quot;$&quot;* &quot;-&quot;??_);_(@_)"/>
    <numFmt numFmtId="171" formatCode="0.0"/>
    <numFmt numFmtId="173" formatCode="_(* #,##0.000_);_(* \(#,##0.000\);_(* &quot;-&quot;??_);_(@_)"/>
    <numFmt numFmtId="175" formatCode="_(&quot;$&quot;* #,##0.0000_);_(&quot;$&quot;* \(#,##0.0000\);_(&quot;$&quot;* &quot;-&quot;??_);_(@_)"/>
    <numFmt numFmtId="176" formatCode="_(&quot;$&quot;* #,##0.000_);_(&quot;$&quot;* \(#,##0.000\);_(&quot;$&quot;* &quot;-&quot;??_);_(@_)"/>
    <numFmt numFmtId="177" formatCode="#,##0.000_);\(#,##0.000\)"/>
  </numFmts>
  <fonts count="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44" fontId="0" fillId="0" borderId="0" xfId="2" applyFont="1"/>
    <xf numFmtId="44" fontId="0" fillId="0" borderId="0" xfId="0" applyNumberFormat="1"/>
    <xf numFmtId="0" fontId="0" fillId="0" borderId="1" xfId="0" applyBorder="1"/>
    <xf numFmtId="44" fontId="0" fillId="0" borderId="2" xfId="0" applyNumberFormat="1" applyBorder="1"/>
    <xf numFmtId="44" fontId="0" fillId="0" borderId="2" xfId="2" applyFont="1" applyBorder="1"/>
    <xf numFmtId="10" fontId="0" fillId="0" borderId="2" xfId="3" applyNumberFormat="1" applyFont="1" applyBorder="1"/>
    <xf numFmtId="0" fontId="0" fillId="0" borderId="3" xfId="0" applyBorder="1"/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164" fontId="0" fillId="0" borderId="6" xfId="1" applyNumberFormat="1" applyFont="1" applyBorder="1"/>
    <xf numFmtId="2" fontId="0" fillId="0" borderId="0" xfId="0" applyNumberFormat="1" applyBorder="1"/>
    <xf numFmtId="44" fontId="0" fillId="0" borderId="0" xfId="0" applyNumberFormat="1" applyBorder="1"/>
    <xf numFmtId="44" fontId="0" fillId="0" borderId="0" xfId="2" applyFont="1" applyBorder="1"/>
    <xf numFmtId="10" fontId="0" fillId="0" borderId="0" xfId="3" applyNumberFormat="1" applyFont="1" applyBorder="1"/>
    <xf numFmtId="164" fontId="0" fillId="0" borderId="0" xfId="1" applyNumberFormat="1" applyFont="1" applyBorder="1"/>
    <xf numFmtId="168" fontId="0" fillId="0" borderId="2" xfId="0" applyNumberFormat="1" applyBorder="1"/>
    <xf numFmtId="0" fontId="3" fillId="0" borderId="0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3" fillId="3" borderId="5" xfId="0" applyFont="1" applyFill="1" applyBorder="1" applyAlignment="1">
      <alignment horizontal="centerContinuous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2" xfId="0" applyBorder="1"/>
    <xf numFmtId="169" fontId="5" fillId="0" borderId="0" xfId="2" applyNumberFormat="1" applyFont="1" applyBorder="1"/>
    <xf numFmtId="169" fontId="0" fillId="0" borderId="0" xfId="2" applyNumberFormat="1" applyFont="1" applyBorder="1"/>
    <xf numFmtId="169" fontId="4" fillId="0" borderId="0" xfId="2" applyNumberFormat="1" applyFont="1" applyBorder="1"/>
    <xf numFmtId="0" fontId="0" fillId="0" borderId="10" xfId="0" applyBorder="1"/>
    <xf numFmtId="0" fontId="0" fillId="0" borderId="6" xfId="0" applyBorder="1"/>
    <xf numFmtId="0" fontId="6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168" fontId="0" fillId="0" borderId="0" xfId="0" applyNumberFormat="1"/>
    <xf numFmtId="164" fontId="0" fillId="0" borderId="11" xfId="1" applyNumberFormat="1" applyFont="1" applyBorder="1"/>
    <xf numFmtId="169" fontId="2" fillId="0" borderId="0" xfId="2" applyNumberFormat="1" applyFont="1" applyBorder="1"/>
    <xf numFmtId="169" fontId="7" fillId="0" borderId="0" xfId="2" applyNumberFormat="1" applyFont="1" applyBorder="1"/>
    <xf numFmtId="164" fontId="2" fillId="0" borderId="0" xfId="1" applyNumberFormat="1" applyFont="1" applyBorder="1"/>
    <xf numFmtId="0" fontId="2" fillId="0" borderId="0" xfId="0" applyFont="1" applyBorder="1"/>
    <xf numFmtId="44" fontId="2" fillId="0" borderId="2" xfId="2" applyFont="1" applyBorder="1"/>
    <xf numFmtId="10" fontId="2" fillId="0" borderId="2" xfId="3" applyNumberFormat="1" applyFont="1" applyBorder="1"/>
    <xf numFmtId="2" fontId="2" fillId="0" borderId="2" xfId="0" applyNumberFormat="1" applyFont="1" applyBorder="1"/>
    <xf numFmtId="44" fontId="2" fillId="0" borderId="2" xfId="0" applyNumberFormat="1" applyFont="1" applyBorder="1"/>
    <xf numFmtId="0" fontId="0" fillId="0" borderId="0" xfId="0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169" fontId="0" fillId="0" borderId="0" xfId="2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73" fontId="0" fillId="0" borderId="0" xfId="1" applyNumberFormat="1" applyFont="1" applyAlignment="1">
      <alignment horizontal="center" wrapText="1"/>
    </xf>
    <xf numFmtId="169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9" fontId="0" fillId="0" borderId="13" xfId="0" applyNumberFormat="1" applyBorder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3" fillId="0" borderId="1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Continuous"/>
    </xf>
    <xf numFmtId="0" fontId="0" fillId="0" borderId="0" xfId="0" applyFill="1" applyBorder="1"/>
    <xf numFmtId="169" fontId="0" fillId="0" borderId="2" xfId="0" applyNumberFormat="1" applyBorder="1"/>
    <xf numFmtId="44" fontId="8" fillId="0" borderId="2" xfId="2" applyFont="1" applyBorder="1"/>
    <xf numFmtId="0" fontId="3" fillId="2" borderId="7" xfId="0" applyFont="1" applyFill="1" applyBorder="1" applyAlignment="1">
      <alignment horizontal="centerContinuous"/>
    </xf>
    <xf numFmtId="0" fontId="3" fillId="2" borderId="9" xfId="0" applyFont="1" applyFill="1" applyBorder="1" applyAlignment="1">
      <alignment horizontal="centerContinuous"/>
    </xf>
    <xf numFmtId="39" fontId="0" fillId="0" borderId="0" xfId="0" quotePrefix="1" applyNumberFormat="1" applyAlignment="1">
      <alignment horizontal="left"/>
    </xf>
    <xf numFmtId="39" fontId="0" fillId="0" borderId="0" xfId="0" applyNumberFormat="1"/>
    <xf numFmtId="39" fontId="0" fillId="0" borderId="0" xfId="0" quotePrefix="1" applyNumberFormat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9" fontId="2" fillId="0" borderId="0" xfId="0" applyNumberFormat="1" applyFont="1"/>
    <xf numFmtId="177" fontId="0" fillId="0" borderId="0" xfId="0" applyNumberFormat="1"/>
    <xf numFmtId="44" fontId="2" fillId="0" borderId="0" xfId="0" applyNumberFormat="1" applyFont="1"/>
    <xf numFmtId="175" fontId="0" fillId="0" borderId="0" xfId="0" applyNumberFormat="1"/>
    <xf numFmtId="177" fontId="8" fillId="0" borderId="0" xfId="0" applyNumberFormat="1" applyFont="1" applyAlignment="1">
      <alignment horizontal="right"/>
    </xf>
    <xf numFmtId="177" fontId="8" fillId="0" borderId="0" xfId="0" applyNumberFormat="1" applyFont="1"/>
    <xf numFmtId="44" fontId="0" fillId="0" borderId="14" xfId="0" applyNumberFormat="1" applyBorder="1"/>
    <xf numFmtId="10" fontId="8" fillId="0" borderId="2" xfId="3" applyNumberFormat="1" applyFont="1" applyBorder="1"/>
    <xf numFmtId="44" fontId="8" fillId="0" borderId="2" xfId="0" applyNumberFormat="1" applyFont="1" applyBorder="1"/>
    <xf numFmtId="10" fontId="8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169" fontId="5" fillId="0" borderId="14" xfId="2" applyNumberFormat="1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 applyAlignment="1">
      <alignment horizontal="center"/>
    </xf>
    <xf numFmtId="169" fontId="0" fillId="0" borderId="2" xfId="2" applyNumberFormat="1" applyFont="1" applyBorder="1"/>
    <xf numFmtId="171" fontId="0" fillId="0" borderId="2" xfId="0" applyNumberFormat="1" applyBorder="1"/>
    <xf numFmtId="10" fontId="0" fillId="0" borderId="0" xfId="0" applyNumberFormat="1" applyBorder="1"/>
    <xf numFmtId="164" fontId="0" fillId="0" borderId="2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4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0</xdr:rowOff>
    </xdr:from>
    <xdr:to>
      <xdr:col>6</xdr:col>
      <xdr:colOff>647700</xdr:colOff>
      <xdr:row>9</xdr:row>
      <xdr:rowOff>7620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23060" y="1897380"/>
          <a:ext cx="3741420" cy="762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</xdr:colOff>
      <xdr:row>10</xdr:row>
      <xdr:rowOff>0</xdr:rowOff>
    </xdr:from>
    <xdr:to>
      <xdr:col>6</xdr:col>
      <xdr:colOff>701040</xdr:colOff>
      <xdr:row>10</xdr:row>
      <xdr:rowOff>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1615440" y="2103120"/>
          <a:ext cx="380238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1104900</xdr:colOff>
      <xdr:row>2</xdr:row>
      <xdr:rowOff>60960</xdr:rowOff>
    </xdr:from>
    <xdr:to>
      <xdr:col>7</xdr:col>
      <xdr:colOff>1104900</xdr:colOff>
      <xdr:row>8</xdr:row>
      <xdr:rowOff>106680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6614160" y="441960"/>
          <a:ext cx="0" cy="13868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</xdr:colOff>
      <xdr:row>2</xdr:row>
      <xdr:rowOff>68580</xdr:rowOff>
    </xdr:from>
    <xdr:to>
      <xdr:col>7</xdr:col>
      <xdr:colOff>60960</xdr:colOff>
      <xdr:row>8</xdr:row>
      <xdr:rowOff>99060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 flipV="1">
          <a:off x="5554980" y="449580"/>
          <a:ext cx="15240" cy="1371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91440</xdr:colOff>
      <xdr:row>24</xdr:row>
      <xdr:rowOff>198120</xdr:rowOff>
    </xdr:from>
    <xdr:to>
      <xdr:col>6</xdr:col>
      <xdr:colOff>693420</xdr:colOff>
      <xdr:row>24</xdr:row>
      <xdr:rowOff>198120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76400" y="5006340"/>
          <a:ext cx="3733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24</xdr:row>
      <xdr:rowOff>7620</xdr:rowOff>
    </xdr:from>
    <xdr:to>
      <xdr:col>6</xdr:col>
      <xdr:colOff>762000</xdr:colOff>
      <xdr:row>24</xdr:row>
      <xdr:rowOff>7620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>
          <a:off x="1699260" y="4815840"/>
          <a:ext cx="377952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</xdr:colOff>
      <xdr:row>10</xdr:row>
      <xdr:rowOff>68580</xdr:rowOff>
    </xdr:from>
    <xdr:to>
      <xdr:col>7</xdr:col>
      <xdr:colOff>22860</xdr:colOff>
      <xdr:row>23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5532120" y="2171700"/>
          <a:ext cx="0" cy="253746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10</xdr:row>
      <xdr:rowOff>91440</xdr:rowOff>
    </xdr:from>
    <xdr:to>
      <xdr:col>7</xdr:col>
      <xdr:colOff>1104900</xdr:colOff>
      <xdr:row>23</xdr:row>
      <xdr:rowOff>99060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6606540" y="2194560"/>
          <a:ext cx="7620" cy="253746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6" sqref="C6"/>
    </sheetView>
  </sheetViews>
  <sheetFormatPr defaultRowHeight="13.2" x14ac:dyDescent="0.25"/>
  <cols>
    <col min="1" max="2" width="23.88671875" customWidth="1"/>
    <col min="3" max="3" width="23.6640625" customWidth="1"/>
  </cols>
  <sheetData>
    <row r="2" spans="1:3" x14ac:dyDescent="0.25">
      <c r="C2" t="s">
        <v>80</v>
      </c>
    </row>
    <row r="3" spans="1:3" x14ac:dyDescent="0.25">
      <c r="A3">
        <v>0</v>
      </c>
      <c r="B3">
        <v>1</v>
      </c>
      <c r="C3" s="86">
        <v>1</v>
      </c>
    </row>
    <row r="4" spans="1:3" x14ac:dyDescent="0.25">
      <c r="A4" t="s">
        <v>12</v>
      </c>
      <c r="B4" t="s">
        <v>55</v>
      </c>
      <c r="C4" t="str">
        <f>IF($C$3=0,+A4,B4)</f>
        <v>Boulder</v>
      </c>
    </row>
    <row r="5" spans="1:3" x14ac:dyDescent="0.25">
      <c r="A5" t="s">
        <v>13</v>
      </c>
      <c r="B5" t="s">
        <v>59</v>
      </c>
      <c r="C5" t="s">
        <v>59</v>
      </c>
    </row>
    <row r="6" spans="1:3" x14ac:dyDescent="0.25">
      <c r="A6" t="s">
        <v>53</v>
      </c>
      <c r="B6" t="s">
        <v>58</v>
      </c>
      <c r="C6" t="s">
        <v>58</v>
      </c>
    </row>
    <row r="7" spans="1:3" x14ac:dyDescent="0.25">
      <c r="A7" t="s">
        <v>54</v>
      </c>
      <c r="B7" t="s">
        <v>57</v>
      </c>
      <c r="C7" t="s">
        <v>57</v>
      </c>
    </row>
    <row r="8" spans="1:3" x14ac:dyDescent="0.25">
      <c r="A8" t="s">
        <v>61</v>
      </c>
      <c r="B8" t="s">
        <v>56</v>
      </c>
      <c r="C8" t="s">
        <v>56</v>
      </c>
    </row>
    <row r="9" spans="1:3" x14ac:dyDescent="0.25">
      <c r="A9" t="s">
        <v>63</v>
      </c>
      <c r="B9" t="s">
        <v>65</v>
      </c>
      <c r="C9" t="s">
        <v>65</v>
      </c>
    </row>
    <row r="10" spans="1:3" x14ac:dyDescent="0.25">
      <c r="A10" t="s">
        <v>64</v>
      </c>
      <c r="B10" t="s">
        <v>66</v>
      </c>
      <c r="C10" t="s">
        <v>66</v>
      </c>
    </row>
    <row r="11" spans="1:3" x14ac:dyDescent="0.25">
      <c r="A11" s="23" t="s">
        <v>14</v>
      </c>
      <c r="B11" t="s">
        <v>67</v>
      </c>
      <c r="C11" t="s">
        <v>67</v>
      </c>
    </row>
    <row r="12" spans="1:3" x14ac:dyDescent="0.25">
      <c r="A12" s="23" t="s">
        <v>1</v>
      </c>
      <c r="B12" t="s">
        <v>68</v>
      </c>
      <c r="C12" t="s">
        <v>68</v>
      </c>
    </row>
    <row r="13" spans="1:3" x14ac:dyDescent="0.25">
      <c r="A13" s="23" t="s">
        <v>15</v>
      </c>
      <c r="B13" t="s">
        <v>69</v>
      </c>
      <c r="C13" t="s">
        <v>69</v>
      </c>
    </row>
    <row r="14" spans="1:3" x14ac:dyDescent="0.25">
      <c r="A14" s="23" t="s">
        <v>17</v>
      </c>
      <c r="B14" t="s">
        <v>70</v>
      </c>
      <c r="C14" t="s">
        <v>70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1"/>
  <sheetViews>
    <sheetView topLeftCell="H1" zoomScaleNormal="100" workbookViewId="0">
      <selection activeCell="M1" sqref="M1"/>
    </sheetView>
  </sheetViews>
  <sheetFormatPr defaultRowHeight="13.2" x14ac:dyDescent="0.25"/>
  <cols>
    <col min="1" max="1" width="2" customWidth="1"/>
    <col min="2" max="2" width="15.5546875" customWidth="1"/>
    <col min="3" max="3" width="10.44140625" bestFit="1" customWidth="1"/>
    <col min="4" max="4" width="2.44140625" customWidth="1"/>
    <col min="5" max="5" width="15.33203125" customWidth="1"/>
    <col min="6" max="6" width="13.6640625" bestFit="1" customWidth="1"/>
    <col min="7" max="7" width="2.33203125" customWidth="1"/>
    <col min="8" max="8" width="12" customWidth="1"/>
    <col min="9" max="9" width="12.109375" customWidth="1"/>
    <col min="10" max="11" width="2.33203125" customWidth="1"/>
    <col min="12" max="12" width="1.88671875" customWidth="1"/>
    <col min="13" max="13" width="15.5546875" customWidth="1"/>
    <col min="14" max="14" width="10.5546875" customWidth="1"/>
    <col min="15" max="15" width="2.109375" customWidth="1"/>
    <col min="16" max="17" width="12.44140625" customWidth="1"/>
    <col min="18" max="18" width="2.109375" customWidth="1"/>
    <col min="19" max="19" width="11.88671875" customWidth="1"/>
    <col min="20" max="20" width="9.6640625" bestFit="1" customWidth="1"/>
    <col min="21" max="21" width="2.6640625" customWidth="1"/>
  </cols>
  <sheetData>
    <row r="2" spans="1:21" ht="13.8" thickBot="1" x14ac:dyDescent="0.3"/>
    <row r="3" spans="1:21" ht="17.399999999999999" x14ac:dyDescent="0.3">
      <c r="A3" s="20"/>
      <c r="B3" s="30" t="str">
        <f>+Key!C4</f>
        <v>Boulder</v>
      </c>
      <c r="C3" s="31"/>
      <c r="D3" s="31"/>
      <c r="E3" s="31"/>
      <c r="F3" s="31"/>
      <c r="G3" s="31"/>
      <c r="H3" s="31"/>
      <c r="I3" s="31"/>
      <c r="J3" s="22"/>
      <c r="L3" s="20"/>
      <c r="M3" s="30" t="str">
        <f>+Key!C5</f>
        <v>Tempe</v>
      </c>
      <c r="N3" s="31"/>
      <c r="O3" s="31"/>
      <c r="P3" s="31"/>
      <c r="Q3" s="31"/>
      <c r="R3" s="31"/>
      <c r="S3" s="31"/>
      <c r="T3" s="31"/>
      <c r="U3" s="22"/>
    </row>
    <row r="4" spans="1:21" ht="13.8" thickBot="1" x14ac:dyDescent="0.3">
      <c r="A4" s="3"/>
      <c r="B4" s="23"/>
      <c r="C4" s="23"/>
      <c r="D4" s="23"/>
      <c r="E4" s="23"/>
      <c r="F4" s="23"/>
      <c r="G4" s="23"/>
      <c r="H4" s="23"/>
      <c r="I4" s="23"/>
      <c r="J4" s="24"/>
      <c r="L4" s="3"/>
      <c r="M4" s="23"/>
      <c r="N4" s="23"/>
      <c r="O4" s="23"/>
      <c r="P4" s="23"/>
      <c r="Q4" s="23"/>
      <c r="R4" s="23"/>
      <c r="S4" s="23"/>
      <c r="T4" s="23"/>
      <c r="U4" s="24"/>
    </row>
    <row r="5" spans="1:21" x14ac:dyDescent="0.25">
      <c r="A5" s="3"/>
      <c r="B5" s="8" t="str">
        <f>+Key!C6</f>
        <v>Norman</v>
      </c>
      <c r="C5" s="9"/>
      <c r="D5" s="23"/>
      <c r="E5" s="8" t="str">
        <f>+Key!C7</f>
        <v>Austin</v>
      </c>
      <c r="F5" s="9"/>
      <c r="G5" s="23"/>
      <c r="H5" s="8" t="s">
        <v>0</v>
      </c>
      <c r="I5" s="9"/>
      <c r="J5" s="24"/>
      <c r="L5" s="3"/>
      <c r="M5" s="18" t="str">
        <f>+Key!C8</f>
        <v>Tucson</v>
      </c>
      <c r="N5" s="19"/>
      <c r="O5" s="23"/>
      <c r="P5" s="18" t="s">
        <v>0</v>
      </c>
      <c r="Q5" s="19"/>
      <c r="R5" s="17"/>
      <c r="S5" s="18" t="s">
        <v>7</v>
      </c>
      <c r="T5" s="19"/>
      <c r="U5" s="24"/>
    </row>
    <row r="6" spans="1:21" x14ac:dyDescent="0.25">
      <c r="A6" s="3"/>
      <c r="B6" s="3" t="s">
        <v>9</v>
      </c>
      <c r="C6" s="16">
        <f>+I6/0.98*0.02*0.825</f>
        <v>0.700795643877551</v>
      </c>
      <c r="D6" s="11"/>
      <c r="E6" s="3" t="s">
        <v>9</v>
      </c>
      <c r="F6" s="16">
        <f>+I6/0.98*0.02*0.175</f>
        <v>0.14865362142857141</v>
      </c>
      <c r="G6" s="11"/>
      <c r="H6" s="3" t="s">
        <v>6</v>
      </c>
      <c r="I6" s="40">
        <v>41.623013999999998</v>
      </c>
      <c r="J6" s="24"/>
      <c r="L6" s="3"/>
      <c r="M6" s="3" t="s">
        <v>9</v>
      </c>
      <c r="N6" s="16">
        <f>+(Q6+T6)/0.98*0.02</f>
        <v>0.35714285714285715</v>
      </c>
      <c r="O6" s="23"/>
      <c r="P6" s="3" t="s">
        <v>6</v>
      </c>
      <c r="Q6" s="40">
        <v>14.690694000000001</v>
      </c>
      <c r="R6" s="11"/>
      <c r="S6" s="3" t="s">
        <v>6</v>
      </c>
      <c r="T6" s="40">
        <v>2.8093059999999999</v>
      </c>
      <c r="U6" s="24"/>
    </row>
    <row r="7" spans="1:21" x14ac:dyDescent="0.25">
      <c r="A7" s="3"/>
      <c r="B7" s="3" t="s">
        <v>10</v>
      </c>
      <c r="C7" s="4">
        <f>+C8/C9</f>
        <v>121.1735481967213</v>
      </c>
      <c r="D7" s="12"/>
      <c r="E7" s="3" t="s">
        <v>10</v>
      </c>
      <c r="F7" s="4">
        <f>+F8/F9</f>
        <v>121.1735481967213</v>
      </c>
      <c r="G7" s="12"/>
      <c r="H7" s="3" t="s">
        <v>10</v>
      </c>
      <c r="I7" s="41">
        <v>39.619999999999997</v>
      </c>
      <c r="J7" s="24"/>
      <c r="L7" s="3"/>
      <c r="M7" s="3" t="s">
        <v>10</v>
      </c>
      <c r="N7" s="4">
        <f>+N8/N9</f>
        <v>26.35</v>
      </c>
      <c r="O7" s="23"/>
      <c r="P7" s="3" t="s">
        <v>10</v>
      </c>
      <c r="Q7" s="41">
        <v>26.35</v>
      </c>
      <c r="R7" s="12"/>
      <c r="S7" s="3" t="s">
        <v>2</v>
      </c>
      <c r="T7" s="4">
        <f>+T8/T9</f>
        <v>23.282887077997671</v>
      </c>
      <c r="U7" s="24"/>
    </row>
    <row r="8" spans="1:21" x14ac:dyDescent="0.25">
      <c r="A8" s="3"/>
      <c r="B8" s="3" t="s">
        <v>4</v>
      </c>
      <c r="C8" s="38">
        <v>9.3280999999999992</v>
      </c>
      <c r="D8" s="13"/>
      <c r="E8" s="3" t="s">
        <v>4</v>
      </c>
      <c r="F8" s="5">
        <f>+C8</f>
        <v>9.3280999999999992</v>
      </c>
      <c r="G8" s="13"/>
      <c r="H8" s="3" t="s">
        <v>4</v>
      </c>
      <c r="I8" s="38">
        <v>3.05</v>
      </c>
      <c r="J8" s="24"/>
      <c r="L8" s="3"/>
      <c r="M8" s="3" t="s">
        <v>4</v>
      </c>
      <c r="N8" s="38">
        <v>2</v>
      </c>
      <c r="O8" s="23"/>
      <c r="P8" s="3" t="s">
        <v>4</v>
      </c>
      <c r="Q8" s="38">
        <v>2</v>
      </c>
      <c r="R8" s="13"/>
      <c r="S8" s="3" t="s">
        <v>4</v>
      </c>
      <c r="T8" s="38">
        <v>2</v>
      </c>
      <c r="U8" s="24"/>
    </row>
    <row r="9" spans="1:21" x14ac:dyDescent="0.25">
      <c r="A9" s="3"/>
      <c r="B9" s="3" t="s">
        <v>3</v>
      </c>
      <c r="C9" s="39">
        <f>+I9</f>
        <v>7.6981322564361437E-2</v>
      </c>
      <c r="D9" s="14"/>
      <c r="E9" s="3" t="s">
        <v>3</v>
      </c>
      <c r="F9" s="39">
        <f>+I9</f>
        <v>7.6981322564361437E-2</v>
      </c>
      <c r="G9" s="14"/>
      <c r="H9" s="3" t="s">
        <v>3</v>
      </c>
      <c r="I9" s="6">
        <f>+I8/I7</f>
        <v>7.6981322564361437E-2</v>
      </c>
      <c r="J9" s="24"/>
      <c r="L9" s="3"/>
      <c r="M9" s="3" t="s">
        <v>3</v>
      </c>
      <c r="N9" s="39">
        <f>+Q9</f>
        <v>7.5901328273244778E-2</v>
      </c>
      <c r="O9" s="23"/>
      <c r="P9" s="3" t="s">
        <v>3</v>
      </c>
      <c r="Q9" s="6">
        <f>+Q8/Q7</f>
        <v>7.5901328273244778E-2</v>
      </c>
      <c r="R9" s="14"/>
      <c r="S9" s="3" t="s">
        <v>3</v>
      </c>
      <c r="T9" s="39">
        <v>8.5900000000000004E-2</v>
      </c>
      <c r="U9" s="24"/>
    </row>
    <row r="10" spans="1:21" x14ac:dyDescent="0.25">
      <c r="A10" s="3"/>
      <c r="B10" s="3" t="s">
        <v>5</v>
      </c>
      <c r="C10" s="38">
        <f>8.263*0.825/C6</f>
        <v>9.7274791296949328</v>
      </c>
      <c r="D10" s="13"/>
      <c r="E10" s="3" t="s">
        <v>5</v>
      </c>
      <c r="F10" s="5">
        <f>+C10</f>
        <v>9.7274791296949328</v>
      </c>
      <c r="G10" s="13"/>
      <c r="H10" s="3" t="s">
        <v>5</v>
      </c>
      <c r="I10" s="38">
        <v>2.91</v>
      </c>
      <c r="J10" s="24"/>
      <c r="L10" s="3"/>
      <c r="M10" s="3" t="s">
        <v>5</v>
      </c>
      <c r="N10" s="5">
        <f>+Q10</f>
        <v>2.25</v>
      </c>
      <c r="O10" s="23"/>
      <c r="P10" s="3" t="s">
        <v>5</v>
      </c>
      <c r="Q10" s="38">
        <v>2.25</v>
      </c>
      <c r="R10" s="13"/>
      <c r="S10" s="3" t="s">
        <v>5</v>
      </c>
      <c r="T10" s="38">
        <v>2.25</v>
      </c>
      <c r="U10" s="24"/>
    </row>
    <row r="11" spans="1:21" ht="13.8" thickBot="1" x14ac:dyDescent="0.3">
      <c r="A11" s="3"/>
      <c r="B11" s="7" t="s">
        <v>8</v>
      </c>
      <c r="C11" s="10">
        <f>+C7/C10</f>
        <v>12.456829419126338</v>
      </c>
      <c r="D11" s="15"/>
      <c r="E11" s="7" t="s">
        <v>8</v>
      </c>
      <c r="F11" s="10">
        <f>+F7/F10</f>
        <v>12.456829419126338</v>
      </c>
      <c r="G11" s="15"/>
      <c r="H11" s="7" t="s">
        <v>8</v>
      </c>
      <c r="I11" s="10">
        <f>+I7/I10</f>
        <v>13.615120274914087</v>
      </c>
      <c r="J11" s="24"/>
      <c r="L11" s="3"/>
      <c r="M11" s="7" t="s">
        <v>8</v>
      </c>
      <c r="N11" s="10">
        <f>+N7/N10</f>
        <v>11.711111111111112</v>
      </c>
      <c r="O11" s="23"/>
      <c r="P11" s="7" t="s">
        <v>8</v>
      </c>
      <c r="Q11" s="10">
        <f>+Q7/Q10</f>
        <v>11.711111111111112</v>
      </c>
      <c r="R11" s="15"/>
      <c r="S11" s="7" t="s">
        <v>8</v>
      </c>
      <c r="T11" s="10">
        <f>+T7/T10</f>
        <v>10.34794981244341</v>
      </c>
      <c r="U11" s="24"/>
    </row>
    <row r="12" spans="1:21" x14ac:dyDescent="0.25">
      <c r="A12" s="3"/>
      <c r="B12" s="23"/>
      <c r="C12" s="23"/>
      <c r="D12" s="23"/>
      <c r="E12" s="23"/>
      <c r="F12" s="23"/>
      <c r="G12" s="23"/>
      <c r="H12" s="23"/>
      <c r="I12" s="23"/>
      <c r="J12" s="24"/>
      <c r="L12" s="3"/>
      <c r="M12" s="23"/>
      <c r="N12" s="23"/>
      <c r="O12" s="23"/>
      <c r="P12" s="23"/>
      <c r="Q12" s="23"/>
      <c r="R12" s="23"/>
      <c r="S12" s="23"/>
      <c r="T12" s="23"/>
      <c r="U12" s="24"/>
    </row>
    <row r="13" spans="1:21" x14ac:dyDescent="0.25">
      <c r="A13" s="3"/>
      <c r="B13" s="25" t="s">
        <v>11</v>
      </c>
      <c r="C13" s="25">
        <f>+C6*C7</f>
        <v>84.917894729448761</v>
      </c>
      <c r="D13" s="25"/>
      <c r="E13" s="25" t="s">
        <v>11</v>
      </c>
      <c r="F13" s="25">
        <f>+F6*F7</f>
        <v>18.01288676079216</v>
      </c>
      <c r="G13" s="25"/>
      <c r="H13" s="25" t="s">
        <v>11</v>
      </c>
      <c r="I13" s="25">
        <f>+I6*I7</f>
        <v>1649.1038146799999</v>
      </c>
      <c r="J13" s="24"/>
      <c r="L13" s="3"/>
      <c r="M13" s="25" t="s">
        <v>11</v>
      </c>
      <c r="N13" s="25">
        <f>+N6*N7</f>
        <v>9.4107142857142865</v>
      </c>
      <c r="O13" s="25"/>
      <c r="P13" s="25" t="s">
        <v>11</v>
      </c>
      <c r="Q13" s="25">
        <f>+Q6*Q7</f>
        <v>387.09978690000003</v>
      </c>
      <c r="R13" s="25"/>
      <c r="S13" s="25" t="s">
        <v>11</v>
      </c>
      <c r="T13" s="25">
        <f>+T6*T7</f>
        <v>65.408754365541327</v>
      </c>
      <c r="U13" s="24"/>
    </row>
    <row r="14" spans="1:21" x14ac:dyDescent="0.25">
      <c r="A14" s="3"/>
      <c r="B14" s="26"/>
      <c r="C14" s="26"/>
      <c r="D14" s="26"/>
      <c r="E14" s="26"/>
      <c r="F14" s="26"/>
      <c r="G14" s="26"/>
      <c r="H14" s="26"/>
      <c r="I14" s="26"/>
      <c r="J14" s="24"/>
      <c r="L14" s="3"/>
      <c r="M14" s="26"/>
      <c r="N14" s="26"/>
      <c r="O14" s="26"/>
      <c r="P14" s="26"/>
      <c r="Q14" s="26"/>
      <c r="R14" s="26"/>
      <c r="S14" s="26"/>
      <c r="T14" s="26"/>
      <c r="U14" s="24"/>
    </row>
    <row r="15" spans="1:21" x14ac:dyDescent="0.25">
      <c r="A15" s="3"/>
      <c r="B15" s="26"/>
      <c r="C15" s="26"/>
      <c r="D15" s="26"/>
      <c r="E15" s="26"/>
      <c r="F15" s="26"/>
      <c r="G15" s="26"/>
      <c r="H15" s="26"/>
      <c r="I15" s="26"/>
      <c r="J15" s="24"/>
      <c r="L15" s="3"/>
      <c r="M15" s="26"/>
      <c r="N15" s="26"/>
      <c r="O15" s="26"/>
      <c r="P15" s="26"/>
      <c r="Q15" s="26"/>
      <c r="R15" s="26"/>
      <c r="S15" s="26"/>
      <c r="T15" s="26"/>
      <c r="U15" s="24"/>
    </row>
    <row r="16" spans="1:21" ht="15.6" x14ac:dyDescent="0.3">
      <c r="A16" s="3"/>
      <c r="B16" s="26"/>
      <c r="C16" s="27" t="s">
        <v>60</v>
      </c>
      <c r="D16" s="27"/>
      <c r="E16" s="27"/>
      <c r="F16" s="27">
        <f>+C13+F13+I13</f>
        <v>1752.0345961702408</v>
      </c>
      <c r="G16" s="26"/>
      <c r="H16" s="26"/>
      <c r="I16" s="26"/>
      <c r="J16" s="24"/>
      <c r="L16" s="3"/>
      <c r="M16" s="26"/>
      <c r="N16" s="27" t="s">
        <v>62</v>
      </c>
      <c r="O16" s="27"/>
      <c r="P16" s="27"/>
      <c r="Q16" s="27">
        <f>+N13+Q13+T13</f>
        <v>461.91925555125562</v>
      </c>
      <c r="R16" s="26"/>
      <c r="S16" s="26"/>
      <c r="T16" s="26"/>
      <c r="U16" s="24"/>
    </row>
    <row r="17" spans="1:21" ht="13.8" thickBot="1" x14ac:dyDescent="0.3">
      <c r="A17" s="7"/>
      <c r="B17" s="28"/>
      <c r="C17" s="28"/>
      <c r="D17" s="28"/>
      <c r="E17" s="28"/>
      <c r="F17" s="28"/>
      <c r="G17" s="28"/>
      <c r="H17" s="28"/>
      <c r="I17" s="28"/>
      <c r="J17" s="29"/>
      <c r="L17" s="7"/>
      <c r="M17" s="28"/>
      <c r="N17" s="28"/>
      <c r="O17" s="28"/>
      <c r="P17" s="28"/>
      <c r="Q17" s="28"/>
      <c r="R17" s="28"/>
      <c r="S17" s="28"/>
      <c r="T17" s="28"/>
      <c r="U17" s="29"/>
    </row>
    <row r="18" spans="1:21" ht="13.8" thickBot="1" x14ac:dyDescent="0.3"/>
    <row r="19" spans="1:21" x14ac:dyDescent="0.25">
      <c r="F19" s="20"/>
      <c r="G19" s="21"/>
      <c r="H19" s="21"/>
      <c r="I19" s="21"/>
      <c r="J19" s="21"/>
      <c r="K19" s="21"/>
      <c r="L19" s="21"/>
      <c r="M19" s="21"/>
      <c r="N19" s="22"/>
    </row>
    <row r="20" spans="1:21" x14ac:dyDescent="0.25">
      <c r="F20" s="77" t="str">
        <f>+Key!C9</f>
        <v>Ames</v>
      </c>
      <c r="G20" s="23"/>
      <c r="H20" s="23"/>
      <c r="I20" s="23"/>
      <c r="J20" s="23"/>
      <c r="K20" s="23"/>
      <c r="L20" s="23"/>
      <c r="M20" s="35">
        <v>1700</v>
      </c>
      <c r="N20" s="24"/>
    </row>
    <row r="21" spans="1:21" x14ac:dyDescent="0.25">
      <c r="F21" s="3"/>
      <c r="G21" s="23"/>
      <c r="H21" s="23"/>
      <c r="I21" s="23"/>
      <c r="J21" s="23"/>
      <c r="K21" s="23"/>
      <c r="L21" s="23"/>
      <c r="M21" s="23"/>
      <c r="N21" s="24"/>
    </row>
    <row r="22" spans="1:21" x14ac:dyDescent="0.25">
      <c r="F22" s="3"/>
      <c r="G22" s="23"/>
      <c r="H22" s="23"/>
      <c r="I22" s="23"/>
      <c r="J22" s="23"/>
      <c r="K22" s="23"/>
      <c r="L22" s="23"/>
      <c r="M22" s="23"/>
      <c r="N22" s="24"/>
    </row>
    <row r="23" spans="1:21" ht="13.8" thickBot="1" x14ac:dyDescent="0.3">
      <c r="F23" s="7"/>
      <c r="G23" s="28"/>
      <c r="H23" s="28"/>
      <c r="I23" s="28"/>
      <c r="J23" s="28"/>
      <c r="K23" s="28"/>
      <c r="L23" s="28"/>
      <c r="M23" s="28"/>
      <c r="N23" s="29"/>
    </row>
    <row r="24" spans="1:21" ht="13.8" thickBot="1" x14ac:dyDescent="0.3"/>
    <row r="25" spans="1:21" x14ac:dyDescent="0.25">
      <c r="A25" s="20"/>
      <c r="B25" s="21"/>
      <c r="C25" s="21"/>
      <c r="D25" s="21"/>
      <c r="E25" s="21"/>
      <c r="F25" s="21"/>
      <c r="G25" s="22"/>
      <c r="L25" s="20"/>
      <c r="M25" s="21"/>
      <c r="N25" s="21"/>
      <c r="O25" s="21"/>
      <c r="P25" s="21"/>
      <c r="Q25" s="21"/>
      <c r="R25" s="22"/>
    </row>
    <row r="26" spans="1:21" x14ac:dyDescent="0.25">
      <c r="A26" s="3"/>
      <c r="B26" s="23" t="str">
        <f>+Key!C9</f>
        <v>Ames</v>
      </c>
      <c r="C26" s="23"/>
      <c r="D26" s="23"/>
      <c r="E26" s="23"/>
      <c r="F26" s="34">
        <f>+M20*0.7</f>
        <v>1190</v>
      </c>
      <c r="G26" s="24"/>
      <c r="L26" s="3"/>
      <c r="M26" s="23" t="str">
        <f>+Key!C9</f>
        <v>Ames</v>
      </c>
      <c r="N26" s="23"/>
      <c r="O26" s="23"/>
      <c r="P26" s="23"/>
      <c r="Q26" s="34">
        <f>+M20*0.3</f>
        <v>510</v>
      </c>
      <c r="R26" s="24"/>
    </row>
    <row r="27" spans="1:21" x14ac:dyDescent="0.25">
      <c r="A27" s="3"/>
      <c r="B27" s="23"/>
      <c r="C27" s="23"/>
      <c r="D27" s="23"/>
      <c r="E27" s="23"/>
      <c r="F27" s="15"/>
      <c r="G27" s="24"/>
      <c r="L27" s="3"/>
      <c r="M27" s="23"/>
      <c r="N27" s="23"/>
      <c r="O27" s="23"/>
      <c r="P27" s="23"/>
      <c r="Q27" s="37"/>
      <c r="R27" s="24"/>
    </row>
    <row r="28" spans="1:21" x14ac:dyDescent="0.25">
      <c r="A28" s="3"/>
      <c r="B28" s="23" t="str">
        <f>+Key!C10</f>
        <v>Stillwater</v>
      </c>
      <c r="C28" s="23"/>
      <c r="D28" s="23"/>
      <c r="E28" s="23"/>
      <c r="F28" s="36">
        <v>100</v>
      </c>
      <c r="G28" s="24"/>
      <c r="L28" s="3"/>
      <c r="M28" s="23" t="str">
        <f>+Key!C14</f>
        <v>Manhatten</v>
      </c>
      <c r="N28" s="23"/>
      <c r="O28" s="23"/>
      <c r="P28" s="23"/>
      <c r="Q28" s="36">
        <v>28</v>
      </c>
      <c r="R28" s="24"/>
    </row>
    <row r="29" spans="1:21" x14ac:dyDescent="0.25">
      <c r="A29" s="3"/>
      <c r="B29" s="23"/>
      <c r="C29" s="23"/>
      <c r="D29" s="23"/>
      <c r="E29" s="23"/>
      <c r="F29" s="15"/>
      <c r="G29" s="24"/>
      <c r="L29" s="3"/>
      <c r="M29" s="23"/>
      <c r="N29" s="23"/>
      <c r="O29" s="23"/>
      <c r="P29" s="23"/>
      <c r="Q29" s="36"/>
      <c r="R29" s="24"/>
    </row>
    <row r="30" spans="1:21" x14ac:dyDescent="0.25">
      <c r="A30" s="3"/>
      <c r="B30" s="23" t="str">
        <f>+Key!C11</f>
        <v>College Station</v>
      </c>
      <c r="C30" s="23"/>
      <c r="D30" s="23"/>
      <c r="E30" s="23"/>
      <c r="F30" s="36">
        <f>370+210</f>
        <v>580</v>
      </c>
      <c r="G30" s="24"/>
      <c r="L30" s="3"/>
      <c r="M30" s="23" t="s">
        <v>16</v>
      </c>
      <c r="N30" s="23"/>
      <c r="O30" s="23"/>
      <c r="P30" s="23"/>
      <c r="Q30" s="36">
        <f>1.387-0.352</f>
        <v>1.0350000000000001</v>
      </c>
      <c r="R30" s="24"/>
    </row>
    <row r="31" spans="1:21" x14ac:dyDescent="0.25">
      <c r="A31" s="3"/>
      <c r="B31" s="23"/>
      <c r="C31" s="23"/>
      <c r="D31" s="23"/>
      <c r="E31" s="23"/>
      <c r="F31" s="15"/>
      <c r="G31" s="24"/>
      <c r="L31" s="3"/>
      <c r="M31" s="23"/>
      <c r="N31" s="23"/>
      <c r="O31" s="23"/>
      <c r="P31" s="23"/>
      <c r="Q31" s="36"/>
      <c r="R31" s="24"/>
    </row>
    <row r="32" spans="1:21" x14ac:dyDescent="0.25">
      <c r="A32" s="3"/>
      <c r="B32" s="23" t="str">
        <f>+Key!C12</f>
        <v>Ann Arbor</v>
      </c>
      <c r="C32" s="23"/>
      <c r="D32" s="23"/>
      <c r="E32" s="23"/>
      <c r="F32" s="36">
        <v>47</v>
      </c>
      <c r="G32" s="24"/>
      <c r="L32" s="3"/>
      <c r="M32" s="23" t="s">
        <v>71</v>
      </c>
      <c r="N32" s="23"/>
      <c r="O32" s="23"/>
      <c r="P32" s="23"/>
      <c r="Q32" s="36">
        <v>-21.5</v>
      </c>
      <c r="R32" s="24"/>
    </row>
    <row r="33" spans="1:18" x14ac:dyDescent="0.25">
      <c r="A33" s="3"/>
      <c r="B33" s="23"/>
      <c r="C33" s="23"/>
      <c r="D33" s="23"/>
      <c r="E33" s="23"/>
      <c r="F33" s="15"/>
      <c r="G33" s="24"/>
      <c r="L33" s="3"/>
      <c r="M33" s="23"/>
      <c r="N33" s="23"/>
      <c r="O33" s="23"/>
      <c r="P33" s="23"/>
      <c r="Q33" s="36"/>
      <c r="R33" s="24"/>
    </row>
    <row r="34" spans="1:18" x14ac:dyDescent="0.25">
      <c r="A34" s="3"/>
      <c r="B34" s="23" t="str">
        <f>+Key!C13</f>
        <v>South Bend</v>
      </c>
      <c r="C34" s="23"/>
      <c r="D34" s="23"/>
      <c r="E34" s="23"/>
      <c r="F34" s="36">
        <v>25</v>
      </c>
      <c r="G34" s="24"/>
      <c r="L34" s="3"/>
      <c r="M34" s="23"/>
      <c r="N34" s="23"/>
      <c r="O34" s="23"/>
      <c r="P34" s="23"/>
      <c r="Q34" s="36"/>
      <c r="R34" s="24"/>
    </row>
    <row r="35" spans="1:18" x14ac:dyDescent="0.25">
      <c r="A35" s="3"/>
      <c r="B35" s="23"/>
      <c r="C35" s="23"/>
      <c r="D35" s="23"/>
      <c r="E35" s="23"/>
      <c r="F35" s="36"/>
      <c r="G35" s="24"/>
      <c r="L35" s="3"/>
      <c r="M35" s="23"/>
      <c r="N35" s="23"/>
      <c r="O35" s="23"/>
      <c r="P35" s="23"/>
      <c r="Q35" s="36"/>
      <c r="R35" s="24"/>
    </row>
    <row r="36" spans="1:18" x14ac:dyDescent="0.25">
      <c r="A36" s="3"/>
      <c r="B36" s="23" t="s">
        <v>16</v>
      </c>
      <c r="C36" s="23"/>
      <c r="D36" s="23"/>
      <c r="E36" s="23"/>
      <c r="F36" s="36">
        <f>3.567+0.307+0.066-0.763+0.107-0.421-0.532-1.394-0.04-5.391</f>
        <v>-4.4939999999999998</v>
      </c>
      <c r="G36" s="24"/>
      <c r="L36" s="3"/>
      <c r="M36" s="23"/>
      <c r="N36" s="23"/>
      <c r="O36" s="23"/>
      <c r="P36" s="23"/>
      <c r="Q36" s="36"/>
      <c r="R36" s="24"/>
    </row>
    <row r="37" spans="1:18" x14ac:dyDescent="0.25">
      <c r="A37" s="3"/>
      <c r="B37" s="23"/>
      <c r="C37" s="23"/>
      <c r="D37" s="23"/>
      <c r="E37" s="23"/>
      <c r="F37" s="36"/>
      <c r="G37" s="24"/>
      <c r="L37" s="3"/>
      <c r="M37" s="23"/>
      <c r="N37" s="23"/>
      <c r="O37" s="23"/>
      <c r="P37" s="23"/>
      <c r="Q37" s="36"/>
      <c r="R37" s="24"/>
    </row>
    <row r="38" spans="1:18" x14ac:dyDescent="0.25">
      <c r="A38" s="3"/>
      <c r="B38" s="23" t="s">
        <v>71</v>
      </c>
      <c r="C38" s="23"/>
      <c r="D38" s="23"/>
      <c r="E38" s="23"/>
      <c r="F38" s="36">
        <v>-507</v>
      </c>
      <c r="G38" s="24"/>
      <c r="L38" s="3"/>
      <c r="M38" s="23"/>
      <c r="N38" s="23"/>
      <c r="O38" s="23"/>
      <c r="P38" s="23"/>
      <c r="Q38" s="36"/>
      <c r="R38" s="24"/>
    </row>
    <row r="39" spans="1:18" x14ac:dyDescent="0.25">
      <c r="A39" s="3"/>
      <c r="B39" s="23"/>
      <c r="C39" s="23"/>
      <c r="D39" s="23"/>
      <c r="E39" s="23"/>
      <c r="F39" s="15"/>
      <c r="G39" s="24"/>
      <c r="L39" s="3"/>
      <c r="M39" s="23"/>
      <c r="N39" s="23"/>
      <c r="O39" s="23"/>
      <c r="P39" s="23"/>
      <c r="Q39" s="15"/>
      <c r="R39" s="24"/>
    </row>
    <row r="40" spans="1:18" x14ac:dyDescent="0.25">
      <c r="A40" s="3"/>
      <c r="B40" s="23" t="s">
        <v>18</v>
      </c>
      <c r="C40" s="23"/>
      <c r="D40" s="23"/>
      <c r="E40" s="23"/>
      <c r="F40" s="33">
        <f>+F42-SUM(F26:F39)</f>
        <v>321.52859617024069</v>
      </c>
      <c r="G40" s="24"/>
      <c r="L40" s="3"/>
      <c r="M40" s="23" t="s">
        <v>18</v>
      </c>
      <c r="N40" s="23"/>
      <c r="O40" s="23"/>
      <c r="P40" s="23"/>
      <c r="Q40" s="33">
        <f>+Q42-SUM(Q26:Q39)</f>
        <v>-55.615744448744351</v>
      </c>
      <c r="R40" s="24"/>
    </row>
    <row r="41" spans="1:18" x14ac:dyDescent="0.25">
      <c r="A41" s="3"/>
      <c r="B41" s="23"/>
      <c r="C41" s="23"/>
      <c r="D41" s="23"/>
      <c r="E41" s="23"/>
      <c r="F41" s="15"/>
      <c r="G41" s="24"/>
      <c r="L41" s="3"/>
      <c r="M41" s="23"/>
      <c r="N41" s="23"/>
      <c r="O41" s="23"/>
      <c r="P41" s="23"/>
      <c r="Q41" s="15"/>
      <c r="R41" s="24"/>
    </row>
    <row r="42" spans="1:18" ht="13.8" thickBot="1" x14ac:dyDescent="0.3">
      <c r="A42" s="3"/>
      <c r="B42" s="23" t="s">
        <v>72</v>
      </c>
      <c r="C42" s="23"/>
      <c r="D42" s="23"/>
      <c r="E42" s="23"/>
      <c r="F42" s="76">
        <f>+F16</f>
        <v>1752.0345961702408</v>
      </c>
      <c r="G42" s="24"/>
      <c r="L42" s="3"/>
      <c r="M42" s="23" t="s">
        <v>72</v>
      </c>
      <c r="N42" s="23"/>
      <c r="O42" s="23"/>
      <c r="P42" s="23"/>
      <c r="Q42" s="76">
        <f>+Q16</f>
        <v>461.91925555125562</v>
      </c>
      <c r="R42" s="24"/>
    </row>
    <row r="43" spans="1:18" ht="14.4" thickTop="1" thickBot="1" x14ac:dyDescent="0.3">
      <c r="A43" s="7"/>
      <c r="B43" s="28"/>
      <c r="C43" s="28"/>
      <c r="D43" s="28"/>
      <c r="E43" s="28"/>
      <c r="F43" s="28"/>
      <c r="G43" s="29"/>
      <c r="L43" s="7"/>
      <c r="M43" s="28"/>
      <c r="N43" s="28"/>
      <c r="O43" s="28"/>
      <c r="P43" s="28"/>
      <c r="Q43" s="28"/>
      <c r="R43" s="29"/>
    </row>
    <row r="46" spans="1:18" ht="13.8" thickBot="1" x14ac:dyDescent="0.3"/>
    <row r="47" spans="1:18" x14ac:dyDescent="0.25">
      <c r="A47" s="20"/>
      <c r="B47" s="21"/>
      <c r="C47" s="21"/>
      <c r="D47" s="21"/>
      <c r="E47" s="22"/>
      <c r="L47" s="20"/>
      <c r="M47" s="21"/>
      <c r="N47" s="21"/>
      <c r="O47" s="21"/>
      <c r="P47" s="22"/>
    </row>
    <row r="48" spans="1:18" x14ac:dyDescent="0.25">
      <c r="A48" s="3"/>
      <c r="B48" s="78" t="s">
        <v>51</v>
      </c>
      <c r="C48" s="23"/>
      <c r="D48" s="23"/>
      <c r="E48" s="79" t="s">
        <v>52</v>
      </c>
      <c r="L48" s="3"/>
      <c r="M48" s="78" t="s">
        <v>51</v>
      </c>
      <c r="N48" s="23"/>
      <c r="O48" s="23"/>
      <c r="P48" s="79" t="s">
        <v>52</v>
      </c>
    </row>
    <row r="49" spans="1:16" x14ac:dyDescent="0.25">
      <c r="A49" s="3"/>
      <c r="B49" s="23"/>
      <c r="C49" s="23"/>
      <c r="D49" s="23"/>
      <c r="E49" s="24"/>
      <c r="L49" s="3"/>
      <c r="M49" s="23"/>
      <c r="N49" s="23"/>
      <c r="O49" s="23"/>
      <c r="P49" s="24"/>
    </row>
    <row r="50" spans="1:16" x14ac:dyDescent="0.25">
      <c r="A50" s="3"/>
      <c r="B50" s="23">
        <v>250</v>
      </c>
      <c r="C50" s="14">
        <f>+C$55+(B50/10000)</f>
        <v>0.10198132256436143</v>
      </c>
      <c r="D50" s="23"/>
      <c r="E50" s="80">
        <f>+$C$8/C50*($C$6+$F$6)</f>
        <v>77.69802834927232</v>
      </c>
      <c r="L50" s="3"/>
      <c r="M50" s="23">
        <v>250</v>
      </c>
      <c r="N50" s="14">
        <f>+N$55+(M50/10000)</f>
        <v>0.10090132827324477</v>
      </c>
      <c r="O50" s="23"/>
      <c r="P50" s="80">
        <f>+$N$8/N50*$N$6</f>
        <v>7.0790516488682922</v>
      </c>
    </row>
    <row r="51" spans="1:16" x14ac:dyDescent="0.25">
      <c r="A51" s="3"/>
      <c r="B51" s="23">
        <v>200</v>
      </c>
      <c r="C51" s="14">
        <f>+C$55+(B51/10000)</f>
        <v>9.6981322564361441E-2</v>
      </c>
      <c r="D51" s="23"/>
      <c r="E51" s="81">
        <f>+$C$8/C51*($C$6+$F$6)</f>
        <v>81.70385268197866</v>
      </c>
      <c r="L51" s="3"/>
      <c r="M51" s="23">
        <v>200</v>
      </c>
      <c r="N51" s="14">
        <f>+N$55+(M51/10000)</f>
        <v>9.5901328273244782E-2</v>
      </c>
      <c r="O51" s="23"/>
      <c r="P51" s="83">
        <f>+$N$8/N51*$N$6</f>
        <v>7.4481316072135231</v>
      </c>
    </row>
    <row r="52" spans="1:16" x14ac:dyDescent="0.25">
      <c r="A52" s="3"/>
      <c r="B52" s="23">
        <v>150</v>
      </c>
      <c r="C52" s="14">
        <f>+C$55+(B52/10000)</f>
        <v>9.1981322564361437E-2</v>
      </c>
      <c r="D52" s="23"/>
      <c r="E52" s="81">
        <f>+$C$8/C52*($C$6+$F$6)</f>
        <v>86.145181117151395</v>
      </c>
      <c r="L52" s="3"/>
      <c r="M52" s="23">
        <v>150</v>
      </c>
      <c r="N52" s="14">
        <f>+N$55+(M52/10000)</f>
        <v>9.0901328273244777E-2</v>
      </c>
      <c r="O52" s="23"/>
      <c r="P52" s="83">
        <f>+$N$8/N52*$N$6</f>
        <v>7.8578138279630823</v>
      </c>
    </row>
    <row r="53" spans="1:16" x14ac:dyDescent="0.25">
      <c r="A53" s="3"/>
      <c r="B53" s="23">
        <v>100</v>
      </c>
      <c r="C53" s="14">
        <f>+C$55+(B53/10000)</f>
        <v>8.6981322564361432E-2</v>
      </c>
      <c r="D53" s="23"/>
      <c r="E53" s="81">
        <f>+$C$8/C53*($C$6+$F$6)</f>
        <v>91.09711669236691</v>
      </c>
      <c r="L53" s="3"/>
      <c r="M53" s="23">
        <v>100</v>
      </c>
      <c r="N53" s="14">
        <f>+N$55+(M53/10000)</f>
        <v>8.5901328273244773E-2</v>
      </c>
      <c r="O53" s="23"/>
      <c r="P53" s="83">
        <f>+$N$8/N53*$N$6</f>
        <v>8.3151882356653743</v>
      </c>
    </row>
    <row r="54" spans="1:16" x14ac:dyDescent="0.25">
      <c r="A54" s="3"/>
      <c r="B54" s="23">
        <v>50</v>
      </c>
      <c r="C54" s="14">
        <f>+C$55+(B54/10000)</f>
        <v>8.1981322564361442E-2</v>
      </c>
      <c r="D54" s="23"/>
      <c r="E54" s="81">
        <f>+$C$8/C54*($C$6+$F$6)</f>
        <v>96.653084432509715</v>
      </c>
      <c r="L54" s="3"/>
      <c r="M54" s="23">
        <v>50</v>
      </c>
      <c r="N54" s="14">
        <f>+N$55+(M54/10000)</f>
        <v>8.0901328273244782E-2</v>
      </c>
      <c r="O54" s="23"/>
      <c r="P54" s="83">
        <f>+$N$8/N54*$N$6</f>
        <v>8.8290974886495004</v>
      </c>
    </row>
    <row r="55" spans="1:16" x14ac:dyDescent="0.25">
      <c r="A55" s="3"/>
      <c r="B55" s="23">
        <v>0</v>
      </c>
      <c r="C55" s="82">
        <f>+I9</f>
        <v>7.6981322564361437E-2</v>
      </c>
      <c r="D55" s="23"/>
      <c r="E55" s="81">
        <f t="shared" ref="E55:E60" si="0">+$C$8/C55*($C$6+$F$6)</f>
        <v>102.93078149024092</v>
      </c>
      <c r="L55" s="3"/>
      <c r="M55" s="23">
        <v>0</v>
      </c>
      <c r="N55" s="82">
        <f>+Q9</f>
        <v>7.5901328273244778E-2</v>
      </c>
      <c r="O55" s="23"/>
      <c r="P55" s="83">
        <f t="shared" ref="P55:P60" si="1">+$N$8/N55*$N$6</f>
        <v>9.4107142857142865</v>
      </c>
    </row>
    <row r="56" spans="1:16" x14ac:dyDescent="0.25">
      <c r="A56" s="3"/>
      <c r="B56" s="23">
        <v>-50</v>
      </c>
      <c r="C56" s="14">
        <f>+C$55+(B56/10000)</f>
        <v>7.1981322564361433E-2</v>
      </c>
      <c r="D56" s="23"/>
      <c r="E56" s="81">
        <f t="shared" si="0"/>
        <v>110.08060715496154</v>
      </c>
      <c r="L56" s="3"/>
      <c r="M56" s="23">
        <v>-50</v>
      </c>
      <c r="N56" s="14">
        <f>+N$55+(M56/10000)</f>
        <v>7.0901328273244774E-2</v>
      </c>
      <c r="O56" s="23"/>
      <c r="P56" s="83">
        <f t="shared" si="1"/>
        <v>10.074362944696146</v>
      </c>
    </row>
    <row r="57" spans="1:16" x14ac:dyDescent="0.25">
      <c r="A57" s="3"/>
      <c r="B57" s="23">
        <v>-100</v>
      </c>
      <c r="C57" s="14">
        <f>+C$55+(B57/10000)</f>
        <v>6.6981322564361442E-2</v>
      </c>
      <c r="D57" s="23"/>
      <c r="E57" s="81">
        <f t="shared" si="0"/>
        <v>118.29786854519361</v>
      </c>
      <c r="L57" s="3"/>
      <c r="M57" s="23">
        <v>-100</v>
      </c>
      <c r="N57" s="14">
        <f>+N$55+(M57/10000)</f>
        <v>6.5901328273244783E-2</v>
      </c>
      <c r="O57" s="23"/>
      <c r="P57" s="83">
        <f t="shared" si="1"/>
        <v>10.83871498498622</v>
      </c>
    </row>
    <row r="58" spans="1:16" x14ac:dyDescent="0.25">
      <c r="A58" s="3"/>
      <c r="B58" s="23">
        <v>-150</v>
      </c>
      <c r="C58" s="14">
        <f>+C$55+(B58/10000)</f>
        <v>6.1981322564361438E-2</v>
      </c>
      <c r="D58" s="23"/>
      <c r="E58" s="81">
        <f t="shared" si="0"/>
        <v>127.84089406085221</v>
      </c>
      <c r="L58" s="3"/>
      <c r="M58" s="23">
        <v>-150</v>
      </c>
      <c r="N58" s="14">
        <f>+N$55+(M58/10000)</f>
        <v>6.0901328273244779E-2</v>
      </c>
      <c r="O58" s="23"/>
      <c r="P58" s="83">
        <f t="shared" si="1"/>
        <v>11.728573654107226</v>
      </c>
    </row>
    <row r="59" spans="1:16" x14ac:dyDescent="0.25">
      <c r="A59" s="3"/>
      <c r="B59" s="23">
        <v>-200</v>
      </c>
      <c r="C59" s="14">
        <f>+C$55+(B59/10000)</f>
        <v>5.6981322564361434E-2</v>
      </c>
      <c r="D59" s="23"/>
      <c r="E59" s="81">
        <f t="shared" si="0"/>
        <v>139.058683356323</v>
      </c>
      <c r="L59" s="3"/>
      <c r="M59" s="23">
        <v>-200</v>
      </c>
      <c r="N59" s="14">
        <f>+N$55+(M59/10000)</f>
        <v>5.5901328273244774E-2</v>
      </c>
      <c r="O59" s="23"/>
      <c r="P59" s="83">
        <f t="shared" si="1"/>
        <v>12.777616138104939</v>
      </c>
    </row>
    <row r="60" spans="1:16" x14ac:dyDescent="0.25">
      <c r="A60" s="3"/>
      <c r="B60" s="23">
        <v>-250</v>
      </c>
      <c r="C60" s="14">
        <f>+C$55+(B60/10000)</f>
        <v>5.1981322564361436E-2</v>
      </c>
      <c r="D60" s="23"/>
      <c r="E60" s="81">
        <f t="shared" si="0"/>
        <v>152.43451495277242</v>
      </c>
      <c r="L60" s="3"/>
      <c r="M60" s="23">
        <v>-250</v>
      </c>
      <c r="N60" s="14">
        <f>+N$55+(M60/10000)</f>
        <v>5.0901328273244777E-2</v>
      </c>
      <c r="O60" s="23"/>
      <c r="P60" s="83">
        <f t="shared" si="1"/>
        <v>14.032751963786449</v>
      </c>
    </row>
    <row r="61" spans="1:16" ht="13.8" thickBot="1" x14ac:dyDescent="0.3">
      <c r="A61" s="7"/>
      <c r="B61" s="28"/>
      <c r="C61" s="28"/>
      <c r="D61" s="28"/>
      <c r="E61" s="29"/>
      <c r="L61" s="7"/>
      <c r="M61" s="28"/>
      <c r="N61" s="28"/>
      <c r="O61" s="28"/>
      <c r="P61" s="29"/>
    </row>
  </sheetData>
  <phoneticPr fontId="0" type="noConversion"/>
  <pageMargins left="0.22" right="0.21" top="1" bottom="1" header="0.5" footer="0.5"/>
  <pageSetup scale="80" fitToHeight="3" orientation="landscape" r:id="rId1"/>
  <headerFooter alignWithMargins="0">
    <oddFooter>&amp;L&amp;D / &amp;T&amp;C&amp;A&amp;R&amp;F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3"/>
  <sheetViews>
    <sheetView topLeftCell="A2" zoomScaleNormal="100" workbookViewId="0">
      <selection activeCell="E23" sqref="E23:H24"/>
    </sheetView>
  </sheetViews>
  <sheetFormatPr defaultRowHeight="13.2" x14ac:dyDescent="0.25"/>
  <cols>
    <col min="1" max="1" width="2.6640625" customWidth="1"/>
    <col min="2" max="2" width="17.6640625" customWidth="1"/>
    <col min="4" max="4" width="3" customWidth="1"/>
    <col min="5" max="5" width="17.88671875" customWidth="1"/>
    <col min="6" max="6" width="13.6640625" bestFit="1" customWidth="1"/>
    <col min="7" max="7" width="3.109375" customWidth="1"/>
    <col min="8" max="8" width="12.5546875" customWidth="1"/>
    <col min="9" max="9" width="12.6640625" bestFit="1" customWidth="1"/>
    <col min="10" max="10" width="3.33203125" customWidth="1"/>
    <col min="11" max="11" width="11.6640625" customWidth="1"/>
    <col min="12" max="12" width="11.5546875" bestFit="1" customWidth="1"/>
    <col min="13" max="13" width="9.33203125" bestFit="1" customWidth="1"/>
    <col min="14" max="14" width="2.5546875" customWidth="1"/>
  </cols>
  <sheetData>
    <row r="3" spans="1:14" ht="13.8" thickBot="1" x14ac:dyDescent="0.3"/>
    <row r="4" spans="1:14" ht="17.399999999999999" x14ac:dyDescent="0.3">
      <c r="A4" s="20"/>
      <c r="B4" s="30" t="str">
        <f>+Key!C4</f>
        <v>Boulder</v>
      </c>
      <c r="C4" s="31"/>
      <c r="D4" s="31"/>
      <c r="E4" s="31"/>
      <c r="F4" s="31"/>
      <c r="G4" s="31"/>
      <c r="H4" s="31"/>
      <c r="I4" s="31"/>
      <c r="J4" s="21"/>
      <c r="K4" s="21"/>
      <c r="L4" s="21"/>
      <c r="M4" s="21"/>
      <c r="N4" s="22"/>
    </row>
    <row r="5" spans="1:14" ht="13.8" thickBot="1" x14ac:dyDescent="0.3">
      <c r="A5" s="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1:14" x14ac:dyDescent="0.25">
      <c r="A6" s="3"/>
      <c r="B6" s="57" t="str">
        <f>+Key!C6</f>
        <v>Norman</v>
      </c>
      <c r="C6" s="58"/>
      <c r="D6" s="23"/>
      <c r="E6" s="57" t="str">
        <f>+Key!C8</f>
        <v>Tucson</v>
      </c>
      <c r="F6" s="58"/>
      <c r="G6" s="23"/>
      <c r="H6" s="57" t="s">
        <v>20</v>
      </c>
      <c r="I6" s="58"/>
      <c r="J6" s="23"/>
      <c r="K6" s="8" t="s">
        <v>21</v>
      </c>
      <c r="L6" s="9"/>
      <c r="M6" s="58"/>
      <c r="N6" s="24"/>
    </row>
    <row r="7" spans="1:14" ht="13.8" thickBot="1" x14ac:dyDescent="0.3">
      <c r="A7" s="3"/>
      <c r="B7" s="3" t="s">
        <v>30</v>
      </c>
      <c r="C7" s="55">
        <f>+Trans!F13</f>
        <v>28.833311428815747</v>
      </c>
      <c r="D7" s="54"/>
      <c r="E7" s="3" t="s">
        <v>30</v>
      </c>
      <c r="F7" s="55">
        <f>-Trans!F13-Trans!G6</f>
        <v>-46.846198189607904</v>
      </c>
      <c r="G7" s="54"/>
      <c r="H7" s="52"/>
      <c r="I7" s="53"/>
      <c r="J7" s="54"/>
      <c r="K7" s="52"/>
      <c r="L7" s="74" t="str">
        <f>+Key!C4</f>
        <v>Boulder</v>
      </c>
      <c r="M7" s="75" t="str">
        <f>+Key!C5</f>
        <v>Tempe</v>
      </c>
      <c r="N7" s="24"/>
    </row>
    <row r="8" spans="1:14" x14ac:dyDescent="0.25">
      <c r="A8" s="3"/>
      <c r="B8" s="3" t="s">
        <v>9</v>
      </c>
      <c r="C8" s="16">
        <f>+(I8+L8)/0.98*0.02*0.5</f>
        <v>0.54131202678512991</v>
      </c>
      <c r="D8" s="11"/>
      <c r="E8" s="3" t="s">
        <v>9</v>
      </c>
      <c r="F8" s="16">
        <f>+C8</f>
        <v>0.54131202678512991</v>
      </c>
      <c r="G8" s="11"/>
      <c r="H8" s="3" t="s">
        <v>6</v>
      </c>
      <c r="I8" s="40">
        <v>41.623013999999998</v>
      </c>
      <c r="J8" s="23"/>
      <c r="K8" s="3" t="s">
        <v>6</v>
      </c>
      <c r="L8" s="40">
        <f>+Trans!G14+Trans!D20</f>
        <v>11.425564624942721</v>
      </c>
      <c r="M8" s="40"/>
      <c r="N8" s="24"/>
    </row>
    <row r="9" spans="1:14" x14ac:dyDescent="0.25">
      <c r="A9" s="3"/>
      <c r="B9" s="3" t="s">
        <v>10</v>
      </c>
      <c r="C9" s="4">
        <f>+C10/C11</f>
        <v>101.56993621195727</v>
      </c>
      <c r="D9" s="12"/>
      <c r="E9" s="3" t="s">
        <v>10</v>
      </c>
      <c r="F9" s="4">
        <f>+F10/F11</f>
        <v>101.56993621195727</v>
      </c>
      <c r="G9" s="12"/>
      <c r="H9" s="3" t="s">
        <v>10</v>
      </c>
      <c r="I9" s="72">
        <f>+I10/I11</f>
        <v>40.666666666666664</v>
      </c>
      <c r="J9" s="23"/>
      <c r="K9" s="3" t="s">
        <v>10</v>
      </c>
      <c r="L9" s="72">
        <f>+L10/L11</f>
        <v>40.666666666666664</v>
      </c>
      <c r="M9" s="72">
        <f>+M10/M11</f>
        <v>27.046104660945652</v>
      </c>
      <c r="N9" s="24"/>
    </row>
    <row r="10" spans="1:14" x14ac:dyDescent="0.25">
      <c r="A10" s="3"/>
      <c r="B10" s="3" t="s">
        <v>4</v>
      </c>
      <c r="C10" s="56">
        <f>-SUM(H29:H30)/(C8+F8)</f>
        <v>9.1412942590761546</v>
      </c>
      <c r="D10" s="13"/>
      <c r="E10" s="3" t="s">
        <v>4</v>
      </c>
      <c r="F10" s="5">
        <f>+C10</f>
        <v>9.1412942590761546</v>
      </c>
      <c r="G10" s="13"/>
      <c r="H10" s="3" t="s">
        <v>4</v>
      </c>
      <c r="I10" s="38">
        <v>3.05</v>
      </c>
      <c r="J10" s="23"/>
      <c r="K10" s="3" t="s">
        <v>4</v>
      </c>
      <c r="L10" s="38">
        <v>3.05</v>
      </c>
      <c r="M10" s="72">
        <f>+L10/Pre!I$7*Pre!Q$7</f>
        <v>2.0284578495709238</v>
      </c>
      <c r="N10" s="24"/>
    </row>
    <row r="11" spans="1:14" x14ac:dyDescent="0.25">
      <c r="A11" s="3"/>
      <c r="B11" s="3" t="s">
        <v>3</v>
      </c>
      <c r="C11" s="39">
        <v>0.09</v>
      </c>
      <c r="D11" s="14"/>
      <c r="E11" s="3" t="s">
        <v>3</v>
      </c>
      <c r="F11" s="39">
        <v>0.09</v>
      </c>
      <c r="G11" s="14"/>
      <c r="H11" s="3" t="s">
        <v>3</v>
      </c>
      <c r="I11" s="39">
        <v>7.4999999999999997E-2</v>
      </c>
      <c r="J11" s="23"/>
      <c r="K11" s="3" t="s">
        <v>3</v>
      </c>
      <c r="L11" s="71">
        <f>+I11</f>
        <v>7.4999999999999997E-2</v>
      </c>
      <c r="M11" s="73">
        <f>+I11</f>
        <v>7.4999999999999997E-2</v>
      </c>
      <c r="N11" s="24"/>
    </row>
    <row r="12" spans="1:14" x14ac:dyDescent="0.25">
      <c r="A12" s="3"/>
      <c r="B12" s="3" t="s">
        <v>5</v>
      </c>
      <c r="C12" s="56">
        <f>-SUM(H38:H39)/(C8+F8)</f>
        <v>9.113146280423889</v>
      </c>
      <c r="D12" s="13"/>
      <c r="E12" s="3" t="s">
        <v>5</v>
      </c>
      <c r="F12" s="5">
        <f>+C12</f>
        <v>9.113146280423889</v>
      </c>
      <c r="G12" s="13"/>
      <c r="H12" s="3" t="s">
        <v>5</v>
      </c>
      <c r="I12" s="56">
        <f>+H42</f>
        <v>3.0104186566573183</v>
      </c>
      <c r="J12" s="23"/>
      <c r="K12" s="3" t="s">
        <v>5</v>
      </c>
      <c r="L12" s="38">
        <f>+H42</f>
        <v>3.0104186566573183</v>
      </c>
      <c r="M12" s="72">
        <f>+L12/Pre!I$7*Pre!Q$7</f>
        <v>2.0021335588823916</v>
      </c>
      <c r="N12" s="24"/>
    </row>
    <row r="13" spans="1:14" ht="13.8" thickBot="1" x14ac:dyDescent="0.3">
      <c r="A13" s="3"/>
      <c r="B13" s="7" t="s">
        <v>8</v>
      </c>
      <c r="C13" s="10">
        <f>+C9/C12</f>
        <v>11.145430248402953</v>
      </c>
      <c r="D13" s="15"/>
      <c r="E13" s="7" t="s">
        <v>8</v>
      </c>
      <c r="F13" s="10">
        <f>+F9/F12</f>
        <v>11.145430248402953</v>
      </c>
      <c r="G13" s="15"/>
      <c r="H13" s="7" t="s">
        <v>8</v>
      </c>
      <c r="I13" s="10">
        <f>+I9/I12</f>
        <v>13.50864158934683</v>
      </c>
      <c r="J13" s="23"/>
      <c r="K13" s="7" t="s">
        <v>8</v>
      </c>
      <c r="L13" s="10">
        <f>+L9/L12</f>
        <v>13.50864158934683</v>
      </c>
      <c r="M13" s="10">
        <f>+M9/M12</f>
        <v>13.508641589346828</v>
      </c>
      <c r="N13" s="24"/>
    </row>
    <row r="14" spans="1:14" x14ac:dyDescent="0.25">
      <c r="A14" s="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</row>
    <row r="15" spans="1:14" x14ac:dyDescent="0.25">
      <c r="A15" s="3"/>
      <c r="B15" s="25" t="s">
        <v>11</v>
      </c>
      <c r="C15" s="25">
        <f>+C8*C9</f>
        <v>54.981028031330951</v>
      </c>
      <c r="D15" s="25"/>
      <c r="E15" s="25" t="s">
        <v>11</v>
      </c>
      <c r="F15" s="25">
        <f>+F8*F9</f>
        <v>54.981028031330951</v>
      </c>
      <c r="G15" s="25"/>
      <c r="H15" s="25" t="s">
        <v>11</v>
      </c>
      <c r="I15" s="25">
        <f>+I8*I9</f>
        <v>1692.6692359999997</v>
      </c>
      <c r="J15" s="23"/>
      <c r="K15" s="25" t="s">
        <v>11</v>
      </c>
      <c r="L15" s="25">
        <f>+L8*L9</f>
        <v>464.63962808100399</v>
      </c>
      <c r="M15" s="25"/>
      <c r="N15" s="24"/>
    </row>
    <row r="16" spans="1:14" x14ac:dyDescent="0.25">
      <c r="A16" s="3"/>
      <c r="B16" s="26"/>
      <c r="C16" s="26"/>
      <c r="D16" s="26"/>
      <c r="E16" s="26"/>
      <c r="F16" s="26"/>
      <c r="G16" s="26"/>
      <c r="H16" s="26"/>
      <c r="I16" s="26"/>
      <c r="J16" s="23"/>
      <c r="K16" s="23"/>
      <c r="L16" s="23"/>
      <c r="M16" s="23"/>
      <c r="N16" s="24"/>
    </row>
    <row r="17" spans="1:14" x14ac:dyDescent="0.25">
      <c r="A17" s="3"/>
      <c r="B17" s="26"/>
      <c r="C17" s="26"/>
      <c r="D17" s="26"/>
      <c r="E17" s="26"/>
      <c r="F17" s="26"/>
      <c r="G17" s="26"/>
      <c r="H17" s="26"/>
      <c r="I17" s="26"/>
      <c r="J17" s="23"/>
      <c r="K17" s="23"/>
      <c r="L17" s="23"/>
      <c r="M17" s="23"/>
      <c r="N17" s="24"/>
    </row>
    <row r="18" spans="1:14" ht="15.6" x14ac:dyDescent="0.3">
      <c r="A18" s="3"/>
      <c r="B18" s="26"/>
      <c r="C18" s="27" t="s">
        <v>62</v>
      </c>
      <c r="D18" s="27"/>
      <c r="E18" s="27"/>
      <c r="F18" s="27">
        <f>+C15+F15+I15+L15</f>
        <v>2267.2709201436655</v>
      </c>
      <c r="G18" s="26"/>
      <c r="H18" s="26"/>
      <c r="I18" s="26"/>
      <c r="J18" s="23"/>
      <c r="K18" s="23"/>
      <c r="L18" s="23"/>
      <c r="M18" s="23"/>
      <c r="N18" s="24"/>
    </row>
    <row r="19" spans="1:14" ht="13.8" thickBot="1" x14ac:dyDescent="0.3">
      <c r="A19" s="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</row>
    <row r="23" spans="1:14" x14ac:dyDescent="0.25">
      <c r="E23" s="84" t="str">
        <f>+Key!C4</f>
        <v>Boulder</v>
      </c>
      <c r="F23" s="84"/>
      <c r="G23" s="84"/>
      <c r="H23" s="84" t="str">
        <f>+E23</f>
        <v>Boulder</v>
      </c>
    </row>
    <row r="24" spans="1:14" x14ac:dyDescent="0.25">
      <c r="E24" s="84" t="s">
        <v>22</v>
      </c>
      <c r="F24" s="84" t="str">
        <f>+Key!C5</f>
        <v>Tempe</v>
      </c>
      <c r="G24" s="84"/>
      <c r="H24" s="84" t="s">
        <v>23</v>
      </c>
    </row>
    <row r="26" spans="1:14" x14ac:dyDescent="0.25">
      <c r="B26" t="s">
        <v>24</v>
      </c>
      <c r="E26" s="2">
        <f>(+Pre!I8*Pre!I6)+(Pre!F8*Pre!F6)+(Pre!C8*Pre!C6)</f>
        <v>134.87394039170201</v>
      </c>
      <c r="F26" s="2">
        <f>+Pre!T8*Pre!T6+Pre!Q8*Pre!Q6+Pre!N8*Pre!N6</f>
        <v>35.714285714285715</v>
      </c>
      <c r="H26" s="2">
        <f>+E26+F26</f>
        <v>170.58822610598773</v>
      </c>
    </row>
    <row r="27" spans="1:14" x14ac:dyDescent="0.25">
      <c r="B27" t="s">
        <v>25</v>
      </c>
      <c r="F27">
        <v>0.5</v>
      </c>
      <c r="H27" s="2">
        <f>+E27+F27</f>
        <v>0.5</v>
      </c>
    </row>
    <row r="28" spans="1:14" x14ac:dyDescent="0.25">
      <c r="B28" t="s">
        <v>26</v>
      </c>
      <c r="E28" s="2">
        <f>SUM(E26:E27)</f>
        <v>134.87394039170201</v>
      </c>
      <c r="F28" s="2">
        <f>SUM(F26:F27)</f>
        <v>36.214285714285715</v>
      </c>
      <c r="G28" s="2"/>
      <c r="H28" s="2">
        <f>SUM(H26:H27)</f>
        <v>171.08822610598773</v>
      </c>
    </row>
    <row r="29" spans="1:14" x14ac:dyDescent="0.25">
      <c r="B29" t="s">
        <v>32</v>
      </c>
      <c r="E29" s="2">
        <f>-+E28*0.02</f>
        <v>-2.6974788078340404</v>
      </c>
      <c r="F29" s="2">
        <f>+H29-E29</f>
        <v>-0.7242857142857142</v>
      </c>
      <c r="G29" s="2"/>
      <c r="H29" s="2">
        <f>-+H28*0.02</f>
        <v>-3.4217645221197546</v>
      </c>
    </row>
    <row r="30" spans="1:14" x14ac:dyDescent="0.25">
      <c r="B30" t="s">
        <v>33</v>
      </c>
      <c r="E30" s="2">
        <f>+-E62-E29</f>
        <v>-5.2262301589750155</v>
      </c>
      <c r="F30" s="2">
        <f>+H30-E30</f>
        <v>-1.2485903645448015</v>
      </c>
      <c r="G30" s="2"/>
      <c r="H30" s="2">
        <f>+-H62-H29</f>
        <v>-6.4748205235198171</v>
      </c>
    </row>
    <row r="31" spans="1:14" x14ac:dyDescent="0.25">
      <c r="B31" t="s">
        <v>34</v>
      </c>
      <c r="E31" s="2">
        <f>SUM(E28:E30)</f>
        <v>126.95023142489295</v>
      </c>
      <c r="F31" s="2">
        <f>SUM(F28:F30)</f>
        <v>34.241409635455199</v>
      </c>
      <c r="G31" s="2"/>
      <c r="H31" s="2">
        <f>SUM(H28:H30)</f>
        <v>161.19164106034816</v>
      </c>
    </row>
    <row r="33" spans="1:8" x14ac:dyDescent="0.25">
      <c r="B33" t="s">
        <v>29</v>
      </c>
      <c r="E33" s="1">
        <f>+E31/E44</f>
        <v>3.0500009303721485</v>
      </c>
      <c r="F33" s="1">
        <f>+F31/F44</f>
        <v>2.9969118165682649</v>
      </c>
      <c r="G33" s="1"/>
      <c r="H33" s="1">
        <f>+H31/H44</f>
        <v>3.0385666353095848</v>
      </c>
    </row>
    <row r="35" spans="1:8" x14ac:dyDescent="0.25">
      <c r="B35" t="s">
        <v>27</v>
      </c>
      <c r="E35" s="2">
        <f>+Pre!C10*Pre!C6+Pre!F10*Pre!F6+Pre!I10*Pre!I6</f>
        <v>129.38597074</v>
      </c>
      <c r="F35" s="2">
        <f>+Pre!N10*Pre!N6+Pre!Q10*Pre!Q6+Pre!T10*Pre!T6</f>
        <v>40.178571428571431</v>
      </c>
      <c r="H35" s="2">
        <f>+E35+F35</f>
        <v>169.56454216857145</v>
      </c>
    </row>
    <row r="36" spans="1:8" x14ac:dyDescent="0.25">
      <c r="B36" t="s">
        <v>25</v>
      </c>
      <c r="F36">
        <f>+E27</f>
        <v>0</v>
      </c>
      <c r="H36" s="2">
        <f>+E36+F36</f>
        <v>0</v>
      </c>
    </row>
    <row r="37" spans="1:8" x14ac:dyDescent="0.25">
      <c r="B37" t="s">
        <v>28</v>
      </c>
      <c r="E37" s="2">
        <f>SUM(E35:E36)</f>
        <v>129.38597074</v>
      </c>
      <c r="F37" s="2">
        <f>SUM(F35:F36)</f>
        <v>40.178571428571431</v>
      </c>
      <c r="H37" s="2">
        <f>SUM(H35:H36)</f>
        <v>169.56454216857145</v>
      </c>
    </row>
    <row r="38" spans="1:8" x14ac:dyDescent="0.25">
      <c r="B38" t="s">
        <v>32</v>
      </c>
      <c r="E38" s="2">
        <f>-+E37*0.02</f>
        <v>-2.5877194148</v>
      </c>
      <c r="F38" s="2">
        <f>-+F37*0.02</f>
        <v>-0.8035714285714286</v>
      </c>
      <c r="H38" s="2">
        <f>+E38+F38</f>
        <v>-3.3912908433714284</v>
      </c>
    </row>
    <row r="39" spans="1:8" x14ac:dyDescent="0.25">
      <c r="B39" t="s">
        <v>33</v>
      </c>
      <c r="E39" s="2">
        <f>+E30</f>
        <v>-5.2262301589750155</v>
      </c>
      <c r="F39" s="2">
        <f>+F30</f>
        <v>-1.2485903645448015</v>
      </c>
      <c r="H39" s="2">
        <f>+E39+F39</f>
        <v>-6.4748205235198171</v>
      </c>
    </row>
    <row r="40" spans="1:8" x14ac:dyDescent="0.25">
      <c r="B40" t="s">
        <v>35</v>
      </c>
      <c r="E40" s="2">
        <f>SUM(E37:E39)</f>
        <v>121.57202116622499</v>
      </c>
      <c r="F40" s="2">
        <f>SUM(F37:F39)</f>
        <v>38.126409635455197</v>
      </c>
      <c r="H40" s="2">
        <f>+E40+F40</f>
        <v>159.69843080168019</v>
      </c>
    </row>
    <row r="42" spans="1:8" x14ac:dyDescent="0.25">
      <c r="B42" t="s">
        <v>29</v>
      </c>
      <c r="E42" s="1">
        <f>+E40/E44</f>
        <v>2.9207885129660478</v>
      </c>
      <c r="F42" s="1">
        <f>+F40/F44</f>
        <v>3.3369387760691374</v>
      </c>
      <c r="H42" s="1">
        <f>+H40/H44</f>
        <v>3.0104186566573183</v>
      </c>
    </row>
    <row r="44" spans="1:8" x14ac:dyDescent="0.25">
      <c r="B44" t="s">
        <v>31</v>
      </c>
      <c r="E44" s="32">
        <f>+I8</f>
        <v>41.623013999999998</v>
      </c>
      <c r="F44" s="32">
        <f>+L8</f>
        <v>11.425564624942721</v>
      </c>
      <c r="G44" s="32"/>
      <c r="H44" s="32">
        <f>+E44+F44</f>
        <v>53.048578624942721</v>
      </c>
    </row>
    <row r="48" spans="1:8" x14ac:dyDescent="0.25">
      <c r="A48" t="s">
        <v>39</v>
      </c>
    </row>
    <row r="49" spans="2:8" x14ac:dyDescent="0.25">
      <c r="B49" s="59" t="s">
        <v>36</v>
      </c>
      <c r="C49" s="60"/>
      <c r="D49" s="60"/>
      <c r="E49" s="68">
        <f>+E44</f>
        <v>41.623013999999998</v>
      </c>
      <c r="F49" s="69"/>
      <c r="G49" s="69"/>
      <c r="H49" s="69">
        <f>+H44</f>
        <v>53.048578624942721</v>
      </c>
    </row>
    <row r="50" spans="2:8" x14ac:dyDescent="0.25">
      <c r="B50" s="60" t="s">
        <v>37</v>
      </c>
      <c r="C50" s="60"/>
      <c r="D50" s="60"/>
      <c r="E50" s="65">
        <f>+E49/0.98*0.02</f>
        <v>0.84944926530612241</v>
      </c>
      <c r="H50" s="65">
        <f>+H49/0.98*0.02</f>
        <v>1.0826240535702598</v>
      </c>
    </row>
    <row r="52" spans="2:8" ht="13.8" thickBot="1" x14ac:dyDescent="0.3">
      <c r="B52" t="s">
        <v>40</v>
      </c>
      <c r="E52" s="70">
        <f>+E28</f>
        <v>134.87394039170201</v>
      </c>
      <c r="H52" s="70">
        <f>+H28</f>
        <v>171.08822610598773</v>
      </c>
    </row>
    <row r="53" spans="2:8" ht="13.8" thickTop="1" x14ac:dyDescent="0.25">
      <c r="B53" t="s">
        <v>41</v>
      </c>
      <c r="D53" s="60"/>
      <c r="E53" s="60">
        <f>MIN(E71,E52)</f>
        <v>102.78336110204081</v>
      </c>
      <c r="F53" s="60"/>
      <c r="G53" s="60"/>
      <c r="H53" s="60">
        <f>MIN(H71,H52)</f>
        <v>130.99751048200142</v>
      </c>
    </row>
    <row r="54" spans="2:8" x14ac:dyDescent="0.25">
      <c r="B54" t="s">
        <v>42</v>
      </c>
      <c r="D54" s="60"/>
      <c r="E54" s="60">
        <f>MIN(E72,E52-E53)</f>
        <v>21.546030776470584</v>
      </c>
      <c r="F54" s="60"/>
      <c r="G54" s="60"/>
      <c r="H54" s="60">
        <f>MIN(H72,H52-H53)</f>
        <v>27.460440699970349</v>
      </c>
    </row>
    <row r="55" spans="2:8" x14ac:dyDescent="0.25">
      <c r="B55" t="s">
        <v>43</v>
      </c>
      <c r="D55" s="60"/>
      <c r="E55" s="60">
        <f>MIN(E73,E52-E53-E54)</f>
        <v>10.544548513190609</v>
      </c>
      <c r="F55" s="60"/>
      <c r="G55" s="60"/>
      <c r="H55" s="60">
        <f>MIN(H73,H52-H53-H54)</f>
        <v>12.630274924015964</v>
      </c>
    </row>
    <row r="56" spans="2:8" x14ac:dyDescent="0.25">
      <c r="B56" t="s">
        <v>44</v>
      </c>
      <c r="D56" s="60"/>
      <c r="E56" s="60">
        <f>E52-E53-E54-E55</f>
        <v>0</v>
      </c>
      <c r="F56" s="60"/>
      <c r="G56" s="60"/>
      <c r="H56" s="60">
        <f>H52-H53-H54-H55</f>
        <v>0</v>
      </c>
    </row>
    <row r="57" spans="2:8" x14ac:dyDescent="0.25">
      <c r="D57" s="60"/>
      <c r="E57" s="60"/>
      <c r="F57" s="60"/>
      <c r="G57" s="60"/>
      <c r="H57" s="60"/>
    </row>
    <row r="58" spans="2:8" x14ac:dyDescent="0.25">
      <c r="B58" t="s">
        <v>45</v>
      </c>
      <c r="D58" s="60"/>
      <c r="E58" s="60">
        <f>+E53*$C71</f>
        <v>2.0556672220408165</v>
      </c>
      <c r="F58" s="60"/>
      <c r="G58" s="60"/>
      <c r="H58" s="60">
        <f>+H53*$C71</f>
        <v>2.6199502096400282</v>
      </c>
    </row>
    <row r="59" spans="2:8" x14ac:dyDescent="0.25">
      <c r="B59" t="s">
        <v>46</v>
      </c>
      <c r="D59" s="60"/>
      <c r="E59" s="60">
        <f>+E54*$C72</f>
        <v>3.2319046164705876</v>
      </c>
      <c r="F59" s="60"/>
      <c r="G59" s="60"/>
      <c r="H59" s="60">
        <f>+H54*$C72</f>
        <v>4.1190661049955519</v>
      </c>
    </row>
    <row r="60" spans="2:8" x14ac:dyDescent="0.25">
      <c r="B60" t="s">
        <v>47</v>
      </c>
      <c r="D60" s="60"/>
      <c r="E60" s="60">
        <f>+E55*$C73</f>
        <v>2.6361371282976522</v>
      </c>
      <c r="F60" s="60"/>
      <c r="G60" s="60"/>
      <c r="H60" s="60">
        <f>+H55*$C73</f>
        <v>3.157568731003991</v>
      </c>
    </row>
    <row r="61" spans="2:8" x14ac:dyDescent="0.25">
      <c r="B61" t="s">
        <v>48</v>
      </c>
      <c r="D61" s="60"/>
      <c r="E61" s="60">
        <f>+E56*$C74</f>
        <v>0</v>
      </c>
      <c r="F61" s="60"/>
      <c r="G61" s="60"/>
      <c r="H61" s="60">
        <f>+H56*$C74</f>
        <v>0</v>
      </c>
    </row>
    <row r="62" spans="2:8" x14ac:dyDescent="0.25">
      <c r="B62" t="s">
        <v>49</v>
      </c>
      <c r="D62" s="60"/>
      <c r="E62" s="60">
        <f>SUM(E58:E61)</f>
        <v>7.9237089668090563</v>
      </c>
      <c r="F62" s="60"/>
      <c r="G62" s="60"/>
      <c r="H62" s="60">
        <f>SUM(H58:H61)</f>
        <v>9.8965850456395721</v>
      </c>
    </row>
    <row r="63" spans="2:8" x14ac:dyDescent="0.25">
      <c r="D63" s="60"/>
      <c r="E63" s="60"/>
      <c r="F63" s="60"/>
      <c r="G63" s="60"/>
      <c r="H63" s="60"/>
    </row>
    <row r="64" spans="2:8" x14ac:dyDescent="0.25">
      <c r="B64" t="s">
        <v>50</v>
      </c>
      <c r="D64" s="60"/>
      <c r="E64" s="60">
        <f>+E52-E62</f>
        <v>126.95023142489295</v>
      </c>
      <c r="F64" s="60"/>
      <c r="G64" s="60"/>
      <c r="H64" s="60">
        <f>+H52-H62</f>
        <v>161.19164106034816</v>
      </c>
    </row>
    <row r="65" spans="1:8" x14ac:dyDescent="0.25">
      <c r="A65" s="60"/>
      <c r="B65" s="60"/>
      <c r="C65" s="60"/>
      <c r="D65" s="60"/>
      <c r="E65" s="60"/>
      <c r="F65" s="60"/>
      <c r="G65" s="60"/>
      <c r="H65" s="60"/>
    </row>
    <row r="66" spans="1:8" x14ac:dyDescent="0.25">
      <c r="A66" s="60"/>
      <c r="B66" s="60" t="s">
        <v>29</v>
      </c>
      <c r="C66" s="60"/>
      <c r="D66" s="60"/>
      <c r="E66" s="60">
        <f>+E64/E44</f>
        <v>3.0500009303721485</v>
      </c>
      <c r="F66" s="60"/>
      <c r="G66" s="60"/>
      <c r="H66" s="60">
        <f>+H64/H44</f>
        <v>3.0385666353095848</v>
      </c>
    </row>
    <row r="67" spans="1:8" x14ac:dyDescent="0.25">
      <c r="A67" s="60"/>
      <c r="B67" s="60"/>
      <c r="C67" s="60"/>
      <c r="D67" s="60"/>
      <c r="E67" s="60"/>
      <c r="F67" s="60"/>
      <c r="G67" s="60"/>
      <c r="H67" s="60"/>
    </row>
    <row r="68" spans="1:8" x14ac:dyDescent="0.25">
      <c r="A68" s="60"/>
      <c r="C68" s="60"/>
      <c r="D68" s="61"/>
      <c r="E68" s="61"/>
      <c r="F68" s="61"/>
      <c r="G68" s="61"/>
      <c r="H68" s="61"/>
    </row>
    <row r="69" spans="1:8" x14ac:dyDescent="0.25">
      <c r="A69" s="60"/>
      <c r="B69" s="60"/>
      <c r="C69" s="60"/>
      <c r="D69" s="61"/>
      <c r="E69" s="61"/>
      <c r="F69" s="61"/>
      <c r="G69" s="60"/>
      <c r="H69" s="61"/>
    </row>
    <row r="70" spans="1:8" x14ac:dyDescent="0.25">
      <c r="A70" s="60"/>
      <c r="B70" s="60" t="s">
        <v>38</v>
      </c>
      <c r="C70" s="60"/>
      <c r="D70" s="61"/>
      <c r="E70" s="61"/>
      <c r="F70" s="60"/>
      <c r="G70" s="60"/>
      <c r="H70" s="61"/>
    </row>
    <row r="71" spans="1:8" x14ac:dyDescent="0.25">
      <c r="A71" s="62"/>
      <c r="B71" s="63">
        <f>0.605*4</f>
        <v>2.42</v>
      </c>
      <c r="C71" s="64">
        <v>0.02</v>
      </c>
      <c r="E71" s="2">
        <f>+E$49*$B71/(1-$C71)</f>
        <v>102.78336110204081</v>
      </c>
      <c r="F71" s="2"/>
      <c r="G71" s="65"/>
      <c r="H71" s="2">
        <f>+H$49*$B71/(1-$C71)</f>
        <v>130.99751048200142</v>
      </c>
    </row>
    <row r="72" spans="1:8" x14ac:dyDescent="0.25">
      <c r="A72" s="62"/>
      <c r="B72" s="63">
        <f>0.715*4</f>
        <v>2.86</v>
      </c>
      <c r="C72" s="64">
        <v>0.15</v>
      </c>
      <c r="E72" s="2">
        <f>+($B72-$B71)*E$49/(1-$C72)</f>
        <v>21.546030776470584</v>
      </c>
      <c r="F72" s="2"/>
      <c r="G72" s="65"/>
      <c r="H72" s="2">
        <f>+($B72-$B71)*H$49/(1-$C72)</f>
        <v>27.460440699970349</v>
      </c>
    </row>
    <row r="73" spans="1:8" x14ac:dyDescent="0.25">
      <c r="A73" s="62"/>
      <c r="B73" s="63">
        <f>3.74</f>
        <v>3.74</v>
      </c>
      <c r="C73" s="64">
        <v>0.25</v>
      </c>
      <c r="E73" s="2">
        <f>+($B73-$B72)*E$49/(1-$C73)</f>
        <v>48.837669760000011</v>
      </c>
      <c r="F73" s="2"/>
      <c r="G73" s="65"/>
      <c r="H73" s="2">
        <f>+($B73-$B72)*H$49/(1-$C73)</f>
        <v>62.243665586599484</v>
      </c>
    </row>
    <row r="74" spans="1:8" x14ac:dyDescent="0.25">
      <c r="A74" s="62"/>
      <c r="B74" s="63"/>
      <c r="C74" s="64">
        <v>0.5</v>
      </c>
      <c r="E74" s="2"/>
      <c r="F74" s="2"/>
      <c r="G74" s="65"/>
      <c r="H74" s="2"/>
    </row>
    <row r="75" spans="1:8" x14ac:dyDescent="0.25">
      <c r="A75" s="62"/>
      <c r="B75" s="62"/>
      <c r="C75" s="60"/>
      <c r="D75" s="2"/>
      <c r="E75" s="2"/>
      <c r="F75" s="2"/>
      <c r="G75" s="60"/>
    </row>
    <row r="76" spans="1:8" x14ac:dyDescent="0.25">
      <c r="A76" s="62"/>
      <c r="B76" s="62"/>
      <c r="C76" s="60"/>
      <c r="D76" s="2"/>
      <c r="E76" s="2"/>
      <c r="F76" s="2"/>
      <c r="G76" s="60"/>
    </row>
    <row r="77" spans="1:8" x14ac:dyDescent="0.25">
      <c r="A77" s="60"/>
      <c r="B77" s="60"/>
      <c r="C77" s="60"/>
      <c r="D77" s="60"/>
      <c r="E77" s="60"/>
      <c r="F77" s="60"/>
      <c r="G77" s="60"/>
    </row>
    <row r="78" spans="1:8" x14ac:dyDescent="0.25">
      <c r="A78" s="60"/>
      <c r="B78" s="60"/>
      <c r="C78" s="60"/>
      <c r="D78" s="60"/>
      <c r="E78" s="66"/>
      <c r="F78" s="60"/>
      <c r="G78" s="60"/>
    </row>
    <row r="79" spans="1:8" x14ac:dyDescent="0.25">
      <c r="A79" s="60"/>
      <c r="B79" s="60"/>
      <c r="C79" s="60"/>
      <c r="D79" s="60"/>
      <c r="E79" s="60"/>
      <c r="F79" s="60"/>
      <c r="G79" s="60"/>
    </row>
    <row r="80" spans="1:8" x14ac:dyDescent="0.25">
      <c r="A80" s="60"/>
      <c r="B80" s="60"/>
      <c r="C80" s="60"/>
      <c r="D80" s="60"/>
      <c r="E80" s="67"/>
      <c r="F80" s="60"/>
      <c r="G80" s="60"/>
    </row>
    <row r="81" spans="1:7" x14ac:dyDescent="0.25">
      <c r="A81" s="60"/>
      <c r="B81" s="60"/>
      <c r="C81" s="60"/>
      <c r="D81" s="60"/>
      <c r="E81" s="60"/>
      <c r="F81" s="60"/>
      <c r="G81" s="60"/>
    </row>
    <row r="82" spans="1:7" x14ac:dyDescent="0.25">
      <c r="A82" s="60"/>
      <c r="B82" s="60"/>
      <c r="C82" s="60"/>
      <c r="D82" s="60"/>
      <c r="E82" s="67"/>
      <c r="F82" s="60"/>
      <c r="G82" s="60"/>
    </row>
    <row r="83" spans="1:7" x14ac:dyDescent="0.25">
      <c r="A83" s="60"/>
      <c r="B83" s="60"/>
      <c r="C83" s="60"/>
      <c r="D83" s="60"/>
      <c r="E83" s="60"/>
      <c r="F83" s="60"/>
      <c r="G83" s="60"/>
    </row>
  </sheetData>
  <phoneticPr fontId="0" type="noConversion"/>
  <pageMargins left="0.75" right="0.75" top="1" bottom="1" header="0.5" footer="0.5"/>
  <pageSetup scale="80" orientation="landscape" r:id="rId1"/>
  <headerFooter alignWithMargins="0">
    <oddFooter>&amp;L&amp;D / &amp;T&amp;C&amp;A&amp;R&amp;F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workbookViewId="0">
      <selection activeCell="A12" sqref="A12"/>
    </sheetView>
  </sheetViews>
  <sheetFormatPr defaultColWidth="9.109375" defaultRowHeight="13.2" x14ac:dyDescent="0.25"/>
  <cols>
    <col min="1" max="1" width="9.109375" style="42"/>
    <col min="2" max="2" width="14" style="42" customWidth="1"/>
    <col min="3" max="3" width="9.109375" style="42"/>
    <col min="4" max="4" width="11.109375" style="42" customWidth="1"/>
    <col min="5" max="5" width="11.5546875" style="42" bestFit="1" customWidth="1"/>
    <col min="6" max="6" width="13.88671875" style="42" customWidth="1"/>
    <col min="7" max="7" width="11.5546875" style="42" bestFit="1" customWidth="1"/>
    <col min="8" max="8" width="16.6640625" style="42" customWidth="1"/>
    <col min="9" max="9" width="9.109375" style="42"/>
    <col min="10" max="10" width="16.5546875" style="42" customWidth="1"/>
    <col min="11" max="16384" width="9.109375" style="42"/>
  </cols>
  <sheetData>
    <row r="1" spans="2:10" ht="13.8" thickBot="1" x14ac:dyDescent="0.3"/>
    <row r="2" spans="2:10" ht="16.2" thickBot="1" x14ac:dyDescent="0.35">
      <c r="H2" s="43" t="str">
        <f>+Key!C7</f>
        <v>Austin</v>
      </c>
    </row>
    <row r="3" spans="2:10" x14ac:dyDescent="0.25">
      <c r="G3" s="44"/>
    </row>
    <row r="5" spans="2:10" ht="39.6" x14ac:dyDescent="0.25">
      <c r="G5" s="42" t="s">
        <v>19</v>
      </c>
      <c r="I5" s="42" t="s">
        <v>74</v>
      </c>
    </row>
    <row r="6" spans="2:10" x14ac:dyDescent="0.25">
      <c r="G6" s="44">
        <f>+Pre!F13</f>
        <v>18.01288676079216</v>
      </c>
      <c r="I6" s="42" t="str">
        <f>+Key!C4</f>
        <v>Boulder</v>
      </c>
    </row>
    <row r="9" spans="2:10" ht="13.8" thickBot="1" x14ac:dyDescent="0.3">
      <c r="D9" s="48" t="s">
        <v>73</v>
      </c>
      <c r="F9" s="49" t="str">
        <f>+Key!C4</f>
        <v>Boulder</v>
      </c>
    </row>
    <row r="10" spans="2:10" ht="16.2" thickBot="1" x14ac:dyDescent="0.35">
      <c r="B10" s="43" t="str">
        <f>+Key!C6</f>
        <v>Norman</v>
      </c>
      <c r="H10" s="43" t="str">
        <f>+Key!C8</f>
        <v>Tucson</v>
      </c>
    </row>
    <row r="11" spans="2:10" x14ac:dyDescent="0.25">
      <c r="E11" s="42" t="s">
        <v>19</v>
      </c>
      <c r="F11" s="44">
        <f>+Pre!C13/0.825*0.325</f>
        <v>33.452503984328303</v>
      </c>
    </row>
    <row r="12" spans="2:10" x14ac:dyDescent="0.25">
      <c r="F12" s="51">
        <f>-+(-G17-D21)/0.98*0.01</f>
        <v>-4.6191925555125568</v>
      </c>
    </row>
    <row r="13" spans="2:10" ht="13.8" thickBot="1" x14ac:dyDescent="0.3">
      <c r="F13" s="50">
        <f>SUM(F11:F12)</f>
        <v>28.833311428815747</v>
      </c>
    </row>
    <row r="14" spans="2:10" ht="13.8" thickTop="1" x14ac:dyDescent="0.25">
      <c r="G14" s="46">
        <f>-((I17+J17)+(-D21/0.98*0.02))*0.98/Pre!I7</f>
        <v>1.6552519823379737</v>
      </c>
      <c r="I14" s="45">
        <f>+Pre!T6</f>
        <v>2.8093059999999999</v>
      </c>
    </row>
    <row r="15" spans="2:10" x14ac:dyDescent="0.25">
      <c r="G15" s="46" t="str">
        <f>+Key!C4</f>
        <v>Boulder</v>
      </c>
      <c r="I15" s="45" t="str">
        <f>+Key!C5</f>
        <v>Tempe</v>
      </c>
      <c r="J15" s="45" t="str">
        <f>+I15</f>
        <v>Tempe</v>
      </c>
    </row>
    <row r="16" spans="2:10" ht="26.4" x14ac:dyDescent="0.25">
      <c r="G16" s="42" t="s">
        <v>75</v>
      </c>
      <c r="I16" s="42" t="s">
        <v>76</v>
      </c>
      <c r="J16" s="42" t="s">
        <v>77</v>
      </c>
    </row>
    <row r="17" spans="2:11" x14ac:dyDescent="0.25">
      <c r="E17" s="49"/>
      <c r="G17" s="47">
        <f>-G14*Pre!I7</f>
        <v>-65.581083540230509</v>
      </c>
      <c r="I17" s="44">
        <f>-Pre!T13</f>
        <v>-65.408754365541327</v>
      </c>
      <c r="J17" s="44">
        <f>-Pre!N13</f>
        <v>-9.4107142857142865</v>
      </c>
      <c r="K17" s="47"/>
    </row>
    <row r="20" spans="2:11" x14ac:dyDescent="0.25">
      <c r="D20" s="46">
        <f>+D26/(Pre!I7/Pre!Q7)</f>
        <v>9.7703126426047469</v>
      </c>
      <c r="E20" s="85" t="str">
        <f>+Key!C4</f>
        <v>Boulder</v>
      </c>
      <c r="F20" s="48" t="s">
        <v>75</v>
      </c>
    </row>
    <row r="21" spans="2:11" x14ac:dyDescent="0.25">
      <c r="D21" s="47">
        <f>-D20*Pre!I7</f>
        <v>-387.09978690000003</v>
      </c>
    </row>
    <row r="22" spans="2:11" x14ac:dyDescent="0.25">
      <c r="D22" s="42" t="str">
        <f>+Key!C5</f>
        <v>Tempe</v>
      </c>
      <c r="F22" s="42" t="str">
        <f>+E20</f>
        <v>Boulder</v>
      </c>
    </row>
    <row r="23" spans="2:11" ht="26.4" x14ac:dyDescent="0.25">
      <c r="D23" s="42" t="s">
        <v>0</v>
      </c>
      <c r="F23" s="42" t="s">
        <v>78</v>
      </c>
    </row>
    <row r="24" spans="2:11" ht="13.8" thickBot="1" x14ac:dyDescent="0.3">
      <c r="D24" s="42">
        <f>+D26/D20</f>
        <v>1.503605313092979</v>
      </c>
      <c r="E24" s="42" t="s">
        <v>79</v>
      </c>
      <c r="F24" s="42">
        <v>1</v>
      </c>
    </row>
    <row r="25" spans="2:11" ht="16.2" thickBot="1" x14ac:dyDescent="0.35">
      <c r="B25" s="43" t="str">
        <f>+Key!C5</f>
        <v>Tempe</v>
      </c>
      <c r="H25" s="43" t="str">
        <f>+Key!C4</f>
        <v>Boulder</v>
      </c>
    </row>
    <row r="26" spans="2:11" x14ac:dyDescent="0.25">
      <c r="D26" s="45">
        <f>+Pre!Q6</f>
        <v>14.690694000000001</v>
      </c>
      <c r="E26" s="42" t="str">
        <f>+D22</f>
        <v>Tempe</v>
      </c>
      <c r="F26" s="48" t="s">
        <v>75</v>
      </c>
    </row>
    <row r="27" spans="2:11" x14ac:dyDescent="0.25">
      <c r="D27" s="44">
        <f>-Pre!Q13</f>
        <v>-387.09978690000003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&amp;L&amp;D / &amp;T&amp;C&amp;A&amp;R&amp;F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Pre</vt:lpstr>
      <vt:lpstr>Post</vt:lpstr>
      <vt:lpstr>Trans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jpeters1</dc:creator>
  <cp:lastModifiedBy>Havlíček Jan</cp:lastModifiedBy>
  <cp:lastPrinted>2001-09-12T15:43:45Z</cp:lastPrinted>
  <dcterms:created xsi:type="dcterms:W3CDTF">2001-07-12T17:06:11Z</dcterms:created>
  <dcterms:modified xsi:type="dcterms:W3CDTF">2023-09-10T12:05:00Z</dcterms:modified>
</cp:coreProperties>
</file>