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408" windowWidth="10860" windowHeight="6156" tabRatio="512"/>
  </bookViews>
  <sheets>
    <sheet name="June 7 Power Cost Forecast" sheetId="6" r:id="rId1"/>
    <sheet name="June 7 deferral" sheetId="4" r:id="rId2"/>
    <sheet name="Budget Deferral" sheetId="5" r:id="rId3"/>
    <sheet name="Sheet1" sheetId="1" r:id="rId4"/>
    <sheet name="Sheet2" sheetId="2" r:id="rId5"/>
    <sheet name="Sheet3" sheetId="3" r:id="rId6"/>
  </sheets>
  <externalReferences>
    <externalReference r:id="rId7"/>
    <externalReference r:id="rId8"/>
  </externalReferences>
  <definedNames>
    <definedName name="_1Power_Cost_Output_Table9_.PrintPowerCostsSummaryPrint">[2]!'[Power_Cost_Output_Table9].PrintPowerCostsSummaryPrint'</definedName>
    <definedName name="_2Power_MWa_Output_Table9__.PrintMWaSummaryPrint">[2]!'[Power_MWa_Output_Table9 ].PrintMWaSummaryPrint'</definedName>
    <definedName name="all">#REF!</definedName>
    <definedName name="AnnualCapTable">#REF!</definedName>
    <definedName name="BegResources">#REF!</definedName>
    <definedName name="CapAddTable">#REF!</definedName>
    <definedName name="dayBegin">#REF!</definedName>
    <definedName name="Dialog_Button_click">[0]!Dialog_Button_click</definedName>
    <definedName name="dontcare">[0]!dontcare</definedName>
    <definedName name="EconTable">#REF!</definedName>
    <definedName name="ExpRegControl3">[0]!ExpRegControl3</definedName>
    <definedName name="FuelTable">#REF!</definedName>
    <definedName name="GasPriceAdjust">#REF!</definedName>
    <definedName name="GetCaseData">[0]!GetCaseData</definedName>
    <definedName name="GetHydroCaseData">[0]!GetHydroCaseData</definedName>
    <definedName name="HTML1_1" hidden="1">"'[MONET71.xls]Market Hubs by Condition'!$A$1:$F$44"</definedName>
    <definedName name="HTML1_10" hidden="1">"Dave_LeVee"</definedName>
    <definedName name="HTML1_11" hidden="1">1</definedName>
    <definedName name="HTML1_12" hidden="1">"G:\MONET\WEB\FORECAST\hub71.htm"</definedName>
    <definedName name="HTML1_2" hidden="1">1</definedName>
    <definedName name="HTML1_3" hidden="1">"MONET71"</definedName>
    <definedName name="HTML1_4" hidden="1">"Market Hubs by Condition"</definedName>
    <definedName name="HTML1_5" hidden="1">""</definedName>
    <definedName name="HTML1_6" hidden="1">1</definedName>
    <definedName name="HTML1_7" hidden="1">1</definedName>
    <definedName name="HTML1_8" hidden="1">"4/10/96"</definedName>
    <definedName name="HTML1_9" hidden="1">"Resource Forecasting Department"</definedName>
    <definedName name="HTML2_1" hidden="1">"[MONET71.xls]FlatMarginalCost!$A$1:$E$132"</definedName>
    <definedName name="HTML2_10" hidden="1">"Dave_LeVee"</definedName>
    <definedName name="HTML2_11" hidden="1">1</definedName>
    <definedName name="HTML2_12" hidden="1">"G:\MONET\WEB\FORECAST\mc71.htm"</definedName>
    <definedName name="HTML2_2" hidden="1">1</definedName>
    <definedName name="HTML2_3" hidden="1">"MONET71"</definedName>
    <definedName name="HTML2_4" hidden="1">"FlatMarginalCost"</definedName>
    <definedName name="HTML2_5" hidden="1">""</definedName>
    <definedName name="HTML2_6" hidden="1">1</definedName>
    <definedName name="HTML2_7" hidden="1">1</definedName>
    <definedName name="HTML2_8" hidden="1">"4/10/96"</definedName>
    <definedName name="HTML2_9" hidden="1">"Resource Forecasting Department"</definedName>
    <definedName name="HTML3_1" hidden="1">"'[MONET84.XLS]Market Hubs by Condition'!$A$1:$F$36"</definedName>
    <definedName name="HTML3_10" hidden="1">"dave_levee@pgn.com"</definedName>
    <definedName name="HTML3_11" hidden="1">1</definedName>
    <definedName name="HTML3_12" hidden="1">"G:\MONET\WEB\FORECAST\Hub84.htm"</definedName>
    <definedName name="HTML3_2" hidden="1">1</definedName>
    <definedName name="HTML3_3" hidden="1">"MONET84"</definedName>
    <definedName name="HTML3_4" hidden="1">"Market Hubs by Condition"</definedName>
    <definedName name="HTML3_5" hidden="1">""</definedName>
    <definedName name="HTML3_6" hidden="1">1</definedName>
    <definedName name="HTML3_7" hidden="1">1</definedName>
    <definedName name="HTML3_8" hidden="1">"4/15/96"</definedName>
    <definedName name="HTML3_9" hidden="1">"Resource Forecasting Department"</definedName>
    <definedName name="HTML4_1" hidden="1">"[MONET84.XLS]ConditionMarginalCost!$A$1:$E$286"</definedName>
    <definedName name="HTML4_10" hidden="1">"dave_levee@pgn.com"</definedName>
    <definedName name="HTML4_11" hidden="1">1</definedName>
    <definedName name="HTML4_12" hidden="1">"G:\MONET\WEB\FORECAST\mc84.htm"</definedName>
    <definedName name="HTML4_2" hidden="1">1</definedName>
    <definedName name="HTML4_3" hidden="1">"MONET84"</definedName>
    <definedName name="HTML4_4" hidden="1">"ConditionMarginalCost"</definedName>
    <definedName name="HTML4_5" hidden="1">""</definedName>
    <definedName name="HTML4_6" hidden="1">1</definedName>
    <definedName name="HTML4_7" hidden="1">1</definedName>
    <definedName name="HTML4_8" hidden="1">"4/15/96"</definedName>
    <definedName name="HTML4_9" hidden="1">"Resource Forecasting Department"</definedName>
    <definedName name="HTML5_1" hidden="1">"[MONET84.XLS]ConditionMarginalCost!$A$1:$E$177"</definedName>
    <definedName name="HTML5_10" hidden="1">"dave_levee@pgn.com"</definedName>
    <definedName name="HTML5_11" hidden="1">1</definedName>
    <definedName name="HTML5_12" hidden="1">"G:\MONET\WEB\FORECAST\mc84.htm"</definedName>
    <definedName name="HTML5_2" hidden="1">1</definedName>
    <definedName name="HTML5_3" hidden="1">"MONET84"</definedName>
    <definedName name="HTML5_4" hidden="1">"ConditionMarginalCost"</definedName>
    <definedName name="HTML5_5" hidden="1">""</definedName>
    <definedName name="HTML5_6" hidden="1">1</definedName>
    <definedName name="HTML5_7" hidden="1">1</definedName>
    <definedName name="HTML5_8" hidden="1">"4/15/96"</definedName>
    <definedName name="HTML5_9" hidden="1">"Resource Forecasting Department"</definedName>
    <definedName name="HTMLCount" hidden="1">5</definedName>
    <definedName name="Hydro_Condition_Cell">#REF!</definedName>
    <definedName name="List1">"List Box 14"</definedName>
    <definedName name="LocateCaseDialog">[0]!LocateCaseDialog</definedName>
    <definedName name="monthbeg">#REF!</definedName>
    <definedName name="newname">[2]!'[Power_MWa_Output_Table9 ].PrintMWaSummaryPrint'</definedName>
    <definedName name="NEWNAME1">[0]!NEWNAME1</definedName>
    <definedName name="Onpeak">#REF!</definedName>
    <definedName name="OptionAvailTable">#REF!</definedName>
    <definedName name="OptionDescTable">#REF!</definedName>
    <definedName name="PickACase">[0]!PickACase</definedName>
    <definedName name="PickACaseGas">[0]!PickACaseGas</definedName>
    <definedName name="PickACaseHydro">[0]!PickACaseHydro</definedName>
    <definedName name="PickACaseWeather">[0]!PickACaseWeather</definedName>
    <definedName name="Power_Cost_Output_Table9.PrintPowerCostsSummaryPrint">[0]!Power_Cost_Output_Table9.PrintPowerCostsSummaryPrint</definedName>
    <definedName name="_xlnm.Print_Area" localSheetId="2">'Budget Deferral'!$A$1:$O$35</definedName>
    <definedName name="_xlnm.Print_Area" localSheetId="1">'June 7 deferral'!$A$1:$O$35</definedName>
    <definedName name="PrintMWaSummaryPrint">[0]!PrintMWaSummaryPrint</definedName>
    <definedName name="PrintPowerCostsSummaryPrint">[0]!PrintPowerCostsSummaryPrint</definedName>
    <definedName name="SaveOutput">[0]!SaveOutput</definedName>
    <definedName name="SelectSheetFromList">[0]!SelectSheetFromList</definedName>
    <definedName name="SheetsInBook">[0]!SheetsInBook</definedName>
    <definedName name="z">[2]!'[Power_Cost_Output_Table9].PrintPowerCostsSummaryPrint'</definedName>
  </definedNames>
  <calcPr calcId="0" calcMode="manual" iterate="1" calcOnSave="0"/>
</workbook>
</file>

<file path=xl/calcChain.xml><?xml version="1.0" encoding="utf-8"?>
<calcChain xmlns="http://schemas.openxmlformats.org/spreadsheetml/2006/main">
  <c r="A2" i="5" l="1"/>
  <c r="A3" i="5"/>
  <c r="A4" i="5"/>
  <c r="I4" i="5"/>
  <c r="A5" i="5"/>
  <c r="C5" i="5"/>
  <c r="A6" i="5"/>
  <c r="C6" i="5"/>
  <c r="A7" i="5"/>
  <c r="C7" i="5"/>
  <c r="A8" i="5"/>
  <c r="C8" i="5"/>
  <c r="I8" i="5"/>
  <c r="A9" i="5"/>
  <c r="C9" i="5"/>
  <c r="A10" i="5"/>
  <c r="C10" i="5"/>
  <c r="A11" i="5"/>
  <c r="A12" i="5"/>
  <c r="A13" i="5"/>
  <c r="O13" i="5"/>
  <c r="A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A15" i="5"/>
  <c r="A16" i="5"/>
  <c r="A17" i="5"/>
  <c r="C17" i="5"/>
  <c r="D17" i="5"/>
  <c r="E17" i="5"/>
  <c r="F17" i="5"/>
  <c r="G17" i="5"/>
  <c r="H17" i="5"/>
  <c r="I17" i="5"/>
  <c r="J17" i="5"/>
  <c r="K17" i="5"/>
  <c r="O17" i="5"/>
  <c r="A18" i="5"/>
  <c r="C18" i="5"/>
  <c r="D18" i="5"/>
  <c r="E18" i="5"/>
  <c r="F18" i="5"/>
  <c r="G18" i="5"/>
  <c r="H18" i="5"/>
  <c r="I18" i="5"/>
  <c r="J18" i="5"/>
  <c r="K18" i="5"/>
  <c r="O18" i="5"/>
  <c r="A19" i="5"/>
  <c r="C19" i="5"/>
  <c r="D19" i="5"/>
  <c r="E19" i="5"/>
  <c r="F19" i="5"/>
  <c r="G19" i="5"/>
  <c r="H19" i="5"/>
  <c r="I19" i="5"/>
  <c r="J19" i="5"/>
  <c r="K19" i="5"/>
  <c r="O19" i="5"/>
  <c r="A20" i="5"/>
  <c r="C20" i="5"/>
  <c r="D20" i="5"/>
  <c r="E20" i="5"/>
  <c r="F20" i="5"/>
  <c r="G20" i="5"/>
  <c r="H20" i="5"/>
  <c r="I20" i="5"/>
  <c r="J20" i="5"/>
  <c r="K20" i="5"/>
  <c r="O20" i="5"/>
  <c r="A21" i="5"/>
  <c r="C21" i="5"/>
  <c r="D21" i="5"/>
  <c r="E21" i="5"/>
  <c r="F21" i="5"/>
  <c r="G21" i="5"/>
  <c r="H21" i="5"/>
  <c r="I21" i="5"/>
  <c r="J21" i="5"/>
  <c r="K21" i="5"/>
  <c r="O21" i="5"/>
  <c r="A24" i="5"/>
  <c r="C24" i="5"/>
  <c r="D24" i="5"/>
  <c r="E24" i="5"/>
  <c r="F24" i="5"/>
  <c r="G24" i="5"/>
  <c r="H24" i="5"/>
  <c r="I24" i="5"/>
  <c r="J24" i="5"/>
  <c r="K24" i="5"/>
  <c r="A25" i="5"/>
  <c r="C25" i="5"/>
  <c r="D25" i="5"/>
  <c r="E25" i="5"/>
  <c r="F25" i="5"/>
  <c r="G25" i="5"/>
  <c r="H25" i="5"/>
  <c r="I25" i="5"/>
  <c r="J25" i="5"/>
  <c r="K25" i="5"/>
  <c r="A26" i="5"/>
  <c r="C26" i="5"/>
  <c r="D26" i="5"/>
  <c r="E26" i="5"/>
  <c r="F26" i="5"/>
  <c r="G26" i="5"/>
  <c r="H26" i="5"/>
  <c r="I26" i="5"/>
  <c r="J26" i="5"/>
  <c r="K26" i="5"/>
  <c r="A27" i="5"/>
  <c r="C27" i="5"/>
  <c r="D27" i="5"/>
  <c r="E27" i="5"/>
  <c r="F27" i="5"/>
  <c r="G27" i="5"/>
  <c r="H27" i="5"/>
  <c r="I27" i="5"/>
  <c r="J27" i="5"/>
  <c r="K27" i="5"/>
  <c r="A28" i="5"/>
  <c r="C28" i="5"/>
  <c r="D28" i="5"/>
  <c r="E28" i="5"/>
  <c r="F28" i="5"/>
  <c r="G28" i="5"/>
  <c r="H28" i="5"/>
  <c r="I28" i="5"/>
  <c r="J28" i="5"/>
  <c r="K28" i="5"/>
  <c r="C33" i="5"/>
  <c r="D33" i="5"/>
  <c r="E33" i="5"/>
  <c r="F33" i="5"/>
  <c r="G33" i="5"/>
  <c r="H33" i="5"/>
  <c r="I33" i="5"/>
  <c r="J33" i="5"/>
  <c r="K33" i="5"/>
  <c r="C34" i="5"/>
  <c r="D34" i="5"/>
  <c r="E34" i="5"/>
  <c r="F34" i="5"/>
  <c r="G34" i="5"/>
  <c r="H34" i="5"/>
  <c r="I34" i="5"/>
  <c r="J34" i="5"/>
  <c r="K34" i="5"/>
  <c r="D35" i="5"/>
  <c r="E35" i="5"/>
  <c r="F35" i="5"/>
  <c r="G35" i="5"/>
  <c r="H35" i="5"/>
  <c r="I35" i="5"/>
  <c r="J35" i="5"/>
  <c r="K35" i="5"/>
  <c r="B37" i="5"/>
  <c r="A2" i="4"/>
  <c r="A3" i="4"/>
  <c r="A4" i="4"/>
  <c r="I4" i="4"/>
  <c r="A5" i="4"/>
  <c r="C5" i="4"/>
  <c r="A6" i="4"/>
  <c r="C6" i="4"/>
  <c r="A7" i="4"/>
  <c r="C7" i="4"/>
  <c r="A8" i="4"/>
  <c r="C8" i="4"/>
  <c r="I8" i="4"/>
  <c r="A9" i="4"/>
  <c r="C9" i="4"/>
  <c r="A10" i="4"/>
  <c r="C10" i="4"/>
  <c r="A11" i="4"/>
  <c r="A12" i="4"/>
  <c r="A13" i="4"/>
  <c r="O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A16" i="4"/>
  <c r="A17" i="4"/>
  <c r="C17" i="4"/>
  <c r="D17" i="4"/>
  <c r="E17" i="4"/>
  <c r="F17" i="4"/>
  <c r="G17" i="4"/>
  <c r="H17" i="4"/>
  <c r="I17" i="4"/>
  <c r="J17" i="4"/>
  <c r="K17" i="4"/>
  <c r="O17" i="4"/>
  <c r="A18" i="4"/>
  <c r="C18" i="4"/>
  <c r="D18" i="4"/>
  <c r="E18" i="4"/>
  <c r="F18" i="4"/>
  <c r="G18" i="4"/>
  <c r="H18" i="4"/>
  <c r="I18" i="4"/>
  <c r="J18" i="4"/>
  <c r="K18" i="4"/>
  <c r="O18" i="4"/>
  <c r="A19" i="4"/>
  <c r="C19" i="4"/>
  <c r="D19" i="4"/>
  <c r="E19" i="4"/>
  <c r="F19" i="4"/>
  <c r="G19" i="4"/>
  <c r="H19" i="4"/>
  <c r="I19" i="4"/>
  <c r="J19" i="4"/>
  <c r="K19" i="4"/>
  <c r="O19" i="4"/>
  <c r="A20" i="4"/>
  <c r="C20" i="4"/>
  <c r="D20" i="4"/>
  <c r="E20" i="4"/>
  <c r="F20" i="4"/>
  <c r="G20" i="4"/>
  <c r="H20" i="4"/>
  <c r="I20" i="4"/>
  <c r="J20" i="4"/>
  <c r="K20" i="4"/>
  <c r="O20" i="4"/>
  <c r="A21" i="4"/>
  <c r="C21" i="4"/>
  <c r="D21" i="4"/>
  <c r="E21" i="4"/>
  <c r="F21" i="4"/>
  <c r="G21" i="4"/>
  <c r="H21" i="4"/>
  <c r="I21" i="4"/>
  <c r="J21" i="4"/>
  <c r="K21" i="4"/>
  <c r="O21" i="4"/>
  <c r="A24" i="4"/>
  <c r="C24" i="4"/>
  <c r="D24" i="4"/>
  <c r="E24" i="4"/>
  <c r="F24" i="4"/>
  <c r="G24" i="4"/>
  <c r="H24" i="4"/>
  <c r="I24" i="4"/>
  <c r="J24" i="4"/>
  <c r="K24" i="4"/>
  <c r="A25" i="4"/>
  <c r="C25" i="4"/>
  <c r="D25" i="4"/>
  <c r="E25" i="4"/>
  <c r="F25" i="4"/>
  <c r="G25" i="4"/>
  <c r="H25" i="4"/>
  <c r="I25" i="4"/>
  <c r="J25" i="4"/>
  <c r="K25" i="4"/>
  <c r="A26" i="4"/>
  <c r="C26" i="4"/>
  <c r="D26" i="4"/>
  <c r="E26" i="4"/>
  <c r="F26" i="4"/>
  <c r="G26" i="4"/>
  <c r="H26" i="4"/>
  <c r="I26" i="4"/>
  <c r="J26" i="4"/>
  <c r="K26" i="4"/>
  <c r="A27" i="4"/>
  <c r="C27" i="4"/>
  <c r="D27" i="4"/>
  <c r="E27" i="4"/>
  <c r="F27" i="4"/>
  <c r="G27" i="4"/>
  <c r="H27" i="4"/>
  <c r="I27" i="4"/>
  <c r="J27" i="4"/>
  <c r="K27" i="4"/>
  <c r="A28" i="4"/>
  <c r="C28" i="4"/>
  <c r="D28" i="4"/>
  <c r="E28" i="4"/>
  <c r="F28" i="4"/>
  <c r="G28" i="4"/>
  <c r="H28" i="4"/>
  <c r="I28" i="4"/>
  <c r="J28" i="4"/>
  <c r="K28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B37" i="4"/>
  <c r="L8" i="6"/>
  <c r="M8" i="6"/>
  <c r="N8" i="6"/>
  <c r="O8" i="6"/>
  <c r="P8" i="6"/>
  <c r="Q8" i="6"/>
  <c r="R8" i="6"/>
  <c r="T8" i="6"/>
  <c r="R9" i="6"/>
  <c r="T9" i="6"/>
  <c r="R10" i="6"/>
  <c r="T10" i="6"/>
  <c r="Q11" i="6"/>
  <c r="R11" i="6"/>
  <c r="T11" i="6"/>
  <c r="L12" i="6"/>
  <c r="M12" i="6"/>
  <c r="N12" i="6"/>
  <c r="O12" i="6"/>
  <c r="P12" i="6"/>
  <c r="Q12" i="6"/>
  <c r="R12" i="6"/>
  <c r="T12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T14" i="6"/>
  <c r="L16" i="6"/>
  <c r="M16" i="6"/>
  <c r="N16" i="6"/>
  <c r="O16" i="6"/>
  <c r="P16" i="6"/>
  <c r="Q16" i="6"/>
  <c r="R16" i="6"/>
  <c r="T16" i="6"/>
  <c r="R20" i="6"/>
  <c r="L21" i="6"/>
  <c r="M21" i="6"/>
  <c r="N21" i="6"/>
  <c r="O21" i="6"/>
  <c r="P21" i="6"/>
  <c r="Q21" i="6"/>
  <c r="R21" i="6"/>
  <c r="T21" i="6"/>
  <c r="L22" i="6"/>
  <c r="M22" i="6"/>
  <c r="N22" i="6"/>
  <c r="O22" i="6"/>
  <c r="P22" i="6"/>
  <c r="Q22" i="6"/>
  <c r="R22" i="6"/>
  <c r="T22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T24" i="6"/>
  <c r="L29" i="6"/>
  <c r="M29" i="6"/>
  <c r="N29" i="6"/>
  <c r="O29" i="6"/>
  <c r="P29" i="6"/>
  <c r="Q29" i="6"/>
  <c r="R29" i="6"/>
  <c r="T29" i="6"/>
  <c r="L30" i="6"/>
  <c r="M30" i="6"/>
  <c r="N30" i="6"/>
  <c r="O30" i="6"/>
  <c r="P30" i="6"/>
  <c r="Q30" i="6"/>
  <c r="R30" i="6"/>
  <c r="T30" i="6"/>
  <c r="K31" i="6"/>
  <c r="L31" i="6"/>
  <c r="M31" i="6"/>
  <c r="N31" i="6"/>
  <c r="O31" i="6"/>
  <c r="P31" i="6"/>
  <c r="Q31" i="6"/>
  <c r="R31" i="6"/>
  <c r="T31" i="6"/>
  <c r="L32" i="6"/>
  <c r="M32" i="6"/>
  <c r="N32" i="6"/>
  <c r="O32" i="6"/>
  <c r="P32" i="6"/>
  <c r="Q32" i="6"/>
  <c r="R32" i="6"/>
  <c r="T32" i="6"/>
  <c r="R33" i="6"/>
  <c r="T33" i="6"/>
  <c r="R34" i="6"/>
  <c r="T34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T35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T37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T39" i="6"/>
  <c r="L41" i="6"/>
  <c r="M41" i="6"/>
  <c r="N41" i="6"/>
  <c r="O41" i="6"/>
  <c r="P41" i="6"/>
  <c r="Q41" i="6"/>
  <c r="R41" i="6"/>
  <c r="T41" i="6"/>
  <c r="R42" i="6"/>
  <c r="T42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T44" i="6"/>
  <c r="R47" i="6"/>
  <c r="T47" i="6"/>
  <c r="H48" i="6"/>
  <c r="R48" i="6"/>
  <c r="T48" i="6"/>
  <c r="R49" i="6"/>
  <c r="T49" i="6"/>
  <c r="R50" i="6"/>
  <c r="T50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T51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T52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T55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T56" i="6"/>
  <c r="Q57" i="6"/>
  <c r="R57" i="6"/>
  <c r="T57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T58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T60" i="6"/>
  <c r="R63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</calcChain>
</file>

<file path=xl/sharedStrings.xml><?xml version="1.0" encoding="utf-8"?>
<sst xmlns="http://schemas.openxmlformats.org/spreadsheetml/2006/main" count="168" uniqueCount="102">
  <si>
    <t>Stipulated Power Cost Adjustment Mechanism (250 BP Dead Band, 150 BP 1st Tier with 50/50 Sharing, 90/10 Sharing Outside First Tier)</t>
  </si>
  <si>
    <t>9 month Base = $176 MM</t>
  </si>
  <si>
    <t>1st Tier Sharing</t>
  </si>
  <si>
    <t>NVPC 1999 (Adjusted)</t>
  </si>
  <si>
    <t xml:space="preserve">PGE Share = </t>
  </si>
  <si>
    <t>2001 Load Forecast (Mwa)</t>
  </si>
  <si>
    <t xml:space="preserve">Customer Share = </t>
  </si>
  <si>
    <t>1999 Load (Mwa)</t>
  </si>
  <si>
    <t>Base NVPC 2001 (Load Adjusted)</t>
  </si>
  <si>
    <t>2nd Tier Sharing</t>
  </si>
  <si>
    <t>NVPC 2001 (Monet)</t>
  </si>
  <si>
    <t>Monthly Adder</t>
  </si>
  <si>
    <t>Monthly Dead Band</t>
  </si>
  <si>
    <t>250 Basis Points</t>
  </si>
  <si>
    <t>1st Tier Monthly Band</t>
  </si>
  <si>
    <t>150 Basis Points</t>
  </si>
  <si>
    <t>JAN</t>
  </si>
  <si>
    <t>FEB</t>
  </si>
  <si>
    <t xml:space="preserve">MAR </t>
  </si>
  <si>
    <t>APR</t>
  </si>
  <si>
    <t xml:space="preserve">MAY </t>
  </si>
  <si>
    <t>JUN</t>
  </si>
  <si>
    <t>JUL</t>
  </si>
  <si>
    <t>AUG</t>
  </si>
  <si>
    <t>SEP</t>
  </si>
  <si>
    <t>OCT</t>
  </si>
  <si>
    <t>NOV</t>
  </si>
  <si>
    <t>DEC</t>
  </si>
  <si>
    <t>TOTAL</t>
  </si>
  <si>
    <t>NVPC (2001 Monet)</t>
  </si>
  <si>
    <t>Base NVPC 2001</t>
  </si>
  <si>
    <t>Upper Limit of 50/50 Sharing</t>
  </si>
  <si>
    <t>Upper Band</t>
  </si>
  <si>
    <t>Lower Band</t>
  </si>
  <si>
    <t>90/10 Sharing on all below dead band</t>
  </si>
  <si>
    <t>Cumulative Totals</t>
  </si>
  <si>
    <t>Cumulative</t>
  </si>
  <si>
    <t>Deferral</t>
  </si>
  <si>
    <t>Change in the Deferral each month</t>
  </si>
  <si>
    <t>June 8 forecast</t>
  </si>
  <si>
    <t>Budget (no Overview)</t>
  </si>
  <si>
    <t>2001 POWER COST</t>
  </si>
  <si>
    <t>JANUARY - MAY ACTUALS</t>
  </si>
  <si>
    <t>WITH MTM</t>
  </si>
  <si>
    <t>JUNE 7, 2001 FORECAST  -  F.O.R</t>
  </si>
  <si>
    <t>$1000</t>
  </si>
  <si>
    <t>JUNE NEAR TERM FORECAST</t>
  </si>
  <si>
    <t>JUL-DEC BASED ON MONET FORECAST</t>
  </si>
  <si>
    <t>MAR</t>
  </si>
  <si>
    <t>MAY</t>
  </si>
  <si>
    <t>ANNUAL</t>
  </si>
  <si>
    <t>SEP YTD</t>
  </si>
  <si>
    <t>PURCHASE POWER</t>
  </si>
  <si>
    <t>FIRM PURCHASES</t>
  </si>
  <si>
    <t>INTERCHANGE/STORAGE</t>
  </si>
  <si>
    <t>ELEC FINANCIALS</t>
  </si>
  <si>
    <t>FAS 133 - SPEC -ELEC</t>
  </si>
  <si>
    <t>SECONDARY PURCHASES</t>
  </si>
  <si>
    <t>TOTAL PURCHASES</t>
  </si>
  <si>
    <t>WHEELING</t>
  </si>
  <si>
    <t>GENERATION</t>
  </si>
  <si>
    <t>STEAM FUEL</t>
  </si>
  <si>
    <t>CENTRALIA</t>
  </si>
  <si>
    <t>COLSTRIP</t>
  </si>
  <si>
    <t>BOARDMAN</t>
  </si>
  <si>
    <t>TOTAL STEAM</t>
  </si>
  <si>
    <t>HYDRO PRODUCTION</t>
  </si>
  <si>
    <t>OTHER PRODUCTION</t>
  </si>
  <si>
    <t>BEAVER &amp; BEAVER PEAKER</t>
  </si>
  <si>
    <t>COYOTE</t>
  </si>
  <si>
    <t>BEAVER/COYOTE GAS TRANS, ETC</t>
  </si>
  <si>
    <t>GAS  FINANCIALS</t>
  </si>
  <si>
    <t>FAS 133 - SPEC- GAS</t>
  </si>
  <si>
    <t>FAS 133 - NONSPEC - GAS</t>
  </si>
  <si>
    <t>TOTAL OTHER PRODUCTION</t>
  </si>
  <si>
    <t>TOTAL GENERATION</t>
  </si>
  <si>
    <t>TOTAL SYSTEM LOAD</t>
  </si>
  <si>
    <t>SALES FOR RESALE</t>
  </si>
  <si>
    <t>GAS FOR RESALE</t>
  </si>
  <si>
    <t>NET VARIABLE POWER COSTS</t>
  </si>
  <si>
    <t>PCA Adjustments:</t>
  </si>
  <si>
    <t>Remove prior period adj</t>
  </si>
  <si>
    <t>Remove Bad Debt provisions</t>
  </si>
  <si>
    <t>Add back lost Demand Buyback revenues</t>
  </si>
  <si>
    <t>Remove Boise impact</t>
  </si>
  <si>
    <t>FAS 133 - GAS - NON SPEC</t>
  </si>
  <si>
    <t>N24236</t>
  </si>
  <si>
    <t>Subtotal</t>
  </si>
  <si>
    <t>SPEC BOOK</t>
  </si>
  <si>
    <t>FAS 133 - ELEC - SPEC</t>
  </si>
  <si>
    <t>N15007</t>
  </si>
  <si>
    <t>FAS 133 - GAS - SPEC</t>
  </si>
  <si>
    <t xml:space="preserve">   Realized SPEC Margin </t>
  </si>
  <si>
    <t>N11119,N24238,M22118</t>
  </si>
  <si>
    <t>Subtotal Spec Book</t>
  </si>
  <si>
    <t>NVPC SUBJECT TO PCA DEFERRAL</t>
  </si>
  <si>
    <t>PCA (PGE collects)/PGE refunds to customers</t>
  </si>
  <si>
    <t>NVPC BUDGET</t>
  </si>
  <si>
    <t>NVPC Forecast over (under) Budget</t>
  </si>
  <si>
    <t>2002 FORECAST - BUDGET</t>
  </si>
  <si>
    <t>2002 FORECAST - CURRENT</t>
  </si>
  <si>
    <t>Current fcst over (under)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</si>
</sst>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0"/>
    <numFmt numFmtId="168" formatCode="_(* #,##0_);_(* \(#,##0\);_(* &quot;-&quot;??_);_(@_)"/>
    <numFmt numFmtId="191" formatCode="_(&quot;$&quot;* #,##0_);_(&quot;$&quot;* \(#,##0\);_(&quot;$&quot;* &quot;-&quot;??_);_(@_)"/>
  </numFmts>
  <fonts count="21">
    <font>
      <sz val="10"/>
      <name val="Arial"/>
    </font>
    <font>
      <sz val="10"/>
      <name val="Arial"/>
    </font>
    <font>
      <sz val="11"/>
      <name val="Times New Roman"/>
    </font>
    <font>
      <sz val="10"/>
      <name val="Times New Roman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sz val="8"/>
      <name val="Times New Roman"/>
      <family val="1"/>
    </font>
    <font>
      <sz val="10"/>
      <name val="MS Sans Serif"/>
    </font>
    <font>
      <sz val="10"/>
      <name val="Geneva"/>
    </font>
    <font>
      <sz val="10"/>
      <color indexed="8"/>
      <name val="MS Sans Serif"/>
    </font>
    <font>
      <sz val="8"/>
      <name val="Arial"/>
    </font>
    <font>
      <sz val="10"/>
      <name val="CG Times (W1)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20"/>
      <name val="Arial"/>
      <family val="2"/>
    </font>
    <font>
      <b/>
      <sz val="12"/>
      <name val="Arial"/>
    </font>
    <font>
      <b/>
      <sz val="10"/>
      <color indexed="13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3" applyFont="1" applyAlignment="1">
      <alignment horizontal="left"/>
    </xf>
    <xf numFmtId="3" fontId="2" fillId="0" borderId="0" xfId="3" applyNumberFormat="1"/>
    <xf numFmtId="0" fontId="2" fillId="0" borderId="0" xfId="3"/>
    <xf numFmtId="0" fontId="2" fillId="0" borderId="0" xfId="3" applyAlignment="1">
      <alignment horizontal="center"/>
    </xf>
    <xf numFmtId="0" fontId="5" fillId="0" borderId="0" xfId="3" applyFont="1"/>
    <xf numFmtId="3" fontId="2" fillId="0" borderId="0" xfId="3" quotePrefix="1" applyNumberFormat="1"/>
    <xf numFmtId="9" fontId="2" fillId="0" borderId="0" xfId="4" applyFont="1"/>
    <xf numFmtId="164" fontId="2" fillId="0" borderId="0" xfId="3" applyNumberFormat="1"/>
    <xf numFmtId="3" fontId="2" fillId="0" borderId="0" xfId="3" applyNumberFormat="1" applyAlignment="1">
      <alignment horizontal="right"/>
    </xf>
    <xf numFmtId="10" fontId="2" fillId="0" borderId="0" xfId="4" applyNumberFormat="1" applyFont="1"/>
    <xf numFmtId="168" fontId="2" fillId="0" borderId="0" xfId="1" applyNumberFormat="1" applyFont="1"/>
    <xf numFmtId="3" fontId="5" fillId="0" borderId="0" xfId="3" applyNumberFormat="1" applyFont="1"/>
    <xf numFmtId="0" fontId="2" fillId="0" borderId="0" xfId="3" quotePrefix="1"/>
    <xf numFmtId="3" fontId="4" fillId="0" borderId="0" xfId="3" applyNumberFormat="1" applyFont="1"/>
    <xf numFmtId="0" fontId="6" fillId="0" borderId="0" xfId="3" applyFont="1"/>
    <xf numFmtId="3" fontId="7" fillId="0" borderId="0" xfId="3" applyNumberFormat="1" applyFont="1"/>
    <xf numFmtId="168" fontId="2" fillId="0" borderId="0" xfId="3" applyNumberFormat="1"/>
    <xf numFmtId="37" fontId="13" fillId="0" borderId="0" xfId="0" applyNumberFormat="1" applyFont="1" applyFill="1"/>
    <xf numFmtId="37" fontId="0" fillId="0" borderId="0" xfId="0" applyNumberFormat="1" applyFill="1"/>
    <xf numFmtId="0" fontId="0" fillId="0" borderId="1" xfId="0" applyBorder="1"/>
    <xf numFmtId="37" fontId="0" fillId="0" borderId="2" xfId="0" applyNumberFormat="1" applyFill="1" applyBorder="1"/>
    <xf numFmtId="37" fontId="0" fillId="0" borderId="3" xfId="0" applyNumberFormat="1" applyFill="1" applyBorder="1"/>
    <xf numFmtId="37" fontId="14" fillId="0" borderId="0" xfId="0" applyNumberFormat="1" applyFont="1" applyFill="1" applyBorder="1"/>
    <xf numFmtId="37" fontId="0" fillId="0" borderId="0" xfId="0" applyNumberFormat="1" applyFill="1" applyBorder="1"/>
    <xf numFmtId="37" fontId="15" fillId="0" borderId="4" xfId="0" applyNumberFormat="1" applyFont="1" applyFill="1" applyBorder="1"/>
    <xf numFmtId="37" fontId="13" fillId="0" borderId="0" xfId="0" quotePrefix="1" applyNumberFormat="1" applyFont="1" applyFill="1"/>
    <xf numFmtId="0" fontId="0" fillId="0" borderId="5" xfId="0" applyBorder="1"/>
    <xf numFmtId="37" fontId="0" fillId="0" borderId="6" xfId="0" applyNumberFormat="1" applyFill="1" applyBorder="1"/>
    <xf numFmtId="37" fontId="14" fillId="0" borderId="4" xfId="0" applyNumberFormat="1" applyFont="1" applyFill="1" applyBorder="1"/>
    <xf numFmtId="0" fontId="0" fillId="0" borderId="7" xfId="0" applyBorder="1"/>
    <xf numFmtId="0" fontId="0" fillId="0" borderId="8" xfId="0" applyBorder="1"/>
    <xf numFmtId="191" fontId="1" fillId="0" borderId="8" xfId="2" applyNumberFormat="1" applyBorder="1"/>
    <xf numFmtId="37" fontId="0" fillId="0" borderId="9" xfId="0" applyNumberFormat="1" applyFill="1" applyBorder="1"/>
    <xf numFmtId="0" fontId="0" fillId="0" borderId="0" xfId="0" applyFill="1"/>
    <xf numFmtId="0" fontId="0" fillId="0" borderId="10" xfId="0" applyFill="1" applyBorder="1"/>
    <xf numFmtId="37" fontId="0" fillId="0" borderId="4" xfId="0" applyNumberFormat="1" applyFill="1" applyBorder="1"/>
    <xf numFmtId="37" fontId="0" fillId="0" borderId="11" xfId="0" applyNumberFormat="1" applyFill="1" applyBorder="1" applyAlignment="1">
      <alignment horizontal="right"/>
    </xf>
    <xf numFmtId="37" fontId="0" fillId="0" borderId="12" xfId="0" applyNumberFormat="1" applyFill="1" applyBorder="1" applyAlignment="1">
      <alignment horizontal="right"/>
    </xf>
    <xf numFmtId="37" fontId="13" fillId="0" borderId="11" xfId="0" applyNumberFormat="1" applyFont="1" applyFill="1" applyBorder="1" applyAlignment="1">
      <alignment horizontal="right"/>
    </xf>
    <xf numFmtId="37" fontId="14" fillId="2" borderId="0" xfId="0" applyNumberFormat="1" applyFont="1" applyFill="1" applyBorder="1"/>
    <xf numFmtId="37" fontId="0" fillId="2" borderId="0" xfId="0" applyNumberFormat="1" applyFill="1" applyBorder="1"/>
    <xf numFmtId="37" fontId="0" fillId="2" borderId="4" xfId="0" applyNumberFormat="1" applyFill="1" applyBorder="1"/>
    <xf numFmtId="37" fontId="0" fillId="2" borderId="0" xfId="0" applyNumberFormat="1" applyFill="1"/>
    <xf numFmtId="37" fontId="0" fillId="0" borderId="11" xfId="0" applyNumberFormat="1" applyFill="1" applyBorder="1"/>
    <xf numFmtId="37" fontId="0" fillId="0" borderId="12" xfId="0" applyNumberFormat="1" applyFill="1" applyBorder="1"/>
    <xf numFmtId="37" fontId="14" fillId="2" borderId="0" xfId="0" applyNumberFormat="1" applyFont="1" applyFill="1"/>
    <xf numFmtId="37" fontId="0" fillId="2" borderId="11" xfId="0" applyNumberFormat="1" applyFill="1" applyBorder="1"/>
    <xf numFmtId="37" fontId="0" fillId="0" borderId="13" xfId="0" applyNumberFormat="1" applyFill="1" applyBorder="1"/>
    <xf numFmtId="37" fontId="13" fillId="0" borderId="14" xfId="0" applyNumberFormat="1" applyFont="1" applyFill="1" applyBorder="1"/>
    <xf numFmtId="37" fontId="16" fillId="0" borderId="0" xfId="0" applyNumberFormat="1" applyFont="1" applyFill="1" applyBorder="1"/>
    <xf numFmtId="0" fontId="0" fillId="0" borderId="0" xfId="0" applyFill="1" applyBorder="1"/>
    <xf numFmtId="9" fontId="17" fillId="0" borderId="0" xfId="0" applyNumberFormat="1" applyFont="1" applyFill="1" applyBorder="1"/>
    <xf numFmtId="168" fontId="13" fillId="0" borderId="0" xfId="1" applyNumberFormat="1" applyFont="1" applyFill="1" applyBorder="1"/>
    <xf numFmtId="168" fontId="13" fillId="0" borderId="15" xfId="1" applyNumberFormat="1" applyFont="1" applyFill="1" applyBorder="1"/>
    <xf numFmtId="168" fontId="13" fillId="0" borderId="8" xfId="1" applyNumberFormat="1" applyFont="1" applyFill="1" applyBorder="1"/>
    <xf numFmtId="37" fontId="18" fillId="0" borderId="16" xfId="0" applyNumberFormat="1" applyFont="1" applyFill="1" applyBorder="1"/>
    <xf numFmtId="37" fontId="16" fillId="0" borderId="2" xfId="0" applyNumberFormat="1" applyFont="1" applyFill="1" applyBorder="1"/>
    <xf numFmtId="0" fontId="0" fillId="0" borderId="2" xfId="0" applyFill="1" applyBorder="1"/>
    <xf numFmtId="9" fontId="17" fillId="0" borderId="2" xfId="0" applyNumberFormat="1" applyFont="1" applyFill="1" applyBorder="1"/>
    <xf numFmtId="168" fontId="13" fillId="0" borderId="2" xfId="1" applyNumberFormat="1" applyFont="1" applyFill="1" applyBorder="1"/>
    <xf numFmtId="168" fontId="13" fillId="0" borderId="17" xfId="1" applyNumberFormat="1" applyFont="1" applyFill="1" applyBorder="1"/>
    <xf numFmtId="168" fontId="13" fillId="0" borderId="3" xfId="1" applyNumberFormat="1" applyFont="1" applyFill="1" applyBorder="1"/>
    <xf numFmtId="37" fontId="0" fillId="0" borderId="18" xfId="0" applyNumberFormat="1" applyFill="1" applyBorder="1"/>
    <xf numFmtId="37" fontId="19" fillId="0" borderId="0" xfId="0" applyNumberFormat="1" applyFont="1" applyFill="1" applyBorder="1"/>
    <xf numFmtId="37" fontId="0" fillId="3" borderId="0" xfId="0" applyNumberFormat="1" applyFill="1" applyBorder="1"/>
    <xf numFmtId="37" fontId="0" fillId="3" borderId="4" xfId="0" applyNumberFormat="1" applyFill="1" applyBorder="1"/>
    <xf numFmtId="37" fontId="13" fillId="2" borderId="18" xfId="0" applyNumberFormat="1" applyFont="1" applyFill="1" applyBorder="1"/>
    <xf numFmtId="37" fontId="0" fillId="2" borderId="12" xfId="0" applyNumberFormat="1" applyFill="1" applyBorder="1"/>
    <xf numFmtId="37" fontId="0" fillId="2" borderId="19" xfId="0" applyNumberFormat="1" applyFill="1" applyBorder="1"/>
    <xf numFmtId="37" fontId="20" fillId="0" borderId="18" xfId="0" applyNumberFormat="1" applyFont="1" applyFill="1" applyBorder="1"/>
    <xf numFmtId="37" fontId="0" fillId="2" borderId="6" xfId="0" applyNumberFormat="1" applyFill="1" applyBorder="1"/>
    <xf numFmtId="37" fontId="0" fillId="3" borderId="11" xfId="0" applyNumberFormat="1" applyFill="1" applyBorder="1"/>
    <xf numFmtId="37" fontId="0" fillId="3" borderId="12" xfId="0" applyNumberFormat="1" applyFill="1" applyBorder="1"/>
    <xf numFmtId="37" fontId="0" fillId="0" borderId="19" xfId="0" applyNumberFormat="1" applyFill="1" applyBorder="1"/>
    <xf numFmtId="37" fontId="0" fillId="0" borderId="10" xfId="0" applyNumberFormat="1" applyFill="1" applyBorder="1"/>
    <xf numFmtId="37" fontId="13" fillId="0" borderId="18" xfId="0" applyNumberFormat="1" applyFont="1" applyFill="1" applyBorder="1"/>
    <xf numFmtId="37" fontId="13" fillId="0" borderId="20" xfId="0" applyNumberFormat="1" applyFont="1" applyFill="1" applyBorder="1"/>
    <xf numFmtId="37" fontId="0" fillId="0" borderId="8" xfId="0" applyNumberFormat="1" applyFill="1" applyBorder="1"/>
    <xf numFmtId="37" fontId="0" fillId="0" borderId="21" xfId="0" applyNumberFormat="1" applyFill="1" applyBorder="1"/>
    <xf numFmtId="37" fontId="13" fillId="3" borderId="14" xfId="0" applyNumberFormat="1" applyFont="1" applyFill="1" applyBorder="1"/>
    <xf numFmtId="37" fontId="13" fillId="0" borderId="0" xfId="0" applyNumberFormat="1" applyFont="1" applyFill="1" applyBorder="1"/>
    <xf numFmtId="37" fontId="0" fillId="0" borderId="14" xfId="0" applyNumberFormat="1" applyFill="1" applyBorder="1"/>
    <xf numFmtId="37" fontId="0" fillId="0" borderId="1" xfId="0" applyNumberFormat="1" applyFill="1" applyBorder="1"/>
    <xf numFmtId="37" fontId="0" fillId="3" borderId="7" xfId="0" applyNumberFormat="1" applyFill="1" applyBorder="1"/>
    <xf numFmtId="37" fontId="0" fillId="0" borderId="7" xfId="0" applyNumberFormat="1" applyFill="1" applyBorder="1"/>
  </cellXfs>
  <cellStyles count="5">
    <cellStyle name="Comma" xfId="1" builtinId="3"/>
    <cellStyle name="Currency" xfId="2" builtinId="4"/>
    <cellStyle name="Normal" xfId="0" builtinId="0"/>
    <cellStyle name="Normal_power cost deferral-june 7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T90607M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ONET/PCOST/J2798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Summary"/>
      <sheetName val="FORECAST $1000"/>
      <sheetName val=" FORECAST MWH"/>
      <sheetName val="FORECAST MWA"/>
      <sheetName val="FORECAST MILL PER KWH"/>
      <sheetName val="PwrCsOut"/>
      <sheetName val="PwrEnOut"/>
      <sheetName val="PwrAEOut"/>
    </sheetNames>
    <sheetDataSet>
      <sheetData sheetId="0"/>
      <sheetData sheetId="1"/>
      <sheetData sheetId="2"/>
      <sheetData sheetId="3"/>
      <sheetData sheetId="4"/>
      <sheetData sheetId="5"/>
      <sheetData sheetId="6">
        <row r="20">
          <cell r="H20">
            <v>2900.8422500000001</v>
          </cell>
          <cell r="I20">
            <v>2900.8422500000001</v>
          </cell>
          <cell r="J20">
            <v>2807.2662500000001</v>
          </cell>
          <cell r="K20">
            <v>2900.8422500000001</v>
          </cell>
          <cell r="L20">
            <v>2807.2662500000001</v>
          </cell>
          <cell r="M20">
            <v>2900.8422500000001</v>
          </cell>
        </row>
        <row r="23">
          <cell r="H23">
            <v>455.26490625000002</v>
          </cell>
          <cell r="I23">
            <v>455.26490625000002</v>
          </cell>
          <cell r="J23">
            <v>440.57915624999998</v>
          </cell>
          <cell r="K23">
            <v>455.26490625000002</v>
          </cell>
          <cell r="L23">
            <v>440.57915624999998</v>
          </cell>
          <cell r="M23">
            <v>455.26490625000002</v>
          </cell>
        </row>
        <row r="24">
          <cell r="H24">
            <v>455.26490625000002</v>
          </cell>
          <cell r="I24">
            <v>455.26490625000002</v>
          </cell>
          <cell r="J24">
            <v>440.57915624999998</v>
          </cell>
          <cell r="K24">
            <v>455.26490625000002</v>
          </cell>
          <cell r="L24">
            <v>440.57915624999998</v>
          </cell>
          <cell r="M24">
            <v>455.26490625000002</v>
          </cell>
        </row>
        <row r="27">
          <cell r="H27">
            <v>10603.266</v>
          </cell>
          <cell r="I27">
            <v>10911.789000000001</v>
          </cell>
          <cell r="J27">
            <v>10713.105</v>
          </cell>
          <cell r="K27">
            <v>12901.751</v>
          </cell>
          <cell r="L27">
            <v>18385.11</v>
          </cell>
          <cell r="M27">
            <v>20335.194</v>
          </cell>
        </row>
        <row r="28">
          <cell r="H28">
            <v>0</v>
          </cell>
          <cell r="I28">
            <v>675.55287499999997</v>
          </cell>
          <cell r="J28">
            <v>347.88043750000003</v>
          </cell>
          <cell r="K28">
            <v>839.09343750000005</v>
          </cell>
          <cell r="L28">
            <v>1077.9760000000001</v>
          </cell>
          <cell r="M28">
            <v>1254.2201250000001</v>
          </cell>
        </row>
        <row r="29">
          <cell r="H29">
            <v>3990.4340000000002</v>
          </cell>
          <cell r="I29">
            <v>4098.74125</v>
          </cell>
          <cell r="J29">
            <v>4045.4647500000001</v>
          </cell>
          <cell r="K29">
            <v>4259.26</v>
          </cell>
          <cell r="L29">
            <v>4607.9485000000004</v>
          </cell>
          <cell r="M29">
            <v>5051.2354999999998</v>
          </cell>
        </row>
        <row r="39">
          <cell r="H39">
            <v>2187.8449999999998</v>
          </cell>
          <cell r="I39">
            <v>2097.788</v>
          </cell>
          <cell r="J39">
            <v>2116.8690000000001</v>
          </cell>
          <cell r="K39">
            <v>2128.85</v>
          </cell>
          <cell r="L39">
            <v>2177.4609999999998</v>
          </cell>
          <cell r="M39">
            <v>3702.3560000000002</v>
          </cell>
        </row>
        <row r="46">
          <cell r="H46">
            <v>1580.2670000000001</v>
          </cell>
          <cell r="I46">
            <v>1580.2670000000001</v>
          </cell>
          <cell r="J46">
            <v>1580.2629999999999</v>
          </cell>
          <cell r="K46">
            <v>1580.2670000000001</v>
          </cell>
          <cell r="L46">
            <v>1580.2629999999999</v>
          </cell>
          <cell r="M46">
            <v>1580.2670000000001</v>
          </cell>
        </row>
        <row r="50">
          <cell r="G50">
            <v>16.666742187499999</v>
          </cell>
          <cell r="H50">
            <v>16.666638671874999</v>
          </cell>
          <cell r="I50">
            <v>16.666638671874999</v>
          </cell>
          <cell r="J50">
            <v>16.666742187499999</v>
          </cell>
          <cell r="K50">
            <v>16.666638671874999</v>
          </cell>
          <cell r="L50">
            <v>16.666742187499999</v>
          </cell>
          <cell r="M50">
            <v>16.666638671874999</v>
          </cell>
        </row>
        <row r="51">
          <cell r="G51">
            <v>9.1666445312500002</v>
          </cell>
          <cell r="H51">
            <v>9.1666367187500004</v>
          </cell>
          <cell r="I51">
            <v>9.1666367187500004</v>
          </cell>
          <cell r="J51">
            <v>9.1666445312500002</v>
          </cell>
          <cell r="K51">
            <v>9.1666367187500004</v>
          </cell>
          <cell r="L51">
            <v>9.1666445312500002</v>
          </cell>
          <cell r="M51">
            <v>9.1666367187500004</v>
          </cell>
        </row>
        <row r="58">
          <cell r="G58">
            <v>766.12400000000002</v>
          </cell>
          <cell r="H58">
            <v>766.12181250000003</v>
          </cell>
          <cell r="I58">
            <v>766.12181250000003</v>
          </cell>
          <cell r="J58">
            <v>766.12400000000002</v>
          </cell>
          <cell r="K58">
            <v>766.12181250000003</v>
          </cell>
          <cell r="L58">
            <v>766.12400000000002</v>
          </cell>
          <cell r="M58">
            <v>766.12181250000003</v>
          </cell>
        </row>
        <row r="59">
          <cell r="G59">
            <v>514.89037499999995</v>
          </cell>
          <cell r="H59">
            <v>514.89421875000005</v>
          </cell>
          <cell r="I59">
            <v>514.89421875000005</v>
          </cell>
          <cell r="J59">
            <v>514.89037499999995</v>
          </cell>
          <cell r="K59">
            <v>514.89421875000005</v>
          </cell>
          <cell r="L59">
            <v>514.89037499999995</v>
          </cell>
          <cell r="M59">
            <v>514.89421875000005</v>
          </cell>
        </row>
        <row r="60">
          <cell r="H60">
            <v>-285.40884375000002</v>
          </cell>
          <cell r="I60">
            <v>-530.33106250000003</v>
          </cell>
          <cell r="J60">
            <v>-593.97106250000002</v>
          </cell>
          <cell r="K60">
            <v>-2125.5160000000001</v>
          </cell>
          <cell r="L60">
            <v>-1795.95</v>
          </cell>
          <cell r="M60">
            <v>-2055.7649999999999</v>
          </cell>
        </row>
        <row r="61">
          <cell r="H61">
            <v>-1281.1971249999999</v>
          </cell>
          <cell r="I61">
            <v>-1376.5015000000001</v>
          </cell>
          <cell r="J61">
            <v>-1374.201875</v>
          </cell>
          <cell r="K61">
            <v>-1459.9472499999999</v>
          </cell>
          <cell r="L61">
            <v>-43.190746093750001</v>
          </cell>
          <cell r="M61">
            <v>-165.830921875</v>
          </cell>
        </row>
        <row r="62">
          <cell r="H62">
            <v>-3492.5250000000001</v>
          </cell>
          <cell r="I62">
            <v>-3611.616</v>
          </cell>
          <cell r="J62">
            <v>-3738.6475</v>
          </cell>
          <cell r="K62">
            <v>-4458.1899999999996</v>
          </cell>
          <cell r="L62">
            <v>-2910.0752499999999</v>
          </cell>
          <cell r="M62">
            <v>-3309.442</v>
          </cell>
        </row>
        <row r="267">
          <cell r="H267">
            <v>221362.3</v>
          </cell>
          <cell r="I267">
            <v>202038</v>
          </cell>
          <cell r="J267">
            <v>188018.8</v>
          </cell>
          <cell r="K267">
            <v>117976.7</v>
          </cell>
          <cell r="L267">
            <v>114470</v>
          </cell>
          <cell r="M267">
            <v>128300.4</v>
          </cell>
        </row>
        <row r="428">
          <cell r="H428">
            <v>-172007.3</v>
          </cell>
          <cell r="I428">
            <v>-153833.4</v>
          </cell>
          <cell r="J428">
            <v>-156068.9</v>
          </cell>
          <cell r="K428">
            <v>-75496.63</v>
          </cell>
          <cell r="L428">
            <v>-62335.96</v>
          </cell>
          <cell r="M428">
            <v>-63855.61</v>
          </cell>
        </row>
        <row r="430">
          <cell r="H430">
            <v>248.45881249999999</v>
          </cell>
          <cell r="I430">
            <v>248.45881249999999</v>
          </cell>
          <cell r="J430">
            <v>248.45682812499999</v>
          </cell>
          <cell r="K430">
            <v>248.45881249999999</v>
          </cell>
          <cell r="L430">
            <v>248.45682812499999</v>
          </cell>
          <cell r="M430">
            <v>248.45881249999999</v>
          </cell>
        </row>
        <row r="431">
          <cell r="H431">
            <v>79.999781249999998</v>
          </cell>
          <cell r="I431">
            <v>79.999781249999998</v>
          </cell>
          <cell r="J431">
            <v>79.999320312500004</v>
          </cell>
          <cell r="K431">
            <v>79.999781249999998</v>
          </cell>
          <cell r="L431">
            <v>79.999320312500004</v>
          </cell>
          <cell r="M431">
            <v>79.999781249999998</v>
          </cell>
        </row>
        <row r="432">
          <cell r="H432">
            <v>88.245507812499994</v>
          </cell>
          <cell r="I432">
            <v>88.245507812499994</v>
          </cell>
          <cell r="J432">
            <v>88.245421875000005</v>
          </cell>
          <cell r="K432">
            <v>88.245507812499994</v>
          </cell>
          <cell r="L432">
            <v>88.245421875000005</v>
          </cell>
          <cell r="M432">
            <v>88.245507812499994</v>
          </cell>
        </row>
        <row r="433">
          <cell r="H433">
            <v>20.533228515625002</v>
          </cell>
          <cell r="I433">
            <v>20.533228515625002</v>
          </cell>
          <cell r="J433">
            <v>20.533214843749999</v>
          </cell>
          <cell r="K433">
            <v>20.533228515625002</v>
          </cell>
          <cell r="L433">
            <v>20.533214843749999</v>
          </cell>
          <cell r="M433">
            <v>20.533228515625002</v>
          </cell>
        </row>
        <row r="436">
          <cell r="H436">
            <v>25.3770234375</v>
          </cell>
          <cell r="I436">
            <v>25.3770234375</v>
          </cell>
          <cell r="J436">
            <v>25.377101562499998</v>
          </cell>
          <cell r="K436">
            <v>25.3770234375</v>
          </cell>
          <cell r="L436">
            <v>25.377101562499998</v>
          </cell>
          <cell r="M436">
            <v>25.3770234375</v>
          </cell>
        </row>
        <row r="437">
          <cell r="H437">
            <v>29.238001953125</v>
          </cell>
          <cell r="I437">
            <v>29.238001953125</v>
          </cell>
          <cell r="J437">
            <v>29.237662109375002</v>
          </cell>
          <cell r="K437">
            <v>29.238001953125</v>
          </cell>
          <cell r="L437">
            <v>29.237662109375002</v>
          </cell>
          <cell r="M437">
            <v>29.238001953125</v>
          </cell>
        </row>
        <row r="438">
          <cell r="H438">
            <v>207.66814062500001</v>
          </cell>
          <cell r="I438">
            <v>207.66814062500001</v>
          </cell>
          <cell r="J438">
            <v>207.666421875</v>
          </cell>
          <cell r="K438">
            <v>207.66814062500001</v>
          </cell>
          <cell r="L438">
            <v>207.666421875</v>
          </cell>
          <cell r="M438">
            <v>207.66814062500001</v>
          </cell>
        </row>
        <row r="443">
          <cell r="H443">
            <v>3197.8492500000002</v>
          </cell>
          <cell r="I443">
            <v>3197.8492500000002</v>
          </cell>
          <cell r="J443">
            <v>3195.7645000000002</v>
          </cell>
          <cell r="K443">
            <v>4830.8320000000003</v>
          </cell>
          <cell r="L443">
            <v>4828.8064999999997</v>
          </cell>
          <cell r="M443">
            <v>4614.8710000000001</v>
          </cell>
        </row>
        <row r="446">
          <cell r="H446">
            <v>6074.51</v>
          </cell>
          <cell r="I446">
            <v>6220.4970000000003</v>
          </cell>
          <cell r="J446">
            <v>2896.2289999999998</v>
          </cell>
          <cell r="K446">
            <v>36.852492187499998</v>
          </cell>
          <cell r="L446">
            <v>313.65978124999998</v>
          </cell>
          <cell r="M446">
            <v>1070.262375</v>
          </cell>
        </row>
        <row r="447">
          <cell r="H447">
            <v>-28819.358</v>
          </cell>
          <cell r="I447">
            <v>-37610.639999999999</v>
          </cell>
          <cell r="J447">
            <v>-17613.835999999999</v>
          </cell>
          <cell r="K447">
            <v>-29681.356</v>
          </cell>
          <cell r="L447">
            <v>-26708.988000000001</v>
          </cell>
          <cell r="M447">
            <v>-23587.48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[Power_Cost_Output_Table9].PrintPowerCostsSummaryPrint"/>
      <definedName name="[Power_MWa_Output_Table9 ].PrintMWaSummaryPrint"/>
    </defined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68"/>
  <sheetViews>
    <sheetView tabSelected="1" zoomScale="75" workbookViewId="0">
      <pane xSplit="5" ySplit="5" topLeftCell="F6" activePane="bottomRight" state="frozenSplit"/>
      <selection activeCell="J55" sqref="J55"/>
      <selection pane="topRight" activeCell="J55" sqref="J55"/>
      <selection pane="bottomLeft" activeCell="J55" sqref="J55"/>
      <selection pane="bottomRight"/>
    </sheetView>
  </sheetViews>
  <sheetFormatPr defaultColWidth="9.109375" defaultRowHeight="13.2"/>
  <cols>
    <col min="1" max="2" width="5" style="20" customWidth="1"/>
    <col min="3" max="5" width="9.109375" style="20"/>
    <col min="6" max="6" width="12.44140625" style="20" customWidth="1"/>
    <col min="7" max="7" width="13.44140625" style="20" bestFit="1" customWidth="1"/>
    <col min="8" max="8" width="10.88671875" style="20" customWidth="1"/>
    <col min="9" max="9" width="10.33203125" style="20" bestFit="1" customWidth="1"/>
    <col min="10" max="10" width="11.44140625" style="20" bestFit="1" customWidth="1"/>
    <col min="11" max="11" width="10.33203125" style="20" bestFit="1" customWidth="1"/>
    <col min="12" max="12" width="10.6640625" style="20" customWidth="1"/>
    <col min="13" max="14" width="10.109375" style="20" customWidth="1"/>
    <col min="15" max="15" width="10.33203125" style="20" customWidth="1"/>
    <col min="16" max="17" width="9.6640625" style="20" customWidth="1"/>
    <col min="18" max="18" width="13.6640625" style="20" bestFit="1" customWidth="1"/>
    <col min="19" max="19" width="9.109375" style="20"/>
    <col min="20" max="20" width="12" style="20" customWidth="1"/>
    <col min="21" max="16384" width="9.109375" style="20"/>
  </cols>
  <sheetData>
    <row r="1" spans="1:20" ht="24.6">
      <c r="A1" s="19" t="s">
        <v>41</v>
      </c>
      <c r="B1" s="19"/>
      <c r="C1" s="19"/>
      <c r="F1" s="21" t="s">
        <v>42</v>
      </c>
      <c r="G1" s="22"/>
      <c r="H1" s="22"/>
      <c r="I1" s="23"/>
      <c r="J1" s="24" t="s">
        <v>43</v>
      </c>
      <c r="K1" s="25"/>
      <c r="L1" s="26" t="s">
        <v>44</v>
      </c>
    </row>
    <row r="2" spans="1:20">
      <c r="A2" s="27" t="s">
        <v>45</v>
      </c>
      <c r="B2" s="19"/>
      <c r="C2" s="19"/>
      <c r="F2" s="28" t="s">
        <v>46</v>
      </c>
      <c r="G2" s="25"/>
      <c r="H2" s="25"/>
      <c r="I2" s="29"/>
      <c r="J2" s="24"/>
      <c r="K2" s="25"/>
      <c r="N2" s="30"/>
    </row>
    <row r="3" spans="1:20" ht="13.8" thickBot="1">
      <c r="F3" s="31" t="s">
        <v>47</v>
      </c>
      <c r="G3" s="32"/>
      <c r="H3" s="33"/>
      <c r="I3" s="34"/>
      <c r="J3" s="25"/>
      <c r="K3" s="25"/>
      <c r="L3" s="35"/>
      <c r="M3" s="35"/>
      <c r="N3" s="24"/>
      <c r="O3" s="36"/>
      <c r="P3" s="35"/>
    </row>
    <row r="4" spans="1:20">
      <c r="N4" s="37"/>
    </row>
    <row r="5" spans="1:20">
      <c r="F5" s="38" t="s">
        <v>16</v>
      </c>
      <c r="G5" s="38" t="s">
        <v>17</v>
      </c>
      <c r="H5" s="38" t="s">
        <v>48</v>
      </c>
      <c r="I5" s="38" t="s">
        <v>19</v>
      </c>
      <c r="J5" s="38" t="s">
        <v>49</v>
      </c>
      <c r="K5" s="38" t="s">
        <v>21</v>
      </c>
      <c r="L5" s="38" t="s">
        <v>22</v>
      </c>
      <c r="M5" s="38" t="s">
        <v>23</v>
      </c>
      <c r="N5" s="39" t="s">
        <v>24</v>
      </c>
      <c r="O5" s="38" t="s">
        <v>25</v>
      </c>
      <c r="P5" s="38" t="s">
        <v>26</v>
      </c>
      <c r="Q5" s="38" t="s">
        <v>27</v>
      </c>
      <c r="R5" s="38" t="s">
        <v>50</v>
      </c>
      <c r="T5" s="40" t="s">
        <v>51</v>
      </c>
    </row>
    <row r="6" spans="1:20">
      <c r="N6" s="37"/>
    </row>
    <row r="7" spans="1:20">
      <c r="A7" s="20" t="s">
        <v>52</v>
      </c>
      <c r="N7" s="37"/>
    </row>
    <row r="8" spans="1:20">
      <c r="B8" s="20" t="s">
        <v>53</v>
      </c>
      <c r="F8" s="20">
        <v>150083</v>
      </c>
      <c r="G8" s="20">
        <v>127850</v>
      </c>
      <c r="H8" s="20">
        <v>115264</v>
      </c>
      <c r="I8" s="20">
        <v>157783</v>
      </c>
      <c r="J8" s="20">
        <v>158516</v>
      </c>
      <c r="K8" s="20">
        <v>167744</v>
      </c>
      <c r="L8" s="20">
        <f>[1]PwrCsOut!H39+[1]PwrCsOut!H46+[1]PwrCsOut!H267-[1]PwrCsOut!H50-[1]PwrCsOut!H51-[1]PwrCsOut!H58-[1]PwrCsOut!H59-[1]PwrCsOut!H60-[1]PwrCsOut!H61-[1]PwrCsOut!H62</f>
        <v>228882.69366210932</v>
      </c>
      <c r="M8" s="20">
        <f>[1]PwrCsOut!I39+[1]PwrCsOut!I46+[1]PwrCsOut!I267-[1]PwrCsOut!I50-[1]PwrCsOut!I51-[1]PwrCsOut!I58-[1]PwrCsOut!I59-[1]PwrCsOut!I60-[1]PwrCsOut!I61-[1]PwrCsOut!I62</f>
        <v>209927.65425585935</v>
      </c>
      <c r="N8" s="37">
        <f>[1]PwrCsOut!J39+[1]PwrCsOut!J46+[1]PwrCsOut!J267-[1]PwrCsOut!J50-[1]PwrCsOut!J51-[1]PwrCsOut!J58-[1]PwrCsOut!J59-[1]PwrCsOut!J60-[1]PwrCsOut!J61-[1]PwrCsOut!J62</f>
        <v>196115.90467578126</v>
      </c>
      <c r="O8" s="20">
        <f>[1]PwrCsOut!K39+[1]PwrCsOut!K46+[1]PwrCsOut!K267-[1]PwrCsOut!K50-[1]PwrCsOut!K51-[1]PwrCsOut!K58-[1]PwrCsOut!K59-[1]PwrCsOut!K60-[1]PwrCsOut!K61-[1]PwrCsOut!K62</f>
        <v>128422.62094335936</v>
      </c>
      <c r="P8" s="20">
        <f>[1]PwrCsOut!L39+[1]PwrCsOut!L46+[1]PwrCsOut!L267-[1]PwrCsOut!L50-[1]PwrCsOut!L51-[1]PwrCsOut!L58-[1]PwrCsOut!L59-[1]PwrCsOut!L60-[1]PwrCsOut!L61-[1]PwrCsOut!L62</f>
        <v>121670.092234375</v>
      </c>
      <c r="Q8" s="20">
        <f>[1]PwrCsOut!M39+[1]PwrCsOut!M46+[1]PwrCsOut!M267-[1]PwrCsOut!M50-[1]PwrCsOut!M51-[1]PwrCsOut!M58-[1]PwrCsOut!M59-[1]PwrCsOut!M60-[1]PwrCsOut!M61-[1]PwrCsOut!M62</f>
        <v>137807.21161523435</v>
      </c>
      <c r="R8" s="20">
        <f>SUM(F8:Q8)</f>
        <v>1900066.1773867186</v>
      </c>
      <c r="T8" s="20">
        <f>SUM(F8:N8)</f>
        <v>1512166.2525937499</v>
      </c>
    </row>
    <row r="9" spans="1:20">
      <c r="B9" s="20" t="s">
        <v>54</v>
      </c>
      <c r="F9" s="20">
        <v>2778</v>
      </c>
      <c r="G9" s="20">
        <v>-6816</v>
      </c>
      <c r="H9" s="20">
        <v>2750</v>
      </c>
      <c r="I9" s="20">
        <v>-1255</v>
      </c>
      <c r="J9" s="20">
        <v>2720</v>
      </c>
      <c r="N9" s="37"/>
      <c r="R9" s="20">
        <f>SUM(F9:Q9)</f>
        <v>177</v>
      </c>
      <c r="T9" s="20">
        <f>SUM(F9:N9)</f>
        <v>177</v>
      </c>
    </row>
    <row r="10" spans="1:20" s="25" customFormat="1">
      <c r="B10" s="25" t="s">
        <v>55</v>
      </c>
      <c r="F10" s="25">
        <v>1851</v>
      </c>
      <c r="G10" s="25">
        <v>699</v>
      </c>
      <c r="H10" s="25">
        <v>1054</v>
      </c>
      <c r="I10" s="25">
        <v>4081</v>
      </c>
      <c r="J10" s="25">
        <v>6268</v>
      </c>
      <c r="K10" s="25">
        <v>5800</v>
      </c>
      <c r="N10" s="37"/>
      <c r="R10" s="25">
        <f>SUM(F10:Q10)</f>
        <v>19753</v>
      </c>
      <c r="T10" s="20">
        <f>SUM(F10:N10)</f>
        <v>19753</v>
      </c>
    </row>
    <row r="11" spans="1:20" s="25" customFormat="1">
      <c r="B11" s="41" t="s">
        <v>56</v>
      </c>
      <c r="C11" s="42"/>
      <c r="D11" s="42"/>
      <c r="E11" s="42"/>
      <c r="F11" s="42">
        <v>8135</v>
      </c>
      <c r="G11" s="42">
        <v>-5059</v>
      </c>
      <c r="H11" s="42">
        <v>-12505</v>
      </c>
      <c r="I11" s="42">
        <v>-2611</v>
      </c>
      <c r="J11" s="42">
        <v>-2008</v>
      </c>
      <c r="K11" s="42">
        <v>-10724</v>
      </c>
      <c r="L11" s="42">
        <v>15163</v>
      </c>
      <c r="M11" s="42">
        <v>17630</v>
      </c>
      <c r="N11" s="43">
        <v>15985</v>
      </c>
      <c r="O11" s="42">
        <v>-2840</v>
      </c>
      <c r="P11" s="42">
        <v>-3594</v>
      </c>
      <c r="Q11" s="42">
        <f>-3673+1</f>
        <v>-3672</v>
      </c>
      <c r="R11" s="42">
        <f>SUM(F11:Q11)</f>
        <v>13900</v>
      </c>
      <c r="S11" s="42"/>
      <c r="T11" s="44">
        <f>SUM(F11:N11)</f>
        <v>24006</v>
      </c>
    </row>
    <row r="12" spans="1:20" ht="14.25" customHeight="1">
      <c r="B12" s="20" t="s">
        <v>57</v>
      </c>
      <c r="F12" s="45">
        <v>43404</v>
      </c>
      <c r="G12" s="45">
        <v>20602</v>
      </c>
      <c r="H12" s="45">
        <v>45124</v>
      </c>
      <c r="I12" s="45">
        <v>38634</v>
      </c>
      <c r="J12" s="45">
        <v>36516</v>
      </c>
      <c r="K12" s="45">
        <v>7094</v>
      </c>
      <c r="L12" s="45">
        <f>[1]PwrCsOut!H446</f>
        <v>6074.51</v>
      </c>
      <c r="M12" s="45">
        <f>[1]PwrCsOut!I446</f>
        <v>6220.4970000000003</v>
      </c>
      <c r="N12" s="46">
        <f>[1]PwrCsOut!J446</f>
        <v>2896.2289999999998</v>
      </c>
      <c r="O12" s="45">
        <f>[1]PwrCsOut!K446</f>
        <v>36.852492187499998</v>
      </c>
      <c r="P12" s="45">
        <f>[1]PwrCsOut!L446</f>
        <v>313.65978124999998</v>
      </c>
      <c r="Q12" s="45">
        <f>[1]PwrCsOut!M446</f>
        <v>1070.262375</v>
      </c>
      <c r="R12" s="45">
        <f>SUM(F12:Q12)</f>
        <v>207986.01064843748</v>
      </c>
      <c r="T12" s="45">
        <f>SUM(F12:N12)</f>
        <v>206565.236</v>
      </c>
    </row>
    <row r="13" spans="1:20">
      <c r="N13" s="37"/>
    </row>
    <row r="14" spans="1:20">
      <c r="C14" s="20" t="s">
        <v>58</v>
      </c>
      <c r="F14" s="45">
        <f t="shared" ref="F14:R14" si="0">SUM(F8:F12)</f>
        <v>206251</v>
      </c>
      <c r="G14" s="45">
        <f t="shared" si="0"/>
        <v>137276</v>
      </c>
      <c r="H14" s="45">
        <f t="shared" si="0"/>
        <v>151687</v>
      </c>
      <c r="I14" s="45">
        <f t="shared" si="0"/>
        <v>196632</v>
      </c>
      <c r="J14" s="45">
        <f t="shared" si="0"/>
        <v>202012</v>
      </c>
      <c r="K14" s="45">
        <f t="shared" si="0"/>
        <v>169914</v>
      </c>
      <c r="L14" s="45">
        <f t="shared" si="0"/>
        <v>250120.20366210933</v>
      </c>
      <c r="M14" s="45">
        <f t="shared" si="0"/>
        <v>233778.15125585935</v>
      </c>
      <c r="N14" s="46">
        <f t="shared" si="0"/>
        <v>214997.13367578125</v>
      </c>
      <c r="O14" s="45">
        <f t="shared" si="0"/>
        <v>125619.47343554687</v>
      </c>
      <c r="P14" s="45">
        <f t="shared" si="0"/>
        <v>118389.752015625</v>
      </c>
      <c r="Q14" s="45">
        <f t="shared" si="0"/>
        <v>135205.47399023434</v>
      </c>
      <c r="R14" s="45">
        <f t="shared" si="0"/>
        <v>2141882.1880351561</v>
      </c>
      <c r="T14" s="45">
        <f>SUM(T8:T12)</f>
        <v>1762667.4885937499</v>
      </c>
    </row>
    <row r="15" spans="1:20">
      <c r="N15" s="37"/>
    </row>
    <row r="16" spans="1:20">
      <c r="B16" s="20" t="s">
        <v>59</v>
      </c>
      <c r="F16" s="20">
        <v>2365</v>
      </c>
      <c r="G16" s="20">
        <v>2757</v>
      </c>
      <c r="H16" s="20">
        <v>3165</v>
      </c>
      <c r="I16" s="20">
        <v>3101</v>
      </c>
      <c r="J16" s="20">
        <v>3008</v>
      </c>
      <c r="K16" s="20">
        <v>3079</v>
      </c>
      <c r="L16" s="20">
        <f>[1]PwrCsOut!H443</f>
        <v>3197.8492500000002</v>
      </c>
      <c r="M16" s="20">
        <f>[1]PwrCsOut!I443</f>
        <v>3197.8492500000002</v>
      </c>
      <c r="N16" s="37">
        <f>[1]PwrCsOut!J443</f>
        <v>3195.7645000000002</v>
      </c>
      <c r="O16" s="20">
        <f>[1]PwrCsOut!K443</f>
        <v>4830.8320000000003</v>
      </c>
      <c r="P16" s="20">
        <f>[1]PwrCsOut!L443</f>
        <v>4828.8064999999997</v>
      </c>
      <c r="Q16" s="20">
        <f>[1]PwrCsOut!M443</f>
        <v>4614.8710000000001</v>
      </c>
      <c r="R16" s="20">
        <f>SUM(F16:Q16)</f>
        <v>41340.972499999996</v>
      </c>
      <c r="T16" s="20">
        <f>SUM(F16:N16)</f>
        <v>27066.463</v>
      </c>
    </row>
    <row r="17" spans="1:20">
      <c r="N17" s="37"/>
    </row>
    <row r="18" spans="1:20">
      <c r="A18" s="20" t="s">
        <v>60</v>
      </c>
      <c r="N18" s="37"/>
    </row>
    <row r="19" spans="1:20">
      <c r="B19" s="20" t="s">
        <v>61</v>
      </c>
      <c r="N19" s="37"/>
    </row>
    <row r="20" spans="1:20">
      <c r="C20" s="20" t="s">
        <v>62</v>
      </c>
      <c r="N20" s="37"/>
      <c r="R20" s="20">
        <f>SUM(F20:Q20)</f>
        <v>0</v>
      </c>
    </row>
    <row r="21" spans="1:20">
      <c r="C21" s="20" t="s">
        <v>63</v>
      </c>
      <c r="F21" s="20">
        <v>957</v>
      </c>
      <c r="G21" s="20">
        <v>1470</v>
      </c>
      <c r="H21" s="20">
        <v>1037</v>
      </c>
      <c r="I21" s="20">
        <v>722</v>
      </c>
      <c r="J21" s="20">
        <v>728</v>
      </c>
      <c r="K21" s="20">
        <v>1056</v>
      </c>
      <c r="L21" s="20">
        <f>[1]PwrCsOut!H24+[1]PwrCsOut!H23+[1]PwrCsOut!H430+[1]PwrCsOut!H437</f>
        <v>1188.2266269531249</v>
      </c>
      <c r="M21" s="20">
        <f>[1]PwrCsOut!I24+[1]PwrCsOut!I23+[1]PwrCsOut!I430+[1]PwrCsOut!I437</f>
        <v>1188.2266269531249</v>
      </c>
      <c r="N21" s="37">
        <f>[1]PwrCsOut!J24+[1]PwrCsOut!J23+[1]PwrCsOut!J430+[1]PwrCsOut!J437</f>
        <v>1158.8528027343748</v>
      </c>
      <c r="O21" s="20">
        <f>[1]PwrCsOut!K24+[1]PwrCsOut!K23+[1]PwrCsOut!K430+[1]PwrCsOut!K437</f>
        <v>1188.2266269531249</v>
      </c>
      <c r="P21" s="20">
        <f>[1]PwrCsOut!L24+[1]PwrCsOut!L23+[1]PwrCsOut!L430+[1]PwrCsOut!L437</f>
        <v>1158.8528027343748</v>
      </c>
      <c r="Q21" s="20">
        <f>[1]PwrCsOut!M24+[1]PwrCsOut!M23+[1]PwrCsOut!M430+[1]PwrCsOut!M437</f>
        <v>1188.2266269531249</v>
      </c>
      <c r="R21" s="20">
        <f>SUM(F21:Q21)</f>
        <v>13040.612113281248</v>
      </c>
      <c r="T21" s="20">
        <f>SUM(F21:N21)</f>
        <v>9505.3060566406239</v>
      </c>
    </row>
    <row r="22" spans="1:20">
      <c r="C22" s="20" t="s">
        <v>64</v>
      </c>
      <c r="F22" s="45">
        <v>2555</v>
      </c>
      <c r="G22" s="45">
        <v>2746</v>
      </c>
      <c r="H22" s="45">
        <v>3155</v>
      </c>
      <c r="I22" s="45">
        <v>2750</v>
      </c>
      <c r="J22" s="45">
        <v>1578</v>
      </c>
      <c r="K22" s="45">
        <v>1719</v>
      </c>
      <c r="L22" s="45">
        <f>[1]PwrCsOut!H20+[1]PwrCsOut!H431+[1]PwrCsOut!H432+[1]PwrCsOut!H433+[1]PwrCsOut!H436</f>
        <v>3114.9977910156254</v>
      </c>
      <c r="M22" s="45">
        <f>[1]PwrCsOut!I20+[1]PwrCsOut!I431+[1]PwrCsOut!I432+[1]PwrCsOut!I433+[1]PwrCsOut!I436</f>
        <v>3114.9977910156254</v>
      </c>
      <c r="N22" s="46">
        <f>[1]PwrCsOut!J20+[1]PwrCsOut!J431+[1]PwrCsOut!J432+[1]PwrCsOut!J433+[1]PwrCsOut!J436</f>
        <v>3021.4213085937499</v>
      </c>
      <c r="O22" s="45">
        <f>[1]PwrCsOut!K20+[1]PwrCsOut!K431+[1]PwrCsOut!K432+[1]PwrCsOut!K433+[1]PwrCsOut!K436</f>
        <v>3114.9977910156254</v>
      </c>
      <c r="P22" s="45">
        <f>[1]PwrCsOut!L20+[1]PwrCsOut!L431+[1]PwrCsOut!L432+[1]PwrCsOut!L433+[1]PwrCsOut!L436</f>
        <v>3021.4213085937499</v>
      </c>
      <c r="Q22" s="45">
        <f>[1]PwrCsOut!M20+[1]PwrCsOut!M431+[1]PwrCsOut!M432+[1]PwrCsOut!M433+[1]PwrCsOut!M436</f>
        <v>3114.9977910156254</v>
      </c>
      <c r="R22" s="45">
        <f>SUM(F22:Q22)</f>
        <v>33005.833781250003</v>
      </c>
      <c r="T22" s="45">
        <f>SUM(F22:N22)</f>
        <v>23754.416890625005</v>
      </c>
    </row>
    <row r="23" spans="1:20">
      <c r="N23" s="37"/>
    </row>
    <row r="24" spans="1:20">
      <c r="C24" s="20" t="s">
        <v>65</v>
      </c>
      <c r="F24" s="20">
        <f t="shared" ref="F24:Q24" si="1">SUM(F20:F23)</f>
        <v>3512</v>
      </c>
      <c r="G24" s="20">
        <f t="shared" si="1"/>
        <v>4216</v>
      </c>
      <c r="H24" s="20">
        <f t="shared" si="1"/>
        <v>4192</v>
      </c>
      <c r="I24" s="20">
        <f t="shared" si="1"/>
        <v>3472</v>
      </c>
      <c r="J24" s="20">
        <f t="shared" si="1"/>
        <v>2306</v>
      </c>
      <c r="K24" s="20">
        <f t="shared" si="1"/>
        <v>2775</v>
      </c>
      <c r="L24" s="20">
        <f t="shared" si="1"/>
        <v>4303.2244179687505</v>
      </c>
      <c r="M24" s="20">
        <f t="shared" si="1"/>
        <v>4303.2244179687505</v>
      </c>
      <c r="N24" s="37">
        <f t="shared" si="1"/>
        <v>4180.2741113281245</v>
      </c>
      <c r="O24" s="20">
        <f t="shared" si="1"/>
        <v>4303.2244179687505</v>
      </c>
      <c r="P24" s="20">
        <f t="shared" si="1"/>
        <v>4180.2741113281245</v>
      </c>
      <c r="Q24" s="20">
        <f t="shared" si="1"/>
        <v>4303.2244179687505</v>
      </c>
      <c r="R24" s="20">
        <f>SUM(F24:Q24)</f>
        <v>46046.445894531244</v>
      </c>
      <c r="T24" s="20">
        <f>SUM(T20:T23)</f>
        <v>33259.722947265633</v>
      </c>
    </row>
    <row r="25" spans="1:20">
      <c r="N25" s="37"/>
    </row>
    <row r="26" spans="1:20">
      <c r="B26" s="20" t="s">
        <v>66</v>
      </c>
      <c r="N26" s="37"/>
    </row>
    <row r="27" spans="1:20">
      <c r="N27" s="37"/>
    </row>
    <row r="28" spans="1:20">
      <c r="B28" s="20" t="s">
        <v>67</v>
      </c>
      <c r="N28" s="37"/>
    </row>
    <row r="29" spans="1:20">
      <c r="C29" s="20" t="s">
        <v>68</v>
      </c>
      <c r="F29" s="20">
        <v>23277</v>
      </c>
      <c r="G29" s="20">
        <v>14193</v>
      </c>
      <c r="H29" s="20">
        <v>16472</v>
      </c>
      <c r="I29" s="20">
        <v>11705</v>
      </c>
      <c r="J29" s="20">
        <v>9693</v>
      </c>
      <c r="K29" s="20">
        <v>10196</v>
      </c>
      <c r="L29" s="20">
        <f>[1]PwrCsOut!H27+[1]PwrCsOut!H28+[1]PwrCsOut!H438+[1]PwrCsOut!H60</f>
        <v>10525.525296875001</v>
      </c>
      <c r="M29" s="20">
        <f>[1]PwrCsOut!I27+[1]PwrCsOut!I28+[1]PwrCsOut!I438+[1]PwrCsOut!I60</f>
        <v>11264.678953125001</v>
      </c>
      <c r="N29" s="37">
        <f>[1]PwrCsOut!J27+[1]PwrCsOut!J28+[1]PwrCsOut!J438+[1]PwrCsOut!J60</f>
        <v>10674.680796874998</v>
      </c>
      <c r="O29" s="20">
        <f>[1]PwrCsOut!K27+[1]PwrCsOut!K28+[1]PwrCsOut!K438+[1]PwrCsOut!K60</f>
        <v>11822.996578125001</v>
      </c>
      <c r="P29" s="20">
        <f>[1]PwrCsOut!L27+[1]PwrCsOut!L28+[1]PwrCsOut!L438+[1]PwrCsOut!L60</f>
        <v>17874.802421875</v>
      </c>
      <c r="Q29" s="20">
        <f>[1]PwrCsOut!M27+[1]PwrCsOut!M28+[1]PwrCsOut!M438+[1]PwrCsOut!M60</f>
        <v>19741.317265624999</v>
      </c>
      <c r="R29" s="20">
        <f t="shared" ref="R29:R35" si="2">SUM(F29:Q29)</f>
        <v>167440.00131249998</v>
      </c>
      <c r="T29" s="20">
        <f t="shared" ref="T29:T35" si="3">SUM(F29:N29)</f>
        <v>118000.88504687499</v>
      </c>
    </row>
    <row r="30" spans="1:20">
      <c r="C30" s="20" t="s">
        <v>69</v>
      </c>
      <c r="F30" s="20">
        <v>5167</v>
      </c>
      <c r="G30" s="20">
        <v>4626</v>
      </c>
      <c r="H30" s="20">
        <v>4783</v>
      </c>
      <c r="I30" s="20">
        <v>3562</v>
      </c>
      <c r="J30" s="20">
        <v>4649</v>
      </c>
      <c r="K30" s="20">
        <v>3607</v>
      </c>
      <c r="L30" s="20">
        <f>[1]PwrCsOut!H29+[1]PwrCsOut!H61</f>
        <v>2709.2368750000005</v>
      </c>
      <c r="M30" s="20">
        <f>[1]PwrCsOut!I29+[1]PwrCsOut!I61</f>
        <v>2722.2397499999997</v>
      </c>
      <c r="N30" s="37">
        <f>[1]PwrCsOut!J29+[1]PwrCsOut!J61</f>
        <v>2671.2628750000003</v>
      </c>
      <c r="O30" s="20">
        <f>[1]PwrCsOut!K29+[1]PwrCsOut!K61</f>
        <v>2799.3127500000001</v>
      </c>
      <c r="P30" s="20">
        <f>[1]PwrCsOut!L29+[1]PwrCsOut!L61</f>
        <v>4564.7577539062504</v>
      </c>
      <c r="Q30" s="20">
        <f>[1]PwrCsOut!M29+[1]PwrCsOut!M61</f>
        <v>4885.4045781249997</v>
      </c>
      <c r="R30" s="20">
        <f t="shared" si="2"/>
        <v>46746.214582031251</v>
      </c>
      <c r="T30" s="20">
        <f t="shared" si="3"/>
        <v>34496.739500000003</v>
      </c>
    </row>
    <row r="31" spans="1:20">
      <c r="C31" s="20" t="s">
        <v>70</v>
      </c>
      <c r="F31" s="20">
        <v>1386</v>
      </c>
      <c r="G31" s="20">
        <v>1241</v>
      </c>
      <c r="H31" s="20">
        <v>1527</v>
      </c>
      <c r="I31" s="20">
        <v>1403</v>
      </c>
      <c r="J31" s="20">
        <v>1325</v>
      </c>
      <c r="K31" s="20">
        <f>[1]PwrCsOut!G58+[1]PwrCsOut!G59+[1]PwrCsOut!G50+[1]PwrCsOut!G51</f>
        <v>1306.84776171875</v>
      </c>
      <c r="L31" s="20">
        <f>[1]PwrCsOut!H58+[1]PwrCsOut!H59+[1]PwrCsOut!H50+[1]PwrCsOut!H51</f>
        <v>1306.8493066406252</v>
      </c>
      <c r="M31" s="20">
        <f>[1]PwrCsOut!I58+[1]PwrCsOut!I59+[1]PwrCsOut!I50+[1]PwrCsOut!I51</f>
        <v>1306.8493066406252</v>
      </c>
      <c r="N31" s="37">
        <f>[1]PwrCsOut!J58+[1]PwrCsOut!J59+[1]PwrCsOut!J50+[1]PwrCsOut!J51</f>
        <v>1306.84776171875</v>
      </c>
      <c r="O31" s="20">
        <f>[1]PwrCsOut!K58+[1]PwrCsOut!K59+[1]PwrCsOut!K50+[1]PwrCsOut!K51</f>
        <v>1306.8493066406252</v>
      </c>
      <c r="P31" s="20">
        <f>[1]PwrCsOut!L58+[1]PwrCsOut!L59+[1]PwrCsOut!L50+[1]PwrCsOut!L51</f>
        <v>1306.84776171875</v>
      </c>
      <c r="Q31" s="20">
        <f>[1]PwrCsOut!M58+[1]PwrCsOut!M59+[1]PwrCsOut!M50+[1]PwrCsOut!M51</f>
        <v>1306.8493066406252</v>
      </c>
      <c r="R31" s="20">
        <f t="shared" si="2"/>
        <v>16029.940511718751</v>
      </c>
      <c r="T31" s="20">
        <f t="shared" si="3"/>
        <v>12109.394136718751</v>
      </c>
    </row>
    <row r="32" spans="1:20">
      <c r="C32" s="20" t="s">
        <v>71</v>
      </c>
      <c r="F32" s="20">
        <v>-5879</v>
      </c>
      <c r="G32" s="20">
        <v>-149</v>
      </c>
      <c r="H32" s="20">
        <v>1837</v>
      </c>
      <c r="I32" s="20">
        <v>-1265</v>
      </c>
      <c r="J32" s="20">
        <v>-978</v>
      </c>
      <c r="K32" s="20">
        <v>-1134</v>
      </c>
      <c r="L32" s="20">
        <f>[1]PwrCsOut!H62</f>
        <v>-3492.5250000000001</v>
      </c>
      <c r="M32" s="20">
        <f>[1]PwrCsOut!I62</f>
        <v>-3611.616</v>
      </c>
      <c r="N32" s="37">
        <f>[1]PwrCsOut!J62</f>
        <v>-3738.6475</v>
      </c>
      <c r="O32" s="20">
        <f>[1]PwrCsOut!K62</f>
        <v>-4458.1899999999996</v>
      </c>
      <c r="P32" s="20">
        <f>[1]PwrCsOut!L62</f>
        <v>-2910.0752499999999</v>
      </c>
      <c r="Q32" s="20">
        <f>[1]PwrCsOut!M62</f>
        <v>-3309.442</v>
      </c>
      <c r="R32" s="20">
        <f t="shared" si="2"/>
        <v>-29088.495749999998</v>
      </c>
      <c r="T32" s="20">
        <f t="shared" si="3"/>
        <v>-18410.788499999999</v>
      </c>
    </row>
    <row r="33" spans="1:20">
      <c r="C33" s="47" t="s">
        <v>72</v>
      </c>
      <c r="D33" s="44"/>
      <c r="E33" s="44"/>
      <c r="F33" s="44">
        <v>-711</v>
      </c>
      <c r="G33" s="44">
        <v>-2289</v>
      </c>
      <c r="H33" s="44">
        <v>-289</v>
      </c>
      <c r="I33" s="44">
        <v>1243</v>
      </c>
      <c r="J33" s="44">
        <v>-707</v>
      </c>
      <c r="K33" s="44">
        <v>74</v>
      </c>
      <c r="L33" s="44">
        <v>113</v>
      </c>
      <c r="M33" s="44">
        <v>100</v>
      </c>
      <c r="N33" s="43">
        <v>93</v>
      </c>
      <c r="O33" s="44">
        <v>7</v>
      </c>
      <c r="P33" s="44">
        <v>-51</v>
      </c>
      <c r="Q33" s="44">
        <v>-52</v>
      </c>
      <c r="R33" s="44">
        <f t="shared" si="2"/>
        <v>-2469</v>
      </c>
      <c r="S33" s="44"/>
      <c r="T33" s="44">
        <f t="shared" si="3"/>
        <v>-2373</v>
      </c>
    </row>
    <row r="34" spans="1:20">
      <c r="C34" s="47" t="s">
        <v>73</v>
      </c>
      <c r="D34" s="44"/>
      <c r="E34" s="44"/>
      <c r="F34" s="44">
        <v>2249</v>
      </c>
      <c r="G34" s="44">
        <v>1515</v>
      </c>
      <c r="H34" s="44">
        <v>-2736</v>
      </c>
      <c r="I34" s="44">
        <v>-1906</v>
      </c>
      <c r="J34" s="44">
        <v>-4350</v>
      </c>
      <c r="K34" s="44">
        <v>793</v>
      </c>
      <c r="L34" s="44">
        <v>3590</v>
      </c>
      <c r="M34" s="44">
        <v>3537</v>
      </c>
      <c r="N34" s="43">
        <v>3389</v>
      </c>
      <c r="O34" s="44">
        <v>3186</v>
      </c>
      <c r="P34" s="44">
        <v>1640</v>
      </c>
      <c r="Q34" s="44">
        <v>1542</v>
      </c>
      <c r="R34" s="44">
        <f t="shared" si="2"/>
        <v>12449</v>
      </c>
      <c r="S34" s="44"/>
      <c r="T34" s="48">
        <f t="shared" si="3"/>
        <v>6081</v>
      </c>
    </row>
    <row r="35" spans="1:20">
      <c r="C35" s="20" t="s">
        <v>74</v>
      </c>
      <c r="F35" s="45">
        <f t="shared" ref="F35:Q35" si="4">SUM(F29:F34)</f>
        <v>25489</v>
      </c>
      <c r="G35" s="45">
        <f t="shared" si="4"/>
        <v>19137</v>
      </c>
      <c r="H35" s="45">
        <f t="shared" si="4"/>
        <v>21594</v>
      </c>
      <c r="I35" s="45">
        <f t="shared" si="4"/>
        <v>14742</v>
      </c>
      <c r="J35" s="45">
        <f t="shared" si="4"/>
        <v>9632</v>
      </c>
      <c r="K35" s="45">
        <f t="shared" si="4"/>
        <v>14842.847761718749</v>
      </c>
      <c r="L35" s="45">
        <f t="shared" si="4"/>
        <v>14752.086478515626</v>
      </c>
      <c r="M35" s="45">
        <f t="shared" si="4"/>
        <v>15319.152009765625</v>
      </c>
      <c r="N35" s="46">
        <f t="shared" si="4"/>
        <v>14396.14393359375</v>
      </c>
      <c r="O35" s="45">
        <f t="shared" si="4"/>
        <v>14663.968634765624</v>
      </c>
      <c r="P35" s="45">
        <f t="shared" si="4"/>
        <v>22425.332687499998</v>
      </c>
      <c r="Q35" s="45">
        <f t="shared" si="4"/>
        <v>24114.129150390625</v>
      </c>
      <c r="R35" s="45">
        <f t="shared" si="2"/>
        <v>211107.66065624999</v>
      </c>
      <c r="T35" s="49">
        <f t="shared" si="3"/>
        <v>149904.23018359375</v>
      </c>
    </row>
    <row r="36" spans="1:20">
      <c r="N36" s="37"/>
    </row>
    <row r="37" spans="1:20">
      <c r="C37" s="20" t="s">
        <v>75</v>
      </c>
      <c r="F37" s="45">
        <f t="shared" ref="F37:Q37" si="5">F24+F26+F35</f>
        <v>29001</v>
      </c>
      <c r="G37" s="45">
        <f t="shared" si="5"/>
        <v>23353</v>
      </c>
      <c r="H37" s="45">
        <f t="shared" si="5"/>
        <v>25786</v>
      </c>
      <c r="I37" s="45">
        <f t="shared" si="5"/>
        <v>18214</v>
      </c>
      <c r="J37" s="45">
        <f t="shared" si="5"/>
        <v>11938</v>
      </c>
      <c r="K37" s="45">
        <f t="shared" si="5"/>
        <v>17617.847761718749</v>
      </c>
      <c r="L37" s="45">
        <f t="shared" si="5"/>
        <v>19055.310896484378</v>
      </c>
      <c r="M37" s="45">
        <f t="shared" si="5"/>
        <v>19622.376427734376</v>
      </c>
      <c r="N37" s="46">
        <f t="shared" si="5"/>
        <v>18576.418044921877</v>
      </c>
      <c r="O37" s="45">
        <f t="shared" si="5"/>
        <v>18967.193052734376</v>
      </c>
      <c r="P37" s="45">
        <f t="shared" si="5"/>
        <v>26605.606798828121</v>
      </c>
      <c r="Q37" s="45">
        <f t="shared" si="5"/>
        <v>28417.353568359376</v>
      </c>
      <c r="R37" s="45">
        <f>SUM(F37:Q37)</f>
        <v>257154.10655078123</v>
      </c>
      <c r="T37" s="45">
        <f>+T24+T35</f>
        <v>183163.95313085939</v>
      </c>
    </row>
    <row r="38" spans="1:20">
      <c r="N38" s="37"/>
    </row>
    <row r="39" spans="1:20">
      <c r="A39" s="20" t="s">
        <v>76</v>
      </c>
      <c r="F39" s="20">
        <f t="shared" ref="F39:Q39" si="6">F14+F16+F37</f>
        <v>237617</v>
      </c>
      <c r="G39" s="20">
        <f t="shared" si="6"/>
        <v>163386</v>
      </c>
      <c r="H39" s="20">
        <f t="shared" si="6"/>
        <v>180638</v>
      </c>
      <c r="I39" s="20">
        <f t="shared" si="6"/>
        <v>217947</v>
      </c>
      <c r="J39" s="20">
        <f t="shared" si="6"/>
        <v>216958</v>
      </c>
      <c r="K39" s="20">
        <f t="shared" si="6"/>
        <v>190610.84776171876</v>
      </c>
      <c r="L39" s="20">
        <f t="shared" si="6"/>
        <v>272373.36380859371</v>
      </c>
      <c r="M39" s="20">
        <f t="shared" si="6"/>
        <v>256598.37693359374</v>
      </c>
      <c r="N39" s="37">
        <f t="shared" si="6"/>
        <v>236769.31622070313</v>
      </c>
      <c r="O39" s="20">
        <f t="shared" si="6"/>
        <v>149417.49848828124</v>
      </c>
      <c r="P39" s="20">
        <f t="shared" si="6"/>
        <v>149824.16531445313</v>
      </c>
      <c r="Q39" s="20">
        <f t="shared" si="6"/>
        <v>168237.69855859372</v>
      </c>
      <c r="R39" s="20">
        <f>SUM(F39:Q39)</f>
        <v>2440377.2670859373</v>
      </c>
      <c r="T39" s="20">
        <f>+T14+T16+T37</f>
        <v>1972897.9047246093</v>
      </c>
    </row>
    <row r="40" spans="1:20">
      <c r="N40" s="37"/>
    </row>
    <row r="41" spans="1:20">
      <c r="B41" s="20" t="s">
        <v>77</v>
      </c>
      <c r="F41" s="20">
        <v>-147729</v>
      </c>
      <c r="G41" s="20">
        <v>-155832</v>
      </c>
      <c r="H41" s="20">
        <v>-176370</v>
      </c>
      <c r="I41" s="20">
        <v>-218190</v>
      </c>
      <c r="J41" s="20">
        <v>-189150</v>
      </c>
      <c r="K41" s="20">
        <v>-174897</v>
      </c>
      <c r="L41" s="20">
        <f>[1]PwrCsOut!H428+[1]PwrCsOut!H447</f>
        <v>-200826.658</v>
      </c>
      <c r="M41" s="20">
        <f>[1]PwrCsOut!I428+[1]PwrCsOut!I447</f>
        <v>-191444.03999999998</v>
      </c>
      <c r="N41" s="37">
        <f>[1]PwrCsOut!J428+[1]PwrCsOut!J447</f>
        <v>-173682.736</v>
      </c>
      <c r="O41" s="20">
        <f>[1]PwrCsOut!K428+[1]PwrCsOut!K447</f>
        <v>-105177.986</v>
      </c>
      <c r="P41" s="20">
        <f>[1]PwrCsOut!L428+[1]PwrCsOut!L447</f>
        <v>-89044.948000000004</v>
      </c>
      <c r="Q41" s="20">
        <f>[1]PwrCsOut!M428+[1]PwrCsOut!M447</f>
        <v>-87443.09</v>
      </c>
      <c r="R41" s="20">
        <f>SUM(F41:Q41)</f>
        <v>-1909787.4580000003</v>
      </c>
      <c r="T41" s="20">
        <f>SUM(F41:N41)</f>
        <v>-1628121.4340000001</v>
      </c>
    </row>
    <row r="42" spans="1:20">
      <c r="B42" s="20" t="s">
        <v>78</v>
      </c>
      <c r="F42" s="45">
        <v>-2901</v>
      </c>
      <c r="G42" s="45">
        <v>-1482</v>
      </c>
      <c r="H42" s="45">
        <v>-844</v>
      </c>
      <c r="I42" s="45">
        <v>-1561</v>
      </c>
      <c r="J42" s="45">
        <v>-350</v>
      </c>
      <c r="K42" s="45">
        <v>-425</v>
      </c>
      <c r="L42" s="45"/>
      <c r="M42" s="45"/>
      <c r="N42" s="46"/>
      <c r="O42" s="45"/>
      <c r="P42" s="45"/>
      <c r="Q42" s="45"/>
      <c r="R42" s="45">
        <f>SUM(F42:Q42)</f>
        <v>-7563</v>
      </c>
      <c r="T42" s="45">
        <f>SUM(F42:N42)</f>
        <v>-7563</v>
      </c>
    </row>
    <row r="43" spans="1:20" ht="13.8" thickBot="1">
      <c r="N43" s="37"/>
    </row>
    <row r="44" spans="1:20" ht="13.8" thickBot="1">
      <c r="A44" s="19" t="s">
        <v>79</v>
      </c>
      <c r="F44" s="20">
        <f t="shared" ref="F44:Q44" si="7">F39+F41+F42</f>
        <v>86987</v>
      </c>
      <c r="G44" s="20">
        <f t="shared" si="7"/>
        <v>6072</v>
      </c>
      <c r="H44" s="20">
        <f t="shared" si="7"/>
        <v>3424</v>
      </c>
      <c r="I44" s="20">
        <f t="shared" si="7"/>
        <v>-1804</v>
      </c>
      <c r="J44" s="20">
        <f t="shared" si="7"/>
        <v>27458</v>
      </c>
      <c r="K44" s="20">
        <f t="shared" si="7"/>
        <v>15288.84776171876</v>
      </c>
      <c r="L44" s="20">
        <f t="shared" si="7"/>
        <v>71546.705808593717</v>
      </c>
      <c r="M44" s="20">
        <f t="shared" si="7"/>
        <v>65154.33693359376</v>
      </c>
      <c r="N44" s="37">
        <f t="shared" si="7"/>
        <v>63086.580220703123</v>
      </c>
      <c r="O44" s="20">
        <f t="shared" si="7"/>
        <v>44239.512488281238</v>
      </c>
      <c r="P44" s="20">
        <f t="shared" si="7"/>
        <v>60779.217314453126</v>
      </c>
      <c r="Q44" s="20">
        <f t="shared" si="7"/>
        <v>80794.608558593725</v>
      </c>
      <c r="R44" s="50">
        <f>SUM(F44:Q44)</f>
        <v>523026.80908593739</v>
      </c>
      <c r="T44" s="19">
        <f>T39+T41+T42</f>
        <v>337213.47072460921</v>
      </c>
    </row>
    <row r="45" spans="1:20" s="25" customFormat="1" ht="16.2" thickBot="1">
      <c r="B45" s="51"/>
      <c r="D45" s="52"/>
      <c r="F45" s="53"/>
      <c r="G45" s="54"/>
      <c r="H45" s="54"/>
      <c r="I45" s="54"/>
      <c r="J45" s="54"/>
      <c r="K45" s="54"/>
      <c r="L45" s="54"/>
      <c r="M45" s="54"/>
      <c r="N45" s="55"/>
      <c r="O45" s="56"/>
      <c r="P45" s="54"/>
      <c r="Q45" s="54"/>
      <c r="R45" s="54"/>
      <c r="T45" s="54"/>
    </row>
    <row r="46" spans="1:20" s="25" customFormat="1" ht="15.6">
      <c r="A46" s="57" t="s">
        <v>80</v>
      </c>
      <c r="B46" s="58"/>
      <c r="C46" s="22"/>
      <c r="D46" s="59"/>
      <c r="E46" s="22"/>
      <c r="F46" s="60"/>
      <c r="G46" s="61"/>
      <c r="H46" s="61"/>
      <c r="I46" s="61"/>
      <c r="J46" s="61"/>
      <c r="K46" s="61"/>
      <c r="L46" s="61"/>
      <c r="M46" s="61"/>
      <c r="N46" s="62"/>
      <c r="O46" s="61"/>
      <c r="P46" s="61"/>
      <c r="Q46" s="61"/>
      <c r="R46" s="61"/>
      <c r="S46" s="22"/>
      <c r="T46" s="63"/>
    </row>
    <row r="47" spans="1:20" s="25" customFormat="1" ht="15">
      <c r="A47" s="64" t="s">
        <v>81</v>
      </c>
      <c r="B47" s="65"/>
      <c r="C47" s="65"/>
      <c r="D47" s="65"/>
      <c r="E47" s="65"/>
      <c r="F47" s="25">
        <v>4279</v>
      </c>
      <c r="G47" s="25">
        <v>0</v>
      </c>
      <c r="H47" s="25">
        <v>0</v>
      </c>
      <c r="I47" s="25">
        <v>0</v>
      </c>
      <c r="J47" s="25">
        <v>0</v>
      </c>
      <c r="K47" s="25">
        <v>0</v>
      </c>
      <c r="L47" s="25">
        <v>0</v>
      </c>
      <c r="M47" s="25">
        <v>0</v>
      </c>
      <c r="N47" s="37">
        <v>0</v>
      </c>
      <c r="O47" s="25">
        <v>0</v>
      </c>
      <c r="P47" s="25">
        <v>0</v>
      </c>
      <c r="Q47" s="25">
        <v>0</v>
      </c>
      <c r="R47" s="25">
        <f t="shared" ref="R47:R52" si="8">SUM(F47:Q47)</f>
        <v>4279</v>
      </c>
      <c r="T47" s="29">
        <f>SUM(F47:N47)</f>
        <v>4279</v>
      </c>
    </row>
    <row r="48" spans="1:20" s="25" customFormat="1" ht="15">
      <c r="A48" s="64" t="s">
        <v>82</v>
      </c>
      <c r="B48" s="65"/>
      <c r="C48" s="65"/>
      <c r="D48" s="65"/>
      <c r="E48" s="65"/>
      <c r="F48" s="25">
        <v>424</v>
      </c>
      <c r="G48" s="25">
        <v>0</v>
      </c>
      <c r="H48" s="25">
        <f>2400+6000</f>
        <v>8400</v>
      </c>
      <c r="I48" s="25">
        <v>0</v>
      </c>
      <c r="J48" s="25">
        <v>-679</v>
      </c>
      <c r="K48" s="25">
        <v>0</v>
      </c>
      <c r="L48" s="25">
        <v>0</v>
      </c>
      <c r="M48" s="25">
        <v>0</v>
      </c>
      <c r="N48" s="37">
        <v>0</v>
      </c>
      <c r="O48" s="25">
        <v>0</v>
      </c>
      <c r="P48" s="25">
        <v>0</v>
      </c>
      <c r="Q48" s="25">
        <v>0</v>
      </c>
      <c r="R48" s="25">
        <f t="shared" si="8"/>
        <v>8145</v>
      </c>
      <c r="T48" s="29">
        <f>SUM(F48:N48)</f>
        <v>8145</v>
      </c>
    </row>
    <row r="49" spans="1:20">
      <c r="A49" s="64" t="s">
        <v>83</v>
      </c>
      <c r="B49" s="25"/>
      <c r="C49" s="25"/>
      <c r="D49" s="25"/>
      <c r="E49" s="25"/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7">
        <v>6187</v>
      </c>
      <c r="O49" s="25">
        <v>0</v>
      </c>
      <c r="P49" s="25">
        <v>0</v>
      </c>
      <c r="Q49" s="25">
        <v>0</v>
      </c>
      <c r="R49" s="25">
        <f t="shared" si="8"/>
        <v>6187</v>
      </c>
      <c r="S49" s="25"/>
      <c r="T49" s="29">
        <f>SUM(F49:N49)</f>
        <v>6187</v>
      </c>
    </row>
    <row r="50" spans="1:20">
      <c r="A50" s="64" t="s">
        <v>84</v>
      </c>
      <c r="B50" s="25"/>
      <c r="C50" s="25"/>
      <c r="D50" s="25"/>
      <c r="E50" s="25"/>
      <c r="F50" s="66">
        <v>2109.2791755555554</v>
      </c>
      <c r="G50" s="66">
        <v>1962</v>
      </c>
      <c r="H50" s="66">
        <v>2134</v>
      </c>
      <c r="I50" s="66">
        <v>2085</v>
      </c>
      <c r="J50" s="66">
        <v>2178</v>
      </c>
      <c r="K50" s="66">
        <v>2274.3555555555554</v>
      </c>
      <c r="L50" s="66">
        <v>2249.1555555555556</v>
      </c>
      <c r="M50" s="66">
        <v>2301.2355555555555</v>
      </c>
      <c r="N50" s="67">
        <v>2274.3555555555554</v>
      </c>
      <c r="O50" s="25">
        <v>0</v>
      </c>
      <c r="P50" s="25">
        <v>0</v>
      </c>
      <c r="Q50" s="25">
        <v>0</v>
      </c>
      <c r="R50" s="25">
        <f t="shared" si="8"/>
        <v>19567.381397777775</v>
      </c>
      <c r="S50" s="25"/>
      <c r="T50" s="29">
        <f>SUM(F50:N50)</f>
        <v>19567.381397777775</v>
      </c>
    </row>
    <row r="51" spans="1:20">
      <c r="A51" s="68" t="s">
        <v>85</v>
      </c>
      <c r="B51" s="42"/>
      <c r="C51" s="42"/>
      <c r="D51" s="42"/>
      <c r="E51" s="42" t="s">
        <v>86</v>
      </c>
      <c r="F51" s="48">
        <f t="shared" ref="F51:Q51" si="9">+F34</f>
        <v>2249</v>
      </c>
      <c r="G51" s="48">
        <f t="shared" si="9"/>
        <v>1515</v>
      </c>
      <c r="H51" s="48">
        <f t="shared" si="9"/>
        <v>-2736</v>
      </c>
      <c r="I51" s="48">
        <f t="shared" si="9"/>
        <v>-1906</v>
      </c>
      <c r="J51" s="48">
        <f t="shared" si="9"/>
        <v>-4350</v>
      </c>
      <c r="K51" s="48">
        <f t="shared" si="9"/>
        <v>793</v>
      </c>
      <c r="L51" s="48">
        <f t="shared" si="9"/>
        <v>3590</v>
      </c>
      <c r="M51" s="48">
        <f t="shared" si="9"/>
        <v>3537</v>
      </c>
      <c r="N51" s="69">
        <f t="shared" si="9"/>
        <v>3389</v>
      </c>
      <c r="O51" s="48">
        <f t="shared" si="9"/>
        <v>3186</v>
      </c>
      <c r="P51" s="48">
        <f t="shared" si="9"/>
        <v>1640</v>
      </c>
      <c r="Q51" s="48">
        <f t="shared" si="9"/>
        <v>1542</v>
      </c>
      <c r="R51" s="48">
        <f t="shared" si="8"/>
        <v>12449</v>
      </c>
      <c r="S51" s="42"/>
      <c r="T51" s="70">
        <f>SUM(F51:N51)</f>
        <v>6081</v>
      </c>
    </row>
    <row r="52" spans="1:20">
      <c r="A52" s="64"/>
      <c r="B52" s="25" t="s">
        <v>87</v>
      </c>
      <c r="C52" s="25"/>
      <c r="D52" s="25"/>
      <c r="E52" s="25"/>
      <c r="F52" s="25">
        <f t="shared" ref="F52:Q52" si="10">SUM(F47:F51)</f>
        <v>9061.2791755555554</v>
      </c>
      <c r="G52" s="25">
        <f t="shared" si="10"/>
        <v>3477</v>
      </c>
      <c r="H52" s="25">
        <f t="shared" si="10"/>
        <v>7798</v>
      </c>
      <c r="I52" s="25">
        <f t="shared" si="10"/>
        <v>179</v>
      </c>
      <c r="J52" s="25">
        <f t="shared" si="10"/>
        <v>-2851</v>
      </c>
      <c r="K52" s="25">
        <f t="shared" si="10"/>
        <v>3067.3555555555554</v>
      </c>
      <c r="L52" s="25">
        <f t="shared" si="10"/>
        <v>5839.1555555555551</v>
      </c>
      <c r="M52" s="25">
        <f t="shared" si="10"/>
        <v>5838.235555555555</v>
      </c>
      <c r="N52" s="37">
        <f t="shared" si="10"/>
        <v>11850.355555555556</v>
      </c>
      <c r="O52" s="25">
        <f t="shared" si="10"/>
        <v>3186</v>
      </c>
      <c r="P52" s="25">
        <f t="shared" si="10"/>
        <v>1640</v>
      </c>
      <c r="Q52" s="25">
        <f t="shared" si="10"/>
        <v>1542</v>
      </c>
      <c r="R52" s="25">
        <f t="shared" si="8"/>
        <v>50627.381397777775</v>
      </c>
      <c r="S52" s="25"/>
      <c r="T52" s="29">
        <f>SUM(T47:T51)</f>
        <v>44259.381397777775</v>
      </c>
    </row>
    <row r="53" spans="1:20">
      <c r="A53" s="64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7"/>
      <c r="O53" s="25"/>
      <c r="P53" s="25"/>
      <c r="Q53" s="25"/>
      <c r="R53" s="25"/>
      <c r="S53" s="25"/>
      <c r="T53" s="29"/>
    </row>
    <row r="54" spans="1:20">
      <c r="A54" s="71" t="s">
        <v>88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37"/>
      <c r="O54" s="25"/>
      <c r="P54" s="25"/>
      <c r="Q54" s="25"/>
      <c r="R54" s="25"/>
      <c r="S54" s="25"/>
      <c r="T54" s="29"/>
    </row>
    <row r="55" spans="1:20">
      <c r="A55" s="68" t="s">
        <v>89</v>
      </c>
      <c r="B55" s="42"/>
      <c r="C55" s="42"/>
      <c r="D55" s="42"/>
      <c r="E55" s="42" t="s">
        <v>90</v>
      </c>
      <c r="F55" s="42">
        <f t="shared" ref="F55:Q55" si="11">+F11</f>
        <v>8135</v>
      </c>
      <c r="G55" s="42">
        <f t="shared" si="11"/>
        <v>-5059</v>
      </c>
      <c r="H55" s="42">
        <f t="shared" si="11"/>
        <v>-12505</v>
      </c>
      <c r="I55" s="42">
        <f t="shared" si="11"/>
        <v>-2611</v>
      </c>
      <c r="J55" s="42">
        <f t="shared" si="11"/>
        <v>-2008</v>
      </c>
      <c r="K55" s="42">
        <f t="shared" si="11"/>
        <v>-10724</v>
      </c>
      <c r="L55" s="42">
        <f t="shared" si="11"/>
        <v>15163</v>
      </c>
      <c r="M55" s="42">
        <f t="shared" si="11"/>
        <v>17630</v>
      </c>
      <c r="N55" s="43">
        <f t="shared" si="11"/>
        <v>15985</v>
      </c>
      <c r="O55" s="42">
        <f t="shared" si="11"/>
        <v>-2840</v>
      </c>
      <c r="P55" s="42">
        <f t="shared" si="11"/>
        <v>-3594</v>
      </c>
      <c r="Q55" s="42">
        <f t="shared" si="11"/>
        <v>-3672</v>
      </c>
      <c r="R55" s="42">
        <f>SUM(F55:Q55)</f>
        <v>13900</v>
      </c>
      <c r="S55" s="42"/>
      <c r="T55" s="72">
        <f>SUM(F55:N55)</f>
        <v>24006</v>
      </c>
    </row>
    <row r="56" spans="1:20">
      <c r="A56" s="68" t="s">
        <v>91</v>
      </c>
      <c r="B56" s="42"/>
      <c r="C56" s="42"/>
      <c r="D56" s="42"/>
      <c r="E56" s="42" t="s">
        <v>86</v>
      </c>
      <c r="F56" s="42">
        <f t="shared" ref="F56:Q56" si="12">+F33</f>
        <v>-711</v>
      </c>
      <c r="G56" s="42">
        <f t="shared" si="12"/>
        <v>-2289</v>
      </c>
      <c r="H56" s="42">
        <f t="shared" si="12"/>
        <v>-289</v>
      </c>
      <c r="I56" s="42">
        <f t="shared" si="12"/>
        <v>1243</v>
      </c>
      <c r="J56" s="42">
        <f t="shared" si="12"/>
        <v>-707</v>
      </c>
      <c r="K56" s="42">
        <f t="shared" si="12"/>
        <v>74</v>
      </c>
      <c r="L56" s="42">
        <f t="shared" si="12"/>
        <v>113</v>
      </c>
      <c r="M56" s="42">
        <f t="shared" si="12"/>
        <v>100</v>
      </c>
      <c r="N56" s="43">
        <f t="shared" si="12"/>
        <v>93</v>
      </c>
      <c r="O56" s="42">
        <f t="shared" si="12"/>
        <v>7</v>
      </c>
      <c r="P56" s="42">
        <f t="shared" si="12"/>
        <v>-51</v>
      </c>
      <c r="Q56" s="42">
        <f t="shared" si="12"/>
        <v>-52</v>
      </c>
      <c r="R56" s="42">
        <f>SUM(F56:Q56)</f>
        <v>-2469</v>
      </c>
      <c r="S56" s="42"/>
      <c r="T56" s="72">
        <f>SUM(F56:N56)</f>
        <v>-2373</v>
      </c>
    </row>
    <row r="57" spans="1:20">
      <c r="A57" s="64" t="s">
        <v>92</v>
      </c>
      <c r="B57" s="25"/>
      <c r="C57" s="25"/>
      <c r="D57" s="25"/>
      <c r="E57" s="25" t="s">
        <v>93</v>
      </c>
      <c r="F57" s="73">
        <v>2007.2039999999997</v>
      </c>
      <c r="G57" s="73">
        <v>2650</v>
      </c>
      <c r="H57" s="73">
        <v>8148</v>
      </c>
      <c r="I57" s="73">
        <v>7688</v>
      </c>
      <c r="J57" s="73">
        <v>7750</v>
      </c>
      <c r="K57" s="73">
        <v>10649</v>
      </c>
      <c r="L57" s="73">
        <v>-15276</v>
      </c>
      <c r="M57" s="73">
        <v>-17730</v>
      </c>
      <c r="N57" s="74">
        <v>-16078</v>
      </c>
      <c r="O57" s="73">
        <v>2833</v>
      </c>
      <c r="P57" s="73">
        <v>3644</v>
      </c>
      <c r="Q57" s="73">
        <f>3725-1</f>
        <v>3724</v>
      </c>
      <c r="R57" s="45">
        <f>SUM(F57:Q57)</f>
        <v>9.2039999999979045</v>
      </c>
      <c r="S57" s="25"/>
      <c r="T57" s="75">
        <f>SUM(F57:N57)</f>
        <v>-10191.796000000002</v>
      </c>
    </row>
    <row r="58" spans="1:20">
      <c r="A58" s="64"/>
      <c r="B58" s="25" t="s">
        <v>94</v>
      </c>
      <c r="C58" s="25"/>
      <c r="D58" s="25"/>
      <c r="E58" s="25"/>
      <c r="F58" s="25">
        <f t="shared" ref="F58:R58" si="13">SUM(F55:F57)</f>
        <v>9431.2039999999997</v>
      </c>
      <c r="G58" s="25">
        <f t="shared" si="13"/>
        <v>-4698</v>
      </c>
      <c r="H58" s="25">
        <f t="shared" si="13"/>
        <v>-4646</v>
      </c>
      <c r="I58" s="25">
        <f t="shared" si="13"/>
        <v>6320</v>
      </c>
      <c r="J58" s="25">
        <f t="shared" si="13"/>
        <v>5035</v>
      </c>
      <c r="K58" s="25">
        <f t="shared" si="13"/>
        <v>-1</v>
      </c>
      <c r="L58" s="25">
        <f t="shared" si="13"/>
        <v>0</v>
      </c>
      <c r="M58" s="25">
        <f t="shared" si="13"/>
        <v>0</v>
      </c>
      <c r="N58" s="37">
        <f t="shared" si="13"/>
        <v>0</v>
      </c>
      <c r="O58" s="25">
        <f t="shared" si="13"/>
        <v>0</v>
      </c>
      <c r="P58" s="25">
        <f t="shared" si="13"/>
        <v>-1</v>
      </c>
      <c r="Q58" s="25">
        <f t="shared" si="13"/>
        <v>0</v>
      </c>
      <c r="R58" s="25">
        <f t="shared" si="13"/>
        <v>11440.203999999998</v>
      </c>
      <c r="S58" s="25"/>
      <c r="T58" s="29">
        <f>SUM(T55:T57)</f>
        <v>11441.203999999998</v>
      </c>
    </row>
    <row r="59" spans="1:20" ht="13.8" thickBot="1">
      <c r="A59" s="64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76"/>
      <c r="P59" s="25"/>
      <c r="Q59" s="25"/>
      <c r="R59" s="25"/>
      <c r="S59" s="25"/>
      <c r="T59" s="29"/>
    </row>
    <row r="60" spans="1:20" ht="13.8" thickBot="1">
      <c r="A60" s="77" t="s">
        <v>95</v>
      </c>
      <c r="B60" s="25"/>
      <c r="C60" s="25"/>
      <c r="D60" s="25"/>
      <c r="E60" s="25"/>
      <c r="F60" s="25">
        <f t="shared" ref="F60:R60" si="14">+F44-F52-F58</f>
        <v>68494.51682444445</v>
      </c>
      <c r="G60" s="25">
        <f t="shared" si="14"/>
        <v>7293</v>
      </c>
      <c r="H60" s="25">
        <f t="shared" si="14"/>
        <v>272</v>
      </c>
      <c r="I60" s="25">
        <f t="shared" si="14"/>
        <v>-8303</v>
      </c>
      <c r="J60" s="25">
        <f t="shared" si="14"/>
        <v>25274</v>
      </c>
      <c r="K60" s="25">
        <f t="shared" si="14"/>
        <v>12222.492206163204</v>
      </c>
      <c r="L60" s="25">
        <f t="shared" si="14"/>
        <v>65707.550253038164</v>
      </c>
      <c r="M60" s="25">
        <f t="shared" si="14"/>
        <v>59316.101378038205</v>
      </c>
      <c r="N60" s="25">
        <f t="shared" si="14"/>
        <v>51236.224665147565</v>
      </c>
      <c r="O60" s="76">
        <f t="shared" si="14"/>
        <v>41053.512488281238</v>
      </c>
      <c r="P60" s="25">
        <f t="shared" si="14"/>
        <v>59140.217314453126</v>
      </c>
      <c r="Q60" s="25">
        <f t="shared" si="14"/>
        <v>79252.608558593725</v>
      </c>
      <c r="R60" s="25">
        <f t="shared" si="14"/>
        <v>460959.2236881596</v>
      </c>
      <c r="S60" s="25"/>
      <c r="T60" s="50">
        <f>+T44-T52-T58</f>
        <v>281512.88532683149</v>
      </c>
    </row>
    <row r="61" spans="1:20" ht="13.8" thickBot="1">
      <c r="A61" s="78" t="s">
        <v>96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80"/>
      <c r="P61" s="79"/>
      <c r="Q61" s="79"/>
      <c r="R61" s="79"/>
      <c r="S61" s="79"/>
      <c r="T61" s="81">
        <v>-54818</v>
      </c>
    </row>
    <row r="62" spans="1:20" ht="13.8" thickBot="1">
      <c r="N62" s="25"/>
      <c r="O62" s="76"/>
      <c r="T62" s="82"/>
    </row>
    <row r="63" spans="1:20" ht="13.8" thickBot="1">
      <c r="A63" s="19" t="s">
        <v>97</v>
      </c>
      <c r="F63" s="45">
        <v>107837.01969269788</v>
      </c>
      <c r="G63" s="45">
        <v>71459.832590283419</v>
      </c>
      <c r="H63" s="45">
        <v>50391.653537359409</v>
      </c>
      <c r="I63" s="45">
        <v>43889.244299400234</v>
      </c>
      <c r="J63" s="45">
        <v>26960.722950114854</v>
      </c>
      <c r="K63" s="45">
        <v>-1570.3183930835949</v>
      </c>
      <c r="L63" s="45">
        <v>69882.027479857177</v>
      </c>
      <c r="M63" s="45">
        <v>46260.949382071834</v>
      </c>
      <c r="N63" s="46">
        <v>53488.03437910309</v>
      </c>
      <c r="O63" s="45">
        <v>36290.872640038753</v>
      </c>
      <c r="P63" s="45">
        <v>64090.796623488895</v>
      </c>
      <c r="Q63" s="45">
        <v>92988.423993891091</v>
      </c>
      <c r="R63" s="83">
        <f>SUM(F63:Q63)</f>
        <v>661969.25917522307</v>
      </c>
      <c r="T63" s="82"/>
    </row>
    <row r="64" spans="1:20" ht="13.8" thickBot="1">
      <c r="A64" s="19" t="s">
        <v>98</v>
      </c>
      <c r="F64" s="20">
        <f t="shared" ref="F64:R64" si="15">+F44-F63</f>
        <v>-20850.019692697882</v>
      </c>
      <c r="G64" s="20">
        <f t="shared" si="15"/>
        <v>-65387.832590283419</v>
      </c>
      <c r="H64" s="20">
        <f t="shared" si="15"/>
        <v>-46967.653537359409</v>
      </c>
      <c r="I64" s="20">
        <f t="shared" si="15"/>
        <v>-45693.244299400234</v>
      </c>
      <c r="J64" s="20">
        <f t="shared" si="15"/>
        <v>497.27704988514597</v>
      </c>
      <c r="K64" s="20">
        <f t="shared" si="15"/>
        <v>16859.166154802355</v>
      </c>
      <c r="L64" s="20">
        <f t="shared" si="15"/>
        <v>1664.6783287365397</v>
      </c>
      <c r="M64" s="20">
        <f t="shared" si="15"/>
        <v>18893.387551521926</v>
      </c>
      <c r="N64" s="37">
        <f t="shared" si="15"/>
        <v>9598.5458416000329</v>
      </c>
      <c r="O64" s="25">
        <f t="shared" si="15"/>
        <v>7948.6398482424847</v>
      </c>
      <c r="P64" s="20">
        <f t="shared" si="15"/>
        <v>-3311.5793090357693</v>
      </c>
      <c r="Q64" s="20">
        <f t="shared" si="15"/>
        <v>-12193.815435297365</v>
      </c>
      <c r="R64" s="83">
        <f t="shared" si="15"/>
        <v>-138942.45008928567</v>
      </c>
    </row>
    <row r="65" spans="1:20">
      <c r="T65" s="19"/>
    </row>
    <row r="66" spans="1:20" hidden="1">
      <c r="A66" s="19" t="s">
        <v>99</v>
      </c>
      <c r="F66" s="20">
        <v>149171.32339765626</v>
      </c>
      <c r="G66" s="20">
        <v>110740.35939335937</v>
      </c>
      <c r="H66" s="20">
        <v>89098.68818515625</v>
      </c>
      <c r="I66" s="20">
        <v>65141.071539453122</v>
      </c>
      <c r="J66" s="20">
        <v>74765.505207031252</v>
      </c>
      <c r="K66" s="20">
        <v>65596.758155078118</v>
      </c>
      <c r="L66" s="20">
        <v>92722.631316406245</v>
      </c>
      <c r="M66" s="20">
        <v>93228.52481640625</v>
      </c>
      <c r="N66" s="20">
        <v>86227.236580078141</v>
      </c>
      <c r="O66" s="20">
        <v>80088.362816406254</v>
      </c>
      <c r="P66" s="20">
        <v>86698.927295703121</v>
      </c>
      <c r="Q66" s="20">
        <v>102782.69506640626</v>
      </c>
      <c r="R66" s="84">
        <v>1096262.0837691405</v>
      </c>
    </row>
    <row r="67" spans="1:20" ht="13.8" hidden="1" thickBot="1">
      <c r="A67" s="19" t="s">
        <v>100</v>
      </c>
      <c r="F67" s="73">
        <v>134596.80366015623</v>
      </c>
      <c r="G67" s="73">
        <v>105048.41763085937</v>
      </c>
      <c r="H67" s="73">
        <v>80946.681660156246</v>
      </c>
      <c r="I67" s="73">
        <v>76387.550767578126</v>
      </c>
      <c r="J67" s="73">
        <v>77618.974910156248</v>
      </c>
      <c r="K67" s="73">
        <v>54122.03851757809</v>
      </c>
      <c r="L67" s="73">
        <v>84128.817941406247</v>
      </c>
      <c r="M67" s="73">
        <v>93289.793441406233</v>
      </c>
      <c r="N67" s="73">
        <v>78580.388205078139</v>
      </c>
      <c r="O67" s="73">
        <v>69963.870316406246</v>
      </c>
      <c r="P67" s="73">
        <v>75571.133955078112</v>
      </c>
      <c r="Q67" s="73">
        <v>83922.907941406258</v>
      </c>
      <c r="R67" s="85">
        <v>1014177.3789472654</v>
      </c>
    </row>
    <row r="68" spans="1:20" ht="13.8" hidden="1" thickBot="1">
      <c r="B68" s="19" t="s">
        <v>101</v>
      </c>
      <c r="F68" s="20">
        <f t="shared" ref="F68:R68" si="16">+F67-F66</f>
        <v>-14574.519737500028</v>
      </c>
      <c r="G68" s="20">
        <f t="shared" si="16"/>
        <v>-5691.9417624999915</v>
      </c>
      <c r="H68" s="20">
        <f t="shared" si="16"/>
        <v>-8152.0065250000043</v>
      </c>
      <c r="I68" s="20">
        <f t="shared" si="16"/>
        <v>11246.479228125005</v>
      </c>
      <c r="J68" s="20">
        <f t="shared" si="16"/>
        <v>2853.4697031249962</v>
      </c>
      <c r="K68" s="20">
        <f t="shared" si="16"/>
        <v>-11474.719637500028</v>
      </c>
      <c r="L68" s="20">
        <f t="shared" si="16"/>
        <v>-8593.8133749999979</v>
      </c>
      <c r="M68" s="20">
        <f t="shared" si="16"/>
        <v>61.268624999982421</v>
      </c>
      <c r="N68" s="20">
        <f t="shared" si="16"/>
        <v>-7646.8483750000014</v>
      </c>
      <c r="O68" s="20">
        <f t="shared" si="16"/>
        <v>-10124.492500000008</v>
      </c>
      <c r="P68" s="20">
        <f t="shared" si="16"/>
        <v>-11127.793340625009</v>
      </c>
      <c r="Q68" s="20">
        <f t="shared" si="16"/>
        <v>-18859.787125000003</v>
      </c>
      <c r="R68" s="86">
        <f t="shared" si="16"/>
        <v>-82084.704821875086</v>
      </c>
    </row>
  </sheetData>
  <pageMargins left="0.5" right="0.5" top="0.75" bottom="0.77" header="0.5" footer="0.5"/>
  <pageSetup scale="56" orientation="landscape" r:id="rId1"/>
  <headerFooter alignWithMargins="0">
    <oddHeader>&amp;C&amp;A</oddHeader>
    <oddFooter>&amp;C&amp;F&amp;R&amp;D&amp;T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A21" zoomScaleNormal="100" workbookViewId="0">
      <selection activeCell="B40" sqref="B40"/>
    </sheetView>
  </sheetViews>
  <sheetFormatPr defaultColWidth="9.109375" defaultRowHeight="13.8"/>
  <cols>
    <col min="1" max="1" width="5.88671875" style="5" customWidth="1"/>
    <col min="2" max="2" width="33.88671875" style="4" customWidth="1"/>
    <col min="3" max="3" width="11.5546875" style="3" bestFit="1" customWidth="1"/>
    <col min="4" max="4" width="10.6640625" style="3" bestFit="1" customWidth="1"/>
    <col min="5" max="5" width="10.44140625" style="3" bestFit="1" customWidth="1"/>
    <col min="6" max="7" width="10.6640625" style="3" bestFit="1" customWidth="1"/>
    <col min="8" max="8" width="10.5546875" style="3" bestFit="1" customWidth="1"/>
    <col min="9" max="11" width="10.6640625" style="3" bestFit="1" customWidth="1"/>
    <col min="12" max="14" width="10.44140625" style="3" bestFit="1" customWidth="1"/>
    <col min="15" max="15" width="11.44140625" style="3" bestFit="1" customWidth="1"/>
    <col min="16" max="16" width="1.6640625" style="4" customWidth="1"/>
    <col min="17" max="16384" width="9.10937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4" t="s">
        <v>34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7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4" t="s">
        <v>34</v>
      </c>
      <c r="C28" s="3">
        <f>+C21</f>
        <v>50575.320293569042</v>
      </c>
      <c r="D28" s="3">
        <f t="shared" ref="D28:K28" si="8">+C28+D21</f>
        <v>54200.130587138083</v>
      </c>
      <c r="E28" s="3">
        <f t="shared" si="8"/>
        <v>39045.85488070712</v>
      </c>
      <c r="F28" s="3">
        <f t="shared" si="8"/>
        <v>65703.405174276151</v>
      </c>
      <c r="G28" s="3">
        <f t="shared" si="8"/>
        <v>81517.015467845195</v>
      </c>
      <c r="H28" s="3">
        <f t="shared" si="8"/>
        <v>64745.414761414235</v>
      </c>
      <c r="I28" s="3">
        <f t="shared" si="8"/>
        <v>87267.735054983263</v>
      </c>
      <c r="J28" s="3">
        <f t="shared" si="8"/>
        <v>91192.795348552303</v>
      </c>
      <c r="K28" s="3">
        <f t="shared" si="8"/>
        <v>119553.74564212134</v>
      </c>
      <c r="O28" s="15"/>
    </row>
    <row r="29" spans="1:17">
      <c r="B29" s="14"/>
    </row>
    <row r="32" spans="1:17">
      <c r="A32" s="4"/>
      <c r="B32" s="4" t="s">
        <v>39</v>
      </c>
      <c r="C32" s="12">
        <v>68494.51682444445</v>
      </c>
      <c r="D32" s="12">
        <v>7293</v>
      </c>
      <c r="E32" s="12">
        <v>272</v>
      </c>
      <c r="F32" s="12">
        <v>-8303</v>
      </c>
      <c r="G32" s="12">
        <v>25274</v>
      </c>
      <c r="H32" s="12">
        <v>12222.492206163204</v>
      </c>
      <c r="I32" s="12">
        <v>65707.550253038164</v>
      </c>
      <c r="J32" s="12">
        <v>59316.101378038205</v>
      </c>
      <c r="K32" s="12">
        <v>51236.224665147565</v>
      </c>
      <c r="L32" s="4"/>
      <c r="M32" s="4"/>
      <c r="N32" s="4"/>
      <c r="O32" s="4"/>
    </row>
    <row r="33" spans="1:15">
      <c r="A33" s="4"/>
      <c r="B33" s="4" t="s">
        <v>36</v>
      </c>
      <c r="C33" s="18">
        <f>+C32</f>
        <v>68494.51682444445</v>
      </c>
      <c r="D33" s="18">
        <f>+C33+D32</f>
        <v>75787.51682444445</v>
      </c>
      <c r="E33" s="18">
        <f t="shared" ref="E33:K33" si="9">+D33+E32</f>
        <v>76059.51682444445</v>
      </c>
      <c r="F33" s="18">
        <f t="shared" si="9"/>
        <v>67756.51682444445</v>
      </c>
      <c r="G33" s="18">
        <f t="shared" si="9"/>
        <v>93030.51682444445</v>
      </c>
      <c r="H33" s="18">
        <f t="shared" si="9"/>
        <v>105253.00903060766</v>
      </c>
      <c r="I33" s="18">
        <f t="shared" si="9"/>
        <v>170960.55928364582</v>
      </c>
      <c r="J33" s="18">
        <f t="shared" si="9"/>
        <v>230276.66066168403</v>
      </c>
      <c r="K33" s="18">
        <f t="shared" si="9"/>
        <v>281512.8853268316</v>
      </c>
      <c r="L33" s="4"/>
      <c r="M33" s="4"/>
      <c r="N33" s="4"/>
      <c r="O33" s="4"/>
    </row>
    <row r="34" spans="1:15">
      <c r="A34" s="4"/>
      <c r="B34" s="4" t="s">
        <v>37</v>
      </c>
      <c r="C34" s="12">
        <f>IF(C33&gt;C24,(C33-C24)*0.9+(C24-C25)*0.5,IF(C33&gt;C25,(C33-C25)*0.5,IF(C33&lt;C27,(C27-C33)*0.5,IF(C33&lt;C28,(C28-C33)*0.9+(C28-C27)*0.5,0))))</f>
        <v>6022.2768777878719</v>
      </c>
      <c r="D34" s="12">
        <f t="shared" ref="D34:K34" si="10">IF(D33&gt;D24,(D33-D24)*0.9+(D24-D25)*0.5,IF(D33&gt;D25,(D33-D25)*0.5,IF(D33&lt;D27,(D27-D33)*0.5,IF(D33&lt;D28,(D28-D33)*0.9+(D28-D27)*0.5,0))))</f>
        <v>610.35978531985165</v>
      </c>
      <c r="E34" s="12">
        <f t="shared" si="10"/>
        <v>3231.8309718686651</v>
      </c>
      <c r="F34" s="12">
        <f t="shared" si="10"/>
        <v>3673.4441749158505</v>
      </c>
      <c r="G34" s="12">
        <f t="shared" si="10"/>
        <v>118.24932170037209</v>
      </c>
      <c r="H34" s="12">
        <f t="shared" si="10"/>
        <v>0</v>
      </c>
      <c r="I34" s="12">
        <f t="shared" si="10"/>
        <v>6204.7454476645944</v>
      </c>
      <c r="J34" s="12">
        <f t="shared" si="10"/>
        <v>44335.478781818521</v>
      </c>
      <c r="K34" s="12">
        <f t="shared" si="10"/>
        <v>54818.22571623922</v>
      </c>
      <c r="L34" s="4"/>
      <c r="M34" s="4"/>
      <c r="N34" s="4"/>
      <c r="O34" s="4"/>
    </row>
    <row r="35" spans="1:15">
      <c r="A35" s="4"/>
      <c r="B35" s="4" t="s">
        <v>38</v>
      </c>
      <c r="C35" s="18"/>
      <c r="D35" s="18">
        <f>+D34-C34</f>
        <v>-5411.9170924680202</v>
      </c>
      <c r="E35" s="18">
        <f t="shared" ref="E35:K35" si="11">+E34-D34</f>
        <v>2621.4711865488134</v>
      </c>
      <c r="F35" s="18">
        <f t="shared" si="11"/>
        <v>441.61320304718538</v>
      </c>
      <c r="G35" s="18">
        <f t="shared" si="11"/>
        <v>-3555.1948532154784</v>
      </c>
      <c r="H35" s="18">
        <f t="shared" si="11"/>
        <v>-118.24932170037209</v>
      </c>
      <c r="I35" s="18">
        <f t="shared" si="11"/>
        <v>6204.7454476645944</v>
      </c>
      <c r="J35" s="18">
        <f t="shared" si="11"/>
        <v>38130.733334153927</v>
      </c>
      <c r="K35" s="18">
        <f t="shared" si="11"/>
        <v>10482.746934420698</v>
      </c>
      <c r="L35" s="4"/>
      <c r="M35" s="4"/>
      <c r="N35" s="4"/>
      <c r="O35" s="4"/>
    </row>
    <row r="36" spans="1:1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17" t="str">
        <f ca="1">CELL("filename")</f>
        <v>I:\E52702\My Documents\[june 7 power cost.xls]Budget Deferral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ageMargins left="0.75" right="0.75" top="1" bottom="1" header="0.5" footer="0.5"/>
  <pageSetup scale="69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6"/>
  <sheetViews>
    <sheetView topLeftCell="D21" zoomScaleNormal="100" workbookViewId="0">
      <selection activeCell="G32" sqref="G32"/>
    </sheetView>
  </sheetViews>
  <sheetFormatPr defaultColWidth="9.109375" defaultRowHeight="13.8"/>
  <cols>
    <col min="1" max="1" width="5.88671875" style="5" customWidth="1"/>
    <col min="2" max="2" width="33.88671875" style="4" customWidth="1"/>
    <col min="3" max="3" width="11.5546875" style="3" bestFit="1" customWidth="1"/>
    <col min="4" max="4" width="10.6640625" style="3" bestFit="1" customWidth="1"/>
    <col min="5" max="5" width="10.44140625" style="3" bestFit="1" customWidth="1"/>
    <col min="6" max="7" width="10.6640625" style="3" bestFit="1" customWidth="1"/>
    <col min="8" max="8" width="10.5546875" style="3" bestFit="1" customWidth="1"/>
    <col min="9" max="11" width="10.6640625" style="3" bestFit="1" customWidth="1"/>
    <col min="12" max="14" width="10.44140625" style="3" bestFit="1" customWidth="1"/>
    <col min="15" max="15" width="11.44140625" style="3" bestFit="1" customWidth="1"/>
    <col min="16" max="16" width="1.6640625" style="4" customWidth="1"/>
    <col min="17" max="16384" width="9.109375" style="4"/>
  </cols>
  <sheetData>
    <row r="1" spans="1:15">
      <c r="A1" s="1">
        <v>1</v>
      </c>
      <c r="B1" s="2" t="s">
        <v>0</v>
      </c>
    </row>
    <row r="2" spans="1:15">
      <c r="A2" s="5">
        <f t="shared" ref="A2:A15" si="0">A1+1</f>
        <v>2</v>
      </c>
      <c r="B2" s="6" t="s">
        <v>1</v>
      </c>
      <c r="G2" s="7" t="s">
        <v>2</v>
      </c>
    </row>
    <row r="3" spans="1:15">
      <c r="A3" s="5">
        <f t="shared" si="0"/>
        <v>3</v>
      </c>
      <c r="B3" s="4" t="s">
        <v>3</v>
      </c>
      <c r="C3" s="3">
        <v>319417</v>
      </c>
      <c r="G3" s="3" t="s">
        <v>4</v>
      </c>
      <c r="I3" s="8">
        <v>0.5</v>
      </c>
    </row>
    <row r="4" spans="1:15">
      <c r="A4" s="5">
        <f t="shared" si="0"/>
        <v>4</v>
      </c>
      <c r="B4" s="4" t="s">
        <v>5</v>
      </c>
      <c r="C4" s="3">
        <v>2450</v>
      </c>
      <c r="G4" s="3" t="s">
        <v>6</v>
      </c>
      <c r="I4" s="8">
        <f>1-I3</f>
        <v>0.5</v>
      </c>
    </row>
    <row r="5" spans="1:15">
      <c r="A5" s="5">
        <f t="shared" si="0"/>
        <v>5</v>
      </c>
      <c r="B5" s="4" t="s">
        <v>7</v>
      </c>
      <c r="C5" s="3">
        <f>20762220/8760</f>
        <v>2370.1164383561645</v>
      </c>
      <c r="D5" s="9"/>
      <c r="N5" s="10"/>
      <c r="O5" s="11"/>
    </row>
    <row r="6" spans="1:15">
      <c r="A6" s="5">
        <f t="shared" si="0"/>
        <v>6</v>
      </c>
      <c r="B6" s="4" t="s">
        <v>8</v>
      </c>
      <c r="C6" s="3">
        <f>C3*(C4/C5)</f>
        <v>330182.78652282845</v>
      </c>
      <c r="G6" s="7" t="s">
        <v>9</v>
      </c>
      <c r="N6" s="10"/>
    </row>
    <row r="7" spans="1:15">
      <c r="A7" s="5">
        <f t="shared" si="0"/>
        <v>7</v>
      </c>
      <c r="B7" s="4" t="s">
        <v>10</v>
      </c>
      <c r="C7" s="3">
        <f>O13</f>
        <v>339528.42300000001</v>
      </c>
      <c r="G7" s="3" t="s">
        <v>4</v>
      </c>
      <c r="I7" s="8">
        <v>0.1</v>
      </c>
      <c r="N7" s="10"/>
    </row>
    <row r="8" spans="1:15">
      <c r="A8" s="5">
        <f t="shared" si="0"/>
        <v>8</v>
      </c>
      <c r="B8" s="4" t="s">
        <v>11</v>
      </c>
      <c r="C8" s="3">
        <f>(C6-C7)/12</f>
        <v>-778.80303976429661</v>
      </c>
      <c r="G8" s="3" t="s">
        <v>6</v>
      </c>
      <c r="I8" s="8">
        <f>1-I7</f>
        <v>0.9</v>
      </c>
      <c r="O8" s="8"/>
    </row>
    <row r="9" spans="1:15">
      <c r="A9" s="5">
        <f t="shared" si="0"/>
        <v>9</v>
      </c>
      <c r="B9" s="4" t="s">
        <v>12</v>
      </c>
      <c r="C9" s="3">
        <f>(47000*2)/12*1</f>
        <v>7833.333333333333</v>
      </c>
      <c r="D9" s="7" t="s">
        <v>13</v>
      </c>
    </row>
    <row r="10" spans="1:15">
      <c r="A10" s="5">
        <f t="shared" si="0"/>
        <v>10</v>
      </c>
      <c r="B10" s="4" t="s">
        <v>14</v>
      </c>
      <c r="C10" s="12">
        <f>+C9*0.6</f>
        <v>4700</v>
      </c>
      <c r="D10" s="7" t="s">
        <v>15</v>
      </c>
    </row>
    <row r="11" spans="1:15">
      <c r="A11" s="5">
        <f t="shared" si="0"/>
        <v>11</v>
      </c>
    </row>
    <row r="12" spans="1:15">
      <c r="A12" s="5">
        <f t="shared" si="0"/>
        <v>12</v>
      </c>
      <c r="C12" s="13" t="s">
        <v>16</v>
      </c>
      <c r="D12" s="13" t="s">
        <v>17</v>
      </c>
      <c r="E12" s="13" t="s">
        <v>18</v>
      </c>
      <c r="F12" s="13" t="s">
        <v>19</v>
      </c>
      <c r="G12" s="13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</row>
    <row r="13" spans="1:15">
      <c r="A13" s="5">
        <f t="shared" si="0"/>
        <v>13</v>
      </c>
      <c r="B13" s="4" t="s">
        <v>29</v>
      </c>
      <c r="C13" s="12">
        <v>57620.79</v>
      </c>
      <c r="D13" s="12">
        <v>10670.28</v>
      </c>
      <c r="E13" s="12">
        <v>-8108.8059999999996</v>
      </c>
      <c r="F13" s="12">
        <v>33703.019999999997</v>
      </c>
      <c r="G13" s="12">
        <v>22859.08</v>
      </c>
      <c r="H13" s="12">
        <v>-9726.1309999999994</v>
      </c>
      <c r="I13" s="12">
        <v>29567.79</v>
      </c>
      <c r="J13" s="12">
        <v>10970.53</v>
      </c>
      <c r="K13" s="12">
        <v>35406.42</v>
      </c>
      <c r="L13" s="12">
        <v>24257.87</v>
      </c>
      <c r="M13" s="12">
        <v>56019.41</v>
      </c>
      <c r="N13" s="12">
        <v>76288.17</v>
      </c>
      <c r="O13" s="3">
        <f>SUM(C13:N13)</f>
        <v>339528.42300000001</v>
      </c>
    </row>
    <row r="14" spans="1:15" s="6" customFormat="1">
      <c r="A14" s="5">
        <f t="shared" si="0"/>
        <v>14</v>
      </c>
      <c r="B14" s="6" t="s">
        <v>30</v>
      </c>
      <c r="C14" s="13">
        <f t="shared" ref="C14:N14" si="1">C13+$C$8</f>
        <v>56841.986960235707</v>
      </c>
      <c r="D14" s="13">
        <f t="shared" si="1"/>
        <v>9891.4769602357046</v>
      </c>
      <c r="E14" s="13">
        <f t="shared" si="1"/>
        <v>-8887.6090397642965</v>
      </c>
      <c r="F14" s="13">
        <f t="shared" si="1"/>
        <v>32924.216960235703</v>
      </c>
      <c r="G14" s="13">
        <f t="shared" si="1"/>
        <v>22080.276960235704</v>
      </c>
      <c r="H14" s="13">
        <f t="shared" si="1"/>
        <v>-10504.934039764295</v>
      </c>
      <c r="I14" s="13">
        <f t="shared" si="1"/>
        <v>28788.986960235703</v>
      </c>
      <c r="J14" s="13">
        <f t="shared" si="1"/>
        <v>10191.726960235705</v>
      </c>
      <c r="K14" s="13">
        <f t="shared" si="1"/>
        <v>34627.616960235704</v>
      </c>
      <c r="L14" s="13">
        <f t="shared" si="1"/>
        <v>23479.066960235701</v>
      </c>
      <c r="M14" s="13">
        <f t="shared" si="1"/>
        <v>55240.606960235709</v>
      </c>
      <c r="N14" s="13">
        <f t="shared" si="1"/>
        <v>75509.366960235697</v>
      </c>
      <c r="O14" s="13">
        <f>SUM(C14:N14)</f>
        <v>330182.78652282845</v>
      </c>
    </row>
    <row r="15" spans="1:15">
      <c r="A15" s="5">
        <f t="shared" si="0"/>
        <v>15</v>
      </c>
    </row>
    <row r="16" spans="1:15">
      <c r="A16" s="5">
        <f>+A15+1</f>
        <v>16</v>
      </c>
    </row>
    <row r="17" spans="1:17">
      <c r="A17" s="5">
        <f>+A16+1</f>
        <v>17</v>
      </c>
      <c r="B17" s="4" t="s">
        <v>31</v>
      </c>
      <c r="C17" s="3">
        <f t="shared" ref="C17:K17" si="2">C18+($C$10/2)</f>
        <v>63108.653626902371</v>
      </c>
      <c r="D17" s="3">
        <f t="shared" si="2"/>
        <v>16158.143626902371</v>
      </c>
      <c r="E17" s="3">
        <f t="shared" si="2"/>
        <v>-2620.9423730976305</v>
      </c>
      <c r="F17" s="3">
        <f t="shared" si="2"/>
        <v>39190.883626902367</v>
      </c>
      <c r="G17" s="3">
        <f t="shared" si="2"/>
        <v>28346.943626902372</v>
      </c>
      <c r="H17" s="3">
        <f t="shared" si="2"/>
        <v>-4238.2673730976294</v>
      </c>
      <c r="I17" s="3">
        <f t="shared" si="2"/>
        <v>35055.653626902371</v>
      </c>
      <c r="J17" s="3">
        <f t="shared" si="2"/>
        <v>16458.393626902369</v>
      </c>
      <c r="K17" s="3">
        <f t="shared" si="2"/>
        <v>40894.283626902368</v>
      </c>
      <c r="O17" s="3">
        <f>SUM(C17:K17)</f>
        <v>232353.74564212136</v>
      </c>
    </row>
    <row r="18" spans="1:17">
      <c r="A18" s="5">
        <f>A17+1</f>
        <v>18</v>
      </c>
      <c r="B18" s="4" t="s">
        <v>32</v>
      </c>
      <c r="C18" s="3">
        <f t="shared" ref="C18:K18" si="3">C19+($C$9/2)</f>
        <v>60758.653626902371</v>
      </c>
      <c r="D18" s="3">
        <f t="shared" si="3"/>
        <v>13808.143626902371</v>
      </c>
      <c r="E18" s="3">
        <f t="shared" si="3"/>
        <v>-4970.9423730976305</v>
      </c>
      <c r="F18" s="3">
        <f t="shared" si="3"/>
        <v>36840.883626902367</v>
      </c>
      <c r="G18" s="3">
        <f t="shared" si="3"/>
        <v>25996.943626902372</v>
      </c>
      <c r="H18" s="3">
        <f t="shared" si="3"/>
        <v>-6588.2673730976294</v>
      </c>
      <c r="I18" s="3">
        <f t="shared" si="3"/>
        <v>32705.653626902371</v>
      </c>
      <c r="J18" s="3">
        <f t="shared" si="3"/>
        <v>14108.393626902371</v>
      </c>
      <c r="K18" s="3">
        <f t="shared" si="3"/>
        <v>38544.283626902368</v>
      </c>
      <c r="O18" s="3">
        <f>O19+($C$9*(9/2))</f>
        <v>211203.74564212133</v>
      </c>
      <c r="Q18" s="3"/>
    </row>
    <row r="19" spans="1:17" s="6" customFormat="1">
      <c r="A19" s="5">
        <f>A18+1</f>
        <v>19</v>
      </c>
      <c r="B19" s="6" t="s">
        <v>30</v>
      </c>
      <c r="C19" s="13">
        <f t="shared" ref="C19:K19" si="4">C14</f>
        <v>56841.986960235707</v>
      </c>
      <c r="D19" s="13">
        <f t="shared" si="4"/>
        <v>9891.4769602357046</v>
      </c>
      <c r="E19" s="13">
        <f t="shared" si="4"/>
        <v>-8887.6090397642965</v>
      </c>
      <c r="F19" s="13">
        <f t="shared" si="4"/>
        <v>32924.216960235703</v>
      </c>
      <c r="G19" s="13">
        <f t="shared" si="4"/>
        <v>22080.276960235704</v>
      </c>
      <c r="H19" s="13">
        <f t="shared" si="4"/>
        <v>-10504.934039764295</v>
      </c>
      <c r="I19" s="13">
        <f t="shared" si="4"/>
        <v>28788.986960235703</v>
      </c>
      <c r="J19" s="13">
        <f t="shared" si="4"/>
        <v>10191.726960235705</v>
      </c>
      <c r="K19" s="13">
        <f t="shared" si="4"/>
        <v>34627.616960235704</v>
      </c>
      <c r="L19" s="13"/>
      <c r="M19" s="13"/>
      <c r="N19" s="13"/>
      <c r="O19" s="13">
        <f>SUM(C19:N19)</f>
        <v>175953.74564212133</v>
      </c>
      <c r="Q19" s="13"/>
    </row>
    <row r="20" spans="1:17">
      <c r="A20" s="5">
        <f>A19+1</f>
        <v>20</v>
      </c>
      <c r="B20" s="4" t="s">
        <v>33</v>
      </c>
      <c r="C20" s="3">
        <f t="shared" ref="C20:K20" si="5">C19-($C$9/2)</f>
        <v>52925.320293569042</v>
      </c>
      <c r="D20" s="3">
        <f t="shared" si="5"/>
        <v>5974.8102935690385</v>
      </c>
      <c r="E20" s="3">
        <f t="shared" si="5"/>
        <v>-12804.275706430963</v>
      </c>
      <c r="F20" s="3">
        <f t="shared" si="5"/>
        <v>29007.550293569035</v>
      </c>
      <c r="G20" s="3">
        <f t="shared" si="5"/>
        <v>18163.610293569036</v>
      </c>
      <c r="H20" s="3">
        <f t="shared" si="5"/>
        <v>-14421.600706430962</v>
      </c>
      <c r="I20" s="3">
        <f t="shared" si="5"/>
        <v>24872.320293569035</v>
      </c>
      <c r="J20" s="3">
        <f t="shared" si="5"/>
        <v>6275.0602935690385</v>
      </c>
      <c r="K20" s="3">
        <f t="shared" si="5"/>
        <v>30710.950293569036</v>
      </c>
      <c r="O20" s="3">
        <f>O19-($C$9*(9/2))</f>
        <v>140703.74564212133</v>
      </c>
    </row>
    <row r="21" spans="1:17">
      <c r="A21" s="5">
        <f>A20+1</f>
        <v>21</v>
      </c>
      <c r="B21" s="14" t="s">
        <v>34</v>
      </c>
      <c r="C21" s="3">
        <f t="shared" ref="C21:K21" si="6">C20-($C$10/2)</f>
        <v>50575.320293569042</v>
      </c>
      <c r="D21" s="3">
        <f t="shared" si="6"/>
        <v>3624.8102935690385</v>
      </c>
      <c r="E21" s="3">
        <f t="shared" si="6"/>
        <v>-15154.275706430963</v>
      </c>
      <c r="F21" s="3">
        <f t="shared" si="6"/>
        <v>26657.550293569035</v>
      </c>
      <c r="G21" s="3">
        <f t="shared" si="6"/>
        <v>15813.610293569036</v>
      </c>
      <c r="H21" s="3">
        <f t="shared" si="6"/>
        <v>-16771.60070643096</v>
      </c>
      <c r="I21" s="3">
        <f t="shared" si="6"/>
        <v>22522.320293569035</v>
      </c>
      <c r="J21" s="3">
        <f t="shared" si="6"/>
        <v>3925.0602935690385</v>
      </c>
      <c r="K21" s="3">
        <f t="shared" si="6"/>
        <v>28360.950293569036</v>
      </c>
      <c r="O21" s="15">
        <f>SUM(C21:N21)</f>
        <v>119553.74564212134</v>
      </c>
    </row>
    <row r="22" spans="1:17">
      <c r="B22" s="14"/>
      <c r="O22" s="15"/>
    </row>
    <row r="23" spans="1:17">
      <c r="B23" s="16" t="s">
        <v>35</v>
      </c>
      <c r="O23" s="15"/>
    </row>
    <row r="24" spans="1:17">
      <c r="A24" s="5">
        <f>+A21+1</f>
        <v>22</v>
      </c>
      <c r="B24" s="4" t="s">
        <v>31</v>
      </c>
      <c r="C24" s="3">
        <f>+C17</f>
        <v>63108.653626902371</v>
      </c>
      <c r="D24" s="3">
        <f t="shared" ref="D24:K28" si="7">+C24+D17</f>
        <v>79266.797253804747</v>
      </c>
      <c r="E24" s="3">
        <f t="shared" si="7"/>
        <v>76645.85488070712</v>
      </c>
      <c r="F24" s="3">
        <f t="shared" si="7"/>
        <v>115836.73850760949</v>
      </c>
      <c r="G24" s="3">
        <f t="shared" si="7"/>
        <v>144183.68213451188</v>
      </c>
      <c r="H24" s="3">
        <f t="shared" si="7"/>
        <v>139945.41476141426</v>
      </c>
      <c r="I24" s="3">
        <f t="shared" si="7"/>
        <v>175001.06838831663</v>
      </c>
      <c r="J24" s="3">
        <f t="shared" si="7"/>
        <v>191459.462015219</v>
      </c>
      <c r="K24" s="3">
        <f t="shared" si="7"/>
        <v>232353.74564212136</v>
      </c>
      <c r="O24" s="15"/>
    </row>
    <row r="25" spans="1:17">
      <c r="A25" s="5">
        <f>+A24+1</f>
        <v>23</v>
      </c>
      <c r="B25" s="4" t="s">
        <v>32</v>
      </c>
      <c r="C25" s="3">
        <f>+C18</f>
        <v>60758.653626902371</v>
      </c>
      <c r="D25" s="3">
        <f t="shared" si="7"/>
        <v>74566.797253804747</v>
      </c>
      <c r="E25" s="3">
        <f t="shared" si="7"/>
        <v>69595.85488070712</v>
      </c>
      <c r="F25" s="3">
        <f t="shared" si="7"/>
        <v>106436.73850760949</v>
      </c>
      <c r="G25" s="3">
        <f t="shared" si="7"/>
        <v>132433.68213451188</v>
      </c>
      <c r="H25" s="3">
        <f t="shared" si="7"/>
        <v>125845.41476141426</v>
      </c>
      <c r="I25" s="3">
        <f t="shared" si="7"/>
        <v>158551.06838831663</v>
      </c>
      <c r="J25" s="3">
        <f t="shared" si="7"/>
        <v>172659.462015219</v>
      </c>
      <c r="K25" s="3">
        <f t="shared" si="7"/>
        <v>211203.74564212136</v>
      </c>
      <c r="O25" s="15"/>
      <c r="Q25" s="3"/>
    </row>
    <row r="26" spans="1:17">
      <c r="A26" s="5">
        <f>+A25+1</f>
        <v>24</v>
      </c>
      <c r="B26" s="6" t="s">
        <v>30</v>
      </c>
      <c r="C26" s="13">
        <f>+C19</f>
        <v>56841.986960235707</v>
      </c>
      <c r="D26" s="13">
        <f t="shared" si="7"/>
        <v>66733.463920471404</v>
      </c>
      <c r="E26" s="13">
        <f t="shared" si="7"/>
        <v>57845.854880707106</v>
      </c>
      <c r="F26" s="13">
        <f t="shared" si="7"/>
        <v>90770.071840942808</v>
      </c>
      <c r="G26" s="13">
        <f t="shared" si="7"/>
        <v>112850.34880117851</v>
      </c>
      <c r="H26" s="13">
        <f t="shared" si="7"/>
        <v>102345.41476141421</v>
      </c>
      <c r="I26" s="13">
        <f t="shared" si="7"/>
        <v>131134.40172164992</v>
      </c>
      <c r="J26" s="13">
        <f t="shared" si="7"/>
        <v>141326.12868188563</v>
      </c>
      <c r="K26" s="13">
        <f t="shared" si="7"/>
        <v>175953.74564212133</v>
      </c>
      <c r="L26" s="13"/>
      <c r="M26" s="13"/>
      <c r="N26" s="13"/>
      <c r="O26" s="13"/>
      <c r="Q26" s="3"/>
    </row>
    <row r="27" spans="1:17">
      <c r="A27" s="5">
        <f>+A26+1</f>
        <v>25</v>
      </c>
      <c r="B27" s="4" t="s">
        <v>33</v>
      </c>
      <c r="C27" s="3">
        <f>+C20</f>
        <v>52925.320293569042</v>
      </c>
      <c r="D27" s="3">
        <f t="shared" si="7"/>
        <v>58900.130587138083</v>
      </c>
      <c r="E27" s="3">
        <f t="shared" si="7"/>
        <v>46095.85488070712</v>
      </c>
      <c r="F27" s="3">
        <f t="shared" si="7"/>
        <v>75103.405174276151</v>
      </c>
      <c r="G27" s="3">
        <f t="shared" si="7"/>
        <v>93267.015467845195</v>
      </c>
      <c r="H27" s="3">
        <f t="shared" si="7"/>
        <v>78845.414761414228</v>
      </c>
      <c r="I27" s="3">
        <f t="shared" si="7"/>
        <v>103717.73505498326</v>
      </c>
      <c r="J27" s="3">
        <f t="shared" si="7"/>
        <v>109992.7953485523</v>
      </c>
      <c r="K27" s="3">
        <f t="shared" si="7"/>
        <v>140703.74564212133</v>
      </c>
      <c r="O27" s="15"/>
    </row>
    <row r="28" spans="1:17">
      <c r="A28" s="5">
        <f>+A27+1</f>
        <v>26</v>
      </c>
      <c r="B28" s="14" t="s">
        <v>34</v>
      </c>
      <c r="C28" s="3">
        <f>+C21</f>
        <v>50575.320293569042</v>
      </c>
      <c r="D28" s="3">
        <f t="shared" si="7"/>
        <v>54200.130587138083</v>
      </c>
      <c r="E28" s="3">
        <f t="shared" si="7"/>
        <v>39045.85488070712</v>
      </c>
      <c r="F28" s="3">
        <f t="shared" si="7"/>
        <v>65703.405174276151</v>
      </c>
      <c r="G28" s="3">
        <f t="shared" si="7"/>
        <v>81517.015467845195</v>
      </c>
      <c r="H28" s="3">
        <f t="shared" si="7"/>
        <v>64745.414761414235</v>
      </c>
      <c r="I28" s="3">
        <f t="shared" si="7"/>
        <v>87267.735054983263</v>
      </c>
      <c r="J28" s="3">
        <f t="shared" si="7"/>
        <v>91192.795348552303</v>
      </c>
      <c r="K28" s="3">
        <f t="shared" si="7"/>
        <v>119553.74564212134</v>
      </c>
      <c r="O28" s="15"/>
    </row>
    <row r="29" spans="1:17">
      <c r="B29" s="14"/>
    </row>
    <row r="32" spans="1:17">
      <c r="A32" s="4"/>
      <c r="B32" s="4" t="s">
        <v>40</v>
      </c>
      <c r="C32" s="20">
        <v>99200</v>
      </c>
      <c r="D32" s="20">
        <v>65949</v>
      </c>
      <c r="E32" s="20">
        <v>48478</v>
      </c>
      <c r="F32" s="20">
        <v>41502</v>
      </c>
      <c r="G32" s="20">
        <v>25115</v>
      </c>
      <c r="H32" s="20">
        <v>-3841</v>
      </c>
      <c r="I32" s="20">
        <v>65183</v>
      </c>
      <c r="J32" s="20">
        <v>41519</v>
      </c>
      <c r="K32" s="20">
        <v>48854</v>
      </c>
      <c r="L32" s="4"/>
      <c r="M32" s="4"/>
      <c r="N32" s="4"/>
      <c r="O32" s="4"/>
    </row>
    <row r="33" spans="1:15">
      <c r="A33" s="4"/>
      <c r="B33" s="4" t="s">
        <v>36</v>
      </c>
      <c r="C33" s="18">
        <f>+C32</f>
        <v>99200</v>
      </c>
      <c r="D33" s="18">
        <f t="shared" ref="D33:K33" si="8">+C33+D32</f>
        <v>165149</v>
      </c>
      <c r="E33" s="18">
        <f t="shared" si="8"/>
        <v>213627</v>
      </c>
      <c r="F33" s="18">
        <f t="shared" si="8"/>
        <v>255129</v>
      </c>
      <c r="G33" s="18">
        <f t="shared" si="8"/>
        <v>280244</v>
      </c>
      <c r="H33" s="18">
        <f t="shared" si="8"/>
        <v>276403</v>
      </c>
      <c r="I33" s="18">
        <f t="shared" si="8"/>
        <v>341586</v>
      </c>
      <c r="J33" s="18">
        <f t="shared" si="8"/>
        <v>383105</v>
      </c>
      <c r="K33" s="18">
        <f t="shared" si="8"/>
        <v>431959</v>
      </c>
      <c r="L33" s="4"/>
      <c r="M33" s="4"/>
      <c r="N33" s="4"/>
      <c r="O33" s="4"/>
    </row>
    <row r="34" spans="1:15">
      <c r="A34" s="4"/>
      <c r="B34" s="4" t="s">
        <v>37</v>
      </c>
      <c r="C34" s="12">
        <f t="shared" ref="C34:K34" si="9">IF(C33&gt;C24,(C33-C24)*0.9+(C24-C25)*0.5,IF(C33&gt;C25,(C33-C25)*0.5,IF(C33&lt;C27,(C27-C33)*0.5,IF(C33&lt;C28,(C28-C33)*0.9+(C28-C27)*0.5,0))))</f>
        <v>33657.211735787867</v>
      </c>
      <c r="D34" s="12">
        <f t="shared" si="9"/>
        <v>79643.982471575728</v>
      </c>
      <c r="E34" s="12">
        <f t="shared" si="9"/>
        <v>126808.0306073636</v>
      </c>
      <c r="F34" s="12">
        <f t="shared" si="9"/>
        <v>130063.03534315145</v>
      </c>
      <c r="G34" s="12">
        <f t="shared" si="9"/>
        <v>128329.28607893932</v>
      </c>
      <c r="H34" s="12">
        <f t="shared" si="9"/>
        <v>129861.82671472717</v>
      </c>
      <c r="I34" s="12">
        <f t="shared" si="9"/>
        <v>158151.43845051504</v>
      </c>
      <c r="J34" s="12">
        <f t="shared" si="9"/>
        <v>181880.9841863029</v>
      </c>
      <c r="K34" s="12">
        <f t="shared" si="9"/>
        <v>190219.72892209078</v>
      </c>
      <c r="L34" s="4"/>
      <c r="M34" s="4"/>
      <c r="N34" s="4"/>
      <c r="O34" s="4"/>
    </row>
    <row r="35" spans="1:15">
      <c r="A35" s="4"/>
      <c r="B35" s="4" t="s">
        <v>38</v>
      </c>
      <c r="C35" s="18"/>
      <c r="D35" s="18">
        <f t="shared" ref="D35:K35" si="10">+D34-C34</f>
        <v>45986.770735787861</v>
      </c>
      <c r="E35" s="18">
        <f t="shared" si="10"/>
        <v>47164.048135787874</v>
      </c>
      <c r="F35" s="18">
        <f t="shared" si="10"/>
        <v>3255.0047357878502</v>
      </c>
      <c r="G35" s="18">
        <f t="shared" si="10"/>
        <v>-1733.749264212136</v>
      </c>
      <c r="H35" s="18">
        <f t="shared" si="10"/>
        <v>1532.5406357878528</v>
      </c>
      <c r="I35" s="18">
        <f t="shared" si="10"/>
        <v>28289.611735787868</v>
      </c>
      <c r="J35" s="18">
        <f t="shared" si="10"/>
        <v>23729.545735787862</v>
      </c>
      <c r="K35" s="18">
        <f t="shared" si="10"/>
        <v>8338.7447357878846</v>
      </c>
      <c r="L35" s="4"/>
      <c r="M35" s="4"/>
      <c r="N35" s="4"/>
      <c r="O35" s="4"/>
    </row>
    <row r="36" spans="1:15">
      <c r="A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>
      <c r="A37" s="4"/>
      <c r="B37" s="17" t="str">
        <f ca="1">CELL("filename")</f>
        <v>I:\E52702\My Documents\[june 7 power cost.xls]Budget Deferral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>
      <c r="A38" s="4"/>
      <c r="C38" s="12"/>
      <c r="D38" s="12"/>
      <c r="E38" s="12"/>
      <c r="F38" s="12"/>
      <c r="G38" s="12"/>
      <c r="H38" s="12"/>
      <c r="I38" s="12"/>
      <c r="J38" s="12"/>
      <c r="K38" s="12"/>
      <c r="L38" s="4"/>
      <c r="M38" s="4"/>
      <c r="N38" s="4"/>
      <c r="O38" s="4"/>
    </row>
    <row r="39" spans="1:15">
      <c r="A39" s="4"/>
      <c r="C39" s="12"/>
      <c r="D39" s="12"/>
      <c r="E39" s="12"/>
      <c r="F39" s="12"/>
      <c r="G39" s="12"/>
      <c r="H39" s="12"/>
      <c r="I39" s="12"/>
      <c r="J39" s="12"/>
      <c r="K39" s="12"/>
      <c r="L39" s="4"/>
      <c r="M39" s="4"/>
      <c r="N39" s="4"/>
      <c r="O39" s="4"/>
    </row>
    <row r="40" spans="1:15">
      <c r="A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>
      <c r="A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>
      <c r="A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>
      <c r="A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>
      <c r="A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>
      <c r="A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>
      <c r="A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>
      <c r="A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>
      <c r="A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>
      <c r="A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>
      <c r="A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>
      <c r="A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>
      <c r="A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>
      <c r="A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>
      <c r="A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>
      <c r="A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>
      <c r="A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</sheetData>
  <pageMargins left="0.75" right="0.75" top="1" bottom="1" header="0.5" footer="0.5"/>
  <pageSetup scale="69" orientation="landscape" r:id="rId1"/>
  <headerFooter alignWithMargins="0">
    <oddHeader>&amp;R&amp;D &amp;T</oddHeader>
  </headerFooter>
  <rowBreaks count="1" manualBreakCount="1">
    <brk id="30" max="1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June 7 Power Cost Forecast</vt:lpstr>
      <vt:lpstr>June 7 deferral</vt:lpstr>
      <vt:lpstr>Budget Deferral</vt:lpstr>
      <vt:lpstr>Sheet1</vt:lpstr>
      <vt:lpstr>Sheet2</vt:lpstr>
      <vt:lpstr>Sheet3</vt:lpstr>
      <vt:lpstr>'Budget Deferral'!Print_Area</vt:lpstr>
      <vt:lpstr>'June 7 deferral'!Print_Area</vt:lpstr>
    </vt:vector>
  </TitlesOfParts>
  <Company>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Piro</dc:creator>
  <cp:lastModifiedBy>Havlíček Jan</cp:lastModifiedBy>
  <dcterms:created xsi:type="dcterms:W3CDTF">2001-06-11T21:21:25Z</dcterms:created>
  <dcterms:modified xsi:type="dcterms:W3CDTF">2023-09-10T12:05:03Z</dcterms:modified>
</cp:coreProperties>
</file>