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076" tabRatio="749"/>
  </bookViews>
  <sheets>
    <sheet name="MAJORS" sheetId="1" r:id="rId1"/>
    <sheet name="US INTEGRATEDS" sheetId="2" r:id="rId2"/>
    <sheet name="INTERNATIONAL INTEGRATEDS" sheetId="17" r:id="rId3"/>
    <sheet name="GAS PIPELINES" sheetId="12" r:id="rId4"/>
    <sheet name="REFINING" sheetId="11" r:id="rId5"/>
    <sheet name="RETAIL &amp; LUBES" sheetId="10" r:id="rId6"/>
    <sheet name="LARGE E&amp;P" sheetId="9" r:id="rId7"/>
    <sheet name="MID E&amp;P" sheetId="8" r:id="rId8"/>
    <sheet name="SMALL E&amp;P" sheetId="7" r:id="rId9"/>
    <sheet name="EUROPEAN E&amp;P" sheetId="18" r:id="rId10"/>
    <sheet name="MLP" sheetId="6" r:id="rId11"/>
    <sheet name="__FDSCACHE__" sheetId="66" state="veryHidden" r:id="rId12"/>
    <sheet name="OILFIELD SERVICES" sheetId="61" r:id="rId13"/>
    <sheet name="EUROPEAN OILFIELD SERVICES" sheetId="19" r:id="rId14"/>
    <sheet name="OFFSHORE OILFIELD SERVICES" sheetId="4" r:id="rId15"/>
    <sheet name="LAND DRILLING" sheetId="15" r:id="rId16"/>
    <sheet name="CANANDIAN" sheetId="14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</externalReferences>
  <definedNames>
    <definedName name="_1900_Minority_Interest">#REF!</definedName>
    <definedName name="_1995_Asset_Sales">#REF!</definedName>
    <definedName name="_1995_Capex">#REF!</definedName>
    <definedName name="_1995_Capitalized_Interest">#REF!</definedName>
    <definedName name="_1995_Cash_Flow">#REF!</definedName>
    <definedName name="_1995_Current_Income_Tax">#REF!</definedName>
    <definedName name="_1995_DD_A">#REF!</definedName>
    <definedName name="_1995_Deferred_Income_Tax">#REF!</definedName>
    <definedName name="_1995_EBIT">#REF!</definedName>
    <definedName name="_1995_EBITDAX">#REF!</definedName>
    <definedName name="_1995_Exploration_Expense">#REF!</definedName>
    <definedName name="_1995_Interest_Expense">#REF!</definedName>
    <definedName name="_1995_Net_Income">#REF!</definedName>
    <definedName name="_1995_Other_Income">#REF!</definedName>
    <definedName name="_1995_Other_Non_Cash_Items">#REF!</definedName>
    <definedName name="_1995_Revenue">#REF!</definedName>
    <definedName name="_1995_Weighted_Average_Shares_Outstanding">#REF!</definedName>
    <definedName name="_1997E_Asset_Sales">#REF!</definedName>
    <definedName name="_1997E_Capex">#REF!</definedName>
    <definedName name="_1997E_Capitalized_Interest">#REF!</definedName>
    <definedName name="_1997E_Cash_Flow">#REF!</definedName>
    <definedName name="_1997E_Current_Income_Tax">#REF!</definedName>
    <definedName name="_1997E_DD_A">#REF!</definedName>
    <definedName name="_1997E_Deferred_Income_Tax">#REF!</definedName>
    <definedName name="_1997E_EBIT">#REF!</definedName>
    <definedName name="_1997E_EBITDAX">#REF!</definedName>
    <definedName name="_1997E_Exploration_Expense">#REF!</definedName>
    <definedName name="_1997E_Interest_Expense">#REF!</definedName>
    <definedName name="_1997E_Minority_Interest">#REF!</definedName>
    <definedName name="_1997E_Net_Income">#REF!</definedName>
    <definedName name="_1997E_Other_Income">#REF!</definedName>
    <definedName name="_1997E_Other_Non_Cash_Items">#REF!</definedName>
    <definedName name="_1997E_Revenue">#REF!</definedName>
    <definedName name="_1997E_Weighted_Average_Shares_Outstanding">#REF!</definedName>
    <definedName name="_1998E_Asset_Sales">#REF!</definedName>
    <definedName name="_1998E_Capex">#REF!</definedName>
    <definedName name="_1998E_Capitalized_Interest">#REF!</definedName>
    <definedName name="_1998E_Cash_Flow">#REF!</definedName>
    <definedName name="_1998E_Current_Income_Tax">#REF!</definedName>
    <definedName name="_1998E_DD_A">#REF!</definedName>
    <definedName name="_1998E_Deferred_Income_Tax">#REF!</definedName>
    <definedName name="_1998E_EBIT">#REF!</definedName>
    <definedName name="_1998E_EBITDAX">#REF!</definedName>
    <definedName name="_1998E_Exploration_Expense">#REF!</definedName>
    <definedName name="_1998E_Interest_Expense">#REF!</definedName>
    <definedName name="_1998E_Minority_Interest">#REF!</definedName>
    <definedName name="_1998E_Net_Income">#REF!</definedName>
    <definedName name="_1998E_Other_Income">#REF!</definedName>
    <definedName name="_1998E_Other_Non_Cash_Items">#REF!</definedName>
    <definedName name="_1998E_Revenue">#REF!</definedName>
    <definedName name="_1998E_Weighted_Average_Shares_Outstanding">#REF!</definedName>
    <definedName name="_1999E_Asset_Sales">#REF!</definedName>
    <definedName name="_1999E_Capex">#REF!</definedName>
    <definedName name="_1999E_Capitalized_Interest">#REF!</definedName>
    <definedName name="_1999E_Cash_Flow">#REF!</definedName>
    <definedName name="_1999E_Current_Income_Tax">#REF!</definedName>
    <definedName name="_1999E_DD_A">#REF!</definedName>
    <definedName name="_1999E_Deferred_Income_Tax">#REF!</definedName>
    <definedName name="_1999E_EBIT">#REF!</definedName>
    <definedName name="_1999E_EBITDAX">#REF!</definedName>
    <definedName name="_1999E_Exploration_Expense">#REF!</definedName>
    <definedName name="_1999E_Interest_Expense">#REF!</definedName>
    <definedName name="_1999E_Minority_Interest">#REF!</definedName>
    <definedName name="_1999E_Net_Income">#REF!</definedName>
    <definedName name="_1999E_Other_Income">#REF!</definedName>
    <definedName name="_1999E_Other_Non_Cash_Items">#REF!</definedName>
    <definedName name="_1999E_Revenue">#REF!</definedName>
    <definedName name="_1999E_Weighted_Average_Shares_Outstanding">#REF!</definedName>
    <definedName name="_2000E_Asset_Sales">#REF!</definedName>
    <definedName name="_2000E_Capex">#REF!</definedName>
    <definedName name="_2000E_Capitalized_Interest">#REF!</definedName>
    <definedName name="_2000E_Cash_Flow">#REF!</definedName>
    <definedName name="_2000E_Current_Income_Tax">#REF!</definedName>
    <definedName name="_2000E_DD_A">#REF!</definedName>
    <definedName name="_2000E_Deferred_Income_Tax">#REF!</definedName>
    <definedName name="_2000E_EBIT">#REF!</definedName>
    <definedName name="_2000E_EBITDAX">#REF!</definedName>
    <definedName name="_2000E_Exploration_Expense">#REF!</definedName>
    <definedName name="_2000E_Interest_Expense">#REF!</definedName>
    <definedName name="_2000E_Minority_Interest">#REF!</definedName>
    <definedName name="_2000E_Net_Income">#REF!</definedName>
    <definedName name="_2000E_Other_Income">#REF!</definedName>
    <definedName name="_2000E_Other_Non_Cash_Items">#REF!</definedName>
    <definedName name="_2000E_Revenue">#REF!</definedName>
    <definedName name="_2000E_Weighted_Average_Shares_Outstanding">#REF!</definedName>
    <definedName name="_9_30_95_Asset_Sales">#REF!</definedName>
    <definedName name="_9_30_95_Capex">#REF!</definedName>
    <definedName name="_9_30_95_Capitalized_Interest">#REF!</definedName>
    <definedName name="_9_30_95_Cash_Flow">#REF!</definedName>
    <definedName name="_9_30_95_Current_Income_Tax">#REF!</definedName>
    <definedName name="_9_30_95_DD_A">#REF!</definedName>
    <definedName name="_9_30_95_Deferred_Income_Tax">#REF!</definedName>
    <definedName name="_9_30_95_EBIT">#REF!</definedName>
    <definedName name="_9_30_95_EBITDAX">#REF!</definedName>
    <definedName name="_9_30_95_Exploration_Expense">#REF!</definedName>
    <definedName name="_9_30_95_Interest_Expense">#REF!</definedName>
    <definedName name="_9_30_95_Minority_Interest">#REF!</definedName>
    <definedName name="_9_30_95_Net_Income">#REF!</definedName>
    <definedName name="_9_30_95_Other_Income">#REF!</definedName>
    <definedName name="_9_30_95_Other_Non_Cash_Items">#REF!</definedName>
    <definedName name="_9_30_95_Revenue">#REF!</definedName>
    <definedName name="_9_30_95_Weighted_Average_Shares_Outstanding">#REF!</definedName>
    <definedName name="_9_30_96_Asset_Sales">#REF!</definedName>
    <definedName name="_9_30_96_Capex">#REF!</definedName>
    <definedName name="_9_30_96_Capitalized_Interest">#REF!</definedName>
    <definedName name="_9_30_96_Cash_Flow">#REF!</definedName>
    <definedName name="_9_30_96_Current_Income_Tax">#REF!</definedName>
    <definedName name="_9_30_96_DD_A">#REF!</definedName>
    <definedName name="_9_30_96_Deferred_Income_Tax">#REF!</definedName>
    <definedName name="_9_30_96_EBIT">#REF!</definedName>
    <definedName name="_9_30_96_EBITDAX">#REF!</definedName>
    <definedName name="_9_30_96_Exploration_Expense">#REF!</definedName>
    <definedName name="_9_30_96_Interest_Expense">#REF!</definedName>
    <definedName name="_9_30_96_Minority_Interest">#REF!</definedName>
    <definedName name="_9_30_96_Net_Income">#REF!</definedName>
    <definedName name="_9_30_96_Other_Income">#REF!</definedName>
    <definedName name="_9_30_96_Other_Non_Cash_Items">#REF!</definedName>
    <definedName name="_9_30_96_Revenue">#REF!</definedName>
    <definedName name="_9_30_96_Weighted_Average_Shares_Outstanding">#REF!</definedName>
    <definedName name="Adjusted_Market_Value">#REF!</definedName>
    <definedName name="After_Tax_SEC_PV_10">#REF!</definedName>
    <definedName name="AMV____Net_PP_E">#REF!</definedName>
    <definedName name="AMV___1997E_EBITDAX">#REF!</definedName>
    <definedName name="AMV___1998E_EBITDAX">#REF!</definedName>
    <definedName name="AMV___After_Tax_SEC_10_Value">#REF!</definedName>
    <definedName name="AMV___LTM_EBITDAX">#REF!</definedName>
    <definedName name="AMV___Proved_BOE">#REF!</definedName>
    <definedName name="AQP">#REF!</definedName>
    <definedName name="BRG">#REF!</definedName>
    <definedName name="cd_Start_year">[3]cd_Data!$C$3</definedName>
    <definedName name="CEUS">#REF!</definedName>
    <definedName name="CG">#REF!</definedName>
    <definedName name="CGP">#REF!</definedName>
    <definedName name="CNG">#REF!</definedName>
    <definedName name="COG">#REF!</definedName>
    <definedName name="Common_Shareholders__Equity">#REF!</definedName>
    <definedName name="Company_Name">#REF!</definedName>
    <definedName name="Convertible_Debt">#REF!</definedName>
    <definedName name="currency">#REF!</definedName>
    <definedName name="denomination">#REF!</definedName>
    <definedName name="DGP">#REF!</definedName>
    <definedName name="Dividend_Yield">#REF!</definedName>
    <definedName name="E">#REF!</definedName>
    <definedName name="EEX">#REF!</definedName>
    <definedName name="ELF">#REF!</definedName>
    <definedName name="ENE">#REF!</definedName>
    <definedName name="EPG">#REF!</definedName>
    <definedName name="Exchange">#REF!</definedName>
    <definedName name="Fully_Diluted_Shares_Outstanding__Millions">#REF!</definedName>
    <definedName name="Gas_as_a___of_Total">#REF!</definedName>
    <definedName name="Indicated_Annual_Dividend">#REF!</definedName>
    <definedName name="IPPIF">#REF!</definedName>
    <definedName name="KNE">#REF!</definedName>
    <definedName name="Less__Cash_and_Equivalents">#REF!</definedName>
    <definedName name="Long_Term_Debt">#REF!</definedName>
    <definedName name="LTM_Asset_Sales">#REF!</definedName>
    <definedName name="LTM_ATCF___LTM_Revenues">#REF!</definedName>
    <definedName name="LTM_Capex">#REF!</definedName>
    <definedName name="LTM_Capitalized_Interest">#REF!</definedName>
    <definedName name="LTM_Cash_Flow">#REF!</definedName>
    <definedName name="LTM_Current_Income_Tax">#REF!</definedName>
    <definedName name="LTM_DD_A">#REF!</definedName>
    <definedName name="LTM_Deferred_Income_Tax">#REF!</definedName>
    <definedName name="LTM_EBIT">#REF!</definedName>
    <definedName name="LTM_EBITDAX">#REF!</definedName>
    <definedName name="LTM_Exploration_Expense">#REF!</definedName>
    <definedName name="LTM_High">#REF!</definedName>
    <definedName name="LTM_Interest_Expense">#REF!</definedName>
    <definedName name="LTM_Low">#REF!</definedName>
    <definedName name="LTM_Minority_Interest">#REF!</definedName>
    <definedName name="LTM_Net_Income">#REF!</definedName>
    <definedName name="LTM_Non_Cash_Items">#REF!</definedName>
    <definedName name="LTM_Other_Income">#REF!</definedName>
    <definedName name="LTM_Revenue">#REF!</definedName>
    <definedName name="LTM_Weighted_Average_Shares_Outstanding">#REF!</definedName>
    <definedName name="Market____Book_Value">#REF!</definedName>
    <definedName name="Market_Value">#REF!</definedName>
    <definedName name="Market_Value___Book_Value">#REF!</definedName>
    <definedName name="Market_Value_1">#REF!</definedName>
    <definedName name="Market_Value_of_Reserves___After_Tax_SEC_10_Value">#REF!</definedName>
    <definedName name="Market_Value_of_Reserves___Proved_BOE">#REF!</definedName>
    <definedName name="Market_Value_of_Reserves___Proved_BOE_10">#REF!</definedName>
    <definedName name="Minority_Interest">#REF!</definedName>
    <definedName name="MV___1997E_Cash_Flow">#REF!</definedName>
    <definedName name="MV___1997E_Net_Income">#REF!</definedName>
    <definedName name="MV___1998E_Cash_Flow">#REF!</definedName>
    <definedName name="MV___1998E_Net_Income">#REF!</definedName>
    <definedName name="MV___LTM_Cash_Flow">#REF!</definedName>
    <definedName name="MV___LTM_Net_Income">#REF!</definedName>
    <definedName name="NCA">#REF!</definedName>
    <definedName name="NESV">#REF!</definedName>
    <definedName name="Net_Total_Book_Capitalization">#REF!</definedName>
    <definedName name="NGL">#REF!</definedName>
    <definedName name="NHY">#REF!</definedName>
    <definedName name="NYH">#REF!</definedName>
    <definedName name="OMVAY">#REF!</definedName>
    <definedName name="PEL">#REF!</definedName>
    <definedName name="Preferred_Stock">#REF!</definedName>
    <definedName name="_xlnm.Print_Area" localSheetId="16">CANANDIAN!$A$1:$X$61</definedName>
    <definedName name="_xlnm.Print_Area" localSheetId="9">'EUROPEAN E&amp;P'!$A$2:$Z$37</definedName>
    <definedName name="_xlnm.Print_Area" localSheetId="13">'EUROPEAN OILFIELD SERVICES'!$B$2:$V$49</definedName>
    <definedName name="_xlnm.Print_Area" localSheetId="3">'GAS PIPELINES'!$A$1:$Z$48</definedName>
    <definedName name="_xlnm.Print_Area" localSheetId="2">'INTERNATIONAL INTEGRATEDS'!$A$2:$Z$47</definedName>
    <definedName name="_xlnm.Print_Area" localSheetId="15">'LAND DRILLING'!$A$1:$Z$50</definedName>
    <definedName name="_xlnm.Print_Area" localSheetId="6">'LARGE E&amp;P'!$A$1:$Z$50</definedName>
    <definedName name="_xlnm.Print_Area" localSheetId="0">MAJORS!$A$1:$Z$48</definedName>
    <definedName name="_xlnm.Print_Area" localSheetId="7">'MID E&amp;P'!$A$1:$Z$65</definedName>
    <definedName name="_xlnm.Print_Area" localSheetId="10">MLP!$A$1:$AA$48</definedName>
    <definedName name="_xlnm.Print_Area" localSheetId="14">'OFFSHORE OILFIELD SERVICES'!$A$1:$Z$46</definedName>
    <definedName name="_xlnm.Print_Area" localSheetId="12">'OILFIELD SERVICES'!$A$1:$Z$71</definedName>
    <definedName name="_xlnm.Print_Area" localSheetId="4">REFINING!$A$1:$Z$46</definedName>
    <definedName name="_xlnm.Print_Area" localSheetId="5">'RETAIL &amp; LUBES'!$A$1:$Z$48</definedName>
    <definedName name="_xlnm.Print_Area" localSheetId="8">'SMALL E&amp;P'!$A$1:$Z$79</definedName>
    <definedName name="_xlnm.Print_Area" localSheetId="1">'US INTEGRATEDS'!$A$1:$W$46</definedName>
    <definedName name="PTRFY">#REF!</definedName>
    <definedName name="REP">#REF!</definedName>
    <definedName name="res_switch">#REF!</definedName>
    <definedName name="Share_Price">#REF!</definedName>
    <definedName name="Shares_Outstanding">#REF!</definedName>
    <definedName name="Short_Term_Debt">#REF!</definedName>
    <definedName name="SNT">#REF!</definedName>
    <definedName name="SWN">#REF!</definedName>
    <definedName name="TAX_RATE">#REF!</definedName>
    <definedName name="TEJ">#REF!</definedName>
    <definedName name="THX">#REF!</definedName>
    <definedName name="Ticker">#REF!</definedName>
    <definedName name="Ticker_Symbol">#REF!</definedName>
    <definedName name="TOT">#REF!</definedName>
    <definedName name="Total__MMboe___Year__Production">#REF!</definedName>
    <definedName name="Total__MMboe__Reserves">#REF!</definedName>
    <definedName name="Total_Book_Capitalization">#REF!</definedName>
    <definedName name="Total_Debt___Total_Book_Capitalization">#REF!</definedName>
    <definedName name="Total_Debt___Total_Market_Capitalization">#REF!</definedName>
    <definedName name="TPC">#REF!</definedName>
    <definedName name="TRP">#REF!</definedName>
    <definedName name="type">#REF!</definedName>
    <definedName name="USD">#REF!</definedName>
    <definedName name="WE">#REF!</definedName>
    <definedName name="WGR">#REF!</definedName>
    <definedName name="WMB">#REF!</definedName>
    <definedName name="wrn.Wacc." hidden="1">{"Area1",#N/A,FALSE,"OREWACC";"Area2",#N/A,FALSE,"OREWACC"}</definedName>
    <definedName name="yc_Cash_flow_per_share">'[5]Neste Oy'!$C$37:$M$37</definedName>
    <definedName name="yc_Depreciation_etc">[3]yc_Formula!$C$43:$R$43</definedName>
    <definedName name="yc_Exploration_expense">[3]yc_Formula!$C$61:$R$61</definedName>
    <definedName name="YPF">#REF!</definedName>
  </definedNames>
  <calcPr calcId="92512" iterate="1"/>
</workbook>
</file>

<file path=xl/calcChain.xml><?xml version="1.0" encoding="utf-8"?>
<calcChain xmlns="http://schemas.openxmlformats.org/spreadsheetml/2006/main">
  <c r="J9" i="15" l="1"/>
  <c r="K9" i="15"/>
  <c r="M9" i="15"/>
  <c r="N9" i="15"/>
  <c r="P9" i="15"/>
  <c r="Q9" i="15"/>
  <c r="B6" i="9"/>
  <c r="J9" i="9"/>
  <c r="K9" i="9"/>
  <c r="M9" i="9"/>
  <c r="N9" i="9"/>
  <c r="P9" i="9"/>
  <c r="Q9" i="9"/>
  <c r="A11" i="61"/>
  <c r="B11" i="61"/>
  <c r="C11" i="61"/>
  <c r="D11" i="61"/>
  <c r="E11" i="61"/>
  <c r="F11" i="61"/>
  <c r="G11" i="61"/>
  <c r="H11" i="61"/>
  <c r="I11" i="61"/>
  <c r="J11" i="61"/>
  <c r="K11" i="61"/>
  <c r="L11" i="61"/>
  <c r="M11" i="61"/>
  <c r="N11" i="61"/>
  <c r="O11" i="61"/>
  <c r="P11" i="61"/>
  <c r="Q11" i="61"/>
  <c r="R11" i="61"/>
  <c r="S11" i="61"/>
  <c r="T11" i="61"/>
  <c r="U11" i="61"/>
  <c r="V11" i="61"/>
  <c r="W11" i="61"/>
  <c r="Y11" i="61"/>
  <c r="Z11" i="61"/>
  <c r="A12" i="61"/>
  <c r="B12" i="61"/>
  <c r="C12" i="61"/>
  <c r="D12" i="61"/>
  <c r="E12" i="61"/>
  <c r="F12" i="61"/>
  <c r="G12" i="61"/>
  <c r="H12" i="61"/>
  <c r="I12" i="61"/>
  <c r="J12" i="61"/>
  <c r="K12" i="61"/>
  <c r="L12" i="61"/>
  <c r="M12" i="61"/>
  <c r="N12" i="61"/>
  <c r="O12" i="61"/>
  <c r="P12" i="61"/>
  <c r="Q12" i="61"/>
  <c r="R12" i="61"/>
  <c r="S12" i="61"/>
  <c r="T12" i="61"/>
  <c r="U12" i="61"/>
  <c r="V12" i="61"/>
  <c r="W12" i="61"/>
  <c r="Y12" i="61"/>
  <c r="Z12" i="61"/>
  <c r="A13" i="61"/>
  <c r="B13" i="61"/>
  <c r="C13" i="61"/>
  <c r="D13" i="61"/>
  <c r="E13" i="61"/>
  <c r="F13" i="61"/>
  <c r="G13" i="61"/>
  <c r="H13" i="61"/>
  <c r="I13" i="61"/>
  <c r="J13" i="61"/>
  <c r="K13" i="61"/>
  <c r="L13" i="61"/>
  <c r="M13" i="61"/>
  <c r="N13" i="61"/>
  <c r="O13" i="61"/>
  <c r="P13" i="61"/>
  <c r="Q13" i="61"/>
  <c r="R13" i="61"/>
  <c r="S13" i="61"/>
  <c r="T13" i="61"/>
  <c r="U13" i="61"/>
  <c r="V13" i="61"/>
  <c r="W13" i="61"/>
  <c r="Y13" i="61"/>
  <c r="Z13" i="61"/>
  <c r="A14" i="61"/>
  <c r="B14" i="61"/>
  <c r="C14" i="61"/>
  <c r="D14" i="61"/>
  <c r="E14" i="61"/>
  <c r="F14" i="61"/>
  <c r="G14" i="61"/>
  <c r="H14" i="61"/>
  <c r="I14" i="61"/>
  <c r="J14" i="61"/>
  <c r="K14" i="61"/>
  <c r="L14" i="61"/>
  <c r="M14" i="61"/>
  <c r="N14" i="61"/>
  <c r="O14" i="61"/>
  <c r="P14" i="61"/>
  <c r="Q14" i="61"/>
  <c r="R14" i="61"/>
  <c r="S14" i="61"/>
  <c r="T14" i="61"/>
  <c r="U14" i="61"/>
  <c r="V14" i="61"/>
  <c r="W14" i="61"/>
  <c r="Y14" i="61"/>
  <c r="Z14" i="61"/>
  <c r="A15" i="61"/>
  <c r="B15" i="61"/>
  <c r="C15" i="61"/>
  <c r="D15" i="61"/>
  <c r="E15" i="61"/>
  <c r="F15" i="61"/>
  <c r="G15" i="61"/>
  <c r="H15" i="61"/>
  <c r="I15" i="61"/>
  <c r="J15" i="61"/>
  <c r="K15" i="61"/>
  <c r="L15" i="61"/>
  <c r="M15" i="61"/>
  <c r="N15" i="61"/>
  <c r="O15" i="61"/>
  <c r="P15" i="61"/>
  <c r="Q15" i="61"/>
  <c r="R15" i="61"/>
  <c r="S15" i="61"/>
  <c r="U15" i="61"/>
  <c r="V15" i="61"/>
  <c r="W15" i="61"/>
  <c r="Y15" i="61"/>
  <c r="Z15" i="61"/>
  <c r="A16" i="61"/>
  <c r="B16" i="61"/>
  <c r="C16" i="61"/>
  <c r="D16" i="61"/>
  <c r="E16" i="61"/>
  <c r="F16" i="61"/>
  <c r="G16" i="61"/>
  <c r="H16" i="61"/>
  <c r="I16" i="61"/>
  <c r="J16" i="61"/>
  <c r="K16" i="61"/>
  <c r="L16" i="61"/>
  <c r="M16" i="61"/>
  <c r="N16" i="61"/>
  <c r="O16" i="61"/>
  <c r="P16" i="61"/>
  <c r="Q16" i="61"/>
  <c r="R16" i="61"/>
  <c r="S16" i="61"/>
  <c r="T16" i="61"/>
  <c r="U16" i="61"/>
  <c r="V16" i="61"/>
  <c r="W16" i="61"/>
  <c r="Y16" i="61"/>
  <c r="Z16" i="61"/>
  <c r="A17" i="61"/>
  <c r="B17" i="61"/>
  <c r="C17" i="61"/>
  <c r="D17" i="61"/>
  <c r="E17" i="61"/>
  <c r="F17" i="61"/>
  <c r="G17" i="61"/>
  <c r="H17" i="61"/>
  <c r="I17" i="61"/>
  <c r="J17" i="61"/>
  <c r="K17" i="61"/>
  <c r="L17" i="61"/>
  <c r="M17" i="61"/>
  <c r="N17" i="61"/>
  <c r="O17" i="61"/>
  <c r="P17" i="61"/>
  <c r="Q17" i="61"/>
  <c r="R17" i="61"/>
  <c r="S17" i="61"/>
  <c r="T17" i="61"/>
  <c r="U17" i="61"/>
  <c r="V17" i="61"/>
  <c r="W17" i="61"/>
  <c r="Y17" i="61"/>
  <c r="Z17" i="61"/>
  <c r="A18" i="61"/>
  <c r="B18" i="61"/>
  <c r="C18" i="61"/>
  <c r="D18" i="61"/>
  <c r="E18" i="61"/>
  <c r="F18" i="61"/>
  <c r="G18" i="61"/>
  <c r="H18" i="61"/>
  <c r="I18" i="61"/>
  <c r="J18" i="61"/>
  <c r="K18" i="61"/>
  <c r="L18" i="61"/>
  <c r="M18" i="61"/>
  <c r="N18" i="61"/>
  <c r="O18" i="61"/>
  <c r="P18" i="61"/>
  <c r="Q18" i="61"/>
  <c r="R18" i="61"/>
  <c r="S18" i="61"/>
  <c r="T18" i="61"/>
  <c r="U18" i="61"/>
  <c r="V18" i="61"/>
  <c r="W18" i="61"/>
  <c r="Y18" i="61"/>
  <c r="Z18" i="61"/>
  <c r="A19" i="61"/>
  <c r="B19" i="61"/>
  <c r="C19" i="61"/>
  <c r="D19" i="61"/>
  <c r="E19" i="61"/>
  <c r="F19" i="61"/>
  <c r="G19" i="61"/>
  <c r="H19" i="61"/>
  <c r="I19" i="61"/>
  <c r="J19" i="61"/>
  <c r="K19" i="61"/>
  <c r="L19" i="61"/>
  <c r="M19" i="61"/>
  <c r="N19" i="61"/>
  <c r="O19" i="61"/>
  <c r="P19" i="61"/>
  <c r="Q19" i="61"/>
  <c r="R19" i="61"/>
  <c r="S19" i="61"/>
  <c r="T19" i="61"/>
  <c r="U19" i="61"/>
  <c r="V19" i="61"/>
  <c r="W19" i="61"/>
  <c r="Y19" i="61"/>
  <c r="Z19" i="61"/>
  <c r="A20" i="61"/>
  <c r="B20" i="61"/>
  <c r="C20" i="61"/>
  <c r="D20" i="61"/>
  <c r="E20" i="61"/>
  <c r="F20" i="61"/>
  <c r="G20" i="61"/>
  <c r="H20" i="61"/>
  <c r="I20" i="61"/>
  <c r="J20" i="61"/>
  <c r="K20" i="61"/>
  <c r="L20" i="61"/>
  <c r="M20" i="61"/>
  <c r="N20" i="61"/>
  <c r="O20" i="61"/>
  <c r="P20" i="61"/>
  <c r="Q20" i="61"/>
  <c r="R20" i="61"/>
  <c r="S20" i="61"/>
  <c r="T20" i="61"/>
  <c r="U20" i="61"/>
  <c r="V20" i="61"/>
  <c r="W20" i="61"/>
  <c r="Y20" i="61"/>
  <c r="Z20" i="61"/>
  <c r="A21" i="61"/>
  <c r="B21" i="61"/>
  <c r="C21" i="61"/>
  <c r="D21" i="61"/>
  <c r="E21" i="61"/>
  <c r="F21" i="61"/>
  <c r="G21" i="61"/>
  <c r="H21" i="61"/>
  <c r="I21" i="61"/>
  <c r="J21" i="61"/>
  <c r="K21" i="61"/>
  <c r="L21" i="61"/>
  <c r="M21" i="61"/>
  <c r="N21" i="61"/>
  <c r="O21" i="61"/>
  <c r="P21" i="61"/>
  <c r="Q21" i="61"/>
  <c r="R21" i="61"/>
  <c r="S21" i="61"/>
  <c r="T21" i="61"/>
  <c r="U21" i="61"/>
  <c r="V21" i="61"/>
  <c r="W21" i="61"/>
  <c r="Y21" i="61"/>
  <c r="Z21" i="61"/>
  <c r="A22" i="61"/>
  <c r="B22" i="61"/>
  <c r="C22" i="61"/>
  <c r="D22" i="61"/>
  <c r="E22" i="61"/>
  <c r="F22" i="61"/>
  <c r="G22" i="61"/>
  <c r="H22" i="61"/>
  <c r="I22" i="61"/>
  <c r="J22" i="61"/>
  <c r="K22" i="61"/>
  <c r="L22" i="61"/>
  <c r="M22" i="61"/>
  <c r="N22" i="61"/>
  <c r="O22" i="61"/>
  <c r="P22" i="61"/>
  <c r="Q22" i="61"/>
  <c r="R22" i="61"/>
  <c r="S22" i="61"/>
  <c r="T22" i="61"/>
  <c r="U22" i="61"/>
  <c r="V22" i="61"/>
  <c r="W22" i="61"/>
  <c r="Y22" i="61"/>
  <c r="Z22" i="61"/>
  <c r="A23" i="61"/>
  <c r="B23" i="61"/>
  <c r="C23" i="61"/>
  <c r="D23" i="61"/>
  <c r="E23" i="61"/>
  <c r="F23" i="61"/>
  <c r="G23" i="61"/>
  <c r="H23" i="61"/>
  <c r="I23" i="61"/>
  <c r="J23" i="61"/>
  <c r="K23" i="61"/>
  <c r="L23" i="61"/>
  <c r="M23" i="61"/>
  <c r="N23" i="61"/>
  <c r="O23" i="61"/>
  <c r="P23" i="61"/>
  <c r="Q23" i="61"/>
  <c r="R23" i="61"/>
  <c r="S23" i="61"/>
  <c r="T23" i="61"/>
  <c r="U23" i="61"/>
  <c r="V23" i="61"/>
  <c r="W23" i="61"/>
  <c r="Y23" i="61"/>
  <c r="Z23" i="61"/>
  <c r="A24" i="61"/>
  <c r="B24" i="61"/>
  <c r="C24" i="61"/>
  <c r="D24" i="61"/>
  <c r="E24" i="61"/>
  <c r="F24" i="61"/>
  <c r="G24" i="61"/>
  <c r="H24" i="61"/>
  <c r="I24" i="61"/>
  <c r="J24" i="61"/>
  <c r="K24" i="61"/>
  <c r="L24" i="61"/>
  <c r="M24" i="61"/>
  <c r="N24" i="61"/>
  <c r="O24" i="61"/>
  <c r="P24" i="61"/>
  <c r="Q24" i="61"/>
  <c r="R24" i="61"/>
  <c r="S24" i="61"/>
  <c r="T24" i="61"/>
  <c r="U24" i="61"/>
  <c r="V24" i="61"/>
  <c r="W24" i="61"/>
  <c r="Y24" i="61"/>
  <c r="Z24" i="61"/>
  <c r="A25" i="61"/>
  <c r="B25" i="61"/>
  <c r="C25" i="61"/>
  <c r="D25" i="61"/>
  <c r="E25" i="61"/>
  <c r="F25" i="61"/>
  <c r="G25" i="61"/>
  <c r="H25" i="61"/>
  <c r="I25" i="61"/>
  <c r="J25" i="61"/>
  <c r="K25" i="61"/>
  <c r="L25" i="61"/>
  <c r="M25" i="61"/>
  <c r="N25" i="61"/>
  <c r="O25" i="61"/>
  <c r="P25" i="61"/>
  <c r="Q25" i="61"/>
  <c r="R25" i="61"/>
  <c r="S25" i="61"/>
  <c r="T25" i="61"/>
  <c r="U25" i="61"/>
  <c r="V25" i="61"/>
  <c r="W25" i="61"/>
  <c r="Y25" i="61"/>
  <c r="Z25" i="61"/>
  <c r="A26" i="61"/>
  <c r="B26" i="61"/>
  <c r="C26" i="61"/>
  <c r="D26" i="61"/>
  <c r="E26" i="61"/>
  <c r="F26" i="61"/>
  <c r="G26" i="61"/>
  <c r="H26" i="61"/>
  <c r="I26" i="61"/>
  <c r="J26" i="61"/>
  <c r="K26" i="61"/>
  <c r="L26" i="61"/>
  <c r="M26" i="61"/>
  <c r="N26" i="61"/>
  <c r="O26" i="61"/>
  <c r="P26" i="61"/>
  <c r="Q26" i="61"/>
  <c r="R26" i="61"/>
  <c r="S26" i="61"/>
  <c r="T26" i="61"/>
  <c r="U26" i="61"/>
  <c r="V26" i="61"/>
  <c r="W26" i="61"/>
  <c r="Y26" i="61"/>
  <c r="Z26" i="61"/>
  <c r="A27" i="61"/>
  <c r="B27" i="61"/>
  <c r="C27" i="61"/>
  <c r="D27" i="61"/>
  <c r="E27" i="61"/>
  <c r="F27" i="61"/>
  <c r="G27" i="61"/>
  <c r="H27" i="61"/>
  <c r="I27" i="61"/>
  <c r="J27" i="61"/>
  <c r="K27" i="61"/>
  <c r="L27" i="61"/>
  <c r="M27" i="61"/>
  <c r="N27" i="61"/>
  <c r="O27" i="61"/>
  <c r="P27" i="61"/>
  <c r="Q27" i="61"/>
  <c r="R27" i="61"/>
  <c r="S27" i="61"/>
  <c r="T27" i="61"/>
  <c r="U27" i="61"/>
  <c r="V27" i="61"/>
  <c r="W27" i="61"/>
  <c r="Y27" i="61"/>
  <c r="Z27" i="61"/>
  <c r="A28" i="61"/>
  <c r="B28" i="61"/>
  <c r="C28" i="61"/>
  <c r="D28" i="61"/>
  <c r="E28" i="61"/>
  <c r="F28" i="61"/>
  <c r="G28" i="61"/>
  <c r="H28" i="61"/>
  <c r="I28" i="61"/>
  <c r="J28" i="61"/>
  <c r="K28" i="61"/>
  <c r="L28" i="61"/>
  <c r="M28" i="61"/>
  <c r="N28" i="61"/>
  <c r="O28" i="61"/>
  <c r="P28" i="61"/>
  <c r="Q28" i="61"/>
  <c r="R28" i="61"/>
  <c r="S28" i="61"/>
  <c r="T28" i="61"/>
  <c r="U28" i="61"/>
  <c r="V28" i="61"/>
  <c r="W28" i="61"/>
  <c r="Y28" i="61"/>
  <c r="Z28" i="61"/>
  <c r="A29" i="61"/>
  <c r="B29" i="61"/>
  <c r="C29" i="61"/>
  <c r="D29" i="61"/>
  <c r="E29" i="61"/>
  <c r="F29" i="61"/>
  <c r="G29" i="61"/>
  <c r="H29" i="61"/>
  <c r="I29" i="61"/>
  <c r="J29" i="61"/>
  <c r="K29" i="61"/>
  <c r="L29" i="61"/>
  <c r="M29" i="61"/>
  <c r="N29" i="61"/>
  <c r="O29" i="61"/>
  <c r="P29" i="61"/>
  <c r="Q29" i="61"/>
  <c r="R29" i="61"/>
  <c r="S29" i="61"/>
  <c r="T29" i="61"/>
  <c r="U29" i="61"/>
  <c r="V29" i="61"/>
  <c r="W29" i="61"/>
  <c r="Y29" i="61"/>
  <c r="Z29" i="61"/>
  <c r="J33" i="61"/>
  <c r="K33" i="61"/>
  <c r="L33" i="61"/>
  <c r="M33" i="61"/>
  <c r="N33" i="61"/>
  <c r="O33" i="61"/>
  <c r="P33" i="61"/>
  <c r="Q33" i="61"/>
  <c r="R33" i="61"/>
  <c r="S33" i="61"/>
  <c r="T33" i="61"/>
  <c r="V33" i="61"/>
  <c r="W33" i="61"/>
  <c r="Y33" i="61"/>
  <c r="J34" i="61"/>
  <c r="K34" i="61"/>
  <c r="L34" i="61"/>
  <c r="M34" i="61"/>
  <c r="N34" i="61"/>
  <c r="O34" i="61"/>
  <c r="P34" i="61"/>
  <c r="Q34" i="61"/>
  <c r="R34" i="61"/>
  <c r="S34" i="61"/>
  <c r="T34" i="61"/>
  <c r="V34" i="61"/>
  <c r="W34" i="61"/>
  <c r="Y34" i="61"/>
  <c r="J35" i="61"/>
  <c r="K35" i="61"/>
  <c r="L35" i="61"/>
  <c r="M35" i="61"/>
  <c r="N35" i="61"/>
  <c r="O35" i="61"/>
  <c r="P35" i="61"/>
  <c r="Q35" i="61"/>
  <c r="R35" i="61"/>
  <c r="S35" i="61"/>
  <c r="T35" i="61"/>
  <c r="V35" i="61"/>
  <c r="W35" i="61"/>
  <c r="Y35" i="61"/>
  <c r="J36" i="61"/>
  <c r="K36" i="61"/>
  <c r="L36" i="61"/>
  <c r="M36" i="61"/>
  <c r="N36" i="61"/>
  <c r="O36" i="61"/>
  <c r="P36" i="61"/>
  <c r="Q36" i="61"/>
  <c r="R36" i="61"/>
  <c r="S36" i="61"/>
  <c r="T36" i="61"/>
  <c r="V36" i="61"/>
  <c r="W36" i="61"/>
  <c r="Y36" i="61"/>
  <c r="A44" i="61"/>
  <c r="D44" i="61"/>
  <c r="E44" i="61"/>
  <c r="F44" i="61"/>
  <c r="G44" i="61"/>
  <c r="H44" i="61"/>
  <c r="J44" i="61"/>
  <c r="K44" i="61"/>
  <c r="P44" i="61"/>
  <c r="Q44" i="61"/>
  <c r="A45" i="61"/>
  <c r="D45" i="61"/>
  <c r="E45" i="61"/>
  <c r="F45" i="61"/>
  <c r="G45" i="61"/>
  <c r="H45" i="61"/>
  <c r="J45" i="61"/>
  <c r="K45" i="61"/>
  <c r="P45" i="61"/>
  <c r="Q45" i="61"/>
  <c r="A46" i="61"/>
  <c r="D46" i="61"/>
  <c r="E46" i="61"/>
  <c r="F46" i="61"/>
  <c r="G46" i="61"/>
  <c r="H46" i="61"/>
  <c r="J46" i="61"/>
  <c r="K46" i="61"/>
  <c r="P46" i="61"/>
  <c r="Q46" i="61"/>
  <c r="A47" i="61"/>
  <c r="D47" i="61"/>
  <c r="E47" i="61"/>
  <c r="F47" i="61"/>
  <c r="G47" i="61"/>
  <c r="H47" i="61"/>
  <c r="J47" i="61"/>
  <c r="K47" i="61"/>
  <c r="P47" i="61"/>
  <c r="Q47" i="61"/>
  <c r="A48" i="61"/>
  <c r="D48" i="61"/>
  <c r="E48" i="61"/>
  <c r="F48" i="61"/>
  <c r="G48" i="61"/>
  <c r="H48" i="61"/>
  <c r="J48" i="61"/>
  <c r="K48" i="61"/>
  <c r="P48" i="61"/>
  <c r="Q48" i="61"/>
  <c r="A49" i="61"/>
  <c r="D49" i="61"/>
  <c r="E49" i="61"/>
  <c r="F49" i="61"/>
  <c r="G49" i="61"/>
  <c r="H49" i="61"/>
  <c r="J49" i="61"/>
  <c r="K49" i="61"/>
  <c r="P49" i="61"/>
  <c r="Q49" i="61"/>
  <c r="A50" i="61"/>
  <c r="D50" i="61"/>
  <c r="E50" i="61"/>
  <c r="F50" i="61"/>
  <c r="G50" i="61"/>
  <c r="H50" i="61"/>
  <c r="J50" i="61"/>
  <c r="K50" i="61"/>
  <c r="P50" i="61"/>
  <c r="Q50" i="61"/>
  <c r="A51" i="61"/>
  <c r="D51" i="61"/>
  <c r="E51" i="61"/>
  <c r="F51" i="61"/>
  <c r="G51" i="61"/>
  <c r="H51" i="61"/>
  <c r="J51" i="61"/>
  <c r="K51" i="61"/>
  <c r="P51" i="61"/>
  <c r="Q51" i="61"/>
  <c r="A52" i="61"/>
  <c r="D52" i="61"/>
  <c r="E52" i="61"/>
  <c r="F52" i="61"/>
  <c r="G52" i="61"/>
  <c r="H52" i="61"/>
  <c r="J52" i="61"/>
  <c r="K52" i="61"/>
  <c r="P52" i="61"/>
  <c r="Q52" i="61"/>
  <c r="A53" i="61"/>
  <c r="D53" i="61"/>
  <c r="E53" i="61"/>
  <c r="F53" i="61"/>
  <c r="G53" i="61"/>
  <c r="H53" i="61"/>
  <c r="J53" i="61"/>
  <c r="K53" i="61"/>
  <c r="P53" i="61"/>
  <c r="Q53" i="61"/>
  <c r="A54" i="61"/>
  <c r="D54" i="61"/>
  <c r="E54" i="61"/>
  <c r="F54" i="61"/>
  <c r="G54" i="61"/>
  <c r="H54" i="61"/>
  <c r="J54" i="61"/>
  <c r="K54" i="61"/>
  <c r="P54" i="61"/>
  <c r="Q54" i="61"/>
  <c r="A55" i="61"/>
  <c r="D55" i="61"/>
  <c r="E55" i="61"/>
  <c r="F55" i="61"/>
  <c r="G55" i="61"/>
  <c r="H55" i="61"/>
  <c r="J55" i="61"/>
  <c r="K55" i="61"/>
  <c r="P55" i="61"/>
  <c r="Q55" i="61"/>
  <c r="A56" i="61"/>
  <c r="D56" i="61"/>
  <c r="E56" i="61"/>
  <c r="F56" i="61"/>
  <c r="G56" i="61"/>
  <c r="H56" i="61"/>
  <c r="J56" i="61"/>
  <c r="K56" i="61"/>
  <c r="P56" i="61"/>
  <c r="Q56" i="61"/>
  <c r="A57" i="61"/>
  <c r="D57" i="61"/>
  <c r="E57" i="61"/>
  <c r="F57" i="61"/>
  <c r="G57" i="61"/>
  <c r="H57" i="61"/>
  <c r="J57" i="61"/>
  <c r="K57" i="61"/>
  <c r="P57" i="61"/>
  <c r="Q57" i="61"/>
  <c r="A58" i="61"/>
  <c r="D58" i="61"/>
  <c r="E58" i="61"/>
  <c r="F58" i="61"/>
  <c r="G58" i="61"/>
  <c r="H58" i="61"/>
  <c r="J58" i="61"/>
  <c r="K58" i="61"/>
  <c r="P58" i="61"/>
  <c r="Q58" i="61"/>
  <c r="A59" i="61"/>
  <c r="D59" i="61"/>
  <c r="E59" i="61"/>
  <c r="F59" i="61"/>
  <c r="G59" i="61"/>
  <c r="H59" i="61"/>
  <c r="J59" i="61"/>
  <c r="K59" i="61"/>
  <c r="P59" i="61"/>
  <c r="Q59" i="61"/>
  <c r="A60" i="61"/>
  <c r="D60" i="61"/>
  <c r="E60" i="61"/>
  <c r="F60" i="61"/>
  <c r="G60" i="61"/>
  <c r="H60" i="61"/>
  <c r="J60" i="61"/>
  <c r="K60" i="61"/>
  <c r="P60" i="61"/>
  <c r="Q60" i="61"/>
  <c r="A61" i="61"/>
  <c r="D61" i="61"/>
  <c r="E61" i="61"/>
  <c r="F61" i="61"/>
  <c r="G61" i="61"/>
  <c r="H61" i="61"/>
  <c r="J61" i="61"/>
  <c r="K61" i="61"/>
  <c r="P61" i="61"/>
  <c r="Q61" i="61"/>
  <c r="A62" i="61"/>
  <c r="D62" i="61"/>
  <c r="E62" i="61"/>
  <c r="F62" i="61"/>
  <c r="G62" i="61"/>
  <c r="H62" i="61"/>
  <c r="J62" i="61"/>
  <c r="K62" i="61"/>
  <c r="P62" i="61"/>
  <c r="Q62" i="61"/>
  <c r="P66" i="61"/>
  <c r="Q66" i="61"/>
  <c r="P67" i="61"/>
  <c r="Q67" i="61"/>
  <c r="P68" i="61"/>
  <c r="Q68" i="61"/>
  <c r="P69" i="61"/>
  <c r="Q69" i="61"/>
  <c r="F86" i="61"/>
  <c r="G86" i="61"/>
  <c r="R86" i="61"/>
  <c r="E88" i="61"/>
  <c r="F88" i="61"/>
  <c r="G88" i="61"/>
  <c r="H88" i="61"/>
  <c r="P88" i="61"/>
  <c r="Q88" i="61"/>
  <c r="R88" i="61"/>
  <c r="S88" i="61"/>
  <c r="E89" i="61"/>
  <c r="F89" i="61"/>
  <c r="G89" i="61"/>
  <c r="H89" i="61"/>
  <c r="P89" i="61"/>
  <c r="Q89" i="61"/>
  <c r="R89" i="61"/>
  <c r="S89" i="61"/>
  <c r="E90" i="61"/>
  <c r="F90" i="61"/>
  <c r="G90" i="61"/>
  <c r="H90" i="61"/>
  <c r="P90" i="61"/>
  <c r="Q90" i="61"/>
  <c r="R90" i="61"/>
  <c r="S90" i="61"/>
  <c r="E91" i="61"/>
  <c r="F91" i="61"/>
  <c r="G91" i="61"/>
  <c r="H91" i="61"/>
  <c r="P91" i="61"/>
  <c r="Q91" i="61"/>
  <c r="R91" i="61"/>
  <c r="S91" i="61"/>
  <c r="E92" i="61"/>
  <c r="F92" i="61"/>
  <c r="G92" i="61"/>
  <c r="H92" i="61"/>
  <c r="P92" i="61"/>
  <c r="Q92" i="61"/>
  <c r="R92" i="61"/>
  <c r="S92" i="61"/>
  <c r="E93" i="61"/>
  <c r="F93" i="61"/>
  <c r="G93" i="61"/>
  <c r="H93" i="61"/>
  <c r="P93" i="61"/>
  <c r="Q93" i="61"/>
  <c r="R93" i="61"/>
  <c r="S93" i="61"/>
  <c r="E94" i="61"/>
  <c r="F94" i="61"/>
  <c r="G94" i="61"/>
  <c r="H94" i="61"/>
  <c r="P94" i="61"/>
  <c r="Q94" i="61"/>
  <c r="R94" i="61"/>
  <c r="S94" i="61"/>
  <c r="E95" i="61"/>
  <c r="F95" i="61"/>
  <c r="G95" i="61"/>
  <c r="H95" i="61"/>
  <c r="P95" i="61"/>
  <c r="Q95" i="61"/>
  <c r="R95" i="61"/>
  <c r="S95" i="61"/>
  <c r="E96" i="61"/>
  <c r="F96" i="61"/>
  <c r="G96" i="61"/>
  <c r="H96" i="61"/>
  <c r="P96" i="61"/>
  <c r="Q96" i="61"/>
  <c r="R96" i="61"/>
  <c r="S96" i="61"/>
  <c r="E97" i="61"/>
  <c r="F97" i="61"/>
  <c r="G97" i="61"/>
  <c r="H97" i="61"/>
  <c r="P97" i="61"/>
  <c r="Q97" i="61"/>
  <c r="R97" i="61"/>
  <c r="S97" i="61"/>
  <c r="E98" i="61"/>
  <c r="F98" i="61"/>
  <c r="G98" i="61"/>
  <c r="H98" i="61"/>
  <c r="P98" i="61"/>
  <c r="Q98" i="61"/>
  <c r="R98" i="61"/>
  <c r="S98" i="61"/>
  <c r="E99" i="61"/>
  <c r="F99" i="61"/>
  <c r="G99" i="61"/>
  <c r="H99" i="61"/>
  <c r="P99" i="61"/>
  <c r="Q99" i="61"/>
  <c r="R99" i="61"/>
  <c r="S99" i="61"/>
  <c r="E100" i="61"/>
  <c r="F100" i="61"/>
  <c r="G100" i="61"/>
  <c r="H100" i="61"/>
  <c r="P100" i="61"/>
  <c r="Q100" i="61"/>
  <c r="R100" i="61"/>
  <c r="S100" i="61"/>
  <c r="E101" i="61"/>
  <c r="F101" i="61"/>
  <c r="G101" i="61"/>
  <c r="H101" i="61"/>
  <c r="P101" i="61"/>
  <c r="Q101" i="61"/>
  <c r="R101" i="61"/>
  <c r="S101" i="61"/>
  <c r="E102" i="61"/>
  <c r="F102" i="61"/>
  <c r="G102" i="61"/>
  <c r="H102" i="61"/>
  <c r="P102" i="61"/>
  <c r="Q102" i="61"/>
  <c r="R102" i="61"/>
  <c r="S102" i="61"/>
  <c r="E103" i="61"/>
  <c r="F103" i="61"/>
  <c r="G103" i="61"/>
  <c r="H103" i="61"/>
  <c r="P103" i="61"/>
  <c r="Q103" i="61"/>
  <c r="R103" i="61"/>
  <c r="S103" i="61"/>
  <c r="E104" i="61"/>
  <c r="F104" i="61"/>
  <c r="G104" i="61"/>
  <c r="H104" i="61"/>
  <c r="P104" i="61"/>
  <c r="Q104" i="61"/>
  <c r="R104" i="61"/>
  <c r="S104" i="61"/>
  <c r="E105" i="61"/>
  <c r="F105" i="61"/>
  <c r="G105" i="61"/>
  <c r="H105" i="61"/>
  <c r="P105" i="61"/>
  <c r="Q105" i="61"/>
  <c r="R105" i="61"/>
  <c r="S105" i="61"/>
  <c r="E106" i="61"/>
  <c r="F106" i="61"/>
  <c r="G106" i="61"/>
  <c r="H106" i="61"/>
  <c r="P106" i="61"/>
  <c r="Q106" i="61"/>
  <c r="R106" i="61"/>
  <c r="S106" i="61"/>
  <c r="J9" i="10"/>
  <c r="K9" i="10"/>
  <c r="M9" i="10"/>
  <c r="N9" i="10"/>
  <c r="P9" i="10"/>
  <c r="Q9" i="10"/>
  <c r="A11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12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13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14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15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16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17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18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J23" i="10"/>
  <c r="K23" i="10"/>
  <c r="L23" i="10"/>
  <c r="M23" i="10"/>
  <c r="N23" i="10"/>
  <c r="O23" i="10"/>
  <c r="P23" i="10"/>
  <c r="Q23" i="10"/>
  <c r="R23" i="10"/>
  <c r="S23" i="10"/>
  <c r="T23" i="10"/>
  <c r="J24" i="10"/>
  <c r="K24" i="10"/>
  <c r="L24" i="10"/>
  <c r="M24" i="10"/>
  <c r="N24" i="10"/>
  <c r="O24" i="10"/>
  <c r="P24" i="10"/>
  <c r="Q24" i="10"/>
  <c r="R24" i="10"/>
  <c r="S24" i="10"/>
  <c r="T24" i="10"/>
  <c r="J25" i="10"/>
  <c r="K25" i="10"/>
  <c r="L25" i="10"/>
  <c r="M25" i="10"/>
  <c r="N25" i="10"/>
  <c r="O25" i="10"/>
  <c r="P25" i="10"/>
  <c r="Q25" i="10"/>
  <c r="R25" i="10"/>
  <c r="S25" i="10"/>
  <c r="T25" i="10"/>
  <c r="J26" i="10"/>
  <c r="K26" i="10"/>
  <c r="L26" i="10"/>
  <c r="M26" i="10"/>
  <c r="N26" i="10"/>
  <c r="O26" i="10"/>
  <c r="P26" i="10"/>
  <c r="Q26" i="10"/>
  <c r="R26" i="10"/>
  <c r="S26" i="10"/>
  <c r="T26" i="10"/>
  <c r="A34" i="10"/>
  <c r="D34" i="10"/>
  <c r="E34" i="10"/>
  <c r="G34" i="10"/>
  <c r="H34" i="10"/>
  <c r="J34" i="10"/>
  <c r="K34" i="10"/>
  <c r="X34" i="10"/>
  <c r="A35" i="10"/>
  <c r="D35" i="10"/>
  <c r="E35" i="10"/>
  <c r="G35" i="10"/>
  <c r="H35" i="10"/>
  <c r="J35" i="10"/>
  <c r="K35" i="10"/>
  <c r="X35" i="10"/>
  <c r="A36" i="10"/>
  <c r="D36" i="10"/>
  <c r="E36" i="10"/>
  <c r="G36" i="10"/>
  <c r="H36" i="10"/>
  <c r="J36" i="10"/>
  <c r="K36" i="10"/>
  <c r="X36" i="10"/>
  <c r="A37" i="10"/>
  <c r="D37" i="10"/>
  <c r="E37" i="10"/>
  <c r="G37" i="10"/>
  <c r="H37" i="10"/>
  <c r="J37" i="10"/>
  <c r="K37" i="10"/>
  <c r="X37" i="10"/>
  <c r="A38" i="10"/>
  <c r="D38" i="10"/>
  <c r="E38" i="10"/>
  <c r="G38" i="10"/>
  <c r="H38" i="10"/>
  <c r="J38" i="10"/>
  <c r="K38" i="10"/>
  <c r="X38" i="10"/>
  <c r="A39" i="10"/>
  <c r="D39" i="10"/>
  <c r="E39" i="10"/>
  <c r="G39" i="10"/>
  <c r="H39" i="10"/>
  <c r="J39" i="10"/>
  <c r="K39" i="10"/>
  <c r="X39" i="10"/>
  <c r="A40" i="10"/>
  <c r="D40" i="10"/>
  <c r="E40" i="10"/>
  <c r="G40" i="10"/>
  <c r="H40" i="10"/>
  <c r="J40" i="10"/>
  <c r="K40" i="10"/>
  <c r="X40" i="10"/>
  <c r="A41" i="10"/>
  <c r="D41" i="10"/>
  <c r="E41" i="10"/>
  <c r="G41" i="10"/>
  <c r="H41" i="10"/>
  <c r="J41" i="10"/>
  <c r="K41" i="10"/>
  <c r="X41" i="10"/>
  <c r="F64" i="10"/>
  <c r="G64" i="10"/>
  <c r="R64" i="10"/>
  <c r="E66" i="10"/>
  <c r="F66" i="10"/>
  <c r="G66" i="10"/>
  <c r="H66" i="10"/>
  <c r="P66" i="10"/>
  <c r="Q66" i="10"/>
  <c r="R66" i="10"/>
  <c r="S66" i="10"/>
  <c r="E67" i="10"/>
  <c r="F67" i="10"/>
  <c r="G67" i="10"/>
  <c r="H67" i="10"/>
  <c r="P67" i="10"/>
  <c r="Q67" i="10"/>
  <c r="R67" i="10"/>
  <c r="S67" i="10"/>
  <c r="E68" i="10"/>
  <c r="F68" i="10"/>
  <c r="G68" i="10"/>
  <c r="H68" i="10"/>
  <c r="P68" i="10"/>
  <c r="Q68" i="10"/>
  <c r="R68" i="10"/>
  <c r="S68" i="10"/>
  <c r="E69" i="10"/>
  <c r="F69" i="10"/>
  <c r="G69" i="10"/>
  <c r="H69" i="10"/>
  <c r="P69" i="10"/>
  <c r="Q69" i="10"/>
  <c r="R69" i="10"/>
  <c r="S69" i="10"/>
  <c r="E70" i="10"/>
  <c r="F70" i="10"/>
  <c r="G70" i="10"/>
  <c r="H70" i="10"/>
  <c r="P70" i="10"/>
  <c r="Q70" i="10"/>
  <c r="R70" i="10"/>
  <c r="S70" i="10"/>
  <c r="E71" i="10"/>
  <c r="F71" i="10"/>
  <c r="G71" i="10"/>
  <c r="H71" i="10"/>
  <c r="P71" i="10"/>
  <c r="Q71" i="10"/>
  <c r="R71" i="10"/>
  <c r="S71" i="10"/>
  <c r="E72" i="10"/>
  <c r="F72" i="10"/>
  <c r="G72" i="10"/>
  <c r="H72" i="10"/>
  <c r="P72" i="10"/>
  <c r="Q72" i="10"/>
  <c r="R72" i="10"/>
  <c r="S72" i="10"/>
  <c r="E73" i="10"/>
  <c r="F73" i="10"/>
  <c r="G73" i="10"/>
  <c r="H73" i="10"/>
  <c r="P73" i="10"/>
  <c r="Q73" i="10"/>
  <c r="R73" i="10"/>
  <c r="S73" i="10"/>
</calcChain>
</file>

<file path=xl/comments1.xml><?xml version="1.0" encoding="utf-8"?>
<comments xmlns="http://schemas.openxmlformats.org/spreadsheetml/2006/main">
  <authors>
    <author>A Chaudhry</author>
  </authors>
  <commentList>
    <comment ref="J13" authorId="0" shapeId="0">
      <text>
        <r>
          <rPr>
            <b/>
            <sz val="8"/>
            <color indexed="81"/>
            <rFont val="Tahoma"/>
          </rPr>
          <t>A Chaudhry:</t>
        </r>
        <r>
          <rPr>
            <sz val="8"/>
            <color indexed="81"/>
            <rFont val="Tahoma"/>
          </rPr>
          <t xml:space="preserve">
No research for Holly</t>
        </r>
      </text>
    </comment>
  </commentList>
</comments>
</file>

<file path=xl/sharedStrings.xml><?xml version="1.0" encoding="utf-8"?>
<sst xmlns="http://schemas.openxmlformats.org/spreadsheetml/2006/main" count="4424" uniqueCount="705">
  <si>
    <t>Summary Financial Data and Valuation Analysis</t>
  </si>
  <si>
    <t>(In Millions, Except Per Share Amounts and Multiples, Unless Otherwise Indicated)</t>
  </si>
  <si>
    <t>Share prices as of</t>
  </si>
  <si>
    <t>Adjusted</t>
  </si>
  <si>
    <t>Reserves</t>
  </si>
  <si>
    <t>SEC 10</t>
  </si>
  <si>
    <t>Diluted</t>
  </si>
  <si>
    <t>Date</t>
  </si>
  <si>
    <t>Share</t>
  </si>
  <si>
    <t>52 Week</t>
  </si>
  <si>
    <t>Market</t>
  </si>
  <si>
    <t>Mkt. Val./Net Income</t>
  </si>
  <si>
    <t>Mkt. Val./Cash Flow</t>
  </si>
  <si>
    <t>AMV/EBITDAX</t>
  </si>
  <si>
    <t>Debt/</t>
  </si>
  <si>
    <t>Mkt. Val./</t>
  </si>
  <si>
    <t>Current</t>
  </si>
  <si>
    <t>Total</t>
  </si>
  <si>
    <t>Res. AMV/</t>
  </si>
  <si>
    <t>AMV/</t>
  </si>
  <si>
    <t>Shares</t>
  </si>
  <si>
    <t>Company</t>
  </si>
  <si>
    <t>Ticker</t>
  </si>
  <si>
    <t>Check</t>
  </si>
  <si>
    <t>Price</t>
  </si>
  <si>
    <t>High</t>
  </si>
  <si>
    <t>Low</t>
  </si>
  <si>
    <t>Value</t>
  </si>
  <si>
    <t>2000A</t>
  </si>
  <si>
    <t>Book Cap.</t>
  </si>
  <si>
    <t>Book Val.</t>
  </si>
  <si>
    <t>Div. Yield</t>
  </si>
  <si>
    <t>MM BOE</t>
  </si>
  <si>
    <t>% Gas</t>
  </si>
  <si>
    <t>BOE</t>
  </si>
  <si>
    <t>$MM</t>
  </si>
  <si>
    <t>Outstanding</t>
  </si>
  <si>
    <t>_</t>
  </si>
  <si>
    <t>Average</t>
  </si>
  <si>
    <t>Median</t>
  </si>
  <si>
    <t>Contact</t>
  </si>
  <si>
    <t xml:space="preserve"> Equity Research</t>
  </si>
  <si>
    <t>Debt Ratings</t>
  </si>
  <si>
    <t>Price Performance</t>
  </si>
  <si>
    <t>E&amp;P Operations</t>
  </si>
  <si>
    <t>Includes only majority-owned US &amp; EU assets</t>
  </si>
  <si>
    <t>Analyst/</t>
  </si>
  <si>
    <t>Recom-</t>
  </si>
  <si>
    <t>S&amp;P/</t>
  </si>
  <si>
    <t>3-Yr</t>
  </si>
  <si>
    <t>3-Yr F&amp;D</t>
  </si>
  <si>
    <t>Reservoir</t>
  </si>
  <si>
    <t>#</t>
  </si>
  <si>
    <t>Total Cap.</t>
  </si>
  <si>
    <t>Wtd. Avg.</t>
  </si>
  <si>
    <t># Service</t>
  </si>
  <si>
    <t># Directly</t>
  </si>
  <si>
    <t>Name</t>
  </si>
  <si>
    <t>Telephone</t>
  </si>
  <si>
    <t>Firm</t>
  </si>
  <si>
    <t>mendation</t>
  </si>
  <si>
    <t>Updated</t>
  </si>
  <si>
    <t>Moody's</t>
  </si>
  <si>
    <t>LTM</t>
  </si>
  <si>
    <t>YTD</t>
  </si>
  <si>
    <t xml:space="preserve"> Res. Repl.</t>
  </si>
  <si>
    <t xml:space="preserve">R/P </t>
  </si>
  <si>
    <t>($/Bbl)</t>
  </si>
  <si>
    <t>Engineer</t>
  </si>
  <si>
    <t>Refineries</t>
  </si>
  <si>
    <t>(MBD)</t>
  </si>
  <si>
    <t>Complexity</t>
  </si>
  <si>
    <t>Stations</t>
  </si>
  <si>
    <t>Supplied</t>
  </si>
  <si>
    <t>Notes:</t>
  </si>
  <si>
    <t>(1)</t>
  </si>
  <si>
    <t>(2)</t>
  </si>
  <si>
    <t>(3)</t>
  </si>
  <si>
    <t>(4)</t>
  </si>
  <si>
    <t>(6)</t>
  </si>
  <si>
    <t>LARGE INDEPENDENT E&amp;P COMPARABLE COMPANY ANALYSIS</t>
  </si>
  <si>
    <t>Apache Corp.</t>
  </si>
  <si>
    <t>APA</t>
  </si>
  <si>
    <t>Anadarko Petroleum Corp.</t>
  </si>
  <si>
    <t>APC</t>
  </si>
  <si>
    <t>Burlington Resources Inc.</t>
  </si>
  <si>
    <t>BR</t>
  </si>
  <si>
    <t>Devon Energy Corp.</t>
  </si>
  <si>
    <t>DVN</t>
  </si>
  <si>
    <t>EOG Resources</t>
  </si>
  <si>
    <t>EOG</t>
  </si>
  <si>
    <t>Kerr-McGee Corp.</t>
  </si>
  <si>
    <t>KMG</t>
  </si>
  <si>
    <t>UNOCAL</t>
  </si>
  <si>
    <t>UCL</t>
  </si>
  <si>
    <t>R&amp;M Operations (excluding chemical operations)</t>
  </si>
  <si>
    <t>R. Connally</t>
  </si>
  <si>
    <t>CSFB</t>
  </si>
  <si>
    <t>B</t>
  </si>
  <si>
    <t>A3/A-</t>
  </si>
  <si>
    <t>RS</t>
  </si>
  <si>
    <t>SB</t>
  </si>
  <si>
    <t>Baa1/BBB+</t>
  </si>
  <si>
    <t>In-house</t>
  </si>
  <si>
    <t>NR/A-</t>
  </si>
  <si>
    <t>AMH Group</t>
  </si>
  <si>
    <t>D&amp;M (review)</t>
  </si>
  <si>
    <t>Baa1/BBB</t>
  </si>
  <si>
    <t>(5)</t>
  </si>
  <si>
    <t>713-652-6001</t>
  </si>
  <si>
    <t>MID INDEPENDENT E&amp;P COMPARABLE COMPANY ANALYSIS</t>
  </si>
  <si>
    <t>2001E</t>
  </si>
  <si>
    <t>2002E</t>
  </si>
  <si>
    <t>Chesapeake Energy Corp</t>
  </si>
  <si>
    <t>CHK</t>
  </si>
  <si>
    <t>XTO Energy Inc</t>
  </si>
  <si>
    <t>XTO</t>
  </si>
  <si>
    <t>Forest Oil Corp</t>
  </si>
  <si>
    <t>FST</t>
  </si>
  <si>
    <t>Louis Dreyfus Natural Gas Corp</t>
  </si>
  <si>
    <t>LD</t>
  </si>
  <si>
    <t>Mitchell Energy  (1)</t>
  </si>
  <si>
    <t>MND</t>
  </si>
  <si>
    <t>Newfield Exploration Co</t>
  </si>
  <si>
    <t>NFX</t>
  </si>
  <si>
    <t>Noble Affiliates</t>
  </si>
  <si>
    <t>NBL</t>
  </si>
  <si>
    <t>Ocean Energy</t>
  </si>
  <si>
    <t>OEI</t>
  </si>
  <si>
    <t>Pioneer Natural Resources Co</t>
  </si>
  <si>
    <t>PXD</t>
  </si>
  <si>
    <t>Pogo Producing  (2)</t>
  </si>
  <si>
    <t>PPP</t>
  </si>
  <si>
    <t>Stone Energy Corp</t>
  </si>
  <si>
    <t>SGY</t>
  </si>
  <si>
    <t>Tom Brown, Inc.  (3)</t>
  </si>
  <si>
    <t>TMBR</t>
  </si>
  <si>
    <t>Triton Energy  (4)</t>
  </si>
  <si>
    <t>OIL</t>
  </si>
  <si>
    <t>Vintage Petroleum, Inc.  (5)</t>
  </si>
  <si>
    <t>vpi</t>
  </si>
  <si>
    <t>Preparer</t>
  </si>
  <si>
    <t>C. Thomson</t>
  </si>
  <si>
    <t>212-325-1639</t>
  </si>
  <si>
    <t>Strong Buy</t>
  </si>
  <si>
    <t>B+/B2</t>
  </si>
  <si>
    <t>Williamson</t>
  </si>
  <si>
    <t>SSB</t>
  </si>
  <si>
    <t>Buy</t>
  </si>
  <si>
    <t>BB/Ba3</t>
  </si>
  <si>
    <t>Miller and Lents</t>
  </si>
  <si>
    <t>BBB/Baa3</t>
  </si>
  <si>
    <t>Ryder Scott</t>
  </si>
  <si>
    <t>A. Bourlinov</t>
  </si>
  <si>
    <t>212-538-7158</t>
  </si>
  <si>
    <t>BBB/Baa2</t>
  </si>
  <si>
    <t>NA</t>
  </si>
  <si>
    <t>NR</t>
  </si>
  <si>
    <t>BB+/Ba2</t>
  </si>
  <si>
    <t>In House</t>
  </si>
  <si>
    <t>BBB-/Baa3</t>
  </si>
  <si>
    <t>RS, NSA, McD&amp;A</t>
  </si>
  <si>
    <t>BB+/Ba1</t>
  </si>
  <si>
    <t>BB+ / Ba2</t>
  </si>
  <si>
    <t>BB-/B1</t>
  </si>
  <si>
    <t>DRW</t>
  </si>
  <si>
    <t>NR / NR</t>
  </si>
  <si>
    <t>Triton Energy (4)</t>
  </si>
  <si>
    <t>BB- /Ba3</t>
  </si>
  <si>
    <t>NM</t>
  </si>
  <si>
    <t>D&amp;M</t>
  </si>
  <si>
    <t>Netherland, Sewell</t>
  </si>
  <si>
    <t>(1)  Includes reserves committed to Company-owned gas processing plants.</t>
  </si>
  <si>
    <t>(2)  Pro-forma the NORIC acquisition.</t>
  </si>
  <si>
    <t>(3)  Pro-forma the Stellarton acquisition.</t>
  </si>
  <si>
    <t>(4)   Includes reserves transferred to the JV since 1998, accounted for on the equity method.  On July 10 2001, Amerada Hess agreed to acquire Triton Energy for $3.2 billion.</t>
  </si>
  <si>
    <t>(5)  Pro-forma the Genesis acquisition.</t>
  </si>
  <si>
    <t>OFFSHORE OILFIELD SERVICES COMPARABLE COMPANY ANALYSIS</t>
  </si>
  <si>
    <t>Coflexip Stena Offshore</t>
  </si>
  <si>
    <t>CXIPY</t>
  </si>
  <si>
    <t>Max Multiple</t>
  </si>
  <si>
    <t>Global Industries Ltd.</t>
  </si>
  <si>
    <t>GLBL</t>
  </si>
  <si>
    <t>McDermott International</t>
  </si>
  <si>
    <t>MDR</t>
  </si>
  <si>
    <t>Petroleum Geo-Services ASA</t>
  </si>
  <si>
    <t>PGO</t>
  </si>
  <si>
    <t>Seacor Smit Inc.</t>
  </si>
  <si>
    <t>CKH</t>
  </si>
  <si>
    <t>Tidewater Inc.</t>
  </si>
  <si>
    <t xml:space="preserve">TDW </t>
  </si>
  <si>
    <t>Trico Marine Services Inc.</t>
  </si>
  <si>
    <t>TMAR</t>
  </si>
  <si>
    <t>Veritas DGC Inc.</t>
  </si>
  <si>
    <t>VTS</t>
  </si>
  <si>
    <t>R. Bayless</t>
  </si>
  <si>
    <t xml:space="preserve">713-652-6022 </t>
  </si>
  <si>
    <t>NR/BBB+</t>
  </si>
  <si>
    <t>NR/NR</t>
  </si>
  <si>
    <t>Neutral</t>
  </si>
  <si>
    <t>B/NR</t>
  </si>
  <si>
    <t>Baa3/BBB-</t>
  </si>
  <si>
    <t>Baa3/BBB</t>
  </si>
  <si>
    <t>B1/B+</t>
  </si>
  <si>
    <t>Ba3/BB+</t>
  </si>
  <si>
    <t>GAS PIPELINES COMPARABLE COMPANY ANALYSIS</t>
  </si>
  <si>
    <t>`</t>
  </si>
  <si>
    <t>Dynegy Inc.</t>
  </si>
  <si>
    <t>DYN</t>
  </si>
  <si>
    <t>Enbridge</t>
  </si>
  <si>
    <t>*ENB</t>
  </si>
  <si>
    <t>Enron Corp.</t>
  </si>
  <si>
    <t>ENE</t>
  </si>
  <si>
    <t>El Paso Corporation</t>
  </si>
  <si>
    <t>EPG</t>
  </si>
  <si>
    <t>Kinder Morgan, Inc.</t>
  </si>
  <si>
    <t>KMI</t>
  </si>
  <si>
    <t>Western Gas Resources, Inc.</t>
  </si>
  <si>
    <t>WGR</t>
  </si>
  <si>
    <t>The Williams Companies, Inc.</t>
  </si>
  <si>
    <t>WMB</t>
  </si>
  <si>
    <t>TransCanada PipeLines</t>
  </si>
  <si>
    <t>*TRP</t>
  </si>
  <si>
    <t>Westcoast Energy</t>
  </si>
  <si>
    <t>*W</t>
  </si>
  <si>
    <t>W. Byers</t>
  </si>
  <si>
    <t xml:space="preserve">713-652-6010 </t>
  </si>
  <si>
    <t>T. Greenberg</t>
  </si>
  <si>
    <t xml:space="preserve">416-352-4518 </t>
  </si>
  <si>
    <t>IBES</t>
  </si>
  <si>
    <t>N/A</t>
  </si>
  <si>
    <t>A/ -</t>
  </si>
  <si>
    <t>BBB+/Baa1</t>
  </si>
  <si>
    <t>DWR</t>
  </si>
  <si>
    <t>NR/Ba2</t>
  </si>
  <si>
    <t>BBB-/Baa2</t>
  </si>
  <si>
    <t>A-/A2</t>
  </si>
  <si>
    <t>- / A-</t>
  </si>
  <si>
    <t>MLP COMPARABLE COMPANY ANALYSIS</t>
  </si>
  <si>
    <t>Yield</t>
  </si>
  <si>
    <t>Return</t>
  </si>
  <si>
    <t>Buckeye Partners, LP</t>
  </si>
  <si>
    <t>BPL</t>
  </si>
  <si>
    <t>Eott Energy Partners, L.P.</t>
  </si>
  <si>
    <t>EOT</t>
  </si>
  <si>
    <t>Enterprise Products Partners, L.P.</t>
  </si>
  <si>
    <t>EPD</t>
  </si>
  <si>
    <t>El Paso Energy Partners, L.P.</t>
  </si>
  <si>
    <t>EPN</t>
  </si>
  <si>
    <t>Genesis Energy L.P.</t>
  </si>
  <si>
    <t>GEL</t>
  </si>
  <si>
    <t>Kinder Morgan Energy Partners</t>
  </si>
  <si>
    <t>KMP</t>
  </si>
  <si>
    <t>Kaneb Pipeline Partners, L.P.</t>
  </si>
  <si>
    <t>KPP</t>
  </si>
  <si>
    <t>Plains Energy All-American L.P.</t>
  </si>
  <si>
    <t>PAA</t>
  </si>
  <si>
    <t>Teppco Partners, L.P.</t>
  </si>
  <si>
    <t>TPP</t>
  </si>
  <si>
    <t>T. Hayes</t>
  </si>
  <si>
    <t>212-538-1728</t>
  </si>
  <si>
    <t>Merrill Lynch</t>
  </si>
  <si>
    <t>NR / (p)Baa2</t>
  </si>
  <si>
    <t>Dain Rauscher Wessels</t>
  </si>
  <si>
    <t>Buy Aggress</t>
  </si>
  <si>
    <t>BB / NR</t>
  </si>
  <si>
    <t>BBB / NR</t>
  </si>
  <si>
    <t>BB+ / NR</t>
  </si>
  <si>
    <t>UBS Warburg</t>
  </si>
  <si>
    <t>Hold</t>
  </si>
  <si>
    <t>Lehman Brothers</t>
  </si>
  <si>
    <t>A- / Baa1</t>
  </si>
  <si>
    <t>Salomon Smith Barney</t>
  </si>
  <si>
    <t>Outperform</t>
  </si>
  <si>
    <t>Dain Rauscher</t>
  </si>
  <si>
    <t>US INTEGRATEDS COMPARABLE COMPANY ANALYSIS</t>
  </si>
  <si>
    <t xml:space="preserve">Debt / </t>
  </si>
  <si>
    <t>COC.A/COC.B</t>
  </si>
  <si>
    <t>R. Gulcan</t>
  </si>
  <si>
    <t>212-325-3405</t>
  </si>
  <si>
    <t>(1) Share price weighted average price of A and B Shares.</t>
  </si>
  <si>
    <t>(2) USX-Marathon rating is the rating for USX Corporation.</t>
  </si>
  <si>
    <t>(3) Phillips pro forma for Tosco Acquisiton.</t>
  </si>
  <si>
    <t>Note:  Conoco is pro forma for Gulf Canada; Phillips is pro forma for Tosco</t>
  </si>
  <si>
    <t>Amerada Hess Corporation</t>
  </si>
  <si>
    <t>AHC</t>
  </si>
  <si>
    <t>Conoco Inc</t>
  </si>
  <si>
    <t>USX-Marathon Group</t>
  </si>
  <si>
    <t>MRO</t>
  </si>
  <si>
    <t>Murphy Oil Corporation</t>
  </si>
  <si>
    <t>MUR</t>
  </si>
  <si>
    <t>Occidental Petroleum Corporation</t>
  </si>
  <si>
    <t>OXY</t>
  </si>
  <si>
    <t>Phillips Petroleum Company</t>
  </si>
  <si>
    <t>P</t>
  </si>
  <si>
    <t>Salomon SB</t>
  </si>
  <si>
    <t>Baa2/BBB</t>
  </si>
  <si>
    <t>MAJORS COMPARABLE COMPANY ANALYSIS</t>
  </si>
  <si>
    <t>BP Amoco plc</t>
  </si>
  <si>
    <t>BP</t>
  </si>
  <si>
    <t>Chevron Corporation</t>
  </si>
  <si>
    <t>CHV</t>
  </si>
  <si>
    <t>Exxon Mobil Corporation</t>
  </si>
  <si>
    <t>XOM</t>
  </si>
  <si>
    <t>Texaco Inc.</t>
  </si>
  <si>
    <t>TX</t>
  </si>
  <si>
    <t>Royal Dutch/Shell Group of Companies</t>
  </si>
  <si>
    <t>RD/SC</t>
  </si>
  <si>
    <t>RD</t>
  </si>
  <si>
    <t>SC</t>
  </si>
  <si>
    <t>TOTAL Fina Elf SA(1)</t>
  </si>
  <si>
    <t>TOT</t>
  </si>
  <si>
    <t>D. Barnosky</t>
  </si>
  <si>
    <t>212-325-1230</t>
  </si>
  <si>
    <t>Flannery/CSFB</t>
  </si>
  <si>
    <t>AA+/Aa1</t>
  </si>
  <si>
    <t>AA/Aa2</t>
  </si>
  <si>
    <t>Chevron Corporation PF for Texaco</t>
  </si>
  <si>
    <t>AAA/Aaa</t>
  </si>
  <si>
    <t>A+/A1</t>
  </si>
  <si>
    <t>(1)   Have not released an interim statement.  Numbers are based on 12/31/2000 filing.</t>
  </si>
  <si>
    <t>LAND DRILLER COMPARABLE COMPANY ANALYSIS</t>
  </si>
  <si>
    <t>Akita Drilling</t>
  </si>
  <si>
    <t>*AKT.A</t>
  </si>
  <si>
    <t>Ensign Resource Service Group</t>
  </si>
  <si>
    <t>*ESI</t>
  </si>
  <si>
    <t>Grey Wolf Inc.</t>
  </si>
  <si>
    <t>GW</t>
  </si>
  <si>
    <t>Helmerick &amp; Payne</t>
  </si>
  <si>
    <t>HP</t>
  </si>
  <si>
    <t>Nabors Industries Inc.</t>
  </si>
  <si>
    <t>NBR</t>
  </si>
  <si>
    <t>Precision Drilling</t>
  </si>
  <si>
    <t>*PD</t>
  </si>
  <si>
    <t>Parker Drilling</t>
  </si>
  <si>
    <t>PKD</t>
  </si>
  <si>
    <t xml:space="preserve">Patterson - UTI Energy </t>
  </si>
  <si>
    <t>PTEN</t>
  </si>
  <si>
    <t>Unit Corporation</t>
  </si>
  <si>
    <t>UNT</t>
  </si>
  <si>
    <t>Mobile Offshore Drilling Rigs</t>
  </si>
  <si>
    <t>Land Rigs (1)</t>
  </si>
  <si>
    <t>Barges</t>
  </si>
  <si>
    <t>Tenders</t>
  </si>
  <si>
    <t>Platforms</t>
  </si>
  <si>
    <t>Jack-ups</t>
  </si>
  <si>
    <t>Submers.</t>
  </si>
  <si>
    <t>Semi-Subs</t>
  </si>
  <si>
    <t>Drillships</t>
  </si>
  <si>
    <t>TOTAL</t>
  </si>
  <si>
    <t>U.S.</t>
  </si>
  <si>
    <t>Int'l</t>
  </si>
  <si>
    <t>B. Shughart</t>
  </si>
  <si>
    <t>713-652-6011</t>
  </si>
  <si>
    <t>CIBC</t>
  </si>
  <si>
    <t>B+/B1</t>
  </si>
  <si>
    <t>MSDW</t>
  </si>
  <si>
    <t>A-/A3</t>
  </si>
  <si>
    <t xml:space="preserve">Dain </t>
  </si>
  <si>
    <t>CANADIAN OIL AND GAS COMPARABLE COMPANY ANALYSIS</t>
  </si>
  <si>
    <t>q290</t>
  </si>
  <si>
    <t>j132</t>
  </si>
  <si>
    <t>($CDN In Millions, Except Per Share Amounts and Multiples, Unless Otherwise Indicated)</t>
  </si>
  <si>
    <t>q263</t>
  </si>
  <si>
    <t>B12</t>
  </si>
  <si>
    <t>D9</t>
  </si>
  <si>
    <t>j123</t>
  </si>
  <si>
    <t>h46</t>
  </si>
  <si>
    <t>p46</t>
  </si>
  <si>
    <t>q46</t>
  </si>
  <si>
    <t>h52</t>
  </si>
  <si>
    <t>p52</t>
  </si>
  <si>
    <t>q52</t>
  </si>
  <si>
    <t>h28</t>
  </si>
  <si>
    <t>p28</t>
  </si>
  <si>
    <t>q28</t>
  </si>
  <si>
    <t>i97</t>
  </si>
  <si>
    <t>i12</t>
  </si>
  <si>
    <t>s305</t>
  </si>
  <si>
    <t>t305</t>
  </si>
  <si>
    <t>j121</t>
  </si>
  <si>
    <t>k286</t>
  </si>
  <si>
    <t xml:space="preserve">Share Prices as of </t>
  </si>
  <si>
    <t>Mkt. Val./ Net Income</t>
  </si>
  <si>
    <t>Mkt. Val./ Cash Flow</t>
  </si>
  <si>
    <t>Mkt. Value/</t>
  </si>
  <si>
    <t xml:space="preserve">Shares </t>
  </si>
  <si>
    <t>Book Value</t>
  </si>
  <si>
    <t>ALBERTA ENERGY COMPANY</t>
  </si>
  <si>
    <t>*AEC</t>
  </si>
  <si>
    <t>ANDERSON EXPLORATION</t>
  </si>
  <si>
    <t>*AXL</t>
  </si>
  <si>
    <t>BAYTEX ENERGY</t>
  </si>
  <si>
    <t>*BTE.A</t>
  </si>
  <si>
    <t>BONAVISTA PETROLEUM</t>
  </si>
  <si>
    <t>*BNP</t>
  </si>
  <si>
    <t>CANADIAN HUNTER EXPLORATION</t>
  </si>
  <si>
    <t>*HTR</t>
  </si>
  <si>
    <t>CANADIAN NATURAL RESOURCES</t>
  </si>
  <si>
    <t>*CNQ</t>
  </si>
  <si>
    <t>GULF CANADA RESOURCES</t>
  </si>
  <si>
    <t>*GOU</t>
  </si>
  <si>
    <t>HUSKY ENERGY</t>
  </si>
  <si>
    <t>*HSE</t>
  </si>
  <si>
    <t>HSE</t>
  </si>
  <si>
    <t>IMPERIAL OIL</t>
  </si>
  <si>
    <t>*IMO</t>
  </si>
  <si>
    <t>NEXEN</t>
  </si>
  <si>
    <t>*NXY</t>
  </si>
  <si>
    <t>PANCANADIAN PETROLEUM</t>
  </si>
  <si>
    <t>*PCP</t>
  </si>
  <si>
    <t>PARAMOUNT RESOURCES</t>
  </si>
  <si>
    <t>*POU</t>
  </si>
  <si>
    <t>PENN WEST PETROLEUM</t>
  </si>
  <si>
    <t>*PWT</t>
  </si>
  <si>
    <t>PETRO-CANADA</t>
  </si>
  <si>
    <t>*PCA</t>
  </si>
  <si>
    <t>RIO ALTO EXPLORATION</t>
  </si>
  <si>
    <t>*RAX</t>
  </si>
  <si>
    <t>SHELL CANADA</t>
  </si>
  <si>
    <t>*SHC</t>
  </si>
  <si>
    <t>SUNCOR</t>
  </si>
  <si>
    <t>*SU</t>
  </si>
  <si>
    <t>TALISMAN ENERGY</t>
  </si>
  <si>
    <t>*TLM</t>
  </si>
  <si>
    <t>VERMILION RESOURCES</t>
  </si>
  <si>
    <t>*VRM</t>
  </si>
  <si>
    <t>Estimates from CSFB Equity Research, First Call</t>
  </si>
  <si>
    <t>Indirect Line</t>
  </si>
  <si>
    <t>v16</t>
  </si>
  <si>
    <t>V17</t>
  </si>
  <si>
    <t>w16</t>
  </si>
  <si>
    <t>f113</t>
  </si>
  <si>
    <t>f114</t>
  </si>
  <si>
    <t>Q263</t>
  </si>
  <si>
    <t>Tom Greenberg</t>
  </si>
  <si>
    <t>416-352-4518</t>
  </si>
  <si>
    <t>05/28/2001</t>
  </si>
  <si>
    <t>McDaniel, Gilbert Laustsen Jung, Ryder Scott</t>
  </si>
  <si>
    <t>BBB+/Baa2</t>
  </si>
  <si>
    <t>Internal Estimates, Gilbert Laustsen Jung</t>
  </si>
  <si>
    <t>FirstCall</t>
  </si>
  <si>
    <t>B+/Ba3</t>
  </si>
  <si>
    <t>Outtrim Szabo Associates</t>
  </si>
  <si>
    <t>McDaniel and Associates</t>
  </si>
  <si>
    <t>Sproule and Associates</t>
  </si>
  <si>
    <t>BBB+/NR</t>
  </si>
  <si>
    <t>Ryder Scott, Delgoyer and McNaughton Ltd.</t>
  </si>
  <si>
    <t>Ryder Scott, Internal</t>
  </si>
  <si>
    <t>A-1+/Aa1</t>
  </si>
  <si>
    <t>McDaniel, Ryder Scott, DeGolyer &amp; McNaughton</t>
  </si>
  <si>
    <t>Internal Estimates, Ryder Scott</t>
  </si>
  <si>
    <t>McDaniel &amp; Gilbert Lautsen Jung</t>
  </si>
  <si>
    <t>N/A / Aa2</t>
  </si>
  <si>
    <t>NRG Engineering</t>
  </si>
  <si>
    <t>A-1+/WR</t>
  </si>
  <si>
    <t>Internal Estimates</t>
  </si>
  <si>
    <t>Adams Pearson, Chapman Petroleum Engineering</t>
  </si>
  <si>
    <t>Notes</t>
  </si>
  <si>
    <t>1) Baytex Proforma for OGY and Triumph</t>
  </si>
  <si>
    <t>2) Talisman Proforma for Petromet</t>
  </si>
  <si>
    <t>Stock Price Performance</t>
  </si>
  <si>
    <t>LTM Change</t>
  </si>
  <si>
    <t>YTD Change</t>
  </si>
  <si>
    <t>f305</t>
  </si>
  <si>
    <t>g305</t>
  </si>
  <si>
    <t>h305</t>
  </si>
  <si>
    <t>i305</t>
  </si>
  <si>
    <t>j305</t>
  </si>
  <si>
    <t>n12</t>
  </si>
  <si>
    <t>k305</t>
  </si>
  <si>
    <t>l305</t>
  </si>
  <si>
    <t>m305</t>
  </si>
  <si>
    <t>n305</t>
  </si>
  <si>
    <t>o305</t>
  </si>
  <si>
    <t>p305</t>
  </si>
  <si>
    <t>q305</t>
  </si>
  <si>
    <t>r305</t>
  </si>
  <si>
    <t>u305</t>
  </si>
  <si>
    <t>v305</t>
  </si>
  <si>
    <t>w305</t>
  </si>
  <si>
    <t>x305</t>
  </si>
  <si>
    <t>EUROPEAN E&amp;P COMPARABLE COMPANY ANALYSIS</t>
  </si>
  <si>
    <t>Market Value/Net Income</t>
  </si>
  <si>
    <t>Market Value/Cashflow</t>
  </si>
  <si>
    <t>MV</t>
  </si>
  <si>
    <t>AMV</t>
  </si>
  <si>
    <t>EXC</t>
  </si>
  <si>
    <t>BG GROUP</t>
  </si>
  <si>
    <t>BG</t>
  </si>
  <si>
    <t>ENTERPRISE OIL</t>
  </si>
  <si>
    <t>ETP</t>
  </si>
  <si>
    <t>CAIRN ENERGY</t>
  </si>
  <si>
    <t>CNE</t>
  </si>
  <si>
    <t>PREMIER OIL</t>
  </si>
  <si>
    <t>PMO</t>
  </si>
  <si>
    <t>u10</t>
  </si>
  <si>
    <t>u11</t>
  </si>
  <si>
    <t>y15</t>
  </si>
  <si>
    <t>y305</t>
  </si>
  <si>
    <t>z305</t>
  </si>
  <si>
    <t>k288</t>
  </si>
  <si>
    <t>E. Didier</t>
  </si>
  <si>
    <t>44-20-7883-7412</t>
  </si>
  <si>
    <t>Dudlyke</t>
  </si>
  <si>
    <t>AA/NA</t>
  </si>
  <si>
    <t>INTERNATIONAL INTEGRATEDS COMPARABLE COMPANY ANALYSIS</t>
  </si>
  <si>
    <t>ENI</t>
  </si>
  <si>
    <t>ENI.MI</t>
  </si>
  <si>
    <t>LUKOIL HLDGS</t>
  </si>
  <si>
    <t>LKOH.RTS</t>
  </si>
  <si>
    <t>MOL MAGYAR OLAJ-ES GAZIPARI</t>
  </si>
  <si>
    <t>MOLB.BU</t>
  </si>
  <si>
    <t>NORSK HYDRO AS</t>
  </si>
  <si>
    <t>NHY.OL</t>
  </si>
  <si>
    <t>OMV AG</t>
  </si>
  <si>
    <t>OMVV.VI</t>
  </si>
  <si>
    <t>PEREZ COMPANC SA</t>
  </si>
  <si>
    <t>PC.N</t>
  </si>
  <si>
    <t>PETROL BRASILEIROS</t>
  </si>
  <si>
    <t>PETR3.SA</t>
  </si>
  <si>
    <t>REPSOL YPF SA</t>
  </si>
  <si>
    <t>REP.MC</t>
  </si>
  <si>
    <t>Analyst</t>
  </si>
  <si>
    <t>J-E. Back</t>
  </si>
  <si>
    <t>44-20-7883-7456</t>
  </si>
  <si>
    <t>Arnfield</t>
  </si>
  <si>
    <t>Aa3</t>
  </si>
  <si>
    <t>Mitroshin</t>
  </si>
  <si>
    <t>Ba2</t>
  </si>
  <si>
    <t>Jakab</t>
  </si>
  <si>
    <t>A2</t>
  </si>
  <si>
    <t>Santos</t>
  </si>
  <si>
    <t>B1</t>
  </si>
  <si>
    <t>Baa1</t>
  </si>
  <si>
    <t>Mol Magyar downgraded to a Hold on 14June 2001</t>
  </si>
  <si>
    <t>Petrobras and Perez Companc not updated for latest oil price forecast</t>
  </si>
  <si>
    <t>b13</t>
  </si>
  <si>
    <t>f12</t>
  </si>
  <si>
    <t>g12</t>
  </si>
  <si>
    <t>h12</t>
  </si>
  <si>
    <t>j122</t>
  </si>
  <si>
    <t>j124</t>
  </si>
  <si>
    <t>q126</t>
  </si>
  <si>
    <t>q125</t>
  </si>
  <si>
    <t>q122</t>
  </si>
  <si>
    <t>q121</t>
  </si>
  <si>
    <t>q118</t>
  </si>
  <si>
    <t>q117</t>
  </si>
  <si>
    <t>q128</t>
  </si>
  <si>
    <t>EUROPEAN OIL FIELD SERVICE COMPARABLE COMPANY ANALYSIS</t>
  </si>
  <si>
    <t>Aker</t>
  </si>
  <si>
    <t>AKER MARITIME ASA</t>
  </si>
  <si>
    <t>Bouygues</t>
  </si>
  <si>
    <t>BOUYGUES OFFSHORE</t>
  </si>
  <si>
    <t>506918</t>
  </si>
  <si>
    <t>Coflexip</t>
  </si>
  <si>
    <t>COFLEXIP</t>
  </si>
  <si>
    <t>418174</t>
  </si>
  <si>
    <t>DSND</t>
  </si>
  <si>
    <t>DSND SUBSEA ASA</t>
  </si>
  <si>
    <t>523206</t>
  </si>
  <si>
    <t>Expro</t>
  </si>
  <si>
    <t>EXPRO INTL GRP</t>
  </si>
  <si>
    <t>031193</t>
  </si>
  <si>
    <t>Fred</t>
  </si>
  <si>
    <t>FRED OLSEN ENERGY</t>
  </si>
  <si>
    <t>534410</t>
  </si>
  <si>
    <t>Fugro</t>
  </si>
  <si>
    <t>FUGRO NV</t>
  </si>
  <si>
    <t>433289</t>
  </si>
  <si>
    <t>Geophysics</t>
  </si>
  <si>
    <t>CIE GEN GEOPHYSIQU</t>
  </si>
  <si>
    <t>421539</t>
  </si>
  <si>
    <t>IHC</t>
  </si>
  <si>
    <t>IHC CALAND NV</t>
  </si>
  <si>
    <t>444115</t>
  </si>
  <si>
    <t>Kvaerner</t>
  </si>
  <si>
    <t>KVAERNER AS</t>
  </si>
  <si>
    <t>450202</t>
  </si>
  <si>
    <t>Saipem</t>
  </si>
  <si>
    <t>SAIPEM</t>
  </si>
  <si>
    <t>476876</t>
  </si>
  <si>
    <t>Stolt</t>
  </si>
  <si>
    <t>STOLT OFFSHORE S A  -ADR</t>
  </si>
  <si>
    <t>sosa</t>
  </si>
  <si>
    <t xml:space="preserve">Nikolaj Larsen </t>
  </si>
  <si>
    <t>44-20-7883-7427</t>
  </si>
  <si>
    <t>D. Dudlyke</t>
  </si>
  <si>
    <t>none</t>
  </si>
  <si>
    <t>Ba3</t>
  </si>
  <si>
    <t>K. Gevert</t>
  </si>
  <si>
    <t>RETAIL AND LUBES COMPARABLE COMPANY ANALYSIS</t>
  </si>
  <si>
    <r>
      <t>R&amp;M Operations (excluding chemical operations)</t>
    </r>
    <r>
      <rPr>
        <vertAlign val="superscript"/>
        <sz val="7.5"/>
        <color indexed="8"/>
        <rFont val="Arial"/>
        <family val="2"/>
      </rPr>
      <t>(3)</t>
    </r>
  </si>
  <si>
    <t>D. Kobzev</t>
  </si>
  <si>
    <t>212-325-0911</t>
  </si>
  <si>
    <t>S. Ren</t>
  </si>
  <si>
    <t>212-325-6428</t>
  </si>
  <si>
    <t>REFINING COMPARABLE COMPANY ANALYSIS</t>
  </si>
  <si>
    <t>Ashland Inc.</t>
  </si>
  <si>
    <t>ASH</t>
  </si>
  <si>
    <t>Giant Industries</t>
  </si>
  <si>
    <t>GI</t>
  </si>
  <si>
    <t>Holly Corp.</t>
  </si>
  <si>
    <t>HOC</t>
  </si>
  <si>
    <t>Sunoco Inc.</t>
  </si>
  <si>
    <t>SUN</t>
  </si>
  <si>
    <t>Tosco Corporation</t>
  </si>
  <si>
    <t>TOS</t>
  </si>
  <si>
    <t>Valero Energy Corporation</t>
  </si>
  <si>
    <t>VLO</t>
  </si>
  <si>
    <t>Ultramar Diamond Shamrock Corp.</t>
  </si>
  <si>
    <t>UDS</t>
  </si>
  <si>
    <t>Tesoro Petroleum</t>
  </si>
  <si>
    <t>TSO</t>
  </si>
  <si>
    <t>None</t>
  </si>
  <si>
    <t>BB / B1</t>
  </si>
  <si>
    <t>J. McNulty/CSFB</t>
  </si>
  <si>
    <t>SMALL INDEPENDENT E&amp;P COMPARABLE COMPANY ANALYSIS</t>
  </si>
  <si>
    <t>J. Ball</t>
  </si>
  <si>
    <t xml:space="preserve">713-652-6026 </t>
  </si>
  <si>
    <t xml:space="preserve">713-652-6001 </t>
  </si>
  <si>
    <t>B. Jinks</t>
  </si>
  <si>
    <t>713-652-6042</t>
  </si>
  <si>
    <t>C. Van Os</t>
  </si>
  <si>
    <t xml:space="preserve">713-652-6076 </t>
  </si>
  <si>
    <t>Belco Oil &amp; Gas Corp.</t>
  </si>
  <si>
    <t>BOG</t>
  </si>
  <si>
    <t>Cabot Oil &amp; Gas Corporation</t>
  </si>
  <si>
    <t>COG</t>
  </si>
  <si>
    <t>Callon Petroleum</t>
  </si>
  <si>
    <t>CPE</t>
  </si>
  <si>
    <t>Chieftain International, Inc.</t>
  </si>
  <si>
    <t>CID</t>
  </si>
  <si>
    <t>Comstock Resources, Inc.</t>
  </si>
  <si>
    <t>CRK</t>
  </si>
  <si>
    <t>Denbury Resources Inc.</t>
  </si>
  <si>
    <t>DNR</t>
  </si>
  <si>
    <t>EEX</t>
  </si>
  <si>
    <t>Energy Partners, LTD.</t>
  </si>
  <si>
    <t>EPL</t>
  </si>
  <si>
    <t>Evergreen Resources, Inc.</t>
  </si>
  <si>
    <t>EVG</t>
  </si>
  <si>
    <t>Houston Exploration</t>
  </si>
  <si>
    <t>THX</t>
  </si>
  <si>
    <t>HS Resources, Inc.</t>
  </si>
  <si>
    <t>The Meridian Resource Corporation</t>
  </si>
  <si>
    <t>TMR</t>
  </si>
  <si>
    <t>Magnum Hunter Resources Inc.</t>
  </si>
  <si>
    <t>MHR</t>
  </si>
  <si>
    <t>Nuevo Energy Co</t>
  </si>
  <si>
    <t>NEV</t>
  </si>
  <si>
    <t>Patina Oil &amp; Gas Corp</t>
  </si>
  <si>
    <t>POG</t>
  </si>
  <si>
    <t>Plains Resources Inc.</t>
  </si>
  <si>
    <t>PLX</t>
  </si>
  <si>
    <t>Prize Energy Corp</t>
  </si>
  <si>
    <t>PRZ</t>
  </si>
  <si>
    <t>Pure Resources Inc.</t>
  </si>
  <si>
    <t>PRS</t>
  </si>
  <si>
    <t>Range Resources Corporation</t>
  </si>
  <si>
    <t>RRC</t>
  </si>
  <si>
    <t>Spinnaker Exploration Company</t>
  </si>
  <si>
    <t>SKE</t>
  </si>
  <si>
    <t>St Mary Land &amp; Exploration Company</t>
  </si>
  <si>
    <t>MARY</t>
  </si>
  <si>
    <t>Swift Energy Company</t>
  </si>
  <si>
    <t>SFY</t>
  </si>
  <si>
    <t>Westport Resources</t>
  </si>
  <si>
    <t>WRC</t>
  </si>
  <si>
    <t xml:space="preserve">Buy </t>
  </si>
  <si>
    <t>BB- / Ba2</t>
  </si>
  <si>
    <t>Miller and Lents, LTD.</t>
  </si>
  <si>
    <t>NA / NA</t>
  </si>
  <si>
    <t>RJA</t>
  </si>
  <si>
    <t>B/B2</t>
  </si>
  <si>
    <t>DeGolyer&amp;MacNaughton</t>
  </si>
  <si>
    <t>Dain</t>
  </si>
  <si>
    <t>Fahnstock &amp; Co., Inc.</t>
  </si>
  <si>
    <t>B+ / B1</t>
  </si>
  <si>
    <t>Buy - Spec.</t>
  </si>
  <si>
    <t>DeGoyer and MacNaughton</t>
  </si>
  <si>
    <t>Dain Rauscher wessels</t>
  </si>
  <si>
    <t>Netherland, Sewell &amp; Associates</t>
  </si>
  <si>
    <t>BB-/Ba3</t>
  </si>
  <si>
    <t>Independent consultants</t>
  </si>
  <si>
    <t>BB / Ba2</t>
  </si>
  <si>
    <t>Netherland &amp; Sewell</t>
  </si>
  <si>
    <t>T. J. Smith and Company, Inc.</t>
  </si>
  <si>
    <t>Raymond James</t>
  </si>
  <si>
    <t>B-/B2</t>
  </si>
  <si>
    <t>HJ Gruy, NSA &amp; RS</t>
  </si>
  <si>
    <t>First Call</t>
  </si>
  <si>
    <t>H.J. Gruy and Associates / DeGolyer and MacNaughton / Wright and Company</t>
  </si>
  <si>
    <t>Pace</t>
  </si>
  <si>
    <t>Buy-Aggressive</t>
  </si>
  <si>
    <t>BB- / Ba3</t>
  </si>
  <si>
    <t>H. J. Gruy and Associates, Inc.</t>
  </si>
  <si>
    <t>OILFIELD SERVICES COMPARABLE COMPANY ANALYSIS</t>
  </si>
  <si>
    <r>
      <t>LTM</t>
    </r>
    <r>
      <rPr>
        <vertAlign val="superscript"/>
        <sz val="7.5"/>
        <color indexed="8"/>
        <rFont val="Arial"/>
        <family val="2"/>
      </rPr>
      <t>(1)</t>
    </r>
  </si>
  <si>
    <t>W. Weathers</t>
  </si>
  <si>
    <t>713-652-6009</t>
  </si>
  <si>
    <t>B. Jukes</t>
  </si>
  <si>
    <t>713-652-6020</t>
  </si>
  <si>
    <t>(1) Hydril Company and W-H Energy Services, Inc. made an Initial Public Offering (IPO) on 9/27/00 and 10/16/00, respectively.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</si>
</sst>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1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\x_);\(#,##0.0\x\)"/>
    <numFmt numFmtId="165" formatCode="0.0%"/>
    <numFmt numFmtId="166" formatCode="#,##0.0_);\(#,##0.0\)"/>
    <numFmt numFmtId="167" formatCode="0.0"/>
    <numFmt numFmtId="168" formatCode="&quot;$&quot;#,##0.0_);\(&quot;$&quot;#,##0.0\)"/>
    <numFmt numFmtId="169" formatCode="&quot;$&quot;#,##0.00;[Red]\(&quot;$&quot;#,##0.00\)"/>
    <numFmt numFmtId="170" formatCode="#,##0;[Red]\(#,##0\)"/>
    <numFmt numFmtId="171" formatCode="&quot;$&quot;#,##0;[Red]\(&quot;$&quot;#,##0\)"/>
    <numFmt numFmtId="172" formatCode="#,##0.000_);\(#,##0.000\)"/>
    <numFmt numFmtId="173" formatCode="0.0\x"/>
    <numFmt numFmtId="174" formatCode="_(* #,##0_);_(* \(#,##0\);_(* &quot;-&quot;??_);_(@_)"/>
    <numFmt numFmtId="175" formatCode="0.0%_);\(0.0%\);0.0%_);@_)"/>
    <numFmt numFmtId="180" formatCode="mm/dd/yy"/>
    <numFmt numFmtId="181" formatCode="yyyy"/>
    <numFmt numFmtId="182" formatCode="&quot;$&quot;#,##0.00"/>
    <numFmt numFmtId="183" formatCode="\C&quot;$&quot;#,##0;[Red]\(&quot;$&quot;#,##0\)"/>
    <numFmt numFmtId="184" formatCode="&quot;$&quot;#,##0"/>
    <numFmt numFmtId="185" formatCode="_(* #,##0.0_);_(* \(#,##0.0\);_(* &quot;-&quot;??_);_(@_)"/>
    <numFmt numFmtId="187" formatCode="0.0%;\(0.0%\)"/>
    <numFmt numFmtId="188" formatCode="dd\-mmm\-yyyy"/>
    <numFmt numFmtId="189" formatCode="#,##0.0_);\(#,##0.0\);#,##0.0_);@_)"/>
    <numFmt numFmtId="190" formatCode="#,##0.0\x_);\(#,##0.0\x\);#,##0.0\x_);@_)"/>
    <numFmt numFmtId="191" formatCode="[$$-409]#,##0.0"/>
    <numFmt numFmtId="192" formatCode="mmm\-yyyy"/>
    <numFmt numFmtId="193" formatCode="[$$-2409]#,##0.0"/>
    <numFmt numFmtId="194" formatCode="0_);\(0\);0_)"/>
    <numFmt numFmtId="195" formatCode="d\-mmm\-yyyy"/>
  </numFmts>
  <fonts count="34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0"/>
      <name val="Helvetica"/>
    </font>
    <font>
      <u/>
      <sz val="7.5"/>
      <color indexed="12"/>
      <name val="Helvetica"/>
    </font>
    <font>
      <b/>
      <sz val="14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1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sz val="10"/>
      <color indexed="9"/>
      <name val="Arial"/>
      <family val="2"/>
    </font>
    <font>
      <b/>
      <sz val="14"/>
      <color indexed="8"/>
      <name val="Arial"/>
      <family val="2"/>
    </font>
    <font>
      <b/>
      <i/>
      <sz val="10"/>
      <color indexed="8"/>
      <name val="Arial"/>
      <family val="2"/>
    </font>
    <font>
      <i/>
      <sz val="8"/>
      <color indexed="8"/>
      <name val="Arial"/>
      <family val="2"/>
    </font>
    <font>
      <i/>
      <sz val="10"/>
      <color indexed="8"/>
      <name val="Arial"/>
      <family val="2"/>
    </font>
    <font>
      <b/>
      <sz val="14"/>
      <color indexed="8"/>
      <name val="Helvetica"/>
      <family val="2"/>
    </font>
    <font>
      <sz val="10"/>
      <color indexed="8"/>
      <name val="Times New Roman"/>
      <family val="1"/>
    </font>
    <font>
      <b/>
      <sz val="12"/>
      <color indexed="8"/>
      <name val="Helvetica"/>
      <family val="2"/>
    </font>
    <font>
      <b/>
      <i/>
      <sz val="10"/>
      <color indexed="8"/>
      <name val="Helvetica"/>
    </font>
    <font>
      <sz val="8"/>
      <color indexed="8"/>
      <name val="Arial"/>
      <family val="2"/>
    </font>
    <font>
      <sz val="8"/>
      <color indexed="8"/>
      <name val="Helvetica"/>
    </font>
    <font>
      <sz val="8"/>
      <color indexed="8"/>
      <name val="Helvetica"/>
      <family val="2"/>
    </font>
    <font>
      <sz val="10"/>
      <color indexed="8"/>
      <name val="Helvetica"/>
      <family val="2"/>
    </font>
    <font>
      <u/>
      <sz val="10"/>
      <color indexed="8"/>
      <name val="Helvetica"/>
      <family val="2"/>
    </font>
    <font>
      <b/>
      <sz val="10"/>
      <color indexed="8"/>
      <name val="Helvetica"/>
      <family val="2"/>
    </font>
    <font>
      <vertAlign val="superscript"/>
      <sz val="7.5"/>
      <color indexed="8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" fillId="0" borderId="0"/>
    <xf numFmtId="9" fontId="1" fillId="0" borderId="0" applyFont="0" applyFill="0" applyBorder="0" applyAlignment="0" applyProtection="0"/>
  </cellStyleXfs>
  <cellXfs count="358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5" fillId="2" borderId="0" xfId="0" applyFont="1" applyFill="1"/>
    <xf numFmtId="0" fontId="2" fillId="2" borderId="0" xfId="0" applyFont="1" applyFill="1" applyBorder="1"/>
    <xf numFmtId="0" fontId="6" fillId="2" borderId="0" xfId="0" applyFont="1" applyFill="1"/>
    <xf numFmtId="0" fontId="2" fillId="2" borderId="1" xfId="0" applyFont="1" applyFill="1" applyBorder="1" applyAlignment="1">
      <alignment horizontal="left"/>
    </xf>
    <xf numFmtId="0" fontId="2" fillId="2" borderId="0" xfId="0" quotePrefix="1" applyFont="1" applyFill="1" applyAlignment="1">
      <alignment horizontal="center"/>
    </xf>
    <xf numFmtId="0" fontId="2" fillId="2" borderId="0" xfId="0" quotePrefix="1" applyFont="1" applyFill="1" applyAlignment="1">
      <alignment horizontal="fill"/>
    </xf>
    <xf numFmtId="0" fontId="2" fillId="2" borderId="0" xfId="0" quotePrefix="1" applyFont="1" applyFill="1" applyAlignment="1">
      <alignment horizontal="left"/>
    </xf>
    <xf numFmtId="15" fontId="2" fillId="2" borderId="0" xfId="0" quotePrefix="1" applyNumberFormat="1" applyFont="1" applyFill="1" applyAlignment="1">
      <alignment horizontal="center"/>
    </xf>
    <xf numFmtId="7" fontId="2" fillId="2" borderId="0" xfId="2" quotePrefix="1" applyNumberFormat="1" applyFont="1" applyFill="1" applyAlignment="1">
      <alignment horizontal="center"/>
    </xf>
    <xf numFmtId="5" fontId="2" fillId="2" borderId="0" xfId="2" quotePrefix="1" applyNumberFormat="1" applyFont="1" applyFill="1" applyAlignment="1">
      <alignment horizontal="center"/>
    </xf>
    <xf numFmtId="164" fontId="2" fillId="2" borderId="0" xfId="0" quotePrefix="1" applyNumberFormat="1" applyFont="1" applyFill="1" applyAlignment="1">
      <alignment horizontal="center"/>
    </xf>
    <xf numFmtId="165" fontId="2" fillId="2" borderId="0" xfId="6" quotePrefix="1" applyNumberFormat="1" applyFont="1" applyFill="1" applyAlignment="1">
      <alignment horizontal="center"/>
    </xf>
    <xf numFmtId="37" fontId="2" fillId="2" borderId="0" xfId="0" quotePrefix="1" applyNumberFormat="1" applyFont="1" applyFill="1" applyAlignment="1">
      <alignment horizontal="center"/>
    </xf>
    <xf numFmtId="5" fontId="2" fillId="2" borderId="0" xfId="2" applyNumberFormat="1" applyFont="1" applyFill="1" applyAlignment="1">
      <alignment horizontal="center"/>
    </xf>
    <xf numFmtId="166" fontId="2" fillId="2" borderId="0" xfId="0" quotePrefix="1" applyNumberFormat="1" applyFont="1" applyFill="1" applyAlignment="1">
      <alignment horizontal="center"/>
    </xf>
    <xf numFmtId="15" fontId="2" fillId="2" borderId="0" xfId="0" applyNumberFormat="1" applyFont="1" applyFill="1" applyAlignment="1">
      <alignment horizontal="center"/>
    </xf>
    <xf numFmtId="7" fontId="2" fillId="2" borderId="0" xfId="2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5" fontId="2" fillId="2" borderId="0" xfId="6" applyNumberFormat="1" applyFont="1" applyFill="1" applyAlignment="1">
      <alignment horizontal="center"/>
    </xf>
    <xf numFmtId="37" fontId="2" fillId="2" borderId="0" xfId="1" applyNumberFormat="1" applyFont="1" applyFill="1" applyAlignment="1">
      <alignment horizontal="center"/>
    </xf>
    <xf numFmtId="166" fontId="2" fillId="2" borderId="0" xfId="1" applyNumberFormat="1" applyFont="1" applyFill="1" applyAlignment="1">
      <alignment horizontal="center"/>
    </xf>
    <xf numFmtId="167" fontId="2" fillId="2" borderId="0" xfId="0" applyNumberFormat="1" applyFont="1" applyFill="1"/>
    <xf numFmtId="39" fontId="2" fillId="2" borderId="0" xfId="1" applyNumberFormat="1" applyFont="1" applyFill="1" applyAlignment="1">
      <alignment horizontal="center"/>
    </xf>
    <xf numFmtId="172" fontId="2" fillId="2" borderId="0" xfId="1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168" fontId="2" fillId="2" borderId="0" xfId="2" applyNumberFormat="1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quotePrefix="1" applyFont="1" applyFill="1" applyBorder="1" applyAlignment="1">
      <alignment horizontal="center"/>
    </xf>
    <xf numFmtId="0" fontId="2" fillId="2" borderId="0" xfId="0" quotePrefix="1" applyFont="1" applyFill="1" applyBorder="1" applyAlignment="1"/>
    <xf numFmtId="14" fontId="2" fillId="2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169" fontId="2" fillId="2" borderId="0" xfId="0" applyNumberFormat="1" applyFont="1" applyFill="1" applyBorder="1" applyAlignment="1">
      <alignment horizontal="center"/>
    </xf>
    <xf numFmtId="171" fontId="2" fillId="2" borderId="0" xfId="0" applyNumberFormat="1" applyFont="1" applyFill="1" applyAlignment="1">
      <alignment horizontal="center"/>
    </xf>
    <xf numFmtId="0" fontId="2" fillId="2" borderId="2" xfId="0" applyFont="1" applyFill="1" applyBorder="1" applyAlignment="1">
      <alignment horizontal="left"/>
    </xf>
    <xf numFmtId="14" fontId="2" fillId="2" borderId="0" xfId="0" applyNumberFormat="1" applyFont="1" applyFill="1" applyAlignment="1">
      <alignment horizontal="left"/>
    </xf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2" fillId="2" borderId="0" xfId="4" applyFont="1" applyFill="1" applyBorder="1"/>
    <xf numFmtId="0" fontId="2" fillId="2" borderId="0" xfId="0" applyFont="1" applyFill="1" applyAlignment="1" applyProtection="1">
      <alignment horizontal="center"/>
      <protection hidden="1"/>
    </xf>
    <xf numFmtId="15" fontId="2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>
      <alignment horizontal="left" indent="1"/>
    </xf>
    <xf numFmtId="0" fontId="8" fillId="2" borderId="0" xfId="0" quotePrefix="1" applyFont="1" applyFill="1" applyAlignment="1">
      <alignment horizontal="left"/>
    </xf>
    <xf numFmtId="15" fontId="10" fillId="2" borderId="3" xfId="0" applyNumberFormat="1" applyFont="1" applyFill="1" applyBorder="1" applyAlignment="1">
      <alignment horizontal="center"/>
    </xf>
    <xf numFmtId="15" fontId="9" fillId="2" borderId="0" xfId="0" applyNumberFormat="1" applyFont="1" applyFill="1" applyBorder="1" applyAlignment="1">
      <alignment horizontal="left"/>
    </xf>
    <xf numFmtId="0" fontId="7" fillId="2" borderId="2" xfId="0" applyFont="1" applyFill="1" applyBorder="1" applyAlignment="1">
      <alignment horizontal="centerContinuous"/>
    </xf>
    <xf numFmtId="0" fontId="7" fillId="2" borderId="0" xfId="0" applyFont="1" applyFill="1" applyAlignment="1">
      <alignment horizontal="centerContinuous"/>
    </xf>
    <xf numFmtId="0" fontId="7" fillId="2" borderId="0" xfId="0" applyFont="1" applyFill="1" applyBorder="1" applyAlignment="1">
      <alignment horizontal="centerContinuous"/>
    </xf>
    <xf numFmtId="0" fontId="7" fillId="2" borderId="0" xfId="0" applyFont="1" applyFill="1" applyBorder="1" applyAlignment="1">
      <alignment horizontal="center"/>
    </xf>
    <xf numFmtId="0" fontId="7" fillId="2" borderId="0" xfId="0" quotePrefix="1" applyFont="1" applyFill="1" applyAlignment="1">
      <alignment horizontal="center"/>
    </xf>
    <xf numFmtId="0" fontId="7" fillId="2" borderId="0" xfId="0" applyFont="1" applyFill="1" applyAlignment="1">
      <alignment horizontal="right"/>
    </xf>
    <xf numFmtId="0" fontId="7" fillId="2" borderId="0" xfId="0" applyFont="1" applyFill="1" applyAlignment="1">
      <alignment horizontal="left"/>
    </xf>
    <xf numFmtId="0" fontId="7" fillId="2" borderId="0" xfId="0" quotePrefix="1" applyFont="1" applyFill="1" applyAlignment="1">
      <alignment horizontal="right"/>
    </xf>
    <xf numFmtId="0" fontId="7" fillId="2" borderId="0" xfId="0" quotePrefix="1" applyFont="1" applyFill="1" applyAlignment="1">
      <alignment horizontal="left"/>
    </xf>
    <xf numFmtId="0" fontId="7" fillId="2" borderId="0" xfId="0" quotePrefix="1" applyFont="1" applyFill="1" applyBorder="1" applyAlignment="1"/>
    <xf numFmtId="0" fontId="7" fillId="2" borderId="0" xfId="0" applyFont="1" applyFill="1" applyBorder="1"/>
    <xf numFmtId="0" fontId="7" fillId="2" borderId="0" xfId="0" applyFont="1" applyFill="1" applyBorder="1" applyAlignment="1">
      <alignment horizontal="fill"/>
    </xf>
    <xf numFmtId="0" fontId="7" fillId="2" borderId="0" xfId="0" quotePrefix="1" applyFont="1" applyFill="1" applyBorder="1" applyAlignment="1">
      <alignment horizontal="center"/>
    </xf>
    <xf numFmtId="170" fontId="7" fillId="2" borderId="0" xfId="0" applyNumberFormat="1" applyFont="1" applyFill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right"/>
    </xf>
    <xf numFmtId="164" fontId="2" fillId="2" borderId="6" xfId="0" applyNumberFormat="1" applyFont="1" applyFill="1" applyBorder="1" applyAlignment="1">
      <alignment horizontal="center"/>
    </xf>
    <xf numFmtId="165" fontId="2" fillId="2" borderId="6" xfId="6" applyNumberFormat="1" applyFont="1" applyFill="1" applyBorder="1" applyAlignment="1">
      <alignment horizontal="center"/>
    </xf>
    <xf numFmtId="37" fontId="2" fillId="2" borderId="6" xfId="1" applyNumberFormat="1" applyFont="1" applyFill="1" applyBorder="1" applyAlignment="1">
      <alignment horizontal="center"/>
    </xf>
    <xf numFmtId="7" fontId="2" fillId="2" borderId="6" xfId="2" applyNumberFormat="1" applyFont="1" applyFill="1" applyBorder="1" applyAlignment="1">
      <alignment horizontal="center"/>
    </xf>
    <xf numFmtId="5" fontId="2" fillId="2" borderId="6" xfId="2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0" fontId="7" fillId="2" borderId="8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right"/>
    </xf>
    <xf numFmtId="164" fontId="2" fillId="2" borderId="0" xfId="0" applyNumberFormat="1" applyFont="1" applyFill="1" applyBorder="1" applyAlignment="1">
      <alignment horizontal="center"/>
    </xf>
    <xf numFmtId="165" fontId="2" fillId="2" borderId="0" xfId="6" applyNumberFormat="1" applyFont="1" applyFill="1" applyBorder="1" applyAlignment="1">
      <alignment horizontal="center"/>
    </xf>
    <xf numFmtId="37" fontId="2" fillId="2" borderId="0" xfId="1" applyNumberFormat="1" applyFont="1" applyFill="1" applyBorder="1" applyAlignment="1">
      <alignment horizontal="center"/>
    </xf>
    <xf numFmtId="7" fontId="2" fillId="2" borderId="0" xfId="2" applyNumberFormat="1" applyFont="1" applyFill="1" applyBorder="1" applyAlignment="1">
      <alignment horizontal="center"/>
    </xf>
    <xf numFmtId="5" fontId="2" fillId="2" borderId="0" xfId="2" applyNumberFormat="1" applyFont="1" applyFill="1" applyBorder="1" applyAlignment="1">
      <alignment horizontal="center"/>
    </xf>
    <xf numFmtId="164" fontId="2" fillId="2" borderId="9" xfId="0" applyNumberFormat="1" applyFont="1" applyFill="1" applyBorder="1" applyAlignment="1">
      <alignment horizontal="center"/>
    </xf>
    <xf numFmtId="0" fontId="7" fillId="2" borderId="8" xfId="0" quotePrefix="1" applyFont="1" applyFill="1" applyBorder="1" applyAlignment="1">
      <alignment horizontal="left"/>
    </xf>
    <xf numFmtId="0" fontId="7" fillId="2" borderId="10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right"/>
    </xf>
    <xf numFmtId="164" fontId="2" fillId="2" borderId="2" xfId="0" applyNumberFormat="1" applyFont="1" applyFill="1" applyBorder="1" applyAlignment="1">
      <alignment horizontal="center"/>
    </xf>
    <xf numFmtId="165" fontId="2" fillId="2" borderId="2" xfId="6" applyNumberFormat="1" applyFont="1" applyFill="1" applyBorder="1" applyAlignment="1">
      <alignment horizontal="center"/>
    </xf>
    <xf numFmtId="37" fontId="2" fillId="2" borderId="2" xfId="1" applyNumberFormat="1" applyFont="1" applyFill="1" applyBorder="1" applyAlignment="1">
      <alignment horizontal="center"/>
    </xf>
    <xf numFmtId="7" fontId="2" fillId="2" borderId="2" xfId="2" applyNumberFormat="1" applyFont="1" applyFill="1" applyBorder="1" applyAlignment="1">
      <alignment horizontal="center"/>
    </xf>
    <xf numFmtId="5" fontId="2" fillId="2" borderId="2" xfId="2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75" fontId="2" fillId="2" borderId="0" xfId="6" quotePrefix="1" applyNumberFormat="1" applyFont="1" applyFill="1" applyAlignment="1">
      <alignment horizontal="center"/>
    </xf>
    <xf numFmtId="187" fontId="2" fillId="2" borderId="0" xfId="6" quotePrefix="1" applyNumberFormat="1" applyFont="1" applyFill="1" applyAlignment="1">
      <alignment horizontal="center"/>
    </xf>
    <xf numFmtId="187" fontId="2" fillId="2" borderId="0" xfId="0" applyNumberFormat="1" applyFont="1" applyFill="1" applyAlignment="1">
      <alignment horizontal="center"/>
    </xf>
    <xf numFmtId="187" fontId="2" fillId="2" borderId="0" xfId="0" applyNumberFormat="1" applyFont="1" applyFill="1"/>
    <xf numFmtId="0" fontId="2" fillId="2" borderId="6" xfId="0" applyFont="1" applyFill="1" applyBorder="1" applyAlignment="1">
      <alignment horizontal="center"/>
    </xf>
    <xf numFmtId="187" fontId="2" fillId="2" borderId="6" xfId="0" applyNumberFormat="1" applyFont="1" applyFill="1" applyBorder="1" applyAlignment="1">
      <alignment horizontal="center"/>
    </xf>
    <xf numFmtId="164" fontId="2" fillId="2" borderId="6" xfId="0" quotePrefix="1" applyNumberFormat="1" applyFont="1" applyFill="1" applyBorder="1" applyAlignment="1">
      <alignment horizontal="center"/>
    </xf>
    <xf numFmtId="7" fontId="2" fillId="2" borderId="7" xfId="2" quotePrefix="1" applyNumberFormat="1" applyFont="1" applyFill="1" applyBorder="1" applyAlignment="1">
      <alignment horizontal="center"/>
    </xf>
    <xf numFmtId="37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187" fontId="2" fillId="2" borderId="0" xfId="0" applyNumberFormat="1" applyFont="1" applyFill="1" applyBorder="1" applyAlignment="1">
      <alignment horizontal="center"/>
    </xf>
    <xf numFmtId="164" fontId="2" fillId="2" borderId="0" xfId="0" quotePrefix="1" applyNumberFormat="1" applyFont="1" applyFill="1" applyBorder="1" applyAlignment="1">
      <alignment horizontal="center"/>
    </xf>
    <xf numFmtId="7" fontId="2" fillId="2" borderId="9" xfId="2" quotePrefix="1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87" fontId="2" fillId="2" borderId="2" xfId="0" applyNumberFormat="1" applyFont="1" applyFill="1" applyBorder="1" applyAlignment="1">
      <alignment horizontal="center"/>
    </xf>
    <xf numFmtId="164" fontId="2" fillId="2" borderId="2" xfId="0" quotePrefix="1" applyNumberFormat="1" applyFont="1" applyFill="1" applyBorder="1" applyAlignment="1">
      <alignment horizontal="center"/>
    </xf>
    <xf numFmtId="7" fontId="2" fillId="2" borderId="11" xfId="2" quotePrefix="1" applyNumberFormat="1" applyFont="1" applyFill="1" applyBorder="1" applyAlignment="1">
      <alignment horizontal="center"/>
    </xf>
    <xf numFmtId="165" fontId="2" fillId="2" borderId="0" xfId="6" applyNumberFormat="1" applyFont="1" applyFill="1" applyAlignment="1">
      <alignment horizontal="right"/>
    </xf>
    <xf numFmtId="0" fontId="2" fillId="2" borderId="12" xfId="0" applyFont="1" applyFill="1" applyBorder="1" applyAlignment="1">
      <alignment horizontal="center"/>
    </xf>
    <xf numFmtId="0" fontId="7" fillId="2" borderId="0" xfId="4" applyFont="1" applyFill="1" applyBorder="1"/>
    <xf numFmtId="15" fontId="7" fillId="2" borderId="3" xfId="0" applyNumberFormat="1" applyFont="1" applyFill="1" applyBorder="1" applyAlignment="1">
      <alignment horizontal="center"/>
    </xf>
    <xf numFmtId="2" fontId="2" fillId="2" borderId="0" xfId="6" quotePrefix="1" applyNumberFormat="1" applyFont="1" applyFill="1" applyAlignment="1">
      <alignment horizontal="center"/>
    </xf>
    <xf numFmtId="2" fontId="2" fillId="2" borderId="0" xfId="0" applyNumberFormat="1" applyFont="1" applyFill="1"/>
    <xf numFmtId="14" fontId="7" fillId="2" borderId="0" xfId="0" applyNumberFormat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15" fontId="12" fillId="2" borderId="3" xfId="0" applyNumberFormat="1" applyFont="1" applyFill="1" applyBorder="1" applyAlignment="1">
      <alignment horizontal="center"/>
    </xf>
    <xf numFmtId="15" fontId="12" fillId="2" borderId="0" xfId="0" applyNumberFormat="1" applyFont="1" applyFill="1" applyBorder="1" applyAlignment="1">
      <alignment horizontal="left"/>
    </xf>
    <xf numFmtId="0" fontId="2" fillId="2" borderId="2" xfId="0" applyFont="1" applyFill="1" applyBorder="1" applyAlignment="1">
      <alignment horizontal="centerContinuous"/>
    </xf>
    <xf numFmtId="0" fontId="2" fillId="2" borderId="0" xfId="0" applyFont="1" applyFill="1" applyAlignment="1">
      <alignment horizontal="centerContinuous"/>
    </xf>
    <xf numFmtId="0" fontId="2" fillId="2" borderId="0" xfId="0" applyFont="1" applyFill="1" applyBorder="1" applyAlignment="1">
      <alignment horizontal="centerContinuous"/>
    </xf>
    <xf numFmtId="0" fontId="2" fillId="2" borderId="0" xfId="0" quotePrefix="1" applyFont="1" applyFill="1" applyAlignment="1">
      <alignment horizontal="right"/>
    </xf>
    <xf numFmtId="0" fontId="2" fillId="2" borderId="0" xfId="0" applyFont="1" applyFill="1" applyBorder="1" applyAlignment="1">
      <alignment horizontal="fill"/>
    </xf>
    <xf numFmtId="170" fontId="2" fillId="2" borderId="0" xfId="0" applyNumberFormat="1" applyFont="1" applyFill="1" applyAlignment="1">
      <alignment horizontal="center"/>
    </xf>
    <xf numFmtId="0" fontId="7" fillId="2" borderId="2" xfId="0" applyFont="1" applyFill="1" applyBorder="1" applyAlignment="1">
      <alignment horizontal="left"/>
    </xf>
    <xf numFmtId="165" fontId="2" fillId="2" borderId="0" xfId="0" applyNumberFormat="1" applyFont="1" applyFill="1" applyAlignment="1">
      <alignment horizontal="center"/>
    </xf>
    <xf numFmtId="173" fontId="2" fillId="2" borderId="0" xfId="0" applyNumberFormat="1" applyFont="1" applyFill="1" applyAlignment="1">
      <alignment horizontal="center"/>
    </xf>
    <xf numFmtId="0" fontId="13" fillId="2" borderId="0" xfId="0" applyFont="1" applyFill="1"/>
    <xf numFmtId="15" fontId="7" fillId="2" borderId="0" xfId="0" quotePrefix="1" applyNumberFormat="1" applyFont="1" applyFill="1" applyAlignment="1">
      <alignment horizontal="center"/>
    </xf>
    <xf numFmtId="0" fontId="2" fillId="2" borderId="0" xfId="0" quotePrefix="1" applyNumberFormat="1" applyFont="1" applyFill="1" applyAlignment="1">
      <alignment horizontal="center"/>
    </xf>
    <xf numFmtId="165" fontId="7" fillId="2" borderId="0" xfId="6" applyNumberFormat="1" applyFont="1" applyFill="1" applyAlignment="1">
      <alignment horizontal="center"/>
    </xf>
    <xf numFmtId="7" fontId="2" fillId="2" borderId="1" xfId="2" applyNumberFormat="1" applyFont="1" applyFill="1" applyBorder="1" applyAlignment="1">
      <alignment horizontal="center"/>
    </xf>
    <xf numFmtId="7" fontId="2" fillId="2" borderId="3" xfId="2" applyNumberFormat="1" applyFont="1" applyFill="1" applyBorder="1" applyAlignment="1">
      <alignment horizontal="center"/>
    </xf>
    <xf numFmtId="37" fontId="2" fillId="2" borderId="1" xfId="2" applyNumberFormat="1" applyFont="1" applyFill="1" applyBorder="1" applyAlignment="1">
      <alignment horizontal="center"/>
    </xf>
    <xf numFmtId="37" fontId="2" fillId="2" borderId="3" xfId="2" applyNumberFormat="1" applyFont="1" applyFill="1" applyBorder="1" applyAlignment="1">
      <alignment horizontal="center"/>
    </xf>
    <xf numFmtId="169" fontId="2" fillId="2" borderId="0" xfId="0" applyNumberFormat="1" applyFont="1" applyFill="1"/>
    <xf numFmtId="0" fontId="14" fillId="2" borderId="0" xfId="0" applyFont="1" applyFill="1"/>
    <xf numFmtId="0" fontId="14" fillId="2" borderId="0" xfId="0" applyFont="1" applyFill="1" applyAlignment="1">
      <alignment horizontal="right"/>
    </xf>
    <xf numFmtId="2" fontId="2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15" fontId="16" fillId="2" borderId="0" xfId="0" applyNumberFormat="1" applyFont="1" applyFill="1" applyBorder="1" applyAlignment="1">
      <alignment horizontal="center"/>
    </xf>
    <xf numFmtId="15" fontId="16" fillId="2" borderId="0" xfId="0" applyNumberFormat="1" applyFont="1" applyFill="1" applyAlignment="1">
      <alignment horizontal="center"/>
    </xf>
    <xf numFmtId="14" fontId="16" fillId="2" borderId="0" xfId="0" applyNumberFormat="1" applyFont="1" applyFill="1" applyAlignment="1">
      <alignment horizontal="center"/>
    </xf>
    <xf numFmtId="15" fontId="2" fillId="2" borderId="0" xfId="0" applyNumberFormat="1" applyFont="1" applyFill="1" applyBorder="1" applyAlignment="1">
      <alignment horizontal="center"/>
    </xf>
    <xf numFmtId="15" fontId="9" fillId="2" borderId="0" xfId="0" applyNumberFormat="1" applyFont="1" applyFill="1" applyBorder="1" applyAlignment="1">
      <alignment horizontal="center"/>
    </xf>
    <xf numFmtId="7" fontId="2" fillId="2" borderId="0" xfId="2" quotePrefix="1" applyNumberFormat="1" applyFont="1" applyFill="1" applyBorder="1" applyAlignment="1">
      <alignment horizontal="center"/>
    </xf>
    <xf numFmtId="165" fontId="2" fillId="2" borderId="0" xfId="6" applyNumberFormat="1" applyFont="1" applyFill="1" applyBorder="1" applyAlignment="1">
      <alignment horizontal="right"/>
    </xf>
    <xf numFmtId="0" fontId="17" fillId="2" borderId="0" xfId="0" applyFont="1" applyFill="1"/>
    <xf numFmtId="0" fontId="18" fillId="2" borderId="0" xfId="0" applyFont="1" applyFill="1"/>
    <xf numFmtId="0" fontId="7" fillId="2" borderId="1" xfId="0" applyFont="1" applyFill="1" applyBorder="1" applyAlignment="1">
      <alignment horizontal="left"/>
    </xf>
    <xf numFmtId="14" fontId="10" fillId="2" borderId="3" xfId="0" applyNumberFormat="1" applyFont="1" applyFill="1" applyBorder="1" applyAlignment="1">
      <alignment horizontal="center"/>
    </xf>
    <xf numFmtId="15" fontId="10" fillId="2" borderId="0" xfId="0" applyNumberFormat="1" applyFont="1" applyFill="1" applyBorder="1" applyAlignment="1">
      <alignment horizontal="left"/>
    </xf>
    <xf numFmtId="0" fontId="7" fillId="2" borderId="0" xfId="0" quotePrefix="1" applyFont="1" applyFill="1" applyAlignment="1">
      <alignment horizontal="fill"/>
    </xf>
    <xf numFmtId="7" fontId="7" fillId="2" borderId="0" xfId="2" quotePrefix="1" applyNumberFormat="1" applyFont="1" applyFill="1" applyAlignment="1">
      <alignment horizontal="center"/>
    </xf>
    <xf numFmtId="5" fontId="7" fillId="2" borderId="0" xfId="2" quotePrefix="1" applyNumberFormat="1" applyFont="1" applyFill="1" applyAlignment="1">
      <alignment horizontal="center"/>
    </xf>
    <xf numFmtId="164" fontId="7" fillId="2" borderId="0" xfId="0" quotePrefix="1" applyNumberFormat="1" applyFont="1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165" fontId="7" fillId="2" borderId="0" xfId="6" quotePrefix="1" applyNumberFormat="1" applyFont="1" applyFill="1" applyAlignment="1">
      <alignment horizontal="center"/>
    </xf>
    <xf numFmtId="37" fontId="7" fillId="2" borderId="0" xfId="0" quotePrefix="1" applyNumberFormat="1" applyFont="1" applyFill="1" applyAlignment="1">
      <alignment horizontal="center"/>
    </xf>
    <xf numFmtId="166" fontId="7" fillId="2" borderId="0" xfId="0" quotePrefix="1" applyNumberFormat="1" applyFont="1" applyFill="1" applyAlignment="1">
      <alignment horizontal="center"/>
    </xf>
    <xf numFmtId="0" fontId="7" fillId="2" borderId="12" xfId="0" applyFont="1" applyFill="1" applyBorder="1" applyAlignment="1">
      <alignment horizontal="center"/>
    </xf>
    <xf numFmtId="7" fontId="7" fillId="2" borderId="0" xfId="2" applyNumberFormat="1" applyFont="1" applyFill="1" applyAlignment="1">
      <alignment horizontal="center"/>
    </xf>
    <xf numFmtId="5" fontId="7" fillId="2" borderId="0" xfId="2" applyNumberFormat="1" applyFont="1" applyFill="1" applyAlignment="1">
      <alignment horizontal="center"/>
    </xf>
    <xf numFmtId="37" fontId="7" fillId="2" borderId="0" xfId="1" applyNumberFormat="1" applyFont="1" applyFill="1" applyAlignment="1">
      <alignment horizontal="center"/>
    </xf>
    <xf numFmtId="166" fontId="7" fillId="2" borderId="0" xfId="1" applyNumberFormat="1" applyFont="1" applyFill="1" applyAlignment="1">
      <alignment horizontal="center"/>
    </xf>
    <xf numFmtId="167" fontId="7" fillId="2" borderId="0" xfId="0" applyNumberFormat="1" applyFont="1" applyFill="1"/>
    <xf numFmtId="0" fontId="7" fillId="2" borderId="4" xfId="0" applyFont="1" applyFill="1" applyBorder="1" applyAlignment="1">
      <alignment horizontal="center"/>
    </xf>
    <xf numFmtId="0" fontId="7" fillId="2" borderId="0" xfId="0" applyFont="1" applyFill="1" applyAlignment="1" applyProtection="1">
      <alignment horizontal="center"/>
      <protection hidden="1"/>
    </xf>
    <xf numFmtId="39" fontId="7" fillId="2" borderId="0" xfId="1" applyNumberFormat="1" applyFont="1" applyFill="1" applyAlignment="1">
      <alignment horizontal="center"/>
    </xf>
    <xf numFmtId="172" fontId="7" fillId="2" borderId="0" xfId="1" applyNumberFormat="1" applyFont="1" applyFill="1" applyAlignment="1">
      <alignment horizontal="center"/>
    </xf>
    <xf numFmtId="15" fontId="7" fillId="2" borderId="0" xfId="0" applyNumberFormat="1" applyFont="1" applyFill="1" applyAlignment="1" applyProtection="1">
      <alignment horizontal="center"/>
      <protection hidden="1"/>
    </xf>
    <xf numFmtId="15" fontId="7" fillId="2" borderId="0" xfId="0" applyNumberFormat="1" applyFont="1" applyFill="1" applyAlignment="1">
      <alignment horizontal="center"/>
    </xf>
    <xf numFmtId="168" fontId="7" fillId="2" borderId="0" xfId="2" applyNumberFormat="1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20" fillId="2" borderId="0" xfId="0" applyFont="1" applyFill="1"/>
    <xf numFmtId="0" fontId="20" fillId="2" borderId="0" xfId="0" applyFont="1" applyFill="1" applyAlignment="1">
      <alignment horizontal="center"/>
    </xf>
    <xf numFmtId="169" fontId="7" fillId="2" borderId="0" xfId="0" applyNumberFormat="1" applyFont="1" applyFill="1" applyAlignment="1">
      <alignment horizontal="center"/>
    </xf>
    <xf numFmtId="171" fontId="7" fillId="2" borderId="0" xfId="0" applyNumberFormat="1" applyFont="1" applyFill="1" applyAlignment="1">
      <alignment horizontal="center"/>
    </xf>
    <xf numFmtId="169" fontId="7" fillId="2" borderId="0" xfId="0" applyNumberFormat="1" applyFont="1" applyFill="1" applyBorder="1" applyAlignment="1">
      <alignment horizontal="center"/>
    </xf>
    <xf numFmtId="165" fontId="7" fillId="2" borderId="0" xfId="6" applyNumberFormat="1" applyFont="1" applyFill="1" applyAlignment="1">
      <alignment horizontal="right"/>
    </xf>
    <xf numFmtId="0" fontId="21" fillId="2" borderId="0" xfId="0" applyFont="1" applyFill="1"/>
    <xf numFmtId="0" fontId="22" fillId="2" borderId="0" xfId="0" applyFont="1" applyFill="1"/>
    <xf numFmtId="0" fontId="23" fillId="2" borderId="0" xfId="0" quotePrefix="1" applyFont="1" applyFill="1" applyAlignment="1">
      <alignment horizontal="left"/>
    </xf>
    <xf numFmtId="0" fontId="24" fillId="2" borderId="0" xfId="0" applyFont="1" applyFill="1"/>
    <xf numFmtId="0" fontId="25" fillId="2" borderId="0" xfId="0" applyFont="1" applyFill="1"/>
    <xf numFmtId="0" fontId="26" fillId="2" borderId="0" xfId="0" applyFont="1" applyFill="1" applyAlignment="1">
      <alignment horizontal="left"/>
    </xf>
    <xf numFmtId="0" fontId="26" fillId="2" borderId="0" xfId="0" applyFont="1" applyFill="1"/>
    <xf numFmtId="43" fontId="26" fillId="2" borderId="0" xfId="0" applyNumberFormat="1" applyFont="1" applyFill="1"/>
    <xf numFmtId="174" fontId="26" fillId="2" borderId="0" xfId="0" applyNumberFormat="1" applyFont="1" applyFill="1"/>
    <xf numFmtId="15" fontId="27" fillId="2" borderId="1" xfId="0" applyNumberFormat="1" applyFont="1" applyFill="1" applyBorder="1" applyAlignment="1">
      <alignment horizontal="left"/>
    </xf>
    <xf numFmtId="15" fontId="27" fillId="2" borderId="3" xfId="0" applyNumberFormat="1" applyFont="1" applyFill="1" applyBorder="1" applyAlignment="1">
      <alignment horizontal="left"/>
    </xf>
    <xf numFmtId="180" fontId="26" fillId="2" borderId="0" xfId="0" applyNumberFormat="1" applyFont="1" applyFill="1" applyAlignment="1">
      <alignment horizontal="left"/>
    </xf>
    <xf numFmtId="0" fontId="27" fillId="2" borderId="0" xfId="0" applyFont="1" applyFill="1" applyBorder="1"/>
    <xf numFmtId="181" fontId="27" fillId="2" borderId="0" xfId="0" applyNumberFormat="1" applyFont="1" applyFill="1" applyBorder="1" applyAlignment="1">
      <alignment horizontal="center"/>
    </xf>
    <xf numFmtId="0" fontId="22" fillId="2" borderId="0" xfId="0" applyFont="1" applyFill="1" applyBorder="1" applyAlignment="1">
      <alignment horizontal="center"/>
    </xf>
    <xf numFmtId="0" fontId="26" fillId="2" borderId="0" xfId="0" applyFont="1" applyFill="1" applyBorder="1"/>
    <xf numFmtId="15" fontId="27" fillId="2" borderId="0" xfId="0" applyNumberFormat="1" applyFont="1" applyFill="1" applyBorder="1" applyAlignment="1">
      <alignment horizontal="left"/>
    </xf>
    <xf numFmtId="0" fontId="27" fillId="2" borderId="0" xfId="0" applyFont="1" applyFill="1" applyBorder="1" applyAlignment="1">
      <alignment horizontal="center"/>
    </xf>
    <xf numFmtId="0" fontId="26" fillId="2" borderId="0" xfId="0" applyFont="1" applyFill="1" applyBorder="1" applyAlignment="1">
      <alignment horizontal="center"/>
    </xf>
    <xf numFmtId="0" fontId="27" fillId="2" borderId="0" xfId="0" applyFont="1" applyFill="1"/>
    <xf numFmtId="0" fontId="27" fillId="2" borderId="0" xfId="0" applyFont="1" applyFill="1" applyAlignment="1">
      <alignment horizontal="center"/>
    </xf>
    <xf numFmtId="0" fontId="27" fillId="2" borderId="0" xfId="0" applyFont="1" applyFill="1" applyBorder="1" applyAlignment="1">
      <alignment horizontal="centerContinuous"/>
    </xf>
    <xf numFmtId="0" fontId="27" fillId="2" borderId="0" xfId="0" applyFont="1" applyFill="1" applyBorder="1" applyAlignment="1"/>
    <xf numFmtId="0" fontId="27" fillId="2" borderId="0" xfId="0" quotePrefix="1" applyFont="1" applyFill="1" applyBorder="1" applyAlignment="1">
      <alignment horizontal="center"/>
    </xf>
    <xf numFmtId="0" fontId="26" fillId="2" borderId="0" xfId="0" quotePrefix="1" applyFont="1" applyFill="1" applyBorder="1" applyAlignment="1">
      <alignment horizontal="fill"/>
    </xf>
    <xf numFmtId="0" fontId="26" fillId="2" borderId="0" xfId="0" applyFont="1" applyFill="1" applyBorder="1" applyAlignment="1">
      <alignment horizontal="fill"/>
    </xf>
    <xf numFmtId="0" fontId="26" fillId="2" borderId="0" xfId="0" applyFont="1" applyFill="1" applyAlignment="1">
      <alignment horizontal="right"/>
    </xf>
    <xf numFmtId="15" fontId="26" fillId="2" borderId="0" xfId="0" applyNumberFormat="1" applyFont="1" applyFill="1" applyAlignment="1">
      <alignment horizontal="right"/>
    </xf>
    <xf numFmtId="169" fontId="26" fillId="2" borderId="0" xfId="0" applyNumberFormat="1" applyFont="1" applyFill="1" applyAlignment="1">
      <alignment horizontal="right"/>
    </xf>
    <xf numFmtId="171" fontId="26" fillId="2" borderId="0" xfId="0" applyNumberFormat="1" applyFont="1" applyFill="1" applyAlignment="1">
      <alignment horizontal="right"/>
    </xf>
    <xf numFmtId="173" fontId="26" fillId="2" borderId="0" xfId="0" applyNumberFormat="1" applyFont="1" applyFill="1" applyAlignment="1">
      <alignment horizontal="right"/>
    </xf>
    <xf numFmtId="165" fontId="26" fillId="2" borderId="0" xfId="0" applyNumberFormat="1" applyFont="1" applyFill="1" applyAlignment="1">
      <alignment horizontal="right"/>
    </xf>
    <xf numFmtId="167" fontId="26" fillId="2" borderId="0" xfId="0" applyNumberFormat="1" applyFont="1" applyFill="1" applyAlignment="1">
      <alignment horizontal="right"/>
    </xf>
    <xf numFmtId="182" fontId="26" fillId="2" borderId="0" xfId="0" applyNumberFormat="1" applyFont="1" applyFill="1" applyAlignment="1">
      <alignment horizontal="right"/>
    </xf>
    <xf numFmtId="0" fontId="27" fillId="2" borderId="0" xfId="0" applyFont="1" applyFill="1" applyAlignment="1">
      <alignment horizontal="right"/>
    </xf>
    <xf numFmtId="169" fontId="26" fillId="2" borderId="0" xfId="0" applyNumberFormat="1" applyFont="1" applyFill="1"/>
    <xf numFmtId="183" fontId="26" fillId="2" borderId="0" xfId="0" applyNumberFormat="1" applyFont="1" applyFill="1"/>
    <xf numFmtId="173" fontId="26" fillId="2" borderId="0" xfId="0" applyNumberFormat="1" applyFont="1" applyFill="1"/>
    <xf numFmtId="165" fontId="26" fillId="2" borderId="0" xfId="0" applyNumberFormat="1" applyFont="1" applyFill="1"/>
    <xf numFmtId="167" fontId="26" fillId="2" borderId="0" xfId="0" applyNumberFormat="1" applyFont="1" applyFill="1"/>
    <xf numFmtId="0" fontId="27" fillId="2" borderId="5" xfId="0" applyFont="1" applyFill="1" applyBorder="1"/>
    <xf numFmtId="184" fontId="26" fillId="2" borderId="6" xfId="0" applyNumberFormat="1" applyFont="1" applyFill="1" applyBorder="1"/>
    <xf numFmtId="173" fontId="26" fillId="2" borderId="6" xfId="0" applyNumberFormat="1" applyFont="1" applyFill="1" applyBorder="1" applyAlignment="1">
      <alignment horizontal="right"/>
    </xf>
    <xf numFmtId="185" fontId="26" fillId="2" borderId="6" xfId="0" applyNumberFormat="1" applyFont="1" applyFill="1" applyBorder="1" applyAlignment="1">
      <alignment horizontal="right"/>
    </xf>
    <xf numFmtId="165" fontId="26" fillId="2" borderId="6" xfId="0" applyNumberFormat="1" applyFont="1" applyFill="1" applyBorder="1" applyAlignment="1">
      <alignment horizontal="right"/>
    </xf>
    <xf numFmtId="167" fontId="26" fillId="2" borderId="6" xfId="0" applyNumberFormat="1" applyFont="1" applyFill="1" applyBorder="1" applyAlignment="1">
      <alignment horizontal="right"/>
    </xf>
    <xf numFmtId="182" fontId="26" fillId="2" borderId="7" xfId="0" applyNumberFormat="1" applyFont="1" applyFill="1" applyBorder="1" applyAlignment="1">
      <alignment horizontal="right"/>
    </xf>
    <xf numFmtId="0" fontId="27" fillId="2" borderId="8" xfId="0" applyFont="1" applyFill="1" applyBorder="1"/>
    <xf numFmtId="184" fontId="26" fillId="2" borderId="0" xfId="0" applyNumberFormat="1" applyFont="1" applyFill="1" applyBorder="1"/>
    <xf numFmtId="184" fontId="26" fillId="2" borderId="0" xfId="0" applyNumberFormat="1" applyFont="1" applyFill="1" applyBorder="1" applyAlignment="1">
      <alignment horizontal="right"/>
    </xf>
    <xf numFmtId="173" fontId="26" fillId="2" borderId="0" xfId="0" applyNumberFormat="1" applyFont="1" applyFill="1" applyBorder="1" applyAlignment="1">
      <alignment horizontal="right"/>
    </xf>
    <xf numFmtId="185" fontId="26" fillId="2" borderId="0" xfId="0" applyNumberFormat="1" applyFont="1" applyFill="1" applyBorder="1" applyAlignment="1">
      <alignment horizontal="right"/>
    </xf>
    <xf numFmtId="165" fontId="26" fillId="2" borderId="0" xfId="0" applyNumberFormat="1" applyFont="1" applyFill="1" applyBorder="1" applyAlignment="1">
      <alignment horizontal="right"/>
    </xf>
    <xf numFmtId="167" fontId="26" fillId="2" borderId="0" xfId="0" applyNumberFormat="1" applyFont="1" applyFill="1" applyBorder="1" applyAlignment="1">
      <alignment horizontal="right"/>
    </xf>
    <xf numFmtId="182" fontId="26" fillId="2" borderId="9" xfId="0" applyNumberFormat="1" applyFont="1" applyFill="1" applyBorder="1" applyAlignment="1">
      <alignment horizontal="right"/>
    </xf>
    <xf numFmtId="0" fontId="27" fillId="2" borderId="8" xfId="0" quotePrefix="1" applyFont="1" applyFill="1" applyBorder="1" applyAlignment="1">
      <alignment horizontal="left"/>
    </xf>
    <xf numFmtId="171" fontId="26" fillId="2" borderId="0" xfId="0" applyNumberFormat="1" applyFont="1" applyFill="1" applyBorder="1" applyAlignment="1">
      <alignment horizontal="right"/>
    </xf>
    <xf numFmtId="0" fontId="27" fillId="2" borderId="10" xfId="0" applyFont="1" applyFill="1" applyBorder="1"/>
    <xf numFmtId="0" fontId="26" fillId="2" borderId="2" xfId="0" applyFont="1" applyFill="1" applyBorder="1"/>
    <xf numFmtId="171" fontId="26" fillId="2" borderId="2" xfId="0" applyNumberFormat="1" applyFont="1" applyFill="1" applyBorder="1" applyAlignment="1">
      <alignment horizontal="right"/>
    </xf>
    <xf numFmtId="173" fontId="26" fillId="2" borderId="2" xfId="0" applyNumberFormat="1" applyFont="1" applyFill="1" applyBorder="1" applyAlignment="1">
      <alignment horizontal="right"/>
    </xf>
    <xf numFmtId="185" fontId="26" fillId="2" borderId="2" xfId="0" applyNumberFormat="1" applyFont="1" applyFill="1" applyBorder="1" applyAlignment="1">
      <alignment horizontal="right"/>
    </xf>
    <xf numFmtId="165" fontId="26" fillId="2" borderId="2" xfId="0" applyNumberFormat="1" applyFont="1" applyFill="1" applyBorder="1" applyAlignment="1">
      <alignment horizontal="right"/>
    </xf>
    <xf numFmtId="167" fontId="26" fillId="2" borderId="2" xfId="0" applyNumberFormat="1" applyFont="1" applyFill="1" applyBorder="1" applyAlignment="1">
      <alignment horizontal="right"/>
    </xf>
    <xf numFmtId="182" fontId="26" fillId="2" borderId="11" xfId="0" applyNumberFormat="1" applyFont="1" applyFill="1" applyBorder="1" applyAlignment="1">
      <alignment horizontal="right"/>
    </xf>
    <xf numFmtId="0" fontId="22" fillId="2" borderId="0" xfId="0" applyFont="1" applyFill="1" applyBorder="1"/>
    <xf numFmtId="185" fontId="22" fillId="2" borderId="0" xfId="0" applyNumberFormat="1" applyFont="1" applyFill="1"/>
    <xf numFmtId="185" fontId="22" fillId="2" borderId="0" xfId="0" applyNumberFormat="1" applyFont="1" applyFill="1" applyBorder="1"/>
    <xf numFmtId="0" fontId="28" fillId="2" borderId="0" xfId="0" applyFont="1" applyFill="1" applyBorder="1"/>
    <xf numFmtId="0" fontId="29" fillId="2" borderId="0" xfId="0" applyFont="1" applyFill="1" applyBorder="1"/>
    <xf numFmtId="0" fontId="7" fillId="2" borderId="2" xfId="0" applyFont="1" applyFill="1" applyBorder="1"/>
    <xf numFmtId="185" fontId="30" fillId="2" borderId="2" xfId="0" applyNumberFormat="1" applyFont="1" applyFill="1" applyBorder="1"/>
    <xf numFmtId="185" fontId="30" fillId="2" borderId="0" xfId="0" applyNumberFormat="1" applyFont="1" applyFill="1"/>
    <xf numFmtId="185" fontId="26" fillId="2" borderId="0" xfId="0" applyNumberFormat="1" applyFont="1" applyFill="1" applyAlignment="1">
      <alignment horizontal="right"/>
    </xf>
    <xf numFmtId="173" fontId="22" fillId="2" borderId="0" xfId="0" applyNumberFormat="1" applyFont="1" applyFill="1" applyAlignment="1">
      <alignment horizontal="right"/>
    </xf>
    <xf numFmtId="185" fontId="26" fillId="2" borderId="0" xfId="1" applyNumberFormat="1" applyFont="1" applyFill="1" applyAlignment="1">
      <alignment horizontal="right"/>
    </xf>
    <xf numFmtId="0" fontId="7" fillId="2" borderId="2" xfId="0" quotePrefix="1" applyFont="1" applyFill="1" applyBorder="1" applyAlignment="1">
      <alignment horizontal="center"/>
    </xf>
    <xf numFmtId="0" fontId="7" fillId="2" borderId="0" xfId="0" applyNumberFormat="1" applyFont="1" applyFill="1" applyAlignment="1">
      <alignment horizontal="fill"/>
    </xf>
    <xf numFmtId="0" fontId="7" fillId="2" borderId="0" xfId="0" quotePrefix="1" applyNumberFormat="1" applyFont="1" applyFill="1" applyAlignment="1">
      <alignment horizontal="fill"/>
    </xf>
    <xf numFmtId="0" fontId="25" fillId="2" borderId="0" xfId="0" applyFont="1" applyFill="1" applyAlignment="1">
      <alignment horizontal="left"/>
    </xf>
    <xf numFmtId="180" fontId="26" fillId="2" borderId="0" xfId="0" applyNumberFormat="1" applyFont="1" applyFill="1" applyAlignment="1">
      <alignment horizontal="right"/>
    </xf>
    <xf numFmtId="14" fontId="26" fillId="2" borderId="0" xfId="0" applyNumberFormat="1" applyFont="1" applyFill="1" applyAlignment="1">
      <alignment horizontal="right"/>
    </xf>
    <xf numFmtId="9" fontId="25" fillId="2" borderId="0" xfId="6" quotePrefix="1" applyNumberFormat="1" applyFont="1" applyFill="1" applyAlignment="1">
      <alignment horizontal="center"/>
    </xf>
    <xf numFmtId="9" fontId="26" fillId="2" borderId="0" xfId="6" applyNumberFormat="1" applyFont="1" applyFill="1" applyAlignment="1">
      <alignment horizontal="right"/>
    </xf>
    <xf numFmtId="165" fontId="26" fillId="2" borderId="0" xfId="6" applyNumberFormat="1" applyFont="1" applyFill="1" applyAlignment="1">
      <alignment horizontal="right"/>
    </xf>
    <xf numFmtId="167" fontId="26" fillId="2" borderId="0" xfId="6" applyNumberFormat="1" applyFont="1" applyFill="1" applyAlignment="1">
      <alignment horizontal="right"/>
    </xf>
    <xf numFmtId="44" fontId="27" fillId="2" borderId="0" xfId="2" applyFont="1" applyFill="1" applyAlignment="1">
      <alignment horizontal="right"/>
    </xf>
    <xf numFmtId="0" fontId="26" fillId="2" borderId="0" xfId="0" applyNumberFormat="1" applyFont="1" applyFill="1" applyAlignment="1">
      <alignment horizontal="right"/>
    </xf>
    <xf numFmtId="0" fontId="30" fillId="2" borderId="0" xfId="0" applyFont="1" applyFill="1"/>
    <xf numFmtId="15" fontId="30" fillId="2" borderId="0" xfId="0" applyNumberFormat="1" applyFont="1" applyFill="1"/>
    <xf numFmtId="14" fontId="30" fillId="2" borderId="0" xfId="0" applyNumberFormat="1" applyFont="1" applyFill="1"/>
    <xf numFmtId="9" fontId="22" fillId="2" borderId="0" xfId="6" applyFont="1" applyFill="1" applyAlignment="1">
      <alignment horizontal="right"/>
    </xf>
    <xf numFmtId="0" fontId="10" fillId="2" borderId="0" xfId="0" applyFont="1" applyFill="1"/>
    <xf numFmtId="188" fontId="10" fillId="2" borderId="3" xfId="0" applyNumberFormat="1" applyFont="1" applyFill="1" applyBorder="1" applyAlignment="1">
      <alignment horizontal="center"/>
    </xf>
    <xf numFmtId="7" fontId="7" fillId="2" borderId="0" xfId="2" applyNumberFormat="1" applyFont="1" applyFill="1" applyAlignment="1">
      <alignment horizontal="left"/>
    </xf>
    <xf numFmtId="188" fontId="7" fillId="2" borderId="0" xfId="0" applyNumberFormat="1" applyFont="1" applyFill="1" applyAlignment="1">
      <alignment horizontal="center"/>
    </xf>
    <xf numFmtId="189" fontId="7" fillId="2" borderId="0" xfId="2" applyNumberFormat="1" applyFont="1" applyFill="1" applyAlignment="1">
      <alignment horizontal="right"/>
    </xf>
    <xf numFmtId="190" fontId="7" fillId="2" borderId="0" xfId="2" applyNumberFormat="1" applyFont="1" applyFill="1" applyAlignment="1">
      <alignment horizontal="right"/>
    </xf>
    <xf numFmtId="175" fontId="7" fillId="2" borderId="0" xfId="2" applyNumberFormat="1" applyFont="1" applyFill="1" applyAlignment="1">
      <alignment horizontal="right"/>
    </xf>
    <xf numFmtId="0" fontId="7" fillId="2" borderId="0" xfId="0" applyFont="1" applyFill="1" applyAlignment="1" applyProtection="1">
      <alignment horizontal="left"/>
      <protection hidden="1"/>
    </xf>
    <xf numFmtId="188" fontId="7" fillId="2" borderId="0" xfId="0" applyNumberFormat="1" applyFont="1" applyFill="1" applyAlignment="1" applyProtection="1">
      <alignment horizontal="center"/>
      <protection hidden="1"/>
    </xf>
    <xf numFmtId="190" fontId="7" fillId="2" borderId="6" xfId="2" applyNumberFormat="1" applyFont="1" applyFill="1" applyBorder="1" applyAlignment="1">
      <alignment horizontal="right"/>
    </xf>
    <xf numFmtId="175" fontId="7" fillId="2" borderId="6" xfId="2" applyNumberFormat="1" applyFont="1" applyFill="1" applyBorder="1" applyAlignment="1">
      <alignment horizontal="right"/>
    </xf>
    <xf numFmtId="189" fontId="7" fillId="2" borderId="6" xfId="2" applyNumberFormat="1" applyFont="1" applyFill="1" applyBorder="1" applyAlignment="1">
      <alignment horizontal="right"/>
    </xf>
    <xf numFmtId="191" fontId="7" fillId="2" borderId="6" xfId="2" applyNumberFormat="1" applyFont="1" applyFill="1" applyBorder="1" applyAlignment="1">
      <alignment horizontal="right"/>
    </xf>
    <xf numFmtId="189" fontId="7" fillId="2" borderId="7" xfId="2" applyNumberFormat="1" applyFont="1" applyFill="1" applyBorder="1" applyAlignment="1">
      <alignment horizontal="right"/>
    </xf>
    <xf numFmtId="190" fontId="7" fillId="2" borderId="0" xfId="2" applyNumberFormat="1" applyFont="1" applyFill="1" applyBorder="1" applyAlignment="1">
      <alignment horizontal="right"/>
    </xf>
    <xf numFmtId="175" fontId="7" fillId="2" borderId="0" xfId="2" applyNumberFormat="1" applyFont="1" applyFill="1" applyBorder="1" applyAlignment="1">
      <alignment horizontal="right"/>
    </xf>
    <xf numFmtId="189" fontId="7" fillId="2" borderId="0" xfId="2" applyNumberFormat="1" applyFont="1" applyFill="1" applyBorder="1" applyAlignment="1">
      <alignment horizontal="right"/>
    </xf>
    <xf numFmtId="191" fontId="7" fillId="2" borderId="0" xfId="2" applyNumberFormat="1" applyFont="1" applyFill="1" applyBorder="1" applyAlignment="1">
      <alignment horizontal="right"/>
    </xf>
    <xf numFmtId="189" fontId="7" fillId="2" borderId="9" xfId="2" applyNumberFormat="1" applyFont="1" applyFill="1" applyBorder="1" applyAlignment="1">
      <alignment horizontal="right"/>
    </xf>
    <xf numFmtId="190" fontId="7" fillId="2" borderId="2" xfId="2" applyNumberFormat="1" applyFont="1" applyFill="1" applyBorder="1" applyAlignment="1">
      <alignment horizontal="right"/>
    </xf>
    <xf numFmtId="175" fontId="7" fillId="2" borderId="2" xfId="2" applyNumberFormat="1" applyFont="1" applyFill="1" applyBorder="1" applyAlignment="1">
      <alignment horizontal="right"/>
    </xf>
    <xf numFmtId="189" fontId="7" fillId="2" borderId="2" xfId="2" applyNumberFormat="1" applyFont="1" applyFill="1" applyBorder="1" applyAlignment="1">
      <alignment horizontal="right"/>
    </xf>
    <xf numFmtId="191" fontId="7" fillId="2" borderId="2" xfId="2" applyNumberFormat="1" applyFont="1" applyFill="1" applyBorder="1" applyAlignment="1">
      <alignment horizontal="right"/>
    </xf>
    <xf numFmtId="189" fontId="7" fillId="2" borderId="11" xfId="2" applyNumberFormat="1" applyFont="1" applyFill="1" applyBorder="1" applyAlignment="1">
      <alignment horizontal="right"/>
    </xf>
    <xf numFmtId="0" fontId="10" fillId="2" borderId="0" xfId="0" applyFont="1" applyFill="1" applyAlignment="1">
      <alignment horizontal="right"/>
    </xf>
    <xf numFmtId="167" fontId="10" fillId="2" borderId="0" xfId="0" applyNumberFormat="1" applyFont="1" applyFill="1"/>
    <xf numFmtId="0" fontId="10" fillId="2" borderId="0" xfId="0" applyFont="1" applyFill="1" applyAlignment="1">
      <alignment horizontal="center"/>
    </xf>
    <xf numFmtId="39" fontId="10" fillId="2" borderId="0" xfId="1" applyNumberFormat="1" applyFont="1" applyFill="1" applyAlignment="1">
      <alignment horizontal="center"/>
    </xf>
    <xf numFmtId="172" fontId="10" fillId="2" borderId="0" xfId="1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7" fontId="7" fillId="2" borderId="0" xfId="0" applyNumberFormat="1" applyFont="1" applyFill="1"/>
    <xf numFmtId="192" fontId="7" fillId="2" borderId="0" xfId="2" applyNumberFormat="1" applyFont="1" applyFill="1" applyAlignment="1">
      <alignment horizontal="right"/>
    </xf>
    <xf numFmtId="193" fontId="7" fillId="2" borderId="0" xfId="2" applyNumberFormat="1" applyFont="1" applyFill="1" applyAlignment="1">
      <alignment horizontal="right"/>
    </xf>
    <xf numFmtId="14" fontId="7" fillId="2" borderId="0" xfId="0" applyNumberFormat="1" applyFont="1" applyFill="1" applyAlignment="1">
      <alignment horizontal="center"/>
    </xf>
    <xf numFmtId="188" fontId="7" fillId="2" borderId="0" xfId="0" quotePrefix="1" applyNumberFormat="1" applyFont="1" applyFill="1" applyAlignment="1">
      <alignment horizontal="center"/>
    </xf>
    <xf numFmtId="190" fontId="7" fillId="2" borderId="7" xfId="2" applyNumberFormat="1" applyFont="1" applyFill="1" applyBorder="1" applyAlignment="1">
      <alignment horizontal="right"/>
    </xf>
    <xf numFmtId="190" fontId="7" fillId="2" borderId="9" xfId="2" applyNumberFormat="1" applyFont="1" applyFill="1" applyBorder="1" applyAlignment="1">
      <alignment horizontal="right"/>
    </xf>
    <xf numFmtId="190" fontId="7" fillId="2" borderId="11" xfId="2" applyNumberFormat="1" applyFont="1" applyFill="1" applyBorder="1" applyAlignment="1">
      <alignment horizontal="right"/>
    </xf>
    <xf numFmtId="0" fontId="7" fillId="2" borderId="0" xfId="0" applyFont="1" applyFill="1" applyBorder="1" applyAlignment="1">
      <alignment horizontal="left"/>
    </xf>
    <xf numFmtId="7" fontId="7" fillId="2" borderId="6" xfId="2" applyNumberFormat="1" applyFont="1" applyFill="1" applyBorder="1" applyAlignment="1">
      <alignment horizontal="center"/>
    </xf>
    <xf numFmtId="7" fontId="7" fillId="2" borderId="0" xfId="2" applyNumberFormat="1" applyFont="1" applyFill="1" applyBorder="1" applyAlignment="1">
      <alignment horizontal="center"/>
    </xf>
    <xf numFmtId="7" fontId="7" fillId="2" borderId="2" xfId="2" applyNumberFormat="1" applyFont="1" applyFill="1" applyBorder="1" applyAlignment="1">
      <alignment horizontal="center"/>
    </xf>
    <xf numFmtId="171" fontId="7" fillId="2" borderId="0" xfId="0" applyNumberFormat="1" applyFont="1" applyFill="1" applyAlignment="1">
      <alignment horizontal="left"/>
    </xf>
    <xf numFmtId="0" fontId="7" fillId="2" borderId="0" xfId="0" applyFont="1" applyFill="1" applyAlignment="1"/>
    <xf numFmtId="7" fontId="7" fillId="2" borderId="7" xfId="2" applyNumberFormat="1" applyFont="1" applyFill="1" applyBorder="1" applyAlignment="1">
      <alignment horizontal="center"/>
    </xf>
    <xf numFmtId="7" fontId="7" fillId="2" borderId="9" xfId="2" applyNumberFormat="1" applyFont="1" applyFill="1" applyBorder="1" applyAlignment="1">
      <alignment horizontal="center"/>
    </xf>
    <xf numFmtId="7" fontId="7" fillId="2" borderId="11" xfId="2" applyNumberFormat="1" applyFont="1" applyFill="1" applyBorder="1" applyAlignment="1">
      <alignment horizontal="center"/>
    </xf>
    <xf numFmtId="0" fontId="28" fillId="2" borderId="0" xfId="5" applyFont="1" applyFill="1" applyAlignment="1">
      <alignment horizontal="center"/>
    </xf>
    <xf numFmtId="0" fontId="7" fillId="2" borderId="0" xfId="0" quotePrefix="1" applyFont="1" applyFill="1" applyBorder="1" applyAlignment="1">
      <alignment horizontal="fill"/>
    </xf>
    <xf numFmtId="0" fontId="30" fillId="2" borderId="0" xfId="5" quotePrefix="1" applyFont="1" applyFill="1" applyBorder="1" applyAlignment="1">
      <alignment horizontal="fill"/>
    </xf>
    <xf numFmtId="0" fontId="7" fillId="2" borderId="0" xfId="0" quotePrefix="1" applyFont="1" applyFill="1" applyBorder="1" applyAlignment="1">
      <alignment horizontal="left"/>
    </xf>
    <xf numFmtId="194" fontId="28" fillId="2" borderId="0" xfId="3" applyNumberFormat="1" applyFont="1" applyFill="1" applyBorder="1" applyAlignment="1" applyProtection="1">
      <alignment horizontal="left"/>
    </xf>
    <xf numFmtId="0" fontId="7" fillId="2" borderId="0" xfId="2" applyNumberFormat="1" applyFont="1" applyFill="1" applyBorder="1" applyAlignment="1">
      <alignment horizontal="right"/>
    </xf>
    <xf numFmtId="188" fontId="7" fillId="2" borderId="0" xfId="0" applyNumberFormat="1" applyFont="1" applyFill="1" applyBorder="1" applyAlignment="1">
      <alignment horizontal="center"/>
    </xf>
    <xf numFmtId="194" fontId="28" fillId="2" borderId="0" xfId="3" applyNumberFormat="1" applyFont="1" applyFill="1" applyAlignment="1" applyProtection="1">
      <alignment horizontal="left"/>
    </xf>
    <xf numFmtId="0" fontId="7" fillId="2" borderId="0" xfId="2" applyNumberFormat="1" applyFont="1" applyFill="1" applyAlignment="1">
      <alignment horizontal="right"/>
    </xf>
    <xf numFmtId="194" fontId="28" fillId="2" borderId="2" xfId="3" applyNumberFormat="1" applyFont="1" applyFill="1" applyBorder="1" applyAlignment="1" applyProtection="1">
      <alignment horizontal="left"/>
    </xf>
    <xf numFmtId="0" fontId="7" fillId="2" borderId="2" xfId="2" applyNumberFormat="1" applyFont="1" applyFill="1" applyBorder="1" applyAlignment="1">
      <alignment horizontal="right"/>
    </xf>
    <xf numFmtId="188" fontId="7" fillId="2" borderId="2" xfId="0" applyNumberFormat="1" applyFont="1" applyFill="1" applyBorder="1" applyAlignment="1">
      <alignment horizontal="center"/>
    </xf>
    <xf numFmtId="0" fontId="10" fillId="2" borderId="0" xfId="0" applyFont="1" applyFill="1" applyBorder="1" applyAlignment="1">
      <alignment horizontal="right"/>
    </xf>
    <xf numFmtId="195" fontId="7" fillId="2" borderId="0" xfId="2" applyNumberFormat="1" applyFont="1" applyFill="1" applyAlignment="1">
      <alignment horizontal="right"/>
    </xf>
    <xf numFmtId="14" fontId="7" fillId="2" borderId="0" xfId="0" applyNumberFormat="1" applyFont="1" applyFill="1" applyBorder="1" applyAlignment="1">
      <alignment horizontal="center"/>
    </xf>
    <xf numFmtId="193" fontId="7" fillId="2" borderId="0" xfId="2" applyNumberFormat="1" applyFont="1" applyFill="1" applyBorder="1" applyAlignment="1">
      <alignment horizontal="right"/>
    </xf>
    <xf numFmtId="165" fontId="7" fillId="2" borderId="0" xfId="6" quotePrefix="1" applyNumberFormat="1" applyFont="1" applyFill="1" applyBorder="1" applyAlignment="1">
      <alignment horizontal="center"/>
    </xf>
    <xf numFmtId="164" fontId="7" fillId="2" borderId="0" xfId="0" quotePrefix="1" applyNumberFormat="1" applyFont="1" applyFill="1" applyBorder="1" applyAlignment="1">
      <alignment horizontal="center"/>
    </xf>
    <xf numFmtId="7" fontId="7" fillId="2" borderId="0" xfId="2" quotePrefix="1" applyNumberFormat="1" applyFont="1" applyFill="1" applyBorder="1" applyAlignment="1">
      <alignment horizontal="center"/>
    </xf>
    <xf numFmtId="175" fontId="7" fillId="2" borderId="7" xfId="2" applyNumberFormat="1" applyFont="1" applyFill="1" applyBorder="1" applyAlignment="1">
      <alignment horizontal="right"/>
    </xf>
    <xf numFmtId="175" fontId="7" fillId="2" borderId="9" xfId="2" applyNumberFormat="1" applyFont="1" applyFill="1" applyBorder="1" applyAlignment="1">
      <alignment horizontal="right"/>
    </xf>
    <xf numFmtId="175" fontId="7" fillId="2" borderId="11" xfId="2" applyNumberFormat="1" applyFont="1" applyFill="1" applyBorder="1" applyAlignment="1">
      <alignment horizontal="right"/>
    </xf>
    <xf numFmtId="164" fontId="7" fillId="2" borderId="0" xfId="0" applyNumberFormat="1" applyFont="1" applyFill="1" applyAlignment="1">
      <alignment horizontal="right"/>
    </xf>
    <xf numFmtId="164" fontId="7" fillId="2" borderId="0" xfId="0" quotePrefix="1" applyNumberFormat="1" applyFont="1" applyFill="1" applyAlignment="1">
      <alignment horizontal="right"/>
    </xf>
    <xf numFmtId="173" fontId="7" fillId="2" borderId="0" xfId="0" applyNumberFormat="1" applyFont="1" applyFill="1" applyAlignment="1">
      <alignment horizontal="right"/>
    </xf>
    <xf numFmtId="165" fontId="7" fillId="2" borderId="0" xfId="0" applyNumberFormat="1" applyFont="1" applyFill="1" applyAlignment="1">
      <alignment horizontal="right"/>
    </xf>
    <xf numFmtId="174" fontId="7" fillId="2" borderId="0" xfId="1" applyNumberFormat="1" applyFont="1" applyFill="1" applyAlignment="1">
      <alignment horizontal="right"/>
    </xf>
    <xf numFmtId="169" fontId="7" fillId="2" borderId="0" xfId="0" applyNumberFormat="1" applyFont="1" applyFill="1" applyAlignment="1">
      <alignment horizontal="right"/>
    </xf>
    <xf numFmtId="171" fontId="7" fillId="2" borderId="0" xfId="0" applyNumberFormat="1" applyFont="1" applyFill="1" applyAlignment="1">
      <alignment horizontal="right"/>
    </xf>
    <xf numFmtId="165" fontId="7" fillId="2" borderId="0" xfId="0" applyNumberFormat="1" applyFont="1" applyFill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 wrapText="1"/>
    </xf>
    <xf numFmtId="0" fontId="2" fillId="2" borderId="0" xfId="0" quotePrefix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81" fontId="27" fillId="2" borderId="2" xfId="0" applyNumberFormat="1" applyFont="1" applyFill="1" applyBorder="1" applyAlignment="1">
      <alignment horizontal="center"/>
    </xf>
    <xf numFmtId="0" fontId="22" fillId="2" borderId="2" xfId="0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2" fillId="2" borderId="0" xfId="0" applyFont="1" applyFill="1" applyAlignment="1"/>
    <xf numFmtId="0" fontId="22" fillId="2" borderId="2" xfId="0" applyFont="1" applyFill="1" applyBorder="1" applyAlignment="1"/>
  </cellXfs>
  <cellStyles count="7">
    <cellStyle name="Comma" xfId="1" builtinId="3"/>
    <cellStyle name="Currency" xfId="2" builtinId="4"/>
    <cellStyle name="Hyperlink" xfId="3" builtinId="8"/>
    <cellStyle name="Normal" xfId="0" builtinId="0"/>
    <cellStyle name="Normal_ASSIGN_C21" xfId="4"/>
    <cellStyle name="Normal_Output Weekly" xfId="5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9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4.xml"/><Relationship Id="rId34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25.xml"/><Relationship Id="rId47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33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externalLink" Target="externalLinks/externalLink16.xml"/><Relationship Id="rId38" Type="http://schemas.openxmlformats.org/officeDocument/2006/relationships/externalLink" Target="externalLinks/externalLink21.xml"/><Relationship Id="rId46" Type="http://schemas.openxmlformats.org/officeDocument/2006/relationships/externalLink" Target="externalLinks/externalLink2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24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externalLink" Target="externalLinks/externalLink15.xml"/><Relationship Id="rId37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23.xml"/><Relationship Id="rId45" Type="http://schemas.openxmlformats.org/officeDocument/2006/relationships/externalLink" Target="externalLinks/externalLink28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19.xml"/><Relationship Id="rId49" Type="http://schemas.openxmlformats.org/officeDocument/2006/relationships/externalLink" Target="externalLinks/externalLink3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externalLink" Target="externalLinks/externalLink14.xml"/><Relationship Id="rId44" Type="http://schemas.openxmlformats.org/officeDocument/2006/relationships/externalLink" Target="externalLinks/externalLink27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13.xml"/><Relationship Id="rId35" Type="http://schemas.openxmlformats.org/officeDocument/2006/relationships/externalLink" Target="externalLinks/externalLink18.xml"/><Relationship Id="rId43" Type="http://schemas.openxmlformats.org/officeDocument/2006/relationships/externalLink" Target="externalLinks/externalLink26.xml"/><Relationship Id="rId48" Type="http://schemas.openxmlformats.org/officeDocument/2006/relationships/externalLink" Target="externalLinks/externalLink31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4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44" name="Rectangle 20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47" name="Rectangle 23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48" name="Rectangle 24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49" name="Rectangle 25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50" name="Rectangle 26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55" name="Rectangle 31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56" name="Rectangle 32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59" name="Rectangle 35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60" name="Rectangle 36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65" name="Rectangle 41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66" name="Rectangle 42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69" name="Rectangle 45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70" name="Rectangle 46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73" name="Rectangle 49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74" name="Rectangle 50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5361" name="Rectangle 1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5362" name="Rectangle 2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5363" name="Rectangle 3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5364" name="Rectangle 4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5365" name="Rectangle 5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5366" name="Rectangle 6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7620</xdr:colOff>
      <xdr:row>32</xdr:row>
      <xdr:rowOff>0</xdr:rowOff>
    </xdr:from>
    <xdr:to>
      <xdr:col>25</xdr:col>
      <xdr:colOff>7620</xdr:colOff>
      <xdr:row>36</xdr:row>
      <xdr:rowOff>0</xdr:rowOff>
    </xdr:to>
    <xdr:sp macro="" textlink="">
      <xdr:nvSpPr>
        <xdr:cNvPr id="15368" name="Rectangle 8"/>
        <xdr:cNvSpPr>
          <a:spLocks noChangeArrowheads="1"/>
        </xdr:cNvSpPr>
      </xdr:nvSpPr>
      <xdr:spPr bwMode="auto">
        <a:xfrm>
          <a:off x="6858000" y="5173980"/>
          <a:ext cx="9601200" cy="640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65</xdr:row>
      <xdr:rowOff>0</xdr:rowOff>
    </xdr:from>
    <xdr:to>
      <xdr:col>17</xdr:col>
      <xdr:colOff>655320</xdr:colOff>
      <xdr:row>69</xdr:row>
      <xdr:rowOff>0</xdr:rowOff>
    </xdr:to>
    <xdr:sp macro="" textlink="">
      <xdr:nvSpPr>
        <xdr:cNvPr id="15369" name="Rectangle 9"/>
        <xdr:cNvSpPr>
          <a:spLocks noChangeArrowheads="1"/>
        </xdr:cNvSpPr>
      </xdr:nvSpPr>
      <xdr:spPr bwMode="auto">
        <a:xfrm>
          <a:off x="9364980" y="10256520"/>
          <a:ext cx="2438400" cy="640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265" name="Rectangle 1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266" name="Rectangle 2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267" name="Rectangle 3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268" name="Rectangle 4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269" name="Rectangle 5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270" name="Rectangle 6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271" name="Rectangle 7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272" name="Rectangle 8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273" name="Rectangle 9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274" name="Rectangle 10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275" name="Rectangle 11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276" name="Rectangle 12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277" name="Rectangle 13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278" name="Rectangle 14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279" name="Rectangle 15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280" name="Rectangle 16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281" name="Rectangle 17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282" name="Rectangle 18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283" name="Rectangle 19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284" name="Rectangle 20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285" name="Rectangle 21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7620</xdr:colOff>
      <xdr:row>0</xdr:row>
      <xdr:rowOff>0</xdr:rowOff>
    </xdr:from>
    <xdr:to>
      <xdr:col>25</xdr:col>
      <xdr:colOff>7620</xdr:colOff>
      <xdr:row>0</xdr:row>
      <xdr:rowOff>0</xdr:rowOff>
    </xdr:to>
    <xdr:sp macro="" textlink="">
      <xdr:nvSpPr>
        <xdr:cNvPr id="11286" name="Rectangle 22"/>
        <xdr:cNvSpPr>
          <a:spLocks noChangeArrowheads="1"/>
        </xdr:cNvSpPr>
      </xdr:nvSpPr>
      <xdr:spPr bwMode="auto">
        <a:xfrm>
          <a:off x="7368540" y="0"/>
          <a:ext cx="96012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18</xdr:col>
      <xdr:colOff>0</xdr:colOff>
      <xdr:row>0</xdr:row>
      <xdr:rowOff>0</xdr:rowOff>
    </xdr:to>
    <xdr:sp macro="" textlink="">
      <xdr:nvSpPr>
        <xdr:cNvPr id="11287" name="Rectangle 23"/>
        <xdr:cNvSpPr>
          <a:spLocks noChangeArrowheads="1"/>
        </xdr:cNvSpPr>
      </xdr:nvSpPr>
      <xdr:spPr bwMode="auto">
        <a:xfrm>
          <a:off x="9875520" y="0"/>
          <a:ext cx="24460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7620</xdr:colOff>
      <xdr:row>20</xdr:row>
      <xdr:rowOff>0</xdr:rowOff>
    </xdr:from>
    <xdr:to>
      <xdr:col>25</xdr:col>
      <xdr:colOff>7620</xdr:colOff>
      <xdr:row>24</xdr:row>
      <xdr:rowOff>0</xdr:rowOff>
    </xdr:to>
    <xdr:sp macro="" textlink="">
      <xdr:nvSpPr>
        <xdr:cNvPr id="11288" name="Rectangle 24"/>
        <xdr:cNvSpPr>
          <a:spLocks noChangeArrowheads="1"/>
        </xdr:cNvSpPr>
      </xdr:nvSpPr>
      <xdr:spPr bwMode="auto">
        <a:xfrm>
          <a:off x="7368540" y="3223260"/>
          <a:ext cx="9601200" cy="640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41</xdr:row>
      <xdr:rowOff>0</xdr:rowOff>
    </xdr:from>
    <xdr:to>
      <xdr:col>18</xdr:col>
      <xdr:colOff>0</xdr:colOff>
      <xdr:row>45</xdr:row>
      <xdr:rowOff>0</xdr:rowOff>
    </xdr:to>
    <xdr:sp macro="" textlink="">
      <xdr:nvSpPr>
        <xdr:cNvPr id="11289" name="Rectangle 25"/>
        <xdr:cNvSpPr>
          <a:spLocks noChangeArrowheads="1"/>
        </xdr:cNvSpPr>
      </xdr:nvSpPr>
      <xdr:spPr bwMode="auto">
        <a:xfrm>
          <a:off x="9875520" y="6370320"/>
          <a:ext cx="2446020" cy="640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313" name="Rectangle 1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314" name="Rectangle 2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315" name="Rectangle 3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316" name="Rectangle 4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317" name="Rectangle 5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318" name="Rectangle 6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319" name="Rectangle 7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320" name="Rectangle 8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321" name="Rectangle 9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322" name="Rectangle 10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323" name="Rectangle 11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324" name="Rectangle 12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325" name="Rectangle 13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326" name="Rectangle 14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327" name="Rectangle 15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328" name="Rectangle 16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329" name="Rectangle 17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330" name="Rectangle 18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331" name="Rectangle 19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332" name="Rectangle 20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333" name="Rectangle 21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7620</xdr:colOff>
      <xdr:row>0</xdr:row>
      <xdr:rowOff>0</xdr:rowOff>
    </xdr:from>
    <xdr:to>
      <xdr:col>25</xdr:col>
      <xdr:colOff>7620</xdr:colOff>
      <xdr:row>0</xdr:row>
      <xdr:rowOff>0</xdr:rowOff>
    </xdr:to>
    <xdr:sp macro="" textlink="">
      <xdr:nvSpPr>
        <xdr:cNvPr id="13334" name="Rectangle 22"/>
        <xdr:cNvSpPr>
          <a:spLocks noChangeArrowheads="1"/>
        </xdr:cNvSpPr>
      </xdr:nvSpPr>
      <xdr:spPr bwMode="auto">
        <a:xfrm>
          <a:off x="6858000" y="0"/>
          <a:ext cx="966978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13335" name="Rectangle 23"/>
        <xdr:cNvSpPr>
          <a:spLocks noChangeArrowheads="1"/>
        </xdr:cNvSpPr>
      </xdr:nvSpPr>
      <xdr:spPr bwMode="auto">
        <a:xfrm>
          <a:off x="9364980" y="0"/>
          <a:ext cx="715518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7620</xdr:colOff>
      <xdr:row>22</xdr:row>
      <xdr:rowOff>0</xdr:rowOff>
    </xdr:from>
    <xdr:to>
      <xdr:col>25</xdr:col>
      <xdr:colOff>7620</xdr:colOff>
      <xdr:row>26</xdr:row>
      <xdr:rowOff>0</xdr:rowOff>
    </xdr:to>
    <xdr:sp macro="" textlink="">
      <xdr:nvSpPr>
        <xdr:cNvPr id="13336" name="Rectangle 24"/>
        <xdr:cNvSpPr>
          <a:spLocks noChangeArrowheads="1"/>
        </xdr:cNvSpPr>
      </xdr:nvSpPr>
      <xdr:spPr bwMode="auto">
        <a:xfrm>
          <a:off x="6858000" y="3566160"/>
          <a:ext cx="9669780" cy="640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44</xdr:row>
      <xdr:rowOff>0</xdr:rowOff>
    </xdr:from>
    <xdr:to>
      <xdr:col>25</xdr:col>
      <xdr:colOff>0</xdr:colOff>
      <xdr:row>48</xdr:row>
      <xdr:rowOff>0</xdr:rowOff>
    </xdr:to>
    <xdr:sp macro="" textlink="">
      <xdr:nvSpPr>
        <xdr:cNvPr id="13337" name="Rectangle 25"/>
        <xdr:cNvSpPr>
          <a:spLocks noChangeArrowheads="1"/>
        </xdr:cNvSpPr>
      </xdr:nvSpPr>
      <xdr:spPr bwMode="auto">
        <a:xfrm>
          <a:off x="9364980" y="6888480"/>
          <a:ext cx="7155180" cy="647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4337" name="Rectangle 1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4338" name="Rectangle 2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4339" name="Rectangle 3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4340" name="Rectangle 4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053" name="Rectangle 5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054" name="Rectangle 6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055" name="Rectangle 7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056" name="Rectangle 8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057" name="Rectangle 9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058" name="Rectangle 10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059" name="Rectangle 11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060" name="Rectangle 12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061" name="Rectangle 13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062" name="Rectangle 14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063" name="Rectangle 15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064" name="Rectangle 16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065" name="Rectangle 17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066" name="Rectangle 18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067" name="Rectangle 19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068" name="Rectangle 20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069" name="Rectangle 21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070" name="Rectangle 22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071" name="Rectangle 23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072" name="Rectangle 24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7620</xdr:colOff>
      <xdr:row>18</xdr:row>
      <xdr:rowOff>0</xdr:rowOff>
    </xdr:from>
    <xdr:to>
      <xdr:col>22</xdr:col>
      <xdr:colOff>7620</xdr:colOff>
      <xdr:row>22</xdr:row>
      <xdr:rowOff>0</xdr:rowOff>
    </xdr:to>
    <xdr:sp macro="" textlink="">
      <xdr:nvSpPr>
        <xdr:cNvPr id="2073" name="Rectangle 25"/>
        <xdr:cNvSpPr>
          <a:spLocks noChangeArrowheads="1"/>
        </xdr:cNvSpPr>
      </xdr:nvSpPr>
      <xdr:spPr bwMode="auto">
        <a:xfrm>
          <a:off x="7216140" y="2926080"/>
          <a:ext cx="9982200" cy="640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37</xdr:row>
      <xdr:rowOff>0</xdr:rowOff>
    </xdr:from>
    <xdr:to>
      <xdr:col>14</xdr:col>
      <xdr:colOff>640080</xdr:colOff>
      <xdr:row>41</xdr:row>
      <xdr:rowOff>0</xdr:rowOff>
    </xdr:to>
    <xdr:sp macro="" textlink="">
      <xdr:nvSpPr>
        <xdr:cNvPr id="2074" name="Rectangle 26"/>
        <xdr:cNvSpPr>
          <a:spLocks noChangeArrowheads="1"/>
        </xdr:cNvSpPr>
      </xdr:nvSpPr>
      <xdr:spPr bwMode="auto">
        <a:xfrm>
          <a:off x="10005060" y="5753100"/>
          <a:ext cx="2522220" cy="640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075" name="Rectangle 3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076" name="Rectangle 4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077" name="Rectangle 5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078" name="Rectangle 6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079" name="Rectangle 7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080" name="Rectangle 8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081" name="Rectangle 9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083" name="Rectangle 11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084" name="Rectangle 12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085" name="Rectangle 13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086" name="Rectangle 14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087" name="Rectangle 15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088" name="Rectangle 16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7620</xdr:colOff>
      <xdr:row>0</xdr:row>
      <xdr:rowOff>0</xdr:rowOff>
    </xdr:from>
    <xdr:to>
      <xdr:col>25</xdr:col>
      <xdr:colOff>7620</xdr:colOff>
      <xdr:row>0</xdr:row>
      <xdr:rowOff>0</xdr:rowOff>
    </xdr:to>
    <xdr:sp macro="" textlink="">
      <xdr:nvSpPr>
        <xdr:cNvPr id="3089" name="Rectangle 17"/>
        <xdr:cNvSpPr>
          <a:spLocks noChangeArrowheads="1"/>
        </xdr:cNvSpPr>
      </xdr:nvSpPr>
      <xdr:spPr bwMode="auto">
        <a:xfrm>
          <a:off x="6858000" y="0"/>
          <a:ext cx="96012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17</xdr:col>
      <xdr:colOff>632460</xdr:colOff>
      <xdr:row>0</xdr:row>
      <xdr:rowOff>0</xdr:rowOff>
    </xdr:to>
    <xdr:sp macro="" textlink="">
      <xdr:nvSpPr>
        <xdr:cNvPr id="3090" name="Rectangle 18"/>
        <xdr:cNvSpPr>
          <a:spLocks noChangeArrowheads="1"/>
        </xdr:cNvSpPr>
      </xdr:nvSpPr>
      <xdr:spPr bwMode="auto">
        <a:xfrm>
          <a:off x="9364980" y="0"/>
          <a:ext cx="24155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7620</xdr:colOff>
      <xdr:row>21</xdr:row>
      <xdr:rowOff>0</xdr:rowOff>
    </xdr:from>
    <xdr:to>
      <xdr:col>25</xdr:col>
      <xdr:colOff>7620</xdr:colOff>
      <xdr:row>25</xdr:row>
      <xdr:rowOff>0</xdr:rowOff>
    </xdr:to>
    <xdr:sp macro="" textlink="">
      <xdr:nvSpPr>
        <xdr:cNvPr id="3091" name="Rectangle 19"/>
        <xdr:cNvSpPr>
          <a:spLocks noChangeArrowheads="1"/>
        </xdr:cNvSpPr>
      </xdr:nvSpPr>
      <xdr:spPr bwMode="auto">
        <a:xfrm>
          <a:off x="6858000" y="3406140"/>
          <a:ext cx="9601200" cy="6324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43</xdr:row>
      <xdr:rowOff>0</xdr:rowOff>
    </xdr:from>
    <xdr:to>
      <xdr:col>17</xdr:col>
      <xdr:colOff>632460</xdr:colOff>
      <xdr:row>47</xdr:row>
      <xdr:rowOff>0</xdr:rowOff>
    </xdr:to>
    <xdr:sp macro="" textlink="">
      <xdr:nvSpPr>
        <xdr:cNvPr id="3092" name="Rectangle 20"/>
        <xdr:cNvSpPr>
          <a:spLocks noChangeArrowheads="1"/>
        </xdr:cNvSpPr>
      </xdr:nvSpPr>
      <xdr:spPr bwMode="auto">
        <a:xfrm>
          <a:off x="9364980" y="6720840"/>
          <a:ext cx="2415540" cy="640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097" name="Rectangle 1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098" name="Rectangle 2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099" name="Rectangle 3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100" name="Rectangle 4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102" name="Rectangle 6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103" name="Rectangle 7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105" name="Rectangle 9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106" name="Rectangle 10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108" name="Rectangle 12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109" name="Rectangle 13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111" name="Rectangle 15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112" name="Rectangle 16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114" name="Rectangle 18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115" name="Rectangle 19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117" name="Rectangle 21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118" name="Rectangle 22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120" name="Rectangle 24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121" name="Rectangle 25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123" name="Rectangle 27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124" name="Rectangle 28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7620</xdr:colOff>
      <xdr:row>0</xdr:row>
      <xdr:rowOff>0</xdr:rowOff>
    </xdr:from>
    <xdr:to>
      <xdr:col>25</xdr:col>
      <xdr:colOff>7620</xdr:colOff>
      <xdr:row>0</xdr:row>
      <xdr:rowOff>0</xdr:rowOff>
    </xdr:to>
    <xdr:sp macro="" textlink="">
      <xdr:nvSpPr>
        <xdr:cNvPr id="4126" name="Rectangle 30"/>
        <xdr:cNvSpPr>
          <a:spLocks noChangeArrowheads="1"/>
        </xdr:cNvSpPr>
      </xdr:nvSpPr>
      <xdr:spPr bwMode="auto">
        <a:xfrm>
          <a:off x="6995160" y="0"/>
          <a:ext cx="96012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17</xdr:col>
      <xdr:colOff>594360</xdr:colOff>
      <xdr:row>0</xdr:row>
      <xdr:rowOff>0</xdr:rowOff>
    </xdr:to>
    <xdr:sp macro="" textlink="">
      <xdr:nvSpPr>
        <xdr:cNvPr id="4127" name="Rectangle 31"/>
        <xdr:cNvSpPr>
          <a:spLocks noChangeArrowheads="1"/>
        </xdr:cNvSpPr>
      </xdr:nvSpPr>
      <xdr:spPr bwMode="auto">
        <a:xfrm>
          <a:off x="9502140" y="0"/>
          <a:ext cx="23774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7620</xdr:colOff>
      <xdr:row>20</xdr:row>
      <xdr:rowOff>0</xdr:rowOff>
    </xdr:from>
    <xdr:to>
      <xdr:col>25</xdr:col>
      <xdr:colOff>7620</xdr:colOff>
      <xdr:row>24</xdr:row>
      <xdr:rowOff>0</xdr:rowOff>
    </xdr:to>
    <xdr:sp macro="" textlink="">
      <xdr:nvSpPr>
        <xdr:cNvPr id="4129" name="Rectangle 33"/>
        <xdr:cNvSpPr>
          <a:spLocks noChangeArrowheads="1"/>
        </xdr:cNvSpPr>
      </xdr:nvSpPr>
      <xdr:spPr bwMode="auto">
        <a:xfrm>
          <a:off x="6995160" y="3246120"/>
          <a:ext cx="9601200" cy="640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41</xdr:row>
      <xdr:rowOff>0</xdr:rowOff>
    </xdr:from>
    <xdr:to>
      <xdr:col>17</xdr:col>
      <xdr:colOff>594360</xdr:colOff>
      <xdr:row>45</xdr:row>
      <xdr:rowOff>0</xdr:rowOff>
    </xdr:to>
    <xdr:sp macro="" textlink="">
      <xdr:nvSpPr>
        <xdr:cNvPr id="4130" name="Rectangle 34"/>
        <xdr:cNvSpPr>
          <a:spLocks noChangeArrowheads="1"/>
        </xdr:cNvSpPr>
      </xdr:nvSpPr>
      <xdr:spPr bwMode="auto">
        <a:xfrm>
          <a:off x="9502140" y="6362700"/>
          <a:ext cx="2377440" cy="640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121" name="Rectangle 1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122" name="Rectangle 2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123" name="Rectangle 3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124" name="Rectangle 4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125" name="Rectangle 5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126" name="Rectangle 6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127" name="Rectangle 7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128" name="Rectangle 8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129" name="Rectangle 9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130" name="Rectangle 10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131" name="Rectangle 11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132" name="Rectangle 12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133" name="Rectangle 13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134" name="Rectangle 14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135" name="Rectangle 15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136" name="Rectangle 16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137" name="Rectangle 17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138" name="Rectangle 18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139" name="Rectangle 19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140" name="Rectangle 20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7620</xdr:colOff>
      <xdr:row>0</xdr:row>
      <xdr:rowOff>0</xdr:rowOff>
    </xdr:from>
    <xdr:to>
      <xdr:col>25</xdr:col>
      <xdr:colOff>7620</xdr:colOff>
      <xdr:row>0</xdr:row>
      <xdr:rowOff>0</xdr:rowOff>
    </xdr:to>
    <xdr:sp macro="" textlink="">
      <xdr:nvSpPr>
        <xdr:cNvPr id="5141" name="Rectangle 21"/>
        <xdr:cNvSpPr>
          <a:spLocks noChangeArrowheads="1"/>
        </xdr:cNvSpPr>
      </xdr:nvSpPr>
      <xdr:spPr bwMode="auto">
        <a:xfrm>
          <a:off x="6858000" y="0"/>
          <a:ext cx="96012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18</xdr:col>
      <xdr:colOff>30480</xdr:colOff>
      <xdr:row>0</xdr:row>
      <xdr:rowOff>0</xdr:rowOff>
    </xdr:to>
    <xdr:sp macro="" textlink="">
      <xdr:nvSpPr>
        <xdr:cNvPr id="5142" name="Rectangle 22"/>
        <xdr:cNvSpPr>
          <a:spLocks noChangeArrowheads="1"/>
        </xdr:cNvSpPr>
      </xdr:nvSpPr>
      <xdr:spPr bwMode="auto">
        <a:xfrm>
          <a:off x="9364980" y="0"/>
          <a:ext cx="24765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7620</xdr:colOff>
      <xdr:row>22</xdr:row>
      <xdr:rowOff>0</xdr:rowOff>
    </xdr:from>
    <xdr:to>
      <xdr:col>25</xdr:col>
      <xdr:colOff>7620</xdr:colOff>
      <xdr:row>26</xdr:row>
      <xdr:rowOff>0</xdr:rowOff>
    </xdr:to>
    <xdr:sp macro="" textlink="">
      <xdr:nvSpPr>
        <xdr:cNvPr id="5143" name="Rectangle 23"/>
        <xdr:cNvSpPr>
          <a:spLocks noChangeArrowheads="1"/>
        </xdr:cNvSpPr>
      </xdr:nvSpPr>
      <xdr:spPr bwMode="auto">
        <a:xfrm>
          <a:off x="6858000" y="3566160"/>
          <a:ext cx="9601200" cy="640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43</xdr:row>
      <xdr:rowOff>0</xdr:rowOff>
    </xdr:from>
    <xdr:to>
      <xdr:col>18</xdr:col>
      <xdr:colOff>30480</xdr:colOff>
      <xdr:row>47</xdr:row>
      <xdr:rowOff>0</xdr:rowOff>
    </xdr:to>
    <xdr:sp macro="" textlink="">
      <xdr:nvSpPr>
        <xdr:cNvPr id="5144" name="Rectangle 24"/>
        <xdr:cNvSpPr>
          <a:spLocks noChangeArrowheads="1"/>
        </xdr:cNvSpPr>
      </xdr:nvSpPr>
      <xdr:spPr bwMode="auto">
        <a:xfrm>
          <a:off x="9364980" y="6690360"/>
          <a:ext cx="2476500" cy="640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146" name="Rectangle 2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147" name="Rectangle 3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149" name="Rectangle 5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150" name="Rectangle 6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151" name="Rectangle 7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152" name="Rectangle 8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153" name="Rectangle 9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154" name="Rectangle 10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155" name="Rectangle 11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156" name="Rectangle 12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157" name="Rectangle 13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158" name="Rectangle 14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159" name="Rectangle 15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160" name="Rectangle 16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161" name="Rectangle 17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162" name="Rectangle 18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163" name="Rectangle 19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164" name="Rectangle 20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7620</xdr:colOff>
      <xdr:row>0</xdr:row>
      <xdr:rowOff>0</xdr:rowOff>
    </xdr:from>
    <xdr:to>
      <xdr:col>25</xdr:col>
      <xdr:colOff>7620</xdr:colOff>
      <xdr:row>0</xdr:row>
      <xdr:rowOff>0</xdr:rowOff>
    </xdr:to>
    <xdr:sp macro="" textlink="">
      <xdr:nvSpPr>
        <xdr:cNvPr id="6165" name="Rectangle 21"/>
        <xdr:cNvSpPr>
          <a:spLocks noChangeArrowheads="1"/>
        </xdr:cNvSpPr>
      </xdr:nvSpPr>
      <xdr:spPr bwMode="auto">
        <a:xfrm>
          <a:off x="6858000" y="0"/>
          <a:ext cx="96012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18</xdr:col>
      <xdr:colOff>0</xdr:colOff>
      <xdr:row>0</xdr:row>
      <xdr:rowOff>0</xdr:rowOff>
    </xdr:to>
    <xdr:sp macro="" textlink="">
      <xdr:nvSpPr>
        <xdr:cNvPr id="6166" name="Rectangle 22"/>
        <xdr:cNvSpPr>
          <a:spLocks noChangeArrowheads="1"/>
        </xdr:cNvSpPr>
      </xdr:nvSpPr>
      <xdr:spPr bwMode="auto">
        <a:xfrm>
          <a:off x="9364980" y="0"/>
          <a:ext cx="24460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7620</xdr:colOff>
      <xdr:row>19</xdr:row>
      <xdr:rowOff>0</xdr:rowOff>
    </xdr:from>
    <xdr:to>
      <xdr:col>25</xdr:col>
      <xdr:colOff>7620</xdr:colOff>
      <xdr:row>23</xdr:row>
      <xdr:rowOff>0</xdr:rowOff>
    </xdr:to>
    <xdr:sp macro="" textlink="">
      <xdr:nvSpPr>
        <xdr:cNvPr id="6167" name="Rectangle 23"/>
        <xdr:cNvSpPr>
          <a:spLocks noChangeArrowheads="1"/>
        </xdr:cNvSpPr>
      </xdr:nvSpPr>
      <xdr:spPr bwMode="auto">
        <a:xfrm>
          <a:off x="6858000" y="3086100"/>
          <a:ext cx="9601200" cy="640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39</xdr:row>
      <xdr:rowOff>0</xdr:rowOff>
    </xdr:from>
    <xdr:to>
      <xdr:col>18</xdr:col>
      <xdr:colOff>0</xdr:colOff>
      <xdr:row>43</xdr:row>
      <xdr:rowOff>0</xdr:rowOff>
    </xdr:to>
    <xdr:sp macro="" textlink="">
      <xdr:nvSpPr>
        <xdr:cNvPr id="6168" name="Rectangle 24"/>
        <xdr:cNvSpPr>
          <a:spLocks noChangeArrowheads="1"/>
        </xdr:cNvSpPr>
      </xdr:nvSpPr>
      <xdr:spPr bwMode="auto">
        <a:xfrm>
          <a:off x="9364980" y="6073140"/>
          <a:ext cx="2446020" cy="640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169" name="Rectangle 1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170" name="Rectangle 2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171" name="Rectangle 3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172" name="Rectangle 4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173" name="Rectangle 5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174" name="Rectangle 6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177" name="Rectangle 9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178" name="Rectangle 10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179" name="Rectangle 11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180" name="Rectangle 12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181" name="Rectangle 13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182" name="Rectangle 14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7620</xdr:colOff>
      <xdr:row>0</xdr:row>
      <xdr:rowOff>0</xdr:rowOff>
    </xdr:from>
    <xdr:to>
      <xdr:col>25</xdr:col>
      <xdr:colOff>7620</xdr:colOff>
      <xdr:row>0</xdr:row>
      <xdr:rowOff>0</xdr:rowOff>
    </xdr:to>
    <xdr:sp macro="" textlink="">
      <xdr:nvSpPr>
        <xdr:cNvPr id="7183" name="Rectangle 15"/>
        <xdr:cNvSpPr>
          <a:spLocks noChangeArrowheads="1"/>
        </xdr:cNvSpPr>
      </xdr:nvSpPr>
      <xdr:spPr bwMode="auto">
        <a:xfrm>
          <a:off x="7002780" y="0"/>
          <a:ext cx="96012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17</xdr:col>
      <xdr:colOff>640080</xdr:colOff>
      <xdr:row>0</xdr:row>
      <xdr:rowOff>0</xdr:rowOff>
    </xdr:to>
    <xdr:sp macro="" textlink="">
      <xdr:nvSpPr>
        <xdr:cNvPr id="7184" name="Rectangle 16"/>
        <xdr:cNvSpPr>
          <a:spLocks noChangeArrowheads="1"/>
        </xdr:cNvSpPr>
      </xdr:nvSpPr>
      <xdr:spPr bwMode="auto">
        <a:xfrm>
          <a:off x="9509760" y="0"/>
          <a:ext cx="24231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199" name="Rectangle 7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200" name="Rectangle 8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201" name="Rectangle 9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202" name="Rectangle 10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203" name="Rectangle 11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204" name="Rectangle 12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205" name="Rectangle 13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206" name="Rectangle 14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207" name="Rectangle 15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208" name="Rectangle 16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211" name="Rectangle 19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212" name="Rectangle 20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213" name="Rectangle 21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214" name="Rectangle 22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215" name="Rectangle 23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216" name="Rectangle 24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217" name="Rectangle 25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218" name="Rectangle 26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219" name="Rectangle 27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220" name="Rectangle 28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221" name="Rectangle 29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222" name="Rectangle 30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7620</xdr:colOff>
      <xdr:row>0</xdr:row>
      <xdr:rowOff>0</xdr:rowOff>
    </xdr:from>
    <xdr:to>
      <xdr:col>25</xdr:col>
      <xdr:colOff>7620</xdr:colOff>
      <xdr:row>0</xdr:row>
      <xdr:rowOff>0</xdr:rowOff>
    </xdr:to>
    <xdr:sp macro="" textlink="">
      <xdr:nvSpPr>
        <xdr:cNvPr id="8223" name="Rectangle 31"/>
        <xdr:cNvSpPr>
          <a:spLocks noChangeArrowheads="1"/>
        </xdr:cNvSpPr>
      </xdr:nvSpPr>
      <xdr:spPr bwMode="auto">
        <a:xfrm>
          <a:off x="6858000" y="0"/>
          <a:ext cx="11658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18</xdr:col>
      <xdr:colOff>0</xdr:colOff>
      <xdr:row>0</xdr:row>
      <xdr:rowOff>0</xdr:rowOff>
    </xdr:to>
    <xdr:sp macro="" textlink="">
      <xdr:nvSpPr>
        <xdr:cNvPr id="8224" name="Rectangle 32"/>
        <xdr:cNvSpPr>
          <a:spLocks noChangeArrowheads="1"/>
        </xdr:cNvSpPr>
      </xdr:nvSpPr>
      <xdr:spPr bwMode="auto">
        <a:xfrm>
          <a:off x="10393680" y="0"/>
          <a:ext cx="34747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7620</xdr:colOff>
      <xdr:row>36</xdr:row>
      <xdr:rowOff>0</xdr:rowOff>
    </xdr:from>
    <xdr:to>
      <xdr:col>25</xdr:col>
      <xdr:colOff>7620</xdr:colOff>
      <xdr:row>40</xdr:row>
      <xdr:rowOff>0</xdr:rowOff>
    </xdr:to>
    <xdr:sp macro="" textlink="">
      <xdr:nvSpPr>
        <xdr:cNvPr id="8225" name="Rectangle 33"/>
        <xdr:cNvSpPr>
          <a:spLocks noChangeArrowheads="1"/>
        </xdr:cNvSpPr>
      </xdr:nvSpPr>
      <xdr:spPr bwMode="auto">
        <a:xfrm>
          <a:off x="6858000" y="5814060"/>
          <a:ext cx="11658600" cy="640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73</xdr:row>
      <xdr:rowOff>0</xdr:rowOff>
    </xdr:from>
    <xdr:to>
      <xdr:col>18</xdr:col>
      <xdr:colOff>0</xdr:colOff>
      <xdr:row>77</xdr:row>
      <xdr:rowOff>0</xdr:rowOff>
    </xdr:to>
    <xdr:sp macro="" textlink="">
      <xdr:nvSpPr>
        <xdr:cNvPr id="8226" name="Rectangle 34"/>
        <xdr:cNvSpPr>
          <a:spLocks noChangeArrowheads="1"/>
        </xdr:cNvSpPr>
      </xdr:nvSpPr>
      <xdr:spPr bwMode="auto">
        <a:xfrm>
          <a:off x="10393680" y="11551920"/>
          <a:ext cx="3474720" cy="640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17" name="Rectangle 1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18" name="Rectangle 2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19" name="Rectangle 3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20" name="Rectangle 4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21" name="Rectangle 5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22" name="Rectangle 6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23" name="Rectangle 7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24" name="Rectangle 8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25" name="Rectangle 9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26" name="Rectangle 10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27" name="Rectangle 11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28" name="Rectangle 12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29" name="Rectangle 13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30" name="Rectangle 14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31" name="Rectangle 15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32" name="Rectangle 16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33" name="Rectangle 17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34" name="Rectangle 18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35" name="Rectangle 19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36" name="Rectangle 20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37" name="Rectangle 21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38" name="Rectangle 22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39" name="Rectangle 23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40" name="Rectangle 24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41" name="Rectangle 25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42" name="Rectangle 26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43" name="Rectangle 27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44" name="Rectangle 28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45" name="Rectangle 29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46" name="Rectangle 30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47" name="Rectangle 31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48" name="Rectangle 32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49" name="Rectangle 33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50" name="Rectangle 34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51" name="Rectangle 35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52" name="Rectangle 36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53" name="Rectangle 37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54" name="Rectangle 38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55" name="Rectangle 39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56" name="Rectangle 40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57" name="Rectangle 41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58" name="Rectangle 42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59" name="Rectangle 43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60" name="Rectangle 44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61" name="Rectangle 45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62" name="Rectangle 46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63" name="Rectangle 47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64" name="Rectangle 48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65" name="Rectangle 49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66" name="Rectangle 50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67" name="Rectangle 51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68" name="Rectangle 52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69" name="Rectangle 53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70" name="Rectangle 54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71" name="Rectangle 55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72" name="Rectangle 56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73" name="Rectangle 57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74" name="Rectangle 58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75" name="Rectangle 59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276" name="Rectangle 60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7620</xdr:colOff>
      <xdr:row>0</xdr:row>
      <xdr:rowOff>0</xdr:rowOff>
    </xdr:from>
    <xdr:to>
      <xdr:col>26</xdr:col>
      <xdr:colOff>175260</xdr:colOff>
      <xdr:row>0</xdr:row>
      <xdr:rowOff>0</xdr:rowOff>
    </xdr:to>
    <xdr:sp macro="" textlink="">
      <xdr:nvSpPr>
        <xdr:cNvPr id="9277" name="Rectangle 61"/>
        <xdr:cNvSpPr>
          <a:spLocks noChangeArrowheads="1"/>
        </xdr:cNvSpPr>
      </xdr:nvSpPr>
      <xdr:spPr bwMode="auto">
        <a:xfrm>
          <a:off x="7353300" y="0"/>
          <a:ext cx="109194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38100</xdr:colOff>
      <xdr:row>0</xdr:row>
      <xdr:rowOff>0</xdr:rowOff>
    </xdr:to>
    <xdr:sp macro="" textlink="">
      <xdr:nvSpPr>
        <xdr:cNvPr id="9278" name="Rectangle 62"/>
        <xdr:cNvSpPr>
          <a:spLocks noChangeArrowheads="1"/>
        </xdr:cNvSpPr>
      </xdr:nvSpPr>
      <xdr:spPr bwMode="auto">
        <a:xfrm>
          <a:off x="10043160" y="0"/>
          <a:ext cx="323088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7620</xdr:colOff>
      <xdr:row>0</xdr:row>
      <xdr:rowOff>0</xdr:rowOff>
    </xdr:from>
    <xdr:to>
      <xdr:col>26</xdr:col>
      <xdr:colOff>175260</xdr:colOff>
      <xdr:row>0</xdr:row>
      <xdr:rowOff>0</xdr:rowOff>
    </xdr:to>
    <xdr:sp macro="" textlink="">
      <xdr:nvSpPr>
        <xdr:cNvPr id="9279" name="Rectangle 63"/>
        <xdr:cNvSpPr>
          <a:spLocks noChangeArrowheads="1"/>
        </xdr:cNvSpPr>
      </xdr:nvSpPr>
      <xdr:spPr bwMode="auto">
        <a:xfrm>
          <a:off x="7353300" y="0"/>
          <a:ext cx="109194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38100</xdr:colOff>
      <xdr:row>0</xdr:row>
      <xdr:rowOff>0</xdr:rowOff>
    </xdr:to>
    <xdr:sp macro="" textlink="">
      <xdr:nvSpPr>
        <xdr:cNvPr id="9280" name="Rectangle 64"/>
        <xdr:cNvSpPr>
          <a:spLocks noChangeArrowheads="1"/>
        </xdr:cNvSpPr>
      </xdr:nvSpPr>
      <xdr:spPr bwMode="auto">
        <a:xfrm>
          <a:off x="10043160" y="0"/>
          <a:ext cx="323088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7620</xdr:colOff>
      <xdr:row>0</xdr:row>
      <xdr:rowOff>0</xdr:rowOff>
    </xdr:from>
    <xdr:to>
      <xdr:col>26</xdr:col>
      <xdr:colOff>175260</xdr:colOff>
      <xdr:row>0</xdr:row>
      <xdr:rowOff>0</xdr:rowOff>
    </xdr:to>
    <xdr:sp macro="" textlink="">
      <xdr:nvSpPr>
        <xdr:cNvPr id="9281" name="Rectangle 65"/>
        <xdr:cNvSpPr>
          <a:spLocks noChangeArrowheads="1"/>
        </xdr:cNvSpPr>
      </xdr:nvSpPr>
      <xdr:spPr bwMode="auto">
        <a:xfrm>
          <a:off x="7353300" y="0"/>
          <a:ext cx="109194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38100</xdr:colOff>
      <xdr:row>0</xdr:row>
      <xdr:rowOff>0</xdr:rowOff>
    </xdr:to>
    <xdr:sp macro="" textlink="">
      <xdr:nvSpPr>
        <xdr:cNvPr id="9282" name="Rectangle 66"/>
        <xdr:cNvSpPr>
          <a:spLocks noChangeArrowheads="1"/>
        </xdr:cNvSpPr>
      </xdr:nvSpPr>
      <xdr:spPr bwMode="auto">
        <a:xfrm>
          <a:off x="10043160" y="0"/>
          <a:ext cx="323088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7620</xdr:colOff>
      <xdr:row>0</xdr:row>
      <xdr:rowOff>0</xdr:rowOff>
    </xdr:from>
    <xdr:to>
      <xdr:col>26</xdr:col>
      <xdr:colOff>175260</xdr:colOff>
      <xdr:row>0</xdr:row>
      <xdr:rowOff>0</xdr:rowOff>
    </xdr:to>
    <xdr:sp macro="" textlink="">
      <xdr:nvSpPr>
        <xdr:cNvPr id="9283" name="Rectangle 67"/>
        <xdr:cNvSpPr>
          <a:spLocks noChangeArrowheads="1"/>
        </xdr:cNvSpPr>
      </xdr:nvSpPr>
      <xdr:spPr bwMode="auto">
        <a:xfrm>
          <a:off x="7353300" y="0"/>
          <a:ext cx="109194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38100</xdr:colOff>
      <xdr:row>0</xdr:row>
      <xdr:rowOff>0</xdr:rowOff>
    </xdr:to>
    <xdr:sp macro="" textlink="">
      <xdr:nvSpPr>
        <xdr:cNvPr id="9284" name="Rectangle 68"/>
        <xdr:cNvSpPr>
          <a:spLocks noChangeArrowheads="1"/>
        </xdr:cNvSpPr>
      </xdr:nvSpPr>
      <xdr:spPr bwMode="auto">
        <a:xfrm>
          <a:off x="10043160" y="0"/>
          <a:ext cx="323088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7620</xdr:colOff>
      <xdr:row>0</xdr:row>
      <xdr:rowOff>0</xdr:rowOff>
    </xdr:from>
    <xdr:to>
      <xdr:col>26</xdr:col>
      <xdr:colOff>175260</xdr:colOff>
      <xdr:row>0</xdr:row>
      <xdr:rowOff>0</xdr:rowOff>
    </xdr:to>
    <xdr:sp macro="" textlink="">
      <xdr:nvSpPr>
        <xdr:cNvPr id="9285" name="Rectangle 69"/>
        <xdr:cNvSpPr>
          <a:spLocks noChangeArrowheads="1"/>
        </xdr:cNvSpPr>
      </xdr:nvSpPr>
      <xdr:spPr bwMode="auto">
        <a:xfrm>
          <a:off x="7353300" y="0"/>
          <a:ext cx="109194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38100</xdr:colOff>
      <xdr:row>0</xdr:row>
      <xdr:rowOff>0</xdr:rowOff>
    </xdr:to>
    <xdr:sp macro="" textlink="">
      <xdr:nvSpPr>
        <xdr:cNvPr id="9286" name="Rectangle 70"/>
        <xdr:cNvSpPr>
          <a:spLocks noChangeArrowheads="1"/>
        </xdr:cNvSpPr>
      </xdr:nvSpPr>
      <xdr:spPr bwMode="auto">
        <a:xfrm>
          <a:off x="10043160" y="0"/>
          <a:ext cx="323088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7620</xdr:colOff>
      <xdr:row>0</xdr:row>
      <xdr:rowOff>0</xdr:rowOff>
    </xdr:from>
    <xdr:to>
      <xdr:col>26</xdr:col>
      <xdr:colOff>175260</xdr:colOff>
      <xdr:row>0</xdr:row>
      <xdr:rowOff>0</xdr:rowOff>
    </xdr:to>
    <xdr:sp macro="" textlink="">
      <xdr:nvSpPr>
        <xdr:cNvPr id="9287" name="Rectangle 71"/>
        <xdr:cNvSpPr>
          <a:spLocks noChangeArrowheads="1"/>
        </xdr:cNvSpPr>
      </xdr:nvSpPr>
      <xdr:spPr bwMode="auto">
        <a:xfrm>
          <a:off x="7353300" y="0"/>
          <a:ext cx="109194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38100</xdr:colOff>
      <xdr:row>0</xdr:row>
      <xdr:rowOff>0</xdr:rowOff>
    </xdr:to>
    <xdr:sp macro="" textlink="">
      <xdr:nvSpPr>
        <xdr:cNvPr id="9288" name="Rectangle 72"/>
        <xdr:cNvSpPr>
          <a:spLocks noChangeArrowheads="1"/>
        </xdr:cNvSpPr>
      </xdr:nvSpPr>
      <xdr:spPr bwMode="auto">
        <a:xfrm>
          <a:off x="10043160" y="0"/>
          <a:ext cx="323088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7620</xdr:colOff>
      <xdr:row>0</xdr:row>
      <xdr:rowOff>0</xdr:rowOff>
    </xdr:from>
    <xdr:to>
      <xdr:col>26</xdr:col>
      <xdr:colOff>175260</xdr:colOff>
      <xdr:row>0</xdr:row>
      <xdr:rowOff>0</xdr:rowOff>
    </xdr:to>
    <xdr:sp macro="" textlink="">
      <xdr:nvSpPr>
        <xdr:cNvPr id="9289" name="Rectangle 73"/>
        <xdr:cNvSpPr>
          <a:spLocks noChangeArrowheads="1"/>
        </xdr:cNvSpPr>
      </xdr:nvSpPr>
      <xdr:spPr bwMode="auto">
        <a:xfrm>
          <a:off x="7353300" y="0"/>
          <a:ext cx="109194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38100</xdr:colOff>
      <xdr:row>0</xdr:row>
      <xdr:rowOff>0</xdr:rowOff>
    </xdr:to>
    <xdr:sp macro="" textlink="">
      <xdr:nvSpPr>
        <xdr:cNvPr id="9290" name="Rectangle 74"/>
        <xdr:cNvSpPr>
          <a:spLocks noChangeArrowheads="1"/>
        </xdr:cNvSpPr>
      </xdr:nvSpPr>
      <xdr:spPr bwMode="auto">
        <a:xfrm>
          <a:off x="10043160" y="0"/>
          <a:ext cx="323088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7620</xdr:colOff>
      <xdr:row>0</xdr:row>
      <xdr:rowOff>0</xdr:rowOff>
    </xdr:from>
    <xdr:to>
      <xdr:col>26</xdr:col>
      <xdr:colOff>175260</xdr:colOff>
      <xdr:row>0</xdr:row>
      <xdr:rowOff>0</xdr:rowOff>
    </xdr:to>
    <xdr:sp macro="" textlink="">
      <xdr:nvSpPr>
        <xdr:cNvPr id="9291" name="Rectangle 75"/>
        <xdr:cNvSpPr>
          <a:spLocks noChangeArrowheads="1"/>
        </xdr:cNvSpPr>
      </xdr:nvSpPr>
      <xdr:spPr bwMode="auto">
        <a:xfrm>
          <a:off x="7353300" y="0"/>
          <a:ext cx="109194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38100</xdr:colOff>
      <xdr:row>0</xdr:row>
      <xdr:rowOff>0</xdr:rowOff>
    </xdr:to>
    <xdr:sp macro="" textlink="">
      <xdr:nvSpPr>
        <xdr:cNvPr id="9292" name="Rectangle 76"/>
        <xdr:cNvSpPr>
          <a:spLocks noChangeArrowheads="1"/>
        </xdr:cNvSpPr>
      </xdr:nvSpPr>
      <xdr:spPr bwMode="auto">
        <a:xfrm>
          <a:off x="10043160" y="0"/>
          <a:ext cx="323088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7620</xdr:colOff>
      <xdr:row>21</xdr:row>
      <xdr:rowOff>0</xdr:rowOff>
    </xdr:from>
    <xdr:to>
      <xdr:col>26</xdr:col>
      <xdr:colOff>175260</xdr:colOff>
      <xdr:row>25</xdr:row>
      <xdr:rowOff>0</xdr:rowOff>
    </xdr:to>
    <xdr:sp macro="" textlink="">
      <xdr:nvSpPr>
        <xdr:cNvPr id="9293" name="Rectangle 77"/>
        <xdr:cNvSpPr>
          <a:spLocks noChangeArrowheads="1"/>
        </xdr:cNvSpPr>
      </xdr:nvSpPr>
      <xdr:spPr bwMode="auto">
        <a:xfrm>
          <a:off x="7353300" y="3406140"/>
          <a:ext cx="10919460" cy="640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43</xdr:row>
      <xdr:rowOff>0</xdr:rowOff>
    </xdr:from>
    <xdr:to>
      <xdr:col>19</xdr:col>
      <xdr:colOff>38100</xdr:colOff>
      <xdr:row>47</xdr:row>
      <xdr:rowOff>0</xdr:rowOff>
    </xdr:to>
    <xdr:sp macro="" textlink="">
      <xdr:nvSpPr>
        <xdr:cNvPr id="9294" name="Rectangle 78"/>
        <xdr:cNvSpPr>
          <a:spLocks noChangeArrowheads="1"/>
        </xdr:cNvSpPr>
      </xdr:nvSpPr>
      <xdr:spPr bwMode="auto">
        <a:xfrm>
          <a:off x="10043160" y="6713220"/>
          <a:ext cx="3230880" cy="640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COMPCO\Majors\9_30_2000\Majors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S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TRY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UNI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WDFC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IBD%20Global%20Energy/Comps%20(DO%20NOT%20DELETE)/Compco/Oil%20and%20Gas/Summary%20Sheets/TSO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HI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JS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AM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IBD%20Global%20Energy/Comps%20(DO%20NOT%20DELETE)/Compco/Oil%20and%20Gas/Oil%20Field%20Services/Mid/3-31-01/CLB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IBD%20Global%20Energy/Comps%20(DO%20NOT%20DELETE)/Compco/Oil%20and%20Gas/Oil%20Field%20Services/Mid/3-31-01/EF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CO/Majors/9_30_2000/Majors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IBD%20Global%20Energy/Comps%20(DO%20NOT%20DELETE)/Compco/Oil%20and%20Gas/Oil%20Field%20Services/Mid/3-31-01/GRP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HA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HC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IBD%20Global%20Energy/Comps%20(DO%20NOT%20DELETE)/Compco/Oil%20and%20Gas/Oil%20Field%20Services/Mid/3-31-01/HYDL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CIBD%20Global%20Energy/Comps%20(DO%20NOT%20DELETE)/Compco/Oil%20and%20Gas/Oil%20Field%20Services/Mid/3-31-01/I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NOI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SLB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Summar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SII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CIBD%20Global%20Energy/Comps%20(DO%20NOT%20DELETE)/Compco/Oil%20and%20Gas/Oil%20Field%20Services/Mid/3-31-01/SES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9.11%20comps/Research%20Models/RepsolYPF-080399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CIBD%20Global%20Energy/Comps%20(DO%20NOT%20DELETE)/Compco/Oil%20and%20Gas/Oil%20Field%20Services/Mid/3-31-01/TEO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CIBD%20Global%20Energy/Comps%20(DO%20NOT%20DELETE)/Compco/Oil%20and%20Gas/Oil%20Field%20Services/Mid/3-31-01/UCO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CIBD%20Global%20Energy/Comps%20(DO%20NOT%20DELETE)/Compco/Oil%20and%20Gas/Oil%20Field%20Services/Mid/3-31-01/VRC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CIBD%20Global%20Energy/Comps%20(DO%20NOT%20DELETE)/Compco/Oil%20and%20Gas/Oil%20Field%20Services/Mid/3-31-01/WHES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WF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9.11%20comps/Neste%20O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AS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DM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Lubrizo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Z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output"/>
      <sheetName val="summary "/>
      <sheetName val="MAIN OUTPUT"/>
      <sheetName val="Word Setup Summary (2)"/>
      <sheetName val="WACC-ALL"/>
      <sheetName val="WACC-Super&amp;Intnl"/>
      <sheetName val="WACC-Intnl"/>
      <sheetName val="WACC-Super&amp;Intgrd"/>
      <sheetName val="WACC (2)"/>
      <sheetName val="Sheet1"/>
    </sheetNames>
    <sheetDataSet>
      <sheetData sheetId="0" refreshError="1"/>
      <sheetData sheetId="1" refreshError="1">
        <row r="16">
          <cell r="AK16">
            <v>37621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SE"/>
    </sheetNames>
    <sheetDataSet>
      <sheetData sheetId="0" refreshError="1"/>
      <sheetData sheetId="1" refreshError="1">
        <row r="9">
          <cell r="D9">
            <v>37099</v>
          </cell>
        </row>
        <row r="11">
          <cell r="U11" t="str">
            <v>NR</v>
          </cell>
        </row>
        <row r="16">
          <cell r="V16" t="str">
            <v>Salomon Smith Barney</v>
          </cell>
        </row>
        <row r="28">
          <cell r="O28">
            <v>470.425999999998</v>
          </cell>
          <cell r="P28">
            <v>443.83272461604156</v>
          </cell>
          <cell r="Q28">
            <v>459.6498570497244</v>
          </cell>
        </row>
        <row r="46">
          <cell r="O46">
            <v>95.79299999999796</v>
          </cell>
        </row>
        <row r="52">
          <cell r="O52">
            <v>384.497999999998</v>
          </cell>
        </row>
        <row r="56">
          <cell r="S56">
            <v>105.11802596551725</v>
          </cell>
        </row>
        <row r="58">
          <cell r="P58">
            <v>0.78200000000000003</v>
          </cell>
          <cell r="Q58">
            <v>0.878</v>
          </cell>
        </row>
        <row r="59">
          <cell r="P59" t="e">
            <v>#N/A</v>
          </cell>
          <cell r="Q59" t="e">
            <v>#N/A</v>
          </cell>
        </row>
        <row r="97">
          <cell r="I97">
            <v>66.945999999999998</v>
          </cell>
        </row>
        <row r="113">
          <cell r="F113" t="str">
            <v>BBB / Baa2</v>
          </cell>
        </row>
        <row r="114">
          <cell r="F114">
            <v>37012</v>
          </cell>
        </row>
        <row r="123">
          <cell r="J123">
            <v>1665.758</v>
          </cell>
        </row>
        <row r="132">
          <cell r="J132">
            <v>0.96336058512728517</v>
          </cell>
        </row>
        <row r="160">
          <cell r="E160">
            <v>2334</v>
          </cell>
        </row>
        <row r="282">
          <cell r="Q282" t="str">
            <v>_</v>
          </cell>
        </row>
        <row r="285">
          <cell r="Q285">
            <v>0</v>
          </cell>
        </row>
        <row r="305">
          <cell r="D305" t="str">
            <v>7 Eleven, Inc.</v>
          </cell>
          <cell r="E305" t="str">
            <v>SE</v>
          </cell>
          <cell r="S305">
            <v>0</v>
          </cell>
          <cell r="T305" t="str">
            <v>NA</v>
          </cell>
          <cell r="V305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PTRY"/>
    </sheetNames>
    <sheetDataSet>
      <sheetData sheetId="0" refreshError="1"/>
      <sheetData sheetId="1" refreshError="1">
        <row r="9">
          <cell r="D9">
            <v>37099</v>
          </cell>
        </row>
        <row r="11">
          <cell r="U11" t="str">
            <v>NR</v>
          </cell>
        </row>
        <row r="16">
          <cell r="V16" t="str">
            <v>Merril Lynch</v>
          </cell>
        </row>
        <row r="28">
          <cell r="O28">
            <v>137.89199999999937</v>
          </cell>
          <cell r="P28">
            <v>146.53434225473484</v>
          </cell>
          <cell r="Q28">
            <v>154.54892781841858</v>
          </cell>
        </row>
        <row r="46">
          <cell r="O46">
            <v>13.227875497441119</v>
          </cell>
        </row>
        <row r="52">
          <cell r="O52">
            <v>79.156875497441121</v>
          </cell>
        </row>
        <row r="56">
          <cell r="S56">
            <v>18.150366642335769</v>
          </cell>
        </row>
        <row r="58">
          <cell r="P58">
            <v>1</v>
          </cell>
          <cell r="Q58">
            <v>1.25</v>
          </cell>
        </row>
        <row r="59">
          <cell r="P59">
            <v>4.2699999999999996</v>
          </cell>
          <cell r="Q59">
            <v>4.66</v>
          </cell>
        </row>
        <row r="97">
          <cell r="I97">
            <v>112.32899999999999</v>
          </cell>
        </row>
        <row r="113">
          <cell r="F113" t="str">
            <v>BB-/ B2</v>
          </cell>
        </row>
        <row r="114">
          <cell r="F114">
            <v>37012</v>
          </cell>
        </row>
        <row r="123">
          <cell r="J123">
            <v>603.57999999999993</v>
          </cell>
        </row>
        <row r="132">
          <cell r="J132">
            <v>0.84921026984796055</v>
          </cell>
        </row>
        <row r="160">
          <cell r="E160">
            <v>1292</v>
          </cell>
        </row>
        <row r="282">
          <cell r="Q282" t="str">
            <v>_</v>
          </cell>
        </row>
        <row r="285">
          <cell r="Q285">
            <v>0</v>
          </cell>
        </row>
        <row r="305">
          <cell r="D305" t="str">
            <v>The Pantry, Inc.</v>
          </cell>
          <cell r="E305" t="str">
            <v>PTRY</v>
          </cell>
          <cell r="S305">
            <v>0</v>
          </cell>
          <cell r="T305" t="str">
            <v>NA</v>
          </cell>
          <cell r="V305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UNI"/>
    </sheetNames>
    <sheetDataSet>
      <sheetData sheetId="0" refreshError="1"/>
      <sheetData sheetId="1" refreshError="1">
        <row r="9">
          <cell r="D9">
            <v>37099</v>
          </cell>
        </row>
        <row r="11">
          <cell r="U11" t="str">
            <v>NR</v>
          </cell>
        </row>
        <row r="16">
          <cell r="V16" t="str">
            <v>No Research</v>
          </cell>
        </row>
        <row r="28">
          <cell r="Q28" t="e">
            <v>#N/A</v>
          </cell>
        </row>
        <row r="46">
          <cell r="O46">
            <v>2.5663999999966158E-2</v>
          </cell>
        </row>
        <row r="52">
          <cell r="O52">
            <v>12.040121999999966</v>
          </cell>
        </row>
        <row r="56">
          <cell r="S56">
            <v>7.0605019999999996</v>
          </cell>
        </row>
        <row r="58">
          <cell r="P58" t="e">
            <v>#N/A</v>
          </cell>
          <cell r="Q58" t="e">
            <v>#N/A</v>
          </cell>
        </row>
        <row r="59">
          <cell r="P59" t="e">
            <v>#N/A</v>
          </cell>
          <cell r="Q59" t="e">
            <v>#N/A</v>
          </cell>
        </row>
        <row r="97">
          <cell r="I97">
            <v>28.328464</v>
          </cell>
        </row>
        <row r="113">
          <cell r="F113" t="str">
            <v>NR / NR</v>
          </cell>
        </row>
        <row r="114">
          <cell r="F114">
            <v>37012</v>
          </cell>
        </row>
        <row r="123">
          <cell r="J123">
            <v>78.429081000000011</v>
          </cell>
        </row>
        <row r="132">
          <cell r="J132">
            <v>0.74364904253743624</v>
          </cell>
        </row>
        <row r="160">
          <cell r="E160">
            <v>238</v>
          </cell>
        </row>
        <row r="282">
          <cell r="Q282">
            <v>0</v>
          </cell>
        </row>
        <row r="285">
          <cell r="Q285">
            <v>103.80616000000001</v>
          </cell>
        </row>
        <row r="305">
          <cell r="D305" t="str">
            <v>Uni-Marts Inc.</v>
          </cell>
          <cell r="E305" t="str">
            <v>UNI</v>
          </cell>
          <cell r="S305">
            <v>0</v>
          </cell>
          <cell r="T305" t="str">
            <v>NA</v>
          </cell>
          <cell r="V305">
            <v>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WD"/>
    </sheetNames>
    <sheetDataSet>
      <sheetData sheetId="0" refreshError="1"/>
      <sheetData sheetId="1" refreshError="1">
        <row r="9">
          <cell r="D9">
            <v>37099</v>
          </cell>
        </row>
        <row r="11">
          <cell r="U11" t="str">
            <v>NA</v>
          </cell>
        </row>
        <row r="13">
          <cell r="B13" t="str">
            <v>WDFC</v>
          </cell>
        </row>
        <row r="16">
          <cell r="V16" t="str">
            <v>No Research</v>
          </cell>
        </row>
        <row r="28">
          <cell r="Q28">
            <v>35.475059986250656</v>
          </cell>
        </row>
        <row r="46">
          <cell r="O46">
            <v>19.959053513544777</v>
          </cell>
        </row>
        <row r="52">
          <cell r="O52">
            <v>23.46105351354478</v>
          </cell>
        </row>
        <row r="56">
          <cell r="S56">
            <v>15.440470229508195</v>
          </cell>
        </row>
        <row r="58">
          <cell r="P58">
            <v>1.1100000000000001</v>
          </cell>
          <cell r="Q58">
            <v>1.27</v>
          </cell>
        </row>
        <row r="59">
          <cell r="P59" t="e">
            <v>#N/A</v>
          </cell>
          <cell r="Q59" t="e">
            <v>#N/A</v>
          </cell>
        </row>
        <row r="97">
          <cell r="I97">
            <v>49.665999999999997</v>
          </cell>
        </row>
        <row r="113">
          <cell r="F113" t="str">
            <v>NA/NA</v>
          </cell>
        </row>
        <row r="114">
          <cell r="F114">
            <v>36985</v>
          </cell>
        </row>
        <row r="123">
          <cell r="J123">
            <v>9.7719999999999985</v>
          </cell>
        </row>
        <row r="132">
          <cell r="J132">
            <v>0.20251132020938373</v>
          </cell>
        </row>
        <row r="282">
          <cell r="Q282">
            <v>0</v>
          </cell>
        </row>
        <row r="285">
          <cell r="Q285">
            <v>4.819</v>
          </cell>
        </row>
        <row r="305">
          <cell r="D305" t="str">
            <v>WD-40 Co.</v>
          </cell>
          <cell r="S305">
            <v>0</v>
          </cell>
          <cell r="T305" t="str">
            <v>NA</v>
          </cell>
          <cell r="V305">
            <v>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TSO"/>
      <sheetName val="TSOI"/>
    </sheetNames>
    <sheetDataSet>
      <sheetData sheetId="0" refreshError="1"/>
      <sheetData sheetId="1" refreshError="1">
        <row r="28">
          <cell r="O28">
            <v>204.69999999999908</v>
          </cell>
          <cell r="P28">
            <v>172.27243125000001</v>
          </cell>
        </row>
      </sheetData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BHI"/>
    </sheetNames>
    <sheetDataSet>
      <sheetData sheetId="0" refreshError="1"/>
      <sheetData sheetId="1" refreshError="1">
        <row r="9">
          <cell r="D9">
            <v>37106</v>
          </cell>
        </row>
        <row r="11">
          <cell r="U11" t="str">
            <v>Buy</v>
          </cell>
        </row>
        <row r="12">
          <cell r="U12">
            <v>37106</v>
          </cell>
        </row>
        <row r="16">
          <cell r="V16" t="str">
            <v>CSFB / G. Hall</v>
          </cell>
        </row>
        <row r="28">
          <cell r="O28">
            <v>1070.6999999999998</v>
          </cell>
          <cell r="P28">
            <v>1320.2</v>
          </cell>
          <cell r="Q28">
            <v>1586.9999999999995</v>
          </cell>
        </row>
        <row r="46">
          <cell r="O46">
            <v>202.43999999999986</v>
          </cell>
        </row>
        <row r="52">
          <cell r="O52">
            <v>862.43999999999971</v>
          </cell>
        </row>
        <row r="56">
          <cell r="S56">
            <v>337.12024251602656</v>
          </cell>
        </row>
        <row r="58">
          <cell r="P58">
            <v>1.2532388724035608</v>
          </cell>
          <cell r="Q58">
            <v>1.7478318584070782</v>
          </cell>
        </row>
        <row r="59">
          <cell r="P59">
            <v>2.9342477744807121</v>
          </cell>
          <cell r="Q59">
            <v>3.5029941002949836</v>
          </cell>
        </row>
        <row r="97">
          <cell r="I97">
            <v>3087.4</v>
          </cell>
        </row>
        <row r="113">
          <cell r="F113" t="str">
            <v>A2/A</v>
          </cell>
        </row>
        <row r="114">
          <cell r="F114">
            <v>37041</v>
          </cell>
        </row>
        <row r="123">
          <cell r="J123">
            <v>1999</v>
          </cell>
        </row>
        <row r="132">
          <cell r="J132">
            <v>0.397215876920674</v>
          </cell>
        </row>
        <row r="263">
          <cell r="Q263" t="str">
            <v>NA</v>
          </cell>
        </row>
        <row r="282">
          <cell r="Q282">
            <v>0</v>
          </cell>
        </row>
        <row r="285">
          <cell r="Q285">
            <v>1378.7</v>
          </cell>
        </row>
        <row r="286">
          <cell r="K286" t="str">
            <v>NA</v>
          </cell>
        </row>
        <row r="305">
          <cell r="D305" t="str">
            <v>Baker Hughes Incorporated</v>
          </cell>
          <cell r="E305" t="str">
            <v>BHI</v>
          </cell>
          <cell r="S305">
            <v>0</v>
          </cell>
          <cell r="T305" t="str">
            <v>NA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BJS"/>
    </sheetNames>
    <sheetDataSet>
      <sheetData sheetId="0" refreshError="1"/>
      <sheetData sheetId="1" refreshError="1">
        <row r="9">
          <cell r="D9">
            <v>37106</v>
          </cell>
        </row>
        <row r="11">
          <cell r="U11" t="str">
            <v>Buy</v>
          </cell>
        </row>
        <row r="12">
          <cell r="U12">
            <v>37106</v>
          </cell>
        </row>
        <row r="16">
          <cell r="V16" t="str">
            <v>CSFB / G. Hall</v>
          </cell>
        </row>
        <row r="28">
          <cell r="O28">
            <v>437.74000000000007</v>
          </cell>
          <cell r="P28">
            <v>642.91999999999973</v>
          </cell>
          <cell r="Q28">
            <v>726</v>
          </cell>
        </row>
        <row r="46">
          <cell r="O46">
            <v>212.40500000000003</v>
          </cell>
        </row>
        <row r="52">
          <cell r="O52">
            <v>406.44000000000005</v>
          </cell>
        </row>
        <row r="56">
          <cell r="S56">
            <v>167.78501790082643</v>
          </cell>
        </row>
        <row r="58">
          <cell r="P58">
            <v>2.0462362768496409</v>
          </cell>
          <cell r="Q58">
            <v>2.3529585798816566</v>
          </cell>
        </row>
        <row r="59">
          <cell r="P59">
            <v>2.6727279236276837</v>
          </cell>
          <cell r="Q59">
            <v>3.0452662721893491</v>
          </cell>
        </row>
        <row r="97">
          <cell r="I97">
            <v>1252.6659999999999</v>
          </cell>
        </row>
        <row r="113">
          <cell r="F113" t="str">
            <v>Baa2 / BBB+</v>
          </cell>
        </row>
        <row r="114">
          <cell r="F114">
            <v>37040</v>
          </cell>
        </row>
        <row r="123">
          <cell r="J123">
            <v>153.084</v>
          </cell>
        </row>
        <row r="132">
          <cell r="J132">
            <v>0.11417653023846532</v>
          </cell>
        </row>
        <row r="263">
          <cell r="Q263" t="str">
            <v>NA</v>
          </cell>
        </row>
        <row r="282">
          <cell r="Q282">
            <v>0</v>
          </cell>
        </row>
        <row r="285">
          <cell r="Q285">
            <v>585.39399999999989</v>
          </cell>
        </row>
        <row r="286">
          <cell r="K286" t="str">
            <v>NA</v>
          </cell>
        </row>
        <row r="305">
          <cell r="D305" t="str">
            <v>BJ Services Company</v>
          </cell>
          <cell r="E305" t="str">
            <v>BJS</v>
          </cell>
          <cell r="S305">
            <v>0</v>
          </cell>
          <cell r="T305" t="str">
            <v>NA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CAM"/>
    </sheetNames>
    <sheetDataSet>
      <sheetData sheetId="0" refreshError="1"/>
      <sheetData sheetId="1" refreshError="1">
        <row r="9">
          <cell r="D9">
            <v>37106</v>
          </cell>
        </row>
        <row r="11">
          <cell r="U11" t="str">
            <v>Buy</v>
          </cell>
        </row>
        <row r="12">
          <cell r="U12">
            <v>37106</v>
          </cell>
        </row>
        <row r="16">
          <cell r="V16" t="str">
            <v>CSFB / G. Hall</v>
          </cell>
        </row>
        <row r="28">
          <cell r="O28">
            <v>217.63099999999997</v>
          </cell>
          <cell r="P28">
            <v>264.20000000000016</v>
          </cell>
          <cell r="Q28">
            <v>348</v>
          </cell>
        </row>
        <row r="46">
          <cell r="O46">
            <v>81.66934999999998</v>
          </cell>
        </row>
        <row r="52">
          <cell r="O52">
            <v>160.72934999999995</v>
          </cell>
        </row>
        <row r="56">
          <cell r="S56">
            <v>54.254415716535433</v>
          </cell>
        </row>
        <row r="58">
          <cell r="P58">
            <v>2.1240715502555387</v>
          </cell>
          <cell r="Q58">
            <v>3.0631475409836071</v>
          </cell>
        </row>
        <row r="59">
          <cell r="P59">
            <v>3.4409369676320289</v>
          </cell>
          <cell r="Q59">
            <v>4.4106885245901646</v>
          </cell>
        </row>
        <row r="97">
          <cell r="I97">
            <v>842.4</v>
          </cell>
        </row>
        <row r="113">
          <cell r="F113" t="str">
            <v>Baa1/A-</v>
          </cell>
        </row>
        <row r="114">
          <cell r="F114">
            <v>37040</v>
          </cell>
        </row>
        <row r="123">
          <cell r="J123">
            <v>221.10000000000002</v>
          </cell>
        </row>
        <row r="132">
          <cell r="J132">
            <v>0.35571701720841303</v>
          </cell>
        </row>
        <row r="263">
          <cell r="Q263" t="str">
            <v>NA</v>
          </cell>
        </row>
        <row r="282">
          <cell r="Q282">
            <v>0</v>
          </cell>
        </row>
        <row r="285">
          <cell r="Q285">
            <v>403.22</v>
          </cell>
        </row>
        <row r="286">
          <cell r="K286" t="str">
            <v>NA</v>
          </cell>
        </row>
        <row r="305">
          <cell r="D305" t="str">
            <v>Cooper Cameron Corporation</v>
          </cell>
          <cell r="E305" t="str">
            <v>CAM</v>
          </cell>
          <cell r="S305">
            <v>0</v>
          </cell>
          <cell r="T305" t="str">
            <v>NA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CLB"/>
    </sheetNames>
    <sheetDataSet>
      <sheetData sheetId="0" refreshError="1"/>
      <sheetData sheetId="1" refreshError="1">
        <row r="9">
          <cell r="D9">
            <v>37106</v>
          </cell>
        </row>
        <row r="11">
          <cell r="U11" t="str">
            <v>Buy</v>
          </cell>
        </row>
        <row r="12">
          <cell r="U12">
            <v>37106</v>
          </cell>
        </row>
        <row r="16">
          <cell r="V16" t="str">
            <v>CSFB / G. Hall</v>
          </cell>
        </row>
        <row r="28">
          <cell r="O28">
            <v>59.802000000000071</v>
          </cell>
          <cell r="P28">
            <v>78.400000000000006</v>
          </cell>
          <cell r="Q28">
            <v>99.300000000000026</v>
          </cell>
        </row>
        <row r="46">
          <cell r="O46">
            <v>21.971902040380151</v>
          </cell>
        </row>
        <row r="52">
          <cell r="O52">
            <v>41.804902040380149</v>
          </cell>
        </row>
        <row r="56">
          <cell r="S56">
            <v>33.25392748780488</v>
          </cell>
        </row>
        <row r="58">
          <cell r="P58">
            <v>1.0537313432835824</v>
          </cell>
          <cell r="Q58">
            <v>1.4985250737463136</v>
          </cell>
        </row>
        <row r="59">
          <cell r="P59">
            <v>1.7134328358208959</v>
          </cell>
          <cell r="Q59">
            <v>2.1858407079646027</v>
          </cell>
        </row>
        <row r="97">
          <cell r="I97">
            <v>259.01</v>
          </cell>
        </row>
        <row r="113">
          <cell r="F113" t="str">
            <v>NR/NR</v>
          </cell>
        </row>
        <row r="114">
          <cell r="F114">
            <v>37035</v>
          </cell>
        </row>
        <row r="123">
          <cell r="J123">
            <v>68.263000000000005</v>
          </cell>
        </row>
        <row r="132">
          <cell r="J132">
            <v>0.23410491110719941</v>
          </cell>
        </row>
        <row r="263">
          <cell r="Q263" t="str">
            <v>NA</v>
          </cell>
        </row>
        <row r="282">
          <cell r="Q282">
            <v>0</v>
          </cell>
        </row>
        <row r="285">
          <cell r="Q285">
            <v>0</v>
          </cell>
        </row>
        <row r="286">
          <cell r="K286" t="str">
            <v>NA</v>
          </cell>
        </row>
        <row r="305">
          <cell r="D305" t="str">
            <v>Core Laboratories N.V.</v>
          </cell>
          <cell r="E305" t="str">
            <v xml:space="preserve">CLB </v>
          </cell>
          <cell r="S305">
            <v>0</v>
          </cell>
          <cell r="T305" t="str">
            <v>NA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EFX"/>
    </sheetNames>
    <sheetDataSet>
      <sheetData sheetId="0" refreshError="1"/>
      <sheetData sheetId="1" refreshError="1">
        <row r="9">
          <cell r="D9">
            <v>37099</v>
          </cell>
        </row>
        <row r="11">
          <cell r="U11" t="str">
            <v>Buy</v>
          </cell>
        </row>
        <row r="12">
          <cell r="U12">
            <v>37011</v>
          </cell>
        </row>
        <row r="16">
          <cell r="V16" t="str">
            <v>CIBC World Markets</v>
          </cell>
        </row>
        <row r="28">
          <cell r="P28">
            <v>47.400000000000055</v>
          </cell>
          <cell r="Q28">
            <v>66.300000000000011</v>
          </cell>
        </row>
        <row r="46">
          <cell r="O46">
            <v>6.848597651901092</v>
          </cell>
        </row>
        <row r="52">
          <cell r="O52">
            <v>11.925719225901091</v>
          </cell>
        </row>
        <row r="56">
          <cell r="S56">
            <v>15.215829999999999</v>
          </cell>
        </row>
        <row r="58">
          <cell r="P58">
            <v>1.4600000000000042</v>
          </cell>
          <cell r="Q58">
            <v>2.3866666666666676</v>
          </cell>
        </row>
        <row r="59">
          <cell r="P59">
            <v>1.9800000000000042</v>
          </cell>
          <cell r="Q59">
            <v>2.9200000000000008</v>
          </cell>
        </row>
        <row r="97">
          <cell r="I97">
            <v>68.028855108199991</v>
          </cell>
        </row>
        <row r="113">
          <cell r="F113" t="str">
            <v>NR/NR</v>
          </cell>
        </row>
        <row r="114">
          <cell r="F114">
            <v>37035</v>
          </cell>
        </row>
        <row r="123">
          <cell r="J123">
            <v>19.733471239999997</v>
          </cell>
        </row>
        <row r="132">
          <cell r="J132">
            <v>0.2248512780040354</v>
          </cell>
        </row>
        <row r="263">
          <cell r="Q263" t="str">
            <v>NA</v>
          </cell>
        </row>
        <row r="282">
          <cell r="Q282">
            <v>0</v>
          </cell>
        </row>
        <row r="285">
          <cell r="Q285">
            <v>0</v>
          </cell>
        </row>
        <row r="286">
          <cell r="K286" t="str">
            <v>NA</v>
          </cell>
        </row>
        <row r="305">
          <cell r="D305" t="str">
            <v>Enerflex Systems Ltd.</v>
          </cell>
          <cell r="E305" t="str">
            <v>*EFX</v>
          </cell>
          <cell r="S305">
            <v>0</v>
          </cell>
          <cell r="T305" t="str">
            <v>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output"/>
      <sheetName val="summary "/>
      <sheetName val="MAIN OUTPUT"/>
      <sheetName val="Word Setup Summary (2)"/>
      <sheetName val="WACC-ALL"/>
      <sheetName val="WACC-Super&amp;Intnl"/>
      <sheetName val="WACC-Intnl"/>
      <sheetName val="WACC-Super&amp;Intgrd"/>
      <sheetName val="WACC (2)"/>
      <sheetName val="Sheet1"/>
    </sheetNames>
    <sheetDataSet>
      <sheetData sheetId="0" refreshError="1"/>
      <sheetData sheetId="1" refreshError="1">
        <row r="16">
          <cell r="AK16">
            <v>37621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GRP"/>
      <sheetName val="Thunder Options"/>
    </sheetNames>
    <sheetDataSet>
      <sheetData sheetId="0" refreshError="1"/>
      <sheetData sheetId="1" refreshError="1">
        <row r="9">
          <cell r="D9">
            <v>37106</v>
          </cell>
        </row>
        <row r="11">
          <cell r="U11" t="str">
            <v>Buy</v>
          </cell>
        </row>
        <row r="12">
          <cell r="U12">
            <v>37106</v>
          </cell>
        </row>
        <row r="16">
          <cell r="V16" t="str">
            <v>CSFB / G. Hall</v>
          </cell>
        </row>
        <row r="28">
          <cell r="O28">
            <v>88.590000000000117</v>
          </cell>
          <cell r="P28">
            <v>153.50000000000003</v>
          </cell>
          <cell r="Q28">
            <v>273.10000000000002</v>
          </cell>
        </row>
        <row r="46">
          <cell r="O46">
            <v>26.238073497960929</v>
          </cell>
        </row>
        <row r="52">
          <cell r="O52">
            <v>52.441073497960929</v>
          </cell>
        </row>
        <row r="56">
          <cell r="S56">
            <v>109.69575078856283</v>
          </cell>
        </row>
        <row r="58">
          <cell r="P58">
            <v>0.52123893805309762</v>
          </cell>
          <cell r="Q58">
            <v>1.2308251121076235</v>
          </cell>
        </row>
        <row r="59">
          <cell r="P59">
            <v>0.83982300884955785</v>
          </cell>
          <cell r="Q59">
            <v>1.5554887892376683</v>
          </cell>
        </row>
        <row r="97">
          <cell r="I97">
            <v>408.55200000000002</v>
          </cell>
        </row>
        <row r="113">
          <cell r="F113" t="str">
            <v>BB-/Ba3</v>
          </cell>
        </row>
        <row r="114">
          <cell r="F114">
            <v>37035</v>
          </cell>
        </row>
        <row r="123">
          <cell r="J123">
            <v>264.34300000000002</v>
          </cell>
        </row>
        <row r="132">
          <cell r="J132">
            <v>0.39869420030767827</v>
          </cell>
        </row>
        <row r="263">
          <cell r="Q263" t="str">
            <v>NA</v>
          </cell>
        </row>
        <row r="282">
          <cell r="Q282">
            <v>0</v>
          </cell>
        </row>
        <row r="285">
          <cell r="Q285">
            <v>0</v>
          </cell>
        </row>
        <row r="286">
          <cell r="K286" t="str">
            <v>NA</v>
          </cell>
        </row>
        <row r="305">
          <cell r="D305" t="str">
            <v>Grant Prideco, Inc.</v>
          </cell>
          <cell r="E305" t="str">
            <v>GRP</v>
          </cell>
          <cell r="S305">
            <v>0</v>
          </cell>
          <cell r="T305" t="str">
            <v>NA</v>
          </cell>
        </row>
      </sheetData>
      <sheetData sheetId="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HAL"/>
    </sheetNames>
    <sheetDataSet>
      <sheetData sheetId="0" refreshError="1"/>
      <sheetData sheetId="1" refreshError="1">
        <row r="9">
          <cell r="D9">
            <v>37106</v>
          </cell>
        </row>
        <row r="11">
          <cell r="U11" t="str">
            <v>Buy</v>
          </cell>
        </row>
        <row r="12">
          <cell r="U12">
            <v>37106</v>
          </cell>
        </row>
        <row r="16">
          <cell r="V16" t="str">
            <v>CSFB / G. Hall</v>
          </cell>
        </row>
        <row r="28">
          <cell r="O28">
            <v>1006</v>
          </cell>
          <cell r="P28">
            <v>1756.9999999999993</v>
          </cell>
          <cell r="Q28">
            <v>2267</v>
          </cell>
        </row>
        <row r="46">
          <cell r="O46">
            <v>189.8</v>
          </cell>
        </row>
        <row r="52">
          <cell r="O52">
            <v>484.79999999999995</v>
          </cell>
        </row>
        <row r="56">
          <cell r="S56">
            <v>432.84704911104211</v>
          </cell>
        </row>
        <row r="58">
          <cell r="P58">
            <v>1.4508422273781887</v>
          </cell>
          <cell r="Q58">
            <v>1.9887868480725623</v>
          </cell>
        </row>
        <row r="59">
          <cell r="P59">
            <v>2.7524663573085828</v>
          </cell>
          <cell r="Q59">
            <v>3.4559070294784577</v>
          </cell>
        </row>
        <row r="97">
          <cell r="I97">
            <v>4006</v>
          </cell>
        </row>
        <row r="113">
          <cell r="F113" t="str">
            <v>A1 / A+</v>
          </cell>
        </row>
        <row r="114">
          <cell r="F114">
            <v>37040</v>
          </cell>
        </row>
        <row r="123">
          <cell r="J123">
            <v>1352</v>
          </cell>
        </row>
        <row r="132">
          <cell r="J132">
            <v>0.31805929919137466</v>
          </cell>
        </row>
        <row r="263">
          <cell r="Q263" t="str">
            <v>NA</v>
          </cell>
        </row>
        <row r="282">
          <cell r="Q282">
            <v>0</v>
          </cell>
        </row>
        <row r="285">
          <cell r="Q285">
            <v>2410</v>
          </cell>
        </row>
        <row r="286">
          <cell r="K286" t="str">
            <v>NA</v>
          </cell>
        </row>
        <row r="305">
          <cell r="D305" t="str">
            <v>Halliburton Company</v>
          </cell>
          <cell r="E305" t="str">
            <v>HAL</v>
          </cell>
          <cell r="S305">
            <v>0</v>
          </cell>
          <cell r="T305" t="str">
            <v>NA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HC"/>
    </sheetNames>
    <sheetDataSet>
      <sheetData sheetId="0" refreshError="1"/>
      <sheetData sheetId="1" refreshError="1">
        <row r="9">
          <cell r="D9">
            <v>37106</v>
          </cell>
        </row>
        <row r="11">
          <cell r="U11" t="str">
            <v>Buy</v>
          </cell>
        </row>
        <row r="12">
          <cell r="U12">
            <v>37106</v>
          </cell>
        </row>
        <row r="16">
          <cell r="V16" t="str">
            <v>CSFB / G. Hall</v>
          </cell>
        </row>
        <row r="28">
          <cell r="O28">
            <v>230.32999999999987</v>
          </cell>
          <cell r="P28">
            <v>312.50000000000006</v>
          </cell>
          <cell r="Q28">
            <v>395.5</v>
          </cell>
        </row>
        <row r="46">
          <cell r="O46">
            <v>64.58417999999989</v>
          </cell>
        </row>
        <row r="52">
          <cell r="O52">
            <v>160.1691799999999</v>
          </cell>
        </row>
        <row r="56">
          <cell r="S56">
            <v>83.976403970230479</v>
          </cell>
        </row>
        <row r="58">
          <cell r="P58">
            <v>1.3524350698856418</v>
          </cell>
          <cell r="Q58">
            <v>1.7825733499377334</v>
          </cell>
        </row>
        <row r="59">
          <cell r="P59">
            <v>2.3562470139771285</v>
          </cell>
          <cell r="Q59">
            <v>2.9905434620174347</v>
          </cell>
        </row>
        <row r="97">
          <cell r="I97">
            <v>781.37800000000004</v>
          </cell>
        </row>
        <row r="113">
          <cell r="F113" t="str">
            <v>Ba2 / BB+</v>
          </cell>
        </row>
        <row r="114">
          <cell r="F114">
            <v>37040</v>
          </cell>
        </row>
        <row r="123">
          <cell r="J123">
            <v>1378.3620000000001</v>
          </cell>
        </row>
        <row r="132">
          <cell r="J132">
            <v>0.61595378137869727</v>
          </cell>
        </row>
        <row r="263">
          <cell r="Q263" t="str">
            <v>NA</v>
          </cell>
        </row>
        <row r="282">
          <cell r="Q282">
            <v>0</v>
          </cell>
        </row>
        <row r="285">
          <cell r="Q285">
            <v>497.46499999999997</v>
          </cell>
        </row>
        <row r="286">
          <cell r="K286" t="str">
            <v>NA</v>
          </cell>
        </row>
        <row r="305">
          <cell r="D305" t="str">
            <v>Hanover Compressor Company</v>
          </cell>
          <cell r="E305" t="str">
            <v>HC</v>
          </cell>
          <cell r="S305">
            <v>0</v>
          </cell>
          <cell r="T305" t="str">
            <v>NA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HYDL"/>
    </sheetNames>
    <sheetDataSet>
      <sheetData sheetId="0" refreshError="1"/>
      <sheetData sheetId="1" refreshError="1">
        <row r="9">
          <cell r="D9">
            <v>37106</v>
          </cell>
        </row>
        <row r="11">
          <cell r="U11" t="str">
            <v>Buy</v>
          </cell>
        </row>
        <row r="12">
          <cell r="U12">
            <v>37106</v>
          </cell>
        </row>
        <row r="16">
          <cell r="V16" t="str">
            <v>CSFB / G. Hall</v>
          </cell>
        </row>
        <row r="28">
          <cell r="O28">
            <v>25.875999999999962</v>
          </cell>
          <cell r="P28">
            <v>47.999999999999993</v>
          </cell>
          <cell r="Q28">
            <v>73.799999999999983</v>
          </cell>
        </row>
        <row r="46">
          <cell r="O46">
            <v>16.618999999999961</v>
          </cell>
        </row>
        <row r="52">
          <cell r="O52">
            <v>16.70299999999996</v>
          </cell>
        </row>
        <row r="56">
          <cell r="S56">
            <v>22.913007999999998</v>
          </cell>
        </row>
        <row r="58">
          <cell r="P58">
            <v>1.0486725663716814</v>
          </cell>
          <cell r="Q58">
            <v>1.6244541484716146</v>
          </cell>
        </row>
        <row r="59">
          <cell r="P59">
            <v>1.4778761061946901</v>
          </cell>
          <cell r="Q59">
            <v>2.2008733624454142</v>
          </cell>
        </row>
        <row r="97">
          <cell r="I97">
            <v>138.22</v>
          </cell>
        </row>
        <row r="113">
          <cell r="F113" t="str">
            <v>NR/NR</v>
          </cell>
        </row>
        <row r="114">
          <cell r="F114">
            <v>37035</v>
          </cell>
        </row>
        <row r="123">
          <cell r="J123">
            <v>-4.1879999999999953</v>
          </cell>
        </row>
        <row r="132">
          <cell r="J132">
            <v>0.30581434476246916</v>
          </cell>
        </row>
        <row r="263">
          <cell r="Q263" t="str">
            <v>NA</v>
          </cell>
        </row>
        <row r="282">
          <cell r="Q282">
            <v>0</v>
          </cell>
        </row>
        <row r="285">
          <cell r="Q285">
            <v>0</v>
          </cell>
        </row>
        <row r="286">
          <cell r="K286" t="str">
            <v>NA</v>
          </cell>
        </row>
        <row r="305">
          <cell r="D305" t="str">
            <v>Hydril Company</v>
          </cell>
          <cell r="E305" t="str">
            <v>HYDL</v>
          </cell>
          <cell r="S305">
            <v>0</v>
          </cell>
          <cell r="T305" t="str">
            <v>NA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IO"/>
    </sheetNames>
    <sheetDataSet>
      <sheetData sheetId="0" refreshError="1"/>
      <sheetData sheetId="1" refreshError="1">
        <row r="9">
          <cell r="D9">
            <v>37099</v>
          </cell>
        </row>
        <row r="11">
          <cell r="U11" t="str">
            <v>Buy</v>
          </cell>
        </row>
        <row r="12">
          <cell r="U12">
            <v>37013</v>
          </cell>
        </row>
        <row r="16">
          <cell r="V16" t="str">
            <v>SSB</v>
          </cell>
        </row>
        <row r="28">
          <cell r="O28">
            <v>-10.525333333333293</v>
          </cell>
          <cell r="P28">
            <v>31.799999999999997</v>
          </cell>
          <cell r="Q28">
            <v>58.599999999999994</v>
          </cell>
        </row>
        <row r="46">
          <cell r="O46">
            <v>-34.066038908318731</v>
          </cell>
        </row>
        <row r="52">
          <cell r="O52">
            <v>-14.110372241652055</v>
          </cell>
        </row>
        <row r="56">
          <cell r="S56">
            <v>51.500647848341117</v>
          </cell>
        </row>
        <row r="58">
          <cell r="P58">
            <v>4.3222003929273001E-2</v>
          </cell>
          <cell r="Q58">
            <v>0.34381139489194479</v>
          </cell>
        </row>
        <row r="59">
          <cell r="P59">
            <v>0.5461689587426326</v>
          </cell>
          <cell r="Q59">
            <v>0.90569744597249502</v>
          </cell>
        </row>
        <row r="97">
          <cell r="I97">
            <v>324.95499999999998</v>
          </cell>
        </row>
        <row r="113">
          <cell r="F113" t="str">
            <v>NR/NR</v>
          </cell>
        </row>
        <row r="114">
          <cell r="F114">
            <v>37035</v>
          </cell>
        </row>
        <row r="123">
          <cell r="J123">
            <v>-11.058999999999997</v>
          </cell>
        </row>
        <row r="132">
          <cell r="J132">
            <v>3.2716470157495084E-2</v>
          </cell>
        </row>
        <row r="263">
          <cell r="Q263" t="str">
            <v>NA</v>
          </cell>
        </row>
        <row r="282">
          <cell r="Q282">
            <v>0</v>
          </cell>
        </row>
        <row r="285">
          <cell r="Q285">
            <v>58.418999999999997</v>
          </cell>
        </row>
        <row r="286">
          <cell r="K286" t="str">
            <v>NA</v>
          </cell>
        </row>
        <row r="305">
          <cell r="D305" t="str">
            <v>Input/Output, Inc.</v>
          </cell>
          <cell r="E305" t="str">
            <v>IO</v>
          </cell>
          <cell r="S305">
            <v>0</v>
          </cell>
          <cell r="T305" t="str">
            <v>NA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NOI"/>
    </sheetNames>
    <sheetDataSet>
      <sheetData sheetId="0" refreshError="1"/>
      <sheetData sheetId="1" refreshError="1">
        <row r="9">
          <cell r="D9">
            <v>37106</v>
          </cell>
        </row>
        <row r="11">
          <cell r="U11" t="str">
            <v>Buy</v>
          </cell>
        </row>
        <row r="12">
          <cell r="U12">
            <v>37098</v>
          </cell>
        </row>
        <row r="16">
          <cell r="V16" t="str">
            <v>MSDW / Slorer</v>
          </cell>
        </row>
        <row r="28">
          <cell r="O28">
            <v>135.35300000000032</v>
          </cell>
          <cell r="P28">
            <v>229.27000992896018</v>
          </cell>
          <cell r="Q28">
            <v>314.96268757136795</v>
          </cell>
        </row>
        <row r="46">
          <cell r="O46">
            <v>47.200300000000333</v>
          </cell>
        </row>
        <row r="52">
          <cell r="O52">
            <v>78.29430000000032</v>
          </cell>
        </row>
        <row r="56">
          <cell r="S56">
            <v>81.12842795512465</v>
          </cell>
        </row>
        <row r="58">
          <cell r="P58">
            <v>1.34</v>
          </cell>
          <cell r="Q58">
            <v>1.7816669999999999</v>
          </cell>
        </row>
        <row r="59">
          <cell r="P59">
            <v>1.8900000000000001</v>
          </cell>
          <cell r="Q59">
            <v>2.7749999999999999</v>
          </cell>
        </row>
        <row r="97">
          <cell r="I97">
            <v>782.77</v>
          </cell>
        </row>
        <row r="113">
          <cell r="F113" t="str">
            <v>Baa2 /BBB+</v>
          </cell>
        </row>
        <row r="114">
          <cell r="F114">
            <v>37040</v>
          </cell>
        </row>
        <row r="123">
          <cell r="J123">
            <v>236.88</v>
          </cell>
        </row>
        <row r="132">
          <cell r="J132">
            <v>0.27776619321694235</v>
          </cell>
        </row>
        <row r="263">
          <cell r="Q263" t="str">
            <v>NA</v>
          </cell>
        </row>
        <row r="282">
          <cell r="Q282">
            <v>0</v>
          </cell>
        </row>
        <row r="285">
          <cell r="Q285">
            <v>0</v>
          </cell>
        </row>
        <row r="286">
          <cell r="K286" t="str">
            <v>NA</v>
          </cell>
        </row>
        <row r="305">
          <cell r="D305" t="str">
            <v>National-Oilwell, Inc.</v>
          </cell>
          <cell r="E305" t="str">
            <v>NOI</v>
          </cell>
          <cell r="S305">
            <v>0</v>
          </cell>
          <cell r="T305" t="str">
            <v>NA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SLB"/>
    </sheetNames>
    <sheetDataSet>
      <sheetData sheetId="0" refreshError="1"/>
      <sheetData sheetId="1" refreshError="1">
        <row r="9">
          <cell r="D9">
            <v>37106</v>
          </cell>
        </row>
        <row r="11">
          <cell r="U11" t="str">
            <v>Hold</v>
          </cell>
        </row>
        <row r="12">
          <cell r="U12">
            <v>37106</v>
          </cell>
        </row>
        <row r="16">
          <cell r="V16" t="str">
            <v>CSFB / G. Hall</v>
          </cell>
        </row>
        <row r="28">
          <cell r="O28">
            <v>2112.1360592692336</v>
          </cell>
          <cell r="P28">
            <v>2955.9999999999991</v>
          </cell>
          <cell r="Q28">
            <v>3758.5</v>
          </cell>
        </row>
        <row r="46">
          <cell r="O46">
            <v>404.91100000000182</v>
          </cell>
        </row>
        <row r="52">
          <cell r="O52">
            <v>1781.2935949615414</v>
          </cell>
        </row>
        <row r="56">
          <cell r="S56">
            <v>577.76916066949252</v>
          </cell>
        </row>
        <row r="58">
          <cell r="P58">
            <v>1.5763957975986262</v>
          </cell>
          <cell r="Q58">
            <v>2.1446613712374583</v>
          </cell>
        </row>
        <row r="59">
          <cell r="P59">
            <v>4.0885317324185237</v>
          </cell>
          <cell r="Q59">
            <v>4.9284197324414718</v>
          </cell>
        </row>
        <row r="97">
          <cell r="I97">
            <v>8399.2649999999994</v>
          </cell>
        </row>
        <row r="113">
          <cell r="F113" t="str">
            <v>NR/NR</v>
          </cell>
        </row>
        <row r="114">
          <cell r="F114">
            <v>37064</v>
          </cell>
        </row>
        <row r="123">
          <cell r="J123">
            <v>7069.366</v>
          </cell>
        </row>
        <row r="132">
          <cell r="J132">
            <v>0.4267814017623261</v>
          </cell>
        </row>
        <row r="263">
          <cell r="Q263" t="str">
            <v>NA</v>
          </cell>
        </row>
        <row r="282">
          <cell r="Q282">
            <v>0</v>
          </cell>
        </row>
        <row r="285">
          <cell r="Q285">
            <v>4394.5140000000001</v>
          </cell>
        </row>
        <row r="286">
          <cell r="K286" t="str">
            <v>NA</v>
          </cell>
        </row>
        <row r="305">
          <cell r="D305" t="str">
            <v>Schlumberger Limited</v>
          </cell>
          <cell r="E305" t="str">
            <v>SLB</v>
          </cell>
          <cell r="S305">
            <v>0</v>
          </cell>
          <cell r="T305" t="str">
            <v>NA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output"/>
    </sheetNames>
    <sheetDataSet>
      <sheetData sheetId="0" refreshError="1"/>
      <sheetData sheetId="1" refreshError="1">
        <row r="13">
          <cell r="AI13">
            <v>50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SII"/>
    </sheetNames>
    <sheetDataSet>
      <sheetData sheetId="0" refreshError="1"/>
      <sheetData sheetId="1" refreshError="1">
        <row r="9">
          <cell r="D9">
            <v>37106</v>
          </cell>
        </row>
        <row r="11">
          <cell r="U11" t="str">
            <v>Buy</v>
          </cell>
        </row>
        <row r="12">
          <cell r="U12">
            <v>37106</v>
          </cell>
        </row>
        <row r="16">
          <cell r="V16" t="str">
            <v>CSFB / G. Hall</v>
          </cell>
        </row>
        <row r="28">
          <cell r="O28">
            <v>326.97500000000014</v>
          </cell>
          <cell r="P28">
            <v>455.09999999999968</v>
          </cell>
          <cell r="Q28">
            <v>567.99999999999977</v>
          </cell>
        </row>
        <row r="46">
          <cell r="O46">
            <v>92.487419920673261</v>
          </cell>
        </row>
        <row r="52">
          <cell r="O52">
            <v>227.80441992067327</v>
          </cell>
        </row>
        <row r="56">
          <cell r="S56">
            <v>50.853922542479907</v>
          </cell>
        </row>
        <row r="58">
          <cell r="P58">
            <v>3.0993913043478205</v>
          </cell>
          <cell r="Q58">
            <v>4.0487657480314923</v>
          </cell>
        </row>
        <row r="59">
          <cell r="P59">
            <v>4.5756758893280578</v>
          </cell>
          <cell r="Q59">
            <v>5.6176633858267682</v>
          </cell>
        </row>
        <row r="113">
          <cell r="F113" t="str">
            <v>Baa1 / BBB+</v>
          </cell>
        </row>
        <row r="114">
          <cell r="F114">
            <v>37040</v>
          </cell>
        </row>
        <row r="123">
          <cell r="J123">
            <v>970.33199999999999</v>
          </cell>
        </row>
        <row r="132">
          <cell r="J132">
            <v>0.32253366622294571</v>
          </cell>
        </row>
        <row r="263">
          <cell r="Q263" t="str">
            <v>NA</v>
          </cell>
        </row>
        <row r="282">
          <cell r="Q282">
            <v>0</v>
          </cell>
        </row>
        <row r="285">
          <cell r="Q285">
            <v>0</v>
          </cell>
        </row>
        <row r="286">
          <cell r="K286" t="str">
            <v>NA</v>
          </cell>
        </row>
        <row r="305">
          <cell r="D305" t="str">
            <v>Smith International, Inc.</v>
          </cell>
          <cell r="E305" t="str">
            <v>SII</v>
          </cell>
          <cell r="S305">
            <v>0</v>
          </cell>
          <cell r="T305" t="str">
            <v>NA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SESI"/>
    </sheetNames>
    <sheetDataSet>
      <sheetData sheetId="0" refreshError="1"/>
      <sheetData sheetId="1" refreshError="1">
        <row r="9">
          <cell r="D9">
            <v>37106</v>
          </cell>
        </row>
        <row r="11">
          <cell r="U11" t="str">
            <v>Buy</v>
          </cell>
        </row>
        <row r="12">
          <cell r="U12">
            <v>37106</v>
          </cell>
        </row>
        <row r="16">
          <cell r="V16" t="str">
            <v>CSFB / G. Hall</v>
          </cell>
        </row>
        <row r="28">
          <cell r="O28">
            <v>83.733000000000061</v>
          </cell>
          <cell r="P28">
            <v>137.5</v>
          </cell>
          <cell r="Q28">
            <v>181.49999999999997</v>
          </cell>
        </row>
        <row r="46">
          <cell r="O46">
            <v>23.097450000000066</v>
          </cell>
        </row>
        <row r="52">
          <cell r="O52">
            <v>56.109450000000066</v>
          </cell>
        </row>
        <row r="56">
          <cell r="S56">
            <v>68.891814046272486</v>
          </cell>
        </row>
        <row r="58">
          <cell r="P58">
            <v>0.74285714285714288</v>
          </cell>
          <cell r="Q58">
            <v>0.99999999999999956</v>
          </cell>
        </row>
        <row r="59">
          <cell r="P59">
            <v>1.1785714285714286</v>
          </cell>
          <cell r="Q59">
            <v>1.5422535211267601</v>
          </cell>
        </row>
        <row r="97">
          <cell r="I97">
            <v>221.14500000000001</v>
          </cell>
        </row>
        <row r="113">
          <cell r="F113" t="str">
            <v>BB-/Ba1</v>
          </cell>
        </row>
        <row r="114">
          <cell r="F114">
            <v>37035</v>
          </cell>
        </row>
        <row r="123">
          <cell r="J123">
            <v>248.83599999999998</v>
          </cell>
        </row>
        <row r="132">
          <cell r="J132">
            <v>0.53096665683968525</v>
          </cell>
        </row>
        <row r="263">
          <cell r="Q263" t="str">
            <v>NA</v>
          </cell>
        </row>
        <row r="282">
          <cell r="Q282">
            <v>0</v>
          </cell>
        </row>
        <row r="285">
          <cell r="Q285">
            <v>134.72300000000001</v>
          </cell>
        </row>
        <row r="286">
          <cell r="K286" t="str">
            <v>NA</v>
          </cell>
        </row>
        <row r="305">
          <cell r="D305" t="str">
            <v>Superior Energy Services, Inc.</v>
          </cell>
          <cell r="E305" t="str">
            <v>SESI</v>
          </cell>
          <cell r="S305">
            <v>0</v>
          </cell>
          <cell r="T305" t="str">
            <v>NA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Income statement in Euro"/>
      <sheetName val="Cash Flow"/>
      <sheetName val="Balance Sheet"/>
      <sheetName val="Latin American Summary"/>
      <sheetName val="Summary stats"/>
      <sheetName val="Capex"/>
      <sheetName val="Depreciation"/>
      <sheetName val="Minorities &amp; Associates"/>
      <sheetName val="Divisional returns"/>
      <sheetName val="EVGIC"/>
      <sheetName val="Exceptional items"/>
      <sheetName val="Financial expenses"/>
      <sheetName val="E&amp;P"/>
      <sheetName val="O&amp;G Production"/>
      <sheetName val="S. America E&amp;P"/>
      <sheetName val="Gas"/>
      <sheetName val="R&amp;M"/>
      <sheetName val="Downstream stats"/>
      <sheetName val="Chemicals breakdown"/>
      <sheetName val="Reinvestment rate v returns ch"/>
      <sheetName val="Chart data"/>
      <sheetName val="Actual results"/>
      <sheetName val="Hardwired for Export"/>
      <sheetName val="New Markets"/>
      <sheetName val="Export sheet"/>
      <sheetName val="WACC, EVA valuation"/>
      <sheetName val="New Databox"/>
      <sheetName val="Lookup"/>
      <sheetName val="xx_Formula"/>
      <sheetName val="qc_Formula"/>
      <sheetName val="yc_Formula"/>
      <sheetName val="yd_Data"/>
      <sheetName val="qi_Data"/>
      <sheetName val="yi_Data"/>
      <sheetName val="qd_Data"/>
      <sheetName val="cd_Data"/>
      <sheetName val="cc_Data"/>
      <sheetName val="Error Codes"/>
      <sheetName val="Scratchpad"/>
      <sheetName val="Sheet_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>
        <row r="43">
          <cell r="C43">
            <v>68128.893034249995</v>
          </cell>
          <cell r="D43">
            <v>85285.774999999994</v>
          </cell>
          <cell r="E43">
            <v>69618.55</v>
          </cell>
          <cell r="F43">
            <v>107944.9485</v>
          </cell>
          <cell r="G43">
            <v>98709.445000000007</v>
          </cell>
          <cell r="H43">
            <v>109614.568</v>
          </cell>
          <cell r="I43">
            <v>124125.14065449999</v>
          </cell>
          <cell r="J43">
            <v>166771.57500000001</v>
          </cell>
          <cell r="K43">
            <v>195593.424</v>
          </cell>
          <cell r="L43">
            <v>323594.1281586517</v>
          </cell>
          <cell r="M43">
            <v>436441.85923492606</v>
          </cell>
          <cell r="N43">
            <v>451774.68772544333</v>
          </cell>
          <cell r="O43">
            <v>463215.68210512312</v>
          </cell>
          <cell r="P43">
            <v>478810.95992157632</v>
          </cell>
          <cell r="Q43">
            <v>495475.99316541868</v>
          </cell>
          <cell r="R43">
            <v>519924.6946309359</v>
          </cell>
        </row>
        <row r="61">
          <cell r="C61">
            <v>6800</v>
          </cell>
          <cell r="D61">
            <v>11731</v>
          </cell>
          <cell r="E61">
            <v>8100</v>
          </cell>
          <cell r="F61">
            <v>7689</v>
          </cell>
          <cell r="G61">
            <v>7587</v>
          </cell>
          <cell r="H61">
            <v>7637</v>
          </cell>
          <cell r="I61">
            <v>8030</v>
          </cell>
          <cell r="J61">
            <v>11160</v>
          </cell>
          <cell r="K61">
            <v>13690</v>
          </cell>
          <cell r="L61">
            <v>16000</v>
          </cell>
          <cell r="M61">
            <v>20000</v>
          </cell>
          <cell r="N61">
            <v>20000</v>
          </cell>
          <cell r="O61">
            <v>20000</v>
          </cell>
          <cell r="P61">
            <v>24000</v>
          </cell>
          <cell r="Q61">
            <v>24000</v>
          </cell>
          <cell r="R61">
            <v>24000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>
        <row r="3">
          <cell r="C3">
            <v>1990</v>
          </cell>
        </row>
      </sheetData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TEO"/>
    </sheetNames>
    <sheetDataSet>
      <sheetData sheetId="0" refreshError="1"/>
      <sheetData sheetId="1" refreshError="1">
        <row r="9">
          <cell r="D9">
            <v>37099</v>
          </cell>
        </row>
        <row r="11">
          <cell r="U11" t="str">
            <v>Buy</v>
          </cell>
        </row>
        <row r="12">
          <cell r="U12">
            <v>37025</v>
          </cell>
        </row>
        <row r="16">
          <cell r="V16" t="str">
            <v>CIBC World Markets</v>
          </cell>
        </row>
        <row r="28">
          <cell r="O28">
            <v>24.542000000000019</v>
          </cell>
          <cell r="P28">
            <v>58.300000000000004</v>
          </cell>
          <cell r="Q28">
            <v>69.300000000000011</v>
          </cell>
        </row>
        <row r="46">
          <cell r="O46">
            <v>8.533000000000019</v>
          </cell>
        </row>
        <row r="52">
          <cell r="O52">
            <v>19.658000000000019</v>
          </cell>
        </row>
        <row r="56">
          <cell r="S56">
            <v>32.752143727786795</v>
          </cell>
        </row>
        <row r="58">
          <cell r="P58">
            <v>0.65976331360946761</v>
          </cell>
          <cell r="Q58">
            <v>0.91940298507462714</v>
          </cell>
        </row>
        <row r="59">
          <cell r="P59">
            <v>1.1065088757396453</v>
          </cell>
          <cell r="Q59">
            <v>1.4029850746268659</v>
          </cell>
        </row>
        <row r="97">
          <cell r="I97">
            <v>188.453</v>
          </cell>
        </row>
        <row r="113">
          <cell r="F113" t="str">
            <v>NR/NR</v>
          </cell>
        </row>
        <row r="114">
          <cell r="F114">
            <v>37035</v>
          </cell>
        </row>
        <row r="123">
          <cell r="J123">
            <v>12.898000000000003</v>
          </cell>
        </row>
        <row r="132">
          <cell r="J132">
            <v>0.26935528269626674</v>
          </cell>
        </row>
        <row r="263">
          <cell r="Q263" t="str">
            <v>NA</v>
          </cell>
        </row>
        <row r="282">
          <cell r="Q282">
            <v>0</v>
          </cell>
        </row>
        <row r="285">
          <cell r="Q285">
            <v>0</v>
          </cell>
        </row>
        <row r="286">
          <cell r="K286" t="str">
            <v>NA</v>
          </cell>
        </row>
        <row r="305">
          <cell r="D305" t="str">
            <v>Tesco Corporation</v>
          </cell>
          <cell r="E305" t="str">
            <v>*TEO</v>
          </cell>
          <cell r="S305">
            <v>0</v>
          </cell>
          <cell r="T305" t="str">
            <v>NA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UCO"/>
      <sheetName val="UCO-Lease"/>
    </sheetNames>
    <sheetDataSet>
      <sheetData sheetId="0" refreshError="1"/>
      <sheetData sheetId="1" refreshError="1">
        <row r="9">
          <cell r="D9">
            <v>37106</v>
          </cell>
        </row>
        <row r="11">
          <cell r="U11" t="str">
            <v>Buy</v>
          </cell>
        </row>
        <row r="12">
          <cell r="U12">
            <v>37106</v>
          </cell>
        </row>
        <row r="16">
          <cell r="V16" t="str">
            <v>Deutsche Bank</v>
          </cell>
        </row>
        <row r="28">
          <cell r="P28">
            <v>198.5</v>
          </cell>
          <cell r="Q28">
            <v>254.50000000000006</v>
          </cell>
        </row>
        <row r="56">
          <cell r="S56">
            <v>30.256493000000003</v>
          </cell>
        </row>
        <row r="58">
          <cell r="P58">
            <v>1.4523809523809523</v>
          </cell>
          <cell r="Q58">
            <v>2.1480263157894757</v>
          </cell>
        </row>
        <row r="59">
          <cell r="P59">
            <v>3.3945578231292517</v>
          </cell>
          <cell r="Q59">
            <v>4.3684210526315796</v>
          </cell>
        </row>
        <row r="97">
          <cell r="I97">
            <v>652.57399999999996</v>
          </cell>
        </row>
        <row r="113">
          <cell r="F113" t="str">
            <v>B+/B1</v>
          </cell>
        </row>
        <row r="114">
          <cell r="F114">
            <v>37035</v>
          </cell>
        </row>
        <row r="123">
          <cell r="J123">
            <v>593.72800902500001</v>
          </cell>
        </row>
        <row r="132">
          <cell r="J132">
            <v>0.48150020116262737</v>
          </cell>
        </row>
        <row r="263">
          <cell r="Q263" t="str">
            <v>NA</v>
          </cell>
        </row>
        <row r="282">
          <cell r="Q282">
            <v>0</v>
          </cell>
        </row>
        <row r="285">
          <cell r="Q285">
            <v>559.17399999999998</v>
          </cell>
        </row>
        <row r="286">
          <cell r="K286" t="str">
            <v>NA</v>
          </cell>
        </row>
        <row r="305">
          <cell r="D305" t="str">
            <v>Universal Compression, Inc.</v>
          </cell>
          <cell r="E305" t="str">
            <v>UCO</v>
          </cell>
          <cell r="S305">
            <v>0</v>
          </cell>
          <cell r="T305" t="str">
            <v>NA</v>
          </cell>
        </row>
      </sheetData>
      <sheetData sheetId="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VRC"/>
    </sheetNames>
    <sheetDataSet>
      <sheetData sheetId="0" refreshError="1"/>
      <sheetData sheetId="1" refreshError="1">
        <row r="9">
          <cell r="D9">
            <v>37106</v>
          </cell>
        </row>
        <row r="11">
          <cell r="U11" t="str">
            <v>Buy</v>
          </cell>
        </row>
        <row r="12">
          <cell r="U12">
            <v>37106</v>
          </cell>
        </row>
        <row r="16">
          <cell r="V16" t="str">
            <v>CSFB / G.Hall</v>
          </cell>
        </row>
        <row r="28">
          <cell r="P28">
            <v>245.7</v>
          </cell>
          <cell r="Q28">
            <v>332.5</v>
          </cell>
        </row>
        <row r="56">
          <cell r="S56">
            <v>96.872507463171047</v>
          </cell>
        </row>
        <row r="58">
          <cell r="P58">
            <v>1.0287179487179487</v>
          </cell>
          <cell r="Q58">
            <v>1.5627004048582998</v>
          </cell>
        </row>
        <row r="59">
          <cell r="P59">
            <v>1.6953846153846155</v>
          </cell>
          <cell r="Q59">
            <v>2.2509595141700407</v>
          </cell>
        </row>
        <row r="97">
          <cell r="I97">
            <v>760.23800000000006</v>
          </cell>
        </row>
        <row r="113">
          <cell r="F113" t="str">
            <v>BBB+/Baa2</v>
          </cell>
        </row>
        <row r="114">
          <cell r="F114">
            <v>37035</v>
          </cell>
        </row>
        <row r="123">
          <cell r="J123">
            <v>372.99699999999996</v>
          </cell>
        </row>
        <row r="132">
          <cell r="J132">
            <v>0.34777390282299747</v>
          </cell>
        </row>
        <row r="263">
          <cell r="Q263" t="str">
            <v>NA</v>
          </cell>
        </row>
        <row r="282">
          <cell r="Q282">
            <v>0</v>
          </cell>
        </row>
        <row r="285">
          <cell r="Q285">
            <v>0</v>
          </cell>
        </row>
        <row r="286">
          <cell r="K286" t="str">
            <v>NA</v>
          </cell>
        </row>
        <row r="305">
          <cell r="D305" t="str">
            <v>Varco International, Inc.</v>
          </cell>
          <cell r="E305" t="str">
            <v>VRC</v>
          </cell>
          <cell r="S305">
            <v>0</v>
          </cell>
          <cell r="T305" t="str">
            <v>NA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WHES"/>
    </sheetNames>
    <sheetDataSet>
      <sheetData sheetId="0" refreshError="1"/>
      <sheetData sheetId="1" refreshError="1">
        <row r="9">
          <cell r="D9">
            <v>37106</v>
          </cell>
        </row>
        <row r="11">
          <cell r="U11" t="str">
            <v>Buy</v>
          </cell>
        </row>
        <row r="12">
          <cell r="U12">
            <v>37106</v>
          </cell>
        </row>
        <row r="16">
          <cell r="V16" t="str">
            <v>CSFB / G. Hall</v>
          </cell>
        </row>
        <row r="28">
          <cell r="P28">
            <v>111.2</v>
          </cell>
          <cell r="Q28">
            <v>140.69999999999999</v>
          </cell>
        </row>
        <row r="56">
          <cell r="S56">
            <v>28.71848803141593</v>
          </cell>
        </row>
        <row r="58">
          <cell r="P58">
            <v>1.6472664233576644</v>
          </cell>
          <cell r="Q58">
            <v>2.0446689895470378</v>
          </cell>
        </row>
        <row r="59">
          <cell r="P59">
            <v>2.6399671532846716</v>
          </cell>
          <cell r="Q59">
            <v>3.2293379790940762</v>
          </cell>
        </row>
        <row r="97">
          <cell r="I97">
            <v>154.96700000000001</v>
          </cell>
        </row>
        <row r="113">
          <cell r="F113" t="str">
            <v>NR/NR</v>
          </cell>
        </row>
        <row r="114">
          <cell r="F114">
            <v>37035</v>
          </cell>
        </row>
        <row r="123">
          <cell r="J123">
            <v>89.042999999999992</v>
          </cell>
        </row>
        <row r="132">
          <cell r="J132">
            <v>0.44514343411196877</v>
          </cell>
        </row>
        <row r="263">
          <cell r="Q263" t="str">
            <v>NA</v>
          </cell>
        </row>
        <row r="282">
          <cell r="Q282">
            <v>0</v>
          </cell>
        </row>
        <row r="285">
          <cell r="Q285">
            <v>0</v>
          </cell>
        </row>
        <row r="286">
          <cell r="K286" t="str">
            <v>NA</v>
          </cell>
        </row>
        <row r="305">
          <cell r="D305" t="str">
            <v>W-H Energy Services, Inc.</v>
          </cell>
          <cell r="E305" t="str">
            <v>WHES</v>
          </cell>
          <cell r="S305">
            <v>0</v>
          </cell>
          <cell r="T305" t="str">
            <v>NA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WFT"/>
    </sheetNames>
    <sheetDataSet>
      <sheetData sheetId="0" refreshError="1"/>
      <sheetData sheetId="1" refreshError="1">
        <row r="9">
          <cell r="D9">
            <v>37106</v>
          </cell>
        </row>
        <row r="11">
          <cell r="U11" t="str">
            <v>Buy</v>
          </cell>
        </row>
        <row r="12">
          <cell r="U12">
            <v>37106</v>
          </cell>
        </row>
        <row r="16">
          <cell r="V16" t="str">
            <v>CSFB / G. Hall</v>
          </cell>
        </row>
        <row r="28">
          <cell r="P28">
            <v>615.69999999999982</v>
          </cell>
          <cell r="Q28">
            <v>768.59999999999991</v>
          </cell>
        </row>
        <row r="56">
          <cell r="S56">
            <v>114.39170060000001</v>
          </cell>
        </row>
        <row r="58">
          <cell r="P58">
            <v>1.7954201492537305</v>
          </cell>
          <cell r="Q58">
            <v>2.5171014492753616</v>
          </cell>
        </row>
        <row r="59">
          <cell r="P59">
            <v>3.2879574626865664</v>
          </cell>
          <cell r="Q59">
            <v>4.0395652173913037</v>
          </cell>
        </row>
        <row r="97">
          <cell r="I97">
            <v>1369.07</v>
          </cell>
        </row>
        <row r="113">
          <cell r="F113" t="str">
            <v>Baa1/BBB+</v>
          </cell>
        </row>
        <row r="114">
          <cell r="F114">
            <v>37040</v>
          </cell>
        </row>
        <row r="123">
          <cell r="J123">
            <v>1413.3819999999998</v>
          </cell>
        </row>
        <row r="132">
          <cell r="J132">
            <v>0.5141657152177459</v>
          </cell>
        </row>
        <row r="263">
          <cell r="Q263" t="str">
            <v>NA</v>
          </cell>
        </row>
        <row r="282">
          <cell r="Q282">
            <v>0</v>
          </cell>
        </row>
        <row r="285">
          <cell r="Q285">
            <v>973.02499999999998</v>
          </cell>
        </row>
        <row r="286">
          <cell r="K286" t="str">
            <v>NA</v>
          </cell>
        </row>
        <row r="305">
          <cell r="D305" t="str">
            <v>Weatherford International, Inc.</v>
          </cell>
          <cell r="E305" t="str">
            <v>WFT</v>
          </cell>
          <cell r="S305">
            <v>0</v>
          </cell>
          <cell r="T305" t="str">
            <v>NA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Neste Oy"/>
      <sheetName val="company"/>
    </sheetNames>
    <sheetDataSet>
      <sheetData sheetId="0"/>
      <sheetData sheetId="1" refreshError="1">
        <row r="37">
          <cell r="F37">
            <v>204.4512</v>
          </cell>
          <cell r="G37">
            <v>0</v>
          </cell>
          <cell r="H37">
            <v>204.45119999999957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CASY"/>
    </sheetNames>
    <sheetDataSet>
      <sheetData sheetId="0" refreshError="1"/>
      <sheetData sheetId="1" refreshError="1">
        <row r="9">
          <cell r="D9">
            <v>37099</v>
          </cell>
        </row>
        <row r="11">
          <cell r="U11" t="str">
            <v>NR</v>
          </cell>
        </row>
        <row r="16">
          <cell r="V16" t="str">
            <v>Merrill Lynch</v>
          </cell>
        </row>
        <row r="28">
          <cell r="O28">
            <v>117.15100000000075</v>
          </cell>
          <cell r="P28">
            <v>116.637</v>
          </cell>
          <cell r="Q28">
            <v>137.31</v>
          </cell>
        </row>
        <row r="46">
          <cell r="O46">
            <v>40.462000000000756</v>
          </cell>
        </row>
        <row r="52">
          <cell r="O52">
            <v>86.560000000000741</v>
          </cell>
        </row>
        <row r="56">
          <cell r="S56">
            <v>49.720388155539254</v>
          </cell>
        </row>
        <row r="58">
          <cell r="P58">
            <v>0.79225999999999996</v>
          </cell>
          <cell r="Q58">
            <v>0.96853999999999996</v>
          </cell>
        </row>
        <row r="59">
          <cell r="P59">
            <v>1.7431799999999997</v>
          </cell>
          <cell r="Q59">
            <v>2.0694599999999999</v>
          </cell>
        </row>
        <row r="97">
          <cell r="I97">
            <v>339.90800000000002</v>
          </cell>
        </row>
        <row r="113">
          <cell r="F113" t="str">
            <v>NR / Ba3</v>
          </cell>
        </row>
        <row r="114">
          <cell r="F114">
            <v>37004</v>
          </cell>
        </row>
        <row r="123">
          <cell r="J123">
            <v>173.54600000000002</v>
          </cell>
        </row>
        <row r="132">
          <cell r="J132">
            <v>0.3801269624747653</v>
          </cell>
        </row>
        <row r="160">
          <cell r="E160">
            <v>1246</v>
          </cell>
        </row>
        <row r="282">
          <cell r="Q282" t="str">
            <v>_</v>
          </cell>
        </row>
        <row r="285">
          <cell r="Q285">
            <v>0</v>
          </cell>
        </row>
        <row r="305">
          <cell r="D305" t="str">
            <v>Casey's General Stores, Inc.</v>
          </cell>
          <cell r="E305" t="str">
            <v>CASY</v>
          </cell>
          <cell r="S305">
            <v>0</v>
          </cell>
          <cell r="T305" t="str">
            <v>NA</v>
          </cell>
          <cell r="V305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DMC"/>
    </sheetNames>
    <sheetDataSet>
      <sheetData sheetId="0" refreshError="1"/>
      <sheetData sheetId="1" refreshError="1">
        <row r="9">
          <cell r="D9">
            <v>37099</v>
          </cell>
        </row>
        <row r="11">
          <cell r="U11" t="str">
            <v>NR</v>
          </cell>
        </row>
        <row r="16">
          <cell r="V16" t="str">
            <v>No Research</v>
          </cell>
        </row>
        <row r="28">
          <cell r="O28">
            <v>5.2520000000000095</v>
          </cell>
          <cell r="P28" t="e">
            <v>#N/A</v>
          </cell>
          <cell r="Q28" t="e">
            <v>#N/A</v>
          </cell>
        </row>
        <row r="46">
          <cell r="O46">
            <v>-29.45099999999999</v>
          </cell>
        </row>
        <row r="52">
          <cell r="O52">
            <v>-9.5489999999999888</v>
          </cell>
        </row>
        <row r="56">
          <cell r="S56">
            <v>5.0020259999999999</v>
          </cell>
        </row>
        <row r="58">
          <cell r="P58" t="e">
            <v>#N/A</v>
          </cell>
          <cell r="Q58" t="e">
            <v>#N/A</v>
          </cell>
        </row>
        <row r="59">
          <cell r="P59" t="e">
            <v>#N/A</v>
          </cell>
          <cell r="Q59" t="e">
            <v>#N/A</v>
          </cell>
        </row>
        <row r="97">
          <cell r="I97">
            <v>-22.272000000000006</v>
          </cell>
        </row>
        <row r="113">
          <cell r="F113" t="str">
            <v>NR/B3</v>
          </cell>
        </row>
        <row r="114">
          <cell r="F114">
            <v>37012</v>
          </cell>
        </row>
        <row r="123">
          <cell r="J123">
            <v>126.93299999999999</v>
          </cell>
        </row>
        <row r="132">
          <cell r="J132">
            <v>1.1965268953833121</v>
          </cell>
        </row>
        <row r="160">
          <cell r="E160">
            <v>276</v>
          </cell>
        </row>
        <row r="282">
          <cell r="Q282">
            <v>0</v>
          </cell>
        </row>
        <row r="285">
          <cell r="Q285">
            <v>111.44799999999999</v>
          </cell>
        </row>
        <row r="305">
          <cell r="D305" t="str">
            <v>Dairy Mart Convenience Stores</v>
          </cell>
          <cell r="E305" t="str">
            <v>DMC</v>
          </cell>
          <cell r="S305">
            <v>0</v>
          </cell>
          <cell r="T305" t="str">
            <v>NA</v>
          </cell>
          <cell r="V305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lubrizol"/>
    </sheetNames>
    <sheetDataSet>
      <sheetData sheetId="0" refreshError="1"/>
      <sheetData sheetId="1" refreshError="1">
        <row r="9">
          <cell r="D9">
            <v>37099</v>
          </cell>
        </row>
        <row r="11">
          <cell r="U11" t="str">
            <v>NA</v>
          </cell>
        </row>
        <row r="16">
          <cell r="V16" t="str">
            <v>No Research</v>
          </cell>
        </row>
        <row r="28">
          <cell r="O28">
            <v>266.67500000000035</v>
          </cell>
          <cell r="P28">
            <v>306.71189428189592</v>
          </cell>
          <cell r="Q28">
            <v>331.3421341589364</v>
          </cell>
        </row>
        <row r="46">
          <cell r="O46">
            <v>91.644020000000324</v>
          </cell>
        </row>
        <row r="52">
          <cell r="O52">
            <v>205.61402000000035</v>
          </cell>
        </row>
        <row r="56">
          <cell r="S56">
            <v>51.590367310017271</v>
          </cell>
        </row>
        <row r="58">
          <cell r="P58">
            <v>2.0539999999999998</v>
          </cell>
          <cell r="Q58">
            <v>2.35</v>
          </cell>
        </row>
        <row r="59">
          <cell r="P59">
            <v>4.1705772932730731</v>
          </cell>
          <cell r="Q59">
            <v>4.4665772932730734</v>
          </cell>
        </row>
        <row r="97">
          <cell r="I97">
            <v>751.471</v>
          </cell>
        </row>
        <row r="113">
          <cell r="F113" t="str">
            <v>A2/A+</v>
          </cell>
        </row>
        <row r="114">
          <cell r="F114">
            <v>36983</v>
          </cell>
        </row>
        <row r="123">
          <cell r="J123">
            <v>331.86500000000001</v>
          </cell>
        </row>
        <row r="132">
          <cell r="J132">
            <v>0.34457879506097649</v>
          </cell>
        </row>
        <row r="282">
          <cell r="Q282">
            <v>0</v>
          </cell>
        </row>
        <row r="285">
          <cell r="Q285">
            <v>661.82399999999996</v>
          </cell>
        </row>
        <row r="305">
          <cell r="D305" t="str">
            <v>Lubrizol Corp.</v>
          </cell>
          <cell r="E305" t="str">
            <v>LZ</v>
          </cell>
          <cell r="S305">
            <v>0</v>
          </cell>
          <cell r="T305" t="str">
            <v>NA</v>
          </cell>
          <cell r="V305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PZL"/>
    </sheetNames>
    <sheetDataSet>
      <sheetData sheetId="0" refreshError="1"/>
      <sheetData sheetId="1" refreshError="1">
        <row r="9">
          <cell r="D9">
            <v>37099</v>
          </cell>
        </row>
        <row r="11">
          <cell r="U11" t="str">
            <v>NA</v>
          </cell>
        </row>
        <row r="16">
          <cell r="V16" t="str">
            <v>No Research</v>
          </cell>
        </row>
        <row r="28">
          <cell r="O28">
            <v>286.99</v>
          </cell>
          <cell r="P28">
            <v>275.56462811431902</v>
          </cell>
          <cell r="Q28">
            <v>307.14089674113302</v>
          </cell>
        </row>
        <row r="46">
          <cell r="O46">
            <v>43.291240000000009</v>
          </cell>
        </row>
        <row r="52">
          <cell r="O52">
            <v>205.37200000000001</v>
          </cell>
        </row>
        <row r="56">
          <cell r="S56">
            <v>78.834721515901052</v>
          </cell>
        </row>
        <row r="58">
          <cell r="P58">
            <v>0.64333339999999994</v>
          </cell>
          <cell r="Q58">
            <v>0.89166669999999992</v>
          </cell>
        </row>
        <row r="59">
          <cell r="P59">
            <v>2.4000000000000004</v>
          </cell>
          <cell r="Q59">
            <v>2.79</v>
          </cell>
        </row>
        <row r="97">
          <cell r="I97">
            <v>817.30100000000004</v>
          </cell>
        </row>
        <row r="113">
          <cell r="F113" t="str">
            <v>Ba1 / BB+</v>
          </cell>
        </row>
        <row r="114">
          <cell r="F114">
            <v>36985</v>
          </cell>
        </row>
        <row r="123">
          <cell r="J123">
            <v>1237.4549999999999</v>
          </cell>
        </row>
        <row r="132">
          <cell r="J132">
            <v>0.60913708496870178</v>
          </cell>
        </row>
        <row r="160">
          <cell r="E160">
            <v>0</v>
          </cell>
        </row>
        <row r="282">
          <cell r="Q282">
            <v>0</v>
          </cell>
        </row>
        <row r="285">
          <cell r="Q285">
            <v>0</v>
          </cell>
        </row>
        <row r="305">
          <cell r="D305" t="str">
            <v>Pennzoil Quaker State Co.</v>
          </cell>
          <cell r="E305" t="str">
            <v>PZL</v>
          </cell>
          <cell r="S305">
            <v>0</v>
          </cell>
          <cell r="T305" t="str">
            <v>NA</v>
          </cell>
          <cell r="V30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5" Type="http://schemas.openxmlformats.org/officeDocument/2006/relationships/customProperty" Target="../customProperty5.bin"/><Relationship Id="rId4" Type="http://schemas.openxmlformats.org/officeDocument/2006/relationships/customProperty" Target="../customProperty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12"/>
  <sheetViews>
    <sheetView tabSelected="1" zoomScale="50" workbookViewId="0"/>
  </sheetViews>
  <sheetFormatPr defaultColWidth="9.109375" defaultRowHeight="13.2" outlineLevelRow="1" outlineLevelCol="1" x14ac:dyDescent="0.25"/>
  <cols>
    <col min="1" max="1" width="34.109375" style="1" customWidth="1"/>
    <col min="2" max="2" width="14.33203125" style="1" customWidth="1"/>
    <col min="3" max="3" width="12.6640625" style="1" customWidth="1"/>
    <col min="4" max="4" width="14" style="1" customWidth="1"/>
    <col min="5" max="5" width="11.6640625" style="1" customWidth="1"/>
    <col min="6" max="6" width="10.6640625" style="1" customWidth="1"/>
    <col min="7" max="7" width="11.6640625" style="1" customWidth="1"/>
    <col min="8" max="8" width="10.6640625" style="1" customWidth="1"/>
    <col min="9" max="9" width="10.5546875" style="1" hidden="1" customWidth="1" outlineLevel="1"/>
    <col min="10" max="10" width="9.33203125" style="1" customWidth="1" collapsed="1"/>
    <col min="11" max="11" width="10" style="1" bestFit="1" customWidth="1"/>
    <col min="12" max="12" width="9.88671875" style="1" hidden="1" customWidth="1" outlineLevel="1"/>
    <col min="13" max="13" width="8.6640625" style="1" customWidth="1" collapsed="1"/>
    <col min="14" max="14" width="8.6640625" style="1" customWidth="1"/>
    <col min="15" max="15" width="8.6640625" style="1" hidden="1" customWidth="1" outlineLevel="1"/>
    <col min="16" max="16" width="8.6640625" style="1" customWidth="1" collapsed="1"/>
    <col min="17" max="17" width="10.6640625" style="1" bestFit="1" customWidth="1"/>
    <col min="18" max="18" width="10.5546875" style="1" customWidth="1"/>
    <col min="19" max="19" width="9.6640625" style="1" customWidth="1"/>
    <col min="20" max="20" width="9.6640625" style="1" customWidth="1" outlineLevel="1"/>
    <col min="21" max="25" width="9.6640625" style="1" customWidth="1"/>
    <col min="26" max="26" width="10.6640625" style="1" customWidth="1" outlineLevel="1"/>
    <col min="27" max="27" width="9.109375" style="1"/>
    <col min="28" max="30" width="10.6640625" style="1" customWidth="1"/>
    <col min="31" max="31" width="15.6640625" style="1" customWidth="1"/>
    <col min="32" max="16384" width="9.109375" style="1"/>
  </cols>
  <sheetData>
    <row r="1" spans="1:33" ht="17.399999999999999" x14ac:dyDescent="0.3">
      <c r="A1" s="3" t="s">
        <v>297</v>
      </c>
      <c r="B1" s="3"/>
      <c r="C1" s="3"/>
    </row>
    <row r="2" spans="1:33" ht="15" customHeight="1" x14ac:dyDescent="0.3">
      <c r="A2" s="44" t="s">
        <v>0</v>
      </c>
      <c r="B2" s="44"/>
      <c r="C2" s="44"/>
      <c r="AG2" s="4"/>
    </row>
    <row r="3" spans="1:33" x14ac:dyDescent="0.25">
      <c r="A3" s="5" t="s">
        <v>1</v>
      </c>
      <c r="B3" s="5"/>
      <c r="C3" s="5"/>
      <c r="AG3" s="4"/>
    </row>
    <row r="4" spans="1:33" x14ac:dyDescent="0.25">
      <c r="A4" s="5"/>
      <c r="B4" s="5"/>
      <c r="C4" s="5"/>
      <c r="AG4" s="4"/>
    </row>
    <row r="5" spans="1:33" ht="13.8" x14ac:dyDescent="0.25">
      <c r="A5" s="125"/>
      <c r="B5" s="125"/>
      <c r="C5" s="125"/>
      <c r="AG5" s="4"/>
    </row>
    <row r="6" spans="1:33" x14ac:dyDescent="0.25">
      <c r="A6" s="5"/>
      <c r="B6" s="5"/>
      <c r="C6" s="5"/>
      <c r="AG6" s="4"/>
    </row>
    <row r="7" spans="1:33" x14ac:dyDescent="0.25">
      <c r="A7" s="6" t="s">
        <v>2</v>
      </c>
      <c r="B7" s="45">
        <v>37106</v>
      </c>
      <c r="C7" s="46"/>
    </row>
    <row r="8" spans="1:33" x14ac:dyDescent="0.25">
      <c r="D8" s="38"/>
      <c r="E8" s="38"/>
      <c r="F8" s="38"/>
      <c r="G8" s="38"/>
      <c r="H8" s="39" t="s">
        <v>3</v>
      </c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47" t="s">
        <v>4</v>
      </c>
      <c r="V8" s="47"/>
      <c r="W8" s="47"/>
      <c r="X8" s="47" t="s">
        <v>5</v>
      </c>
      <c r="Y8" s="47"/>
      <c r="Z8" s="39" t="s">
        <v>6</v>
      </c>
    </row>
    <row r="9" spans="1:33" x14ac:dyDescent="0.25">
      <c r="A9" s="38"/>
      <c r="B9" s="38"/>
      <c r="C9" s="39" t="s">
        <v>7</v>
      </c>
      <c r="D9" s="39" t="s">
        <v>8</v>
      </c>
      <c r="E9" s="48" t="s">
        <v>9</v>
      </c>
      <c r="F9" s="48"/>
      <c r="G9" s="39" t="s">
        <v>10</v>
      </c>
      <c r="H9" s="39" t="s">
        <v>10</v>
      </c>
      <c r="I9" s="347" t="s">
        <v>11</v>
      </c>
      <c r="J9" s="347"/>
      <c r="K9" s="347"/>
      <c r="L9" s="347" t="s">
        <v>12</v>
      </c>
      <c r="M9" s="347"/>
      <c r="N9" s="347"/>
      <c r="O9" s="347" t="s">
        <v>13</v>
      </c>
      <c r="P9" s="347"/>
      <c r="Q9" s="347"/>
      <c r="R9" s="49" t="s">
        <v>14</v>
      </c>
      <c r="S9" s="50" t="s">
        <v>15</v>
      </c>
      <c r="T9" s="39" t="s">
        <v>16</v>
      </c>
      <c r="U9" s="39" t="s">
        <v>17</v>
      </c>
      <c r="V9" s="39"/>
      <c r="W9" s="51" t="s">
        <v>18</v>
      </c>
      <c r="X9" s="39" t="s">
        <v>17</v>
      </c>
      <c r="Y9" s="39" t="s">
        <v>19</v>
      </c>
      <c r="Z9" s="39" t="s">
        <v>20</v>
      </c>
      <c r="AA9" s="50"/>
    </row>
    <row r="10" spans="1:33" x14ac:dyDescent="0.25">
      <c r="A10" s="39" t="s">
        <v>21</v>
      </c>
      <c r="B10" s="39" t="s">
        <v>22</v>
      </c>
      <c r="C10" s="39" t="s">
        <v>23</v>
      </c>
      <c r="D10" s="39" t="s">
        <v>24</v>
      </c>
      <c r="E10" s="39" t="s">
        <v>25</v>
      </c>
      <c r="F10" s="39" t="s">
        <v>26</v>
      </c>
      <c r="G10" s="39" t="s">
        <v>27</v>
      </c>
      <c r="H10" s="39" t="s">
        <v>27</v>
      </c>
      <c r="I10" s="39" t="s">
        <v>28</v>
      </c>
      <c r="J10" s="51" t="s">
        <v>111</v>
      </c>
      <c r="K10" s="51" t="s">
        <v>112</v>
      </c>
      <c r="L10" s="39" t="s">
        <v>28</v>
      </c>
      <c r="M10" s="51" t="s">
        <v>111</v>
      </c>
      <c r="N10" s="51" t="s">
        <v>112</v>
      </c>
      <c r="O10" s="39" t="s">
        <v>28</v>
      </c>
      <c r="P10" s="51" t="s">
        <v>111</v>
      </c>
      <c r="Q10" s="51" t="s">
        <v>112</v>
      </c>
      <c r="R10" s="39" t="s">
        <v>29</v>
      </c>
      <c r="S10" s="39" t="s">
        <v>30</v>
      </c>
      <c r="T10" s="39" t="s">
        <v>31</v>
      </c>
      <c r="U10" s="39" t="s">
        <v>32</v>
      </c>
      <c r="V10" s="39" t="s">
        <v>33</v>
      </c>
      <c r="W10" s="39" t="s">
        <v>34</v>
      </c>
      <c r="X10" s="39" t="s">
        <v>35</v>
      </c>
      <c r="Y10" s="39" t="s">
        <v>5</v>
      </c>
      <c r="Z10" s="39" t="s">
        <v>36</v>
      </c>
      <c r="AA10" s="50"/>
    </row>
    <row r="11" spans="1:33" ht="4.95" customHeight="1" x14ac:dyDescent="0.25">
      <c r="A11" s="8" t="s">
        <v>37</v>
      </c>
      <c r="B11" s="8" t="s">
        <v>37</v>
      </c>
      <c r="C11" s="8" t="s">
        <v>37</v>
      </c>
      <c r="D11" s="8" t="s">
        <v>37</v>
      </c>
      <c r="E11" s="8" t="s">
        <v>37</v>
      </c>
      <c r="F11" s="8" t="s">
        <v>37</v>
      </c>
      <c r="G11" s="8" t="s">
        <v>37</v>
      </c>
      <c r="H11" s="8" t="s">
        <v>37</v>
      </c>
      <c r="I11" s="8" t="s">
        <v>37</v>
      </c>
      <c r="J11" s="8" t="s">
        <v>37</v>
      </c>
      <c r="K11" s="8" t="s">
        <v>37</v>
      </c>
      <c r="L11" s="8" t="s">
        <v>37</v>
      </c>
      <c r="M11" s="8" t="s">
        <v>37</v>
      </c>
      <c r="N11" s="8" t="s">
        <v>37</v>
      </c>
      <c r="O11" s="8" t="s">
        <v>37</v>
      </c>
      <c r="P11" s="8" t="s">
        <v>37</v>
      </c>
      <c r="Q11" s="8" t="s">
        <v>37</v>
      </c>
      <c r="R11" s="8" t="s">
        <v>37</v>
      </c>
      <c r="S11" s="8" t="s">
        <v>37</v>
      </c>
      <c r="T11" s="8" t="s">
        <v>37</v>
      </c>
      <c r="U11" s="8" t="s">
        <v>37</v>
      </c>
      <c r="V11" s="8" t="s">
        <v>37</v>
      </c>
      <c r="W11" s="8" t="s">
        <v>37</v>
      </c>
      <c r="X11" s="8" t="s">
        <v>37</v>
      </c>
      <c r="Y11" s="8" t="s">
        <v>37</v>
      </c>
      <c r="Z11" s="8" t="s">
        <v>37</v>
      </c>
      <c r="AA11" s="9"/>
    </row>
    <row r="12" spans="1:33" ht="12.9" customHeight="1" x14ac:dyDescent="0.25">
      <c r="A12" s="1" t="s">
        <v>298</v>
      </c>
      <c r="B12" s="2" t="s">
        <v>299</v>
      </c>
      <c r="C12" s="126">
        <v>37036</v>
      </c>
      <c r="D12" s="11">
        <v>49.1</v>
      </c>
      <c r="E12" s="11">
        <v>57.8125</v>
      </c>
      <c r="F12" s="11">
        <v>45.125</v>
      </c>
      <c r="G12" s="12">
        <v>183995.70333333334</v>
      </c>
      <c r="H12" s="12">
        <v>202197.70333333334</v>
      </c>
      <c r="I12" s="127" t="e">
        <v>#DIV/0!</v>
      </c>
      <c r="J12" s="13">
        <v>11.861933397176765</v>
      </c>
      <c r="K12" s="13">
        <v>12.68733850129199</v>
      </c>
      <c r="L12" s="13">
        <v>10</v>
      </c>
      <c r="M12" s="13">
        <v>8.0417506261531511</v>
      </c>
      <c r="N12" s="13">
        <v>8.3112043848586907</v>
      </c>
      <c r="O12" s="13">
        <v>10</v>
      </c>
      <c r="P12" s="13">
        <v>6.3561235242106804</v>
      </c>
      <c r="Q12" s="13">
        <v>6.6438842514944136</v>
      </c>
      <c r="R12" s="14">
        <v>0.20095192256270389</v>
      </c>
      <c r="S12" s="13">
        <v>2.4829053820030138</v>
      </c>
      <c r="T12" s="21">
        <v>2.482552E-2</v>
      </c>
      <c r="U12" s="15">
        <v>13358</v>
      </c>
      <c r="V12" s="14">
        <v>0.51280131756250935</v>
      </c>
      <c r="W12" s="11">
        <v>9.8152862905373031</v>
      </c>
      <c r="X12" s="12">
        <v>89600</v>
      </c>
      <c r="Y12" s="13">
        <v>2.2566707961309524</v>
      </c>
      <c r="Z12" s="17">
        <v>3747.3666666666668</v>
      </c>
    </row>
    <row r="13" spans="1:33" ht="12.9" hidden="1" customHeight="1" outlineLevel="1" x14ac:dyDescent="0.25">
      <c r="A13" s="1" t="s">
        <v>300</v>
      </c>
      <c r="B13" s="2" t="s">
        <v>301</v>
      </c>
      <c r="C13" s="10">
        <v>37036</v>
      </c>
      <c r="D13" s="11">
        <v>90.68</v>
      </c>
      <c r="E13" s="19">
        <v>98.49</v>
      </c>
      <c r="F13" s="19">
        <v>78.1875</v>
      </c>
      <c r="G13" s="16">
        <v>58171.12832252001</v>
      </c>
      <c r="H13" s="16">
        <v>61065.12832252001</v>
      </c>
      <c r="I13" s="20">
        <v>10.995775595672308</v>
      </c>
      <c r="J13" s="20">
        <v>10.995775595672308</v>
      </c>
      <c r="K13" s="20">
        <v>18.135522848137079</v>
      </c>
      <c r="L13" s="20">
        <v>10</v>
      </c>
      <c r="M13" s="20">
        <v>6.6263474015622759</v>
      </c>
      <c r="N13" s="20">
        <v>8.4866004086384983</v>
      </c>
      <c r="O13" s="20">
        <v>10</v>
      </c>
      <c r="P13" s="20">
        <v>5.6519991544834411</v>
      </c>
      <c r="Q13" s="20">
        <v>7.4962312777952187</v>
      </c>
      <c r="R13" s="21">
        <v>0.23916935195130684</v>
      </c>
      <c r="S13" s="20">
        <v>2.7374648622362359</v>
      </c>
      <c r="T13" s="21">
        <v>2.8530659999999996E-2</v>
      </c>
      <c r="U13" s="22">
        <v>6593</v>
      </c>
      <c r="V13" s="21">
        <v>0.24146822387380554</v>
      </c>
      <c r="W13" s="19">
        <v>6.796290748752666</v>
      </c>
      <c r="X13" s="16">
        <v>39800</v>
      </c>
      <c r="Y13" s="20">
        <v>1.53429970659598</v>
      </c>
      <c r="Z13" s="23">
        <v>641.49898900000005</v>
      </c>
      <c r="AA13" s="24"/>
    </row>
    <row r="14" spans="1:33" ht="12.9" customHeight="1" collapsed="1" x14ac:dyDescent="0.25">
      <c r="A14" s="1" t="s">
        <v>300</v>
      </c>
      <c r="B14" s="2" t="s">
        <v>301</v>
      </c>
      <c r="C14" s="10">
        <v>37036</v>
      </c>
      <c r="D14" s="11">
        <v>90.68</v>
      </c>
      <c r="E14" s="19">
        <v>98.49</v>
      </c>
      <c r="F14" s="19">
        <v>78.1875</v>
      </c>
      <c r="G14" s="16">
        <v>96640.016354679232</v>
      </c>
      <c r="H14" s="16">
        <v>107041.01635467923</v>
      </c>
      <c r="I14" s="20">
        <v>12.18272628034207</v>
      </c>
      <c r="J14" s="20">
        <v>12.18272628034207</v>
      </c>
      <c r="K14" s="20">
        <v>17.029490529502372</v>
      </c>
      <c r="L14" s="20">
        <v>10</v>
      </c>
      <c r="M14" s="20">
        <v>7.1455693075535383</v>
      </c>
      <c r="N14" s="20">
        <v>8.4260713206881128</v>
      </c>
      <c r="O14" s="20">
        <v>10</v>
      </c>
      <c r="P14" s="20">
        <v>5.7036650547438823</v>
      </c>
      <c r="Q14" s="20">
        <v>6.7161069366140076</v>
      </c>
      <c r="R14" s="21">
        <v>0.2737003366324659</v>
      </c>
      <c r="S14" s="20">
        <v>2.7588574139906714</v>
      </c>
      <c r="T14" s="21">
        <v>2.8530659999999996E-2</v>
      </c>
      <c r="U14" s="22">
        <v>11493</v>
      </c>
      <c r="V14" s="21">
        <v>0.25876620551640128</v>
      </c>
      <c r="W14" s="19">
        <v>11.909564974507409</v>
      </c>
      <c r="X14" s="16">
        <v>65988</v>
      </c>
      <c r="Y14" s="20">
        <v>1.6221285135885195</v>
      </c>
      <c r="Z14" s="23">
        <v>1065.7258089400002</v>
      </c>
      <c r="AA14" s="24"/>
    </row>
    <row r="15" spans="1:33" ht="12.9" customHeight="1" x14ac:dyDescent="0.25">
      <c r="A15" s="1" t="s">
        <v>302</v>
      </c>
      <c r="B15" s="2" t="s">
        <v>303</v>
      </c>
      <c r="C15" s="10">
        <v>37036</v>
      </c>
      <c r="D15" s="11">
        <v>41.26</v>
      </c>
      <c r="E15" s="19">
        <v>47.71875</v>
      </c>
      <c r="F15" s="19">
        <v>37.6</v>
      </c>
      <c r="G15" s="16">
        <v>284683.80663448002</v>
      </c>
      <c r="H15" s="16">
        <v>289837.80663448002</v>
      </c>
      <c r="I15" s="20" t="e">
        <v>#DIV/0!</v>
      </c>
      <c r="J15" s="20">
        <v>15.190400821581687</v>
      </c>
      <c r="K15" s="20">
        <v>16.53903869729</v>
      </c>
      <c r="L15" s="20">
        <v>10</v>
      </c>
      <c r="M15" s="20">
        <v>10.206344714649761</v>
      </c>
      <c r="N15" s="20">
        <v>10.802272590503907</v>
      </c>
      <c r="O15" s="20">
        <v>10</v>
      </c>
      <c r="P15" s="20">
        <v>6.9212280973387745</v>
      </c>
      <c r="Q15" s="20">
        <v>7.3165094956145902</v>
      </c>
      <c r="R15" s="21">
        <v>0.14587999863557288</v>
      </c>
      <c r="S15" s="20">
        <v>3.9600468310100294</v>
      </c>
      <c r="T15" s="21">
        <v>4.2532609999999998E-2</v>
      </c>
      <c r="U15" s="22">
        <v>20872</v>
      </c>
      <c r="V15" s="21">
        <v>0.44610003832886164</v>
      </c>
      <c r="W15" s="19">
        <v>6.8409611033181239</v>
      </c>
      <c r="X15" s="16">
        <v>97252</v>
      </c>
      <c r="Y15" s="20">
        <v>2.9802760522609306</v>
      </c>
      <c r="Z15" s="23">
        <v>6899.7529480000003</v>
      </c>
      <c r="AA15" s="24"/>
    </row>
    <row r="16" spans="1:33" ht="12.9" hidden="1" customHeight="1" outlineLevel="1" x14ac:dyDescent="0.25">
      <c r="A16" s="1" t="s">
        <v>304</v>
      </c>
      <c r="B16" s="2" t="s">
        <v>305</v>
      </c>
      <c r="C16" s="10">
        <v>37036</v>
      </c>
      <c r="D16" s="11">
        <v>68.83</v>
      </c>
      <c r="E16" s="19">
        <v>73.900000000000006</v>
      </c>
      <c r="F16" s="19">
        <v>48.6875</v>
      </c>
      <c r="G16" s="16">
        <v>37921.47015126</v>
      </c>
      <c r="H16" s="16">
        <v>45428.47015126</v>
      </c>
      <c r="I16" s="20">
        <v>14.11045445823072</v>
      </c>
      <c r="J16" s="20">
        <v>14.11045445823072</v>
      </c>
      <c r="K16" s="20">
        <v>17.689259593152702</v>
      </c>
      <c r="L16" s="20">
        <v>10</v>
      </c>
      <c r="M16" s="20">
        <v>7.857149487562654</v>
      </c>
      <c r="N16" s="20">
        <v>8.7631092966799091</v>
      </c>
      <c r="O16" s="20">
        <v>10</v>
      </c>
      <c r="P16" s="20">
        <v>5.705019964357203</v>
      </c>
      <c r="Q16" s="20">
        <v>6.3166638680409335</v>
      </c>
      <c r="R16" s="21">
        <v>0.31818810830757877</v>
      </c>
      <c r="S16" s="20">
        <v>2.7521206293098195</v>
      </c>
      <c r="T16" s="21">
        <v>2.6174200000000002E-2</v>
      </c>
      <c r="U16" s="22">
        <v>4900</v>
      </c>
      <c r="V16" s="21">
        <v>0.28204081632653061</v>
      </c>
      <c r="W16" s="19">
        <v>8.0076525696464262</v>
      </c>
      <c r="X16" s="16">
        <v>26188</v>
      </c>
      <c r="Y16" s="20">
        <v>1.7347055961226516</v>
      </c>
      <c r="Z16" s="23">
        <v>550.94392200000004</v>
      </c>
      <c r="AA16" s="24"/>
    </row>
    <row r="17" spans="1:27" ht="12.9" customHeight="1" collapsed="1" x14ac:dyDescent="0.25">
      <c r="A17" s="1" t="s">
        <v>306</v>
      </c>
      <c r="B17" s="2" t="s">
        <v>307</v>
      </c>
      <c r="C17" s="10">
        <v>37036</v>
      </c>
      <c r="D17" s="11">
        <v>52.211440311917073</v>
      </c>
      <c r="E17" s="19">
        <v>60.700993825472267</v>
      </c>
      <c r="F17" s="19">
        <v>49.408890263811145</v>
      </c>
      <c r="G17" s="16">
        <v>197145.94183185001</v>
      </c>
      <c r="H17" s="16">
        <v>195557.94183185001</v>
      </c>
      <c r="I17" s="20" t="e">
        <v>#DIV/0!</v>
      </c>
      <c r="J17" s="20">
        <v>14.35255621077844</v>
      </c>
      <c r="K17" s="20">
        <v>16.347762013513364</v>
      </c>
      <c r="L17" s="20">
        <v>10</v>
      </c>
      <c r="M17" s="20">
        <v>9.1661448993525827</v>
      </c>
      <c r="N17" s="20">
        <v>9.8739222811024643</v>
      </c>
      <c r="O17" s="20">
        <v>10</v>
      </c>
      <c r="P17" s="20">
        <v>5.6895251468836108</v>
      </c>
      <c r="Q17" s="20">
        <v>6.1687219945704044</v>
      </c>
      <c r="R17" s="21">
        <v>0.10409516607527194</v>
      </c>
      <c r="S17" s="20">
        <v>3.3601939941683288</v>
      </c>
      <c r="T17" s="128" t="s">
        <v>156</v>
      </c>
      <c r="U17" s="22">
        <v>19131.5</v>
      </c>
      <c r="V17" s="21">
        <v>0.49031701643885739</v>
      </c>
      <c r="W17" s="19">
        <v>4.3677068823463685</v>
      </c>
      <c r="X17" s="16">
        <v>63041</v>
      </c>
      <c r="Y17" s="20">
        <v>3.1020755037491474</v>
      </c>
      <c r="Z17" s="23">
        <v>3775.9146396666665</v>
      </c>
      <c r="AA17" s="24"/>
    </row>
    <row r="18" spans="1:27" ht="12.9" hidden="1" customHeight="1" outlineLevel="1" x14ac:dyDescent="0.25">
      <c r="A18" s="29" t="s">
        <v>308</v>
      </c>
      <c r="B18" s="2" t="s">
        <v>309</v>
      </c>
      <c r="C18" s="129">
        <v>55.49</v>
      </c>
      <c r="D18" s="130">
        <v>47.97</v>
      </c>
      <c r="E18" s="131">
        <v>2129.6963519999999</v>
      </c>
      <c r="F18" s="132">
        <v>1646.2182876666668</v>
      </c>
      <c r="G18" s="16"/>
      <c r="H18" s="16"/>
      <c r="I18" s="20"/>
      <c r="J18" s="20"/>
      <c r="K18" s="20"/>
      <c r="L18" s="20"/>
      <c r="M18" s="20"/>
      <c r="N18" s="20"/>
      <c r="O18" s="20"/>
      <c r="P18" s="20"/>
      <c r="Q18" s="20"/>
      <c r="R18" s="21"/>
      <c r="S18" s="20"/>
      <c r="T18" s="128"/>
      <c r="U18" s="22"/>
      <c r="V18" s="21"/>
      <c r="W18" s="19"/>
      <c r="X18" s="16"/>
      <c r="Y18" s="20" t="e">
        <v>#DIV/0!</v>
      </c>
      <c r="Z18" s="23"/>
      <c r="AA18" s="24"/>
    </row>
    <row r="19" spans="1:27" ht="12.9" customHeight="1" collapsed="1" x14ac:dyDescent="0.25">
      <c r="A19" s="40" t="s">
        <v>310</v>
      </c>
      <c r="B19" s="41" t="s">
        <v>311</v>
      </c>
      <c r="C19" s="10">
        <v>37036</v>
      </c>
      <c r="D19" s="11">
        <v>70.55</v>
      </c>
      <c r="E19" s="19">
        <v>81.25</v>
      </c>
      <c r="F19" s="19">
        <v>63.75</v>
      </c>
      <c r="G19" s="16">
        <v>100604.3</v>
      </c>
      <c r="H19" s="16">
        <v>120709.15985077637</v>
      </c>
      <c r="I19" s="20" t="e">
        <v>#DIV/0!</v>
      </c>
      <c r="J19" s="20">
        <v>14.071266463711156</v>
      </c>
      <c r="K19" s="20">
        <v>14.680349881268016</v>
      </c>
      <c r="L19" s="20">
        <v>10</v>
      </c>
      <c r="M19" s="20">
        <v>7.8459073119865099</v>
      </c>
      <c r="N19" s="20">
        <v>7.9240824788576596</v>
      </c>
      <c r="O19" s="20">
        <v>10</v>
      </c>
      <c r="P19" s="20">
        <v>6.022150299352738</v>
      </c>
      <c r="Q19" s="20">
        <v>6.5246385522308596</v>
      </c>
      <c r="R19" s="21">
        <v>0.44280540442210059</v>
      </c>
      <c r="S19" s="20">
        <v>3.541441512638499</v>
      </c>
      <c r="T19" s="128" t="s">
        <v>156</v>
      </c>
      <c r="U19" s="22">
        <v>10411.833333333334</v>
      </c>
      <c r="V19" s="21">
        <v>0.33143378527636824</v>
      </c>
      <c r="W19" s="19">
        <v>3.3709399121371932</v>
      </c>
      <c r="X19" s="16">
        <v>33545</v>
      </c>
      <c r="Y19" s="20">
        <v>3.5984247980556376</v>
      </c>
      <c r="Z19" s="23">
        <v>1426</v>
      </c>
      <c r="AA19" s="24"/>
    </row>
    <row r="20" spans="1:27" ht="12.9" customHeight="1" x14ac:dyDescent="0.25">
      <c r="B20" s="2"/>
      <c r="C20" s="18"/>
      <c r="D20" s="19"/>
      <c r="E20" s="19"/>
      <c r="F20" s="19"/>
      <c r="G20" s="16"/>
      <c r="H20" s="16"/>
      <c r="I20" s="20"/>
      <c r="J20" s="20"/>
      <c r="K20" s="20"/>
      <c r="L20" s="20"/>
      <c r="M20" s="20"/>
      <c r="N20" s="20"/>
      <c r="O20" s="20"/>
      <c r="P20" s="20"/>
      <c r="Q20" s="20"/>
      <c r="R20" s="21"/>
      <c r="S20" s="20"/>
      <c r="T20" s="21"/>
      <c r="U20" s="22"/>
      <c r="V20" s="21"/>
      <c r="W20" s="19"/>
      <c r="X20" s="28"/>
      <c r="Y20" s="20"/>
      <c r="Z20" s="23"/>
      <c r="AA20" s="133"/>
    </row>
    <row r="21" spans="1:27" ht="12.9" customHeight="1" x14ac:dyDescent="0.25">
      <c r="B21" s="2"/>
      <c r="C21" s="18"/>
      <c r="D21" s="19"/>
      <c r="E21" s="19"/>
      <c r="F21" s="19"/>
      <c r="G21" s="16"/>
      <c r="H21" s="16"/>
      <c r="I21" s="20"/>
      <c r="J21" s="20"/>
      <c r="K21" s="20"/>
      <c r="L21" s="20"/>
      <c r="M21" s="20"/>
      <c r="N21" s="20"/>
      <c r="O21" s="20"/>
      <c r="P21" s="20"/>
      <c r="Q21" s="20"/>
      <c r="R21" s="21"/>
      <c r="S21" s="20"/>
      <c r="T21" s="21"/>
      <c r="U21" s="22"/>
      <c r="V21" s="21"/>
      <c r="W21" s="19"/>
      <c r="X21" s="28"/>
      <c r="Y21" s="20"/>
      <c r="Z21" s="23"/>
    </row>
    <row r="22" spans="1:27" ht="12.9" customHeight="1" x14ac:dyDescent="0.25">
      <c r="B22" s="29"/>
      <c r="C22" s="29"/>
      <c r="D22" s="29"/>
      <c r="E22" s="29"/>
      <c r="F22" s="29"/>
      <c r="G22" s="52"/>
      <c r="H22" s="53" t="s">
        <v>38</v>
      </c>
      <c r="I22" s="29"/>
      <c r="J22" s="20">
        <v>13.43039782452518</v>
      </c>
      <c r="K22" s="20">
        <v>16.013211922442192</v>
      </c>
      <c r="L22" s="20">
        <v>10</v>
      </c>
      <c r="M22" s="20">
        <v>8.2906074068778217</v>
      </c>
      <c r="N22" s="20">
        <v>9.0268652401068561</v>
      </c>
      <c r="O22" s="20">
        <v>10</v>
      </c>
      <c r="P22" s="20">
        <v>6.0576743644377418</v>
      </c>
      <c r="Q22" s="20">
        <v>6.7444415732910707</v>
      </c>
      <c r="R22" s="21">
        <v>0.24184832532575584</v>
      </c>
      <c r="S22" s="20">
        <v>3.1390288685609877</v>
      </c>
      <c r="T22" s="21">
        <v>3.0515747500000003E-2</v>
      </c>
      <c r="U22" s="22"/>
      <c r="V22" s="21">
        <v>0.38402686630115551</v>
      </c>
      <c r="W22" s="19">
        <v>6.5331395844563467</v>
      </c>
      <c r="X22" s="16"/>
      <c r="Y22" s="20">
        <v>2.5344087421525496</v>
      </c>
      <c r="Z22" s="29"/>
    </row>
    <row r="23" spans="1:27" ht="12.9" customHeight="1" x14ac:dyDescent="0.25">
      <c r="B23" s="29"/>
      <c r="C23" s="29"/>
      <c r="D23" s="29"/>
      <c r="E23" s="29"/>
      <c r="F23" s="29"/>
      <c r="G23" s="52"/>
      <c r="H23" s="53" t="s">
        <v>39</v>
      </c>
      <c r="I23" s="29"/>
      <c r="J23" s="20">
        <v>14.090860460970937</v>
      </c>
      <c r="K23" s="20">
        <v>16.443400355401682</v>
      </c>
      <c r="L23" s="20">
        <v>10</v>
      </c>
      <c r="M23" s="20">
        <v>7.9494500568579021</v>
      </c>
      <c r="N23" s="20">
        <v>8.6248548526592046</v>
      </c>
      <c r="O23" s="20">
        <v>10</v>
      </c>
      <c r="P23" s="20">
        <v>5.8635851318549701</v>
      </c>
      <c r="Q23" s="20">
        <v>6.5842614018626371</v>
      </c>
      <c r="R23" s="21">
        <v>0.22006063725700536</v>
      </c>
      <c r="S23" s="20">
        <v>3.0561573117390743</v>
      </c>
      <c r="T23" s="21">
        <v>2.7352429999999997E-2</v>
      </c>
      <c r="U23" s="22"/>
      <c r="V23" s="21">
        <v>0.38876691180261491</v>
      </c>
      <c r="W23" s="19">
        <v>6.818625926035395</v>
      </c>
      <c r="X23" s="16"/>
      <c r="Y23" s="20">
        <v>2.6184734241959413</v>
      </c>
      <c r="Z23" s="29"/>
    </row>
    <row r="24" spans="1:27" ht="12.9" customHeight="1" x14ac:dyDescent="0.25">
      <c r="B24" s="29"/>
      <c r="C24" s="29"/>
      <c r="D24" s="29"/>
      <c r="E24" s="29"/>
      <c r="F24" s="29"/>
      <c r="G24" s="54"/>
      <c r="H24" s="55" t="s">
        <v>25</v>
      </c>
      <c r="I24" s="29"/>
      <c r="J24" s="20">
        <v>15.190400821581687</v>
      </c>
      <c r="K24" s="20">
        <v>18.135522848137079</v>
      </c>
      <c r="L24" s="20">
        <v>10</v>
      </c>
      <c r="M24" s="20">
        <v>10.206344714649761</v>
      </c>
      <c r="N24" s="20">
        <v>10.802272590503907</v>
      </c>
      <c r="O24" s="20">
        <v>10</v>
      </c>
      <c r="P24" s="20">
        <v>6.9212280973387745</v>
      </c>
      <c r="Q24" s="20">
        <v>7.4962312777952187</v>
      </c>
      <c r="R24" s="21">
        <v>0.44280540442210059</v>
      </c>
      <c r="S24" s="20">
        <v>3.9600468310100294</v>
      </c>
      <c r="T24" s="21">
        <v>4.2532609999999998E-2</v>
      </c>
      <c r="U24" s="22"/>
      <c r="V24" s="21">
        <v>0.51280131756250935</v>
      </c>
      <c r="W24" s="19">
        <v>9.8152862905373031</v>
      </c>
      <c r="X24" s="16"/>
      <c r="Y24" s="20">
        <v>3.5984247980556376</v>
      </c>
      <c r="Z24" s="29"/>
    </row>
    <row r="25" spans="1:27" ht="12.9" customHeight="1" x14ac:dyDescent="0.25">
      <c r="B25" s="29"/>
      <c r="C25" s="29"/>
      <c r="D25" s="29"/>
      <c r="E25" s="29"/>
      <c r="F25" s="29"/>
      <c r="G25" s="52"/>
      <c r="H25" s="53" t="s">
        <v>26</v>
      </c>
      <c r="I25" s="29"/>
      <c r="J25" s="20">
        <v>10.995775595672308</v>
      </c>
      <c r="K25" s="20">
        <v>12.68733850129199</v>
      </c>
      <c r="L25" s="20">
        <v>10</v>
      </c>
      <c r="M25" s="20">
        <v>6.6263474015622759</v>
      </c>
      <c r="N25" s="20">
        <v>7.9240824788576596</v>
      </c>
      <c r="O25" s="20">
        <v>10</v>
      </c>
      <c r="P25" s="20">
        <v>5.6519991544834411</v>
      </c>
      <c r="Q25" s="20">
        <v>6.1687219945704044</v>
      </c>
      <c r="R25" s="21">
        <v>0.10409516607527194</v>
      </c>
      <c r="S25" s="20">
        <v>2.4829053820030138</v>
      </c>
      <c r="T25" s="21">
        <v>2.482552E-2</v>
      </c>
      <c r="U25" s="22"/>
      <c r="V25" s="21">
        <v>0.24146822387380554</v>
      </c>
      <c r="W25" s="19">
        <v>3.3709399121371932</v>
      </c>
      <c r="X25" s="16"/>
      <c r="Y25" s="20">
        <v>1.53429970659598</v>
      </c>
      <c r="Z25" s="29"/>
    </row>
    <row r="26" spans="1:27" ht="12.9" customHeight="1" x14ac:dyDescent="0.25"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7" ht="12.9" customHeight="1" x14ac:dyDescent="0.25">
      <c r="B27" s="29"/>
      <c r="C27" s="29"/>
      <c r="D27" s="29"/>
    </row>
    <row r="28" spans="1:27" ht="12.9" customHeight="1" x14ac:dyDescent="0.25">
      <c r="A28" s="134"/>
      <c r="B28" s="135"/>
      <c r="C28" s="135"/>
      <c r="D28" s="135"/>
      <c r="U28" s="49" t="s">
        <v>95</v>
      </c>
      <c r="V28" s="49"/>
      <c r="W28" s="49"/>
      <c r="X28" s="49"/>
      <c r="Y28" s="49"/>
    </row>
    <row r="29" spans="1:27" ht="12.9" customHeight="1" x14ac:dyDescent="0.25">
      <c r="A29" s="57"/>
      <c r="B29" s="49" t="s">
        <v>40</v>
      </c>
      <c r="C29" s="49"/>
      <c r="D29" s="49" t="s">
        <v>41</v>
      </c>
      <c r="E29" s="49"/>
      <c r="F29" s="49"/>
      <c r="G29" s="49" t="s">
        <v>42</v>
      </c>
      <c r="H29" s="49"/>
      <c r="J29" s="49" t="s">
        <v>43</v>
      </c>
      <c r="K29" s="49"/>
      <c r="P29" s="49" t="s">
        <v>44</v>
      </c>
      <c r="Q29" s="49"/>
      <c r="R29" s="49"/>
      <c r="S29" s="49"/>
      <c r="U29" s="49" t="s">
        <v>45</v>
      </c>
      <c r="V29" s="49"/>
      <c r="W29" s="49"/>
      <c r="X29" s="49"/>
      <c r="Y29" s="49"/>
      <c r="AA29" s="56"/>
    </row>
    <row r="30" spans="1:27" ht="3.6" customHeight="1" x14ac:dyDescent="0.25">
      <c r="A30" s="57"/>
      <c r="B30" s="8" t="s">
        <v>37</v>
      </c>
      <c r="C30" s="58"/>
      <c r="D30" s="8" t="s">
        <v>37</v>
      </c>
      <c r="E30" s="58"/>
      <c r="F30" s="58"/>
      <c r="G30" s="8" t="s">
        <v>37</v>
      </c>
      <c r="H30" s="58"/>
      <c r="J30" s="8" t="s">
        <v>37</v>
      </c>
      <c r="K30" s="58"/>
      <c r="P30" s="8" t="s">
        <v>37</v>
      </c>
      <c r="Q30" s="58"/>
      <c r="R30" s="58"/>
      <c r="S30" s="58"/>
      <c r="U30" s="8" t="s">
        <v>37</v>
      </c>
      <c r="V30" s="58"/>
      <c r="W30" s="58"/>
      <c r="X30" s="58"/>
      <c r="Y30" s="58"/>
      <c r="AA30" s="56"/>
    </row>
    <row r="31" spans="1:27" x14ac:dyDescent="0.25">
      <c r="A31" s="38"/>
      <c r="B31" s="2"/>
      <c r="C31" s="2"/>
      <c r="D31" s="50" t="s">
        <v>46</v>
      </c>
      <c r="E31" s="50" t="s">
        <v>47</v>
      </c>
      <c r="F31" s="50" t="s">
        <v>7</v>
      </c>
      <c r="G31" s="7" t="s">
        <v>48</v>
      </c>
      <c r="P31" s="50" t="s">
        <v>49</v>
      </c>
      <c r="Q31" s="50"/>
      <c r="R31" s="50" t="s">
        <v>50</v>
      </c>
      <c r="S31" s="50" t="s">
        <v>51</v>
      </c>
      <c r="U31" s="50" t="s">
        <v>52</v>
      </c>
      <c r="V31" s="50" t="s">
        <v>53</v>
      </c>
      <c r="W31" s="59" t="s">
        <v>54</v>
      </c>
      <c r="X31" s="50" t="s">
        <v>55</v>
      </c>
      <c r="Y31" s="50" t="s">
        <v>56</v>
      </c>
      <c r="AA31" s="56"/>
    </row>
    <row r="32" spans="1:27" x14ac:dyDescent="0.25">
      <c r="A32" s="39" t="s">
        <v>21</v>
      </c>
      <c r="B32" s="2" t="s">
        <v>57</v>
      </c>
      <c r="C32" s="2" t="s">
        <v>58</v>
      </c>
      <c r="D32" s="39" t="s">
        <v>59</v>
      </c>
      <c r="E32" s="39" t="s">
        <v>60</v>
      </c>
      <c r="F32" s="39" t="s">
        <v>61</v>
      </c>
      <c r="G32" s="2" t="s">
        <v>62</v>
      </c>
      <c r="H32" s="2" t="s">
        <v>7</v>
      </c>
      <c r="J32" s="39" t="s">
        <v>63</v>
      </c>
      <c r="K32" s="39" t="s">
        <v>64</v>
      </c>
      <c r="P32" s="39" t="s">
        <v>65</v>
      </c>
      <c r="Q32" s="39" t="s">
        <v>66</v>
      </c>
      <c r="R32" s="51" t="s">
        <v>67</v>
      </c>
      <c r="S32" s="39" t="s">
        <v>68</v>
      </c>
      <c r="U32" s="39" t="s">
        <v>69</v>
      </c>
      <c r="V32" s="51" t="s">
        <v>70</v>
      </c>
      <c r="W32" s="39" t="s">
        <v>71</v>
      </c>
      <c r="X32" s="51" t="s">
        <v>72</v>
      </c>
      <c r="Y32" s="39" t="s">
        <v>73</v>
      </c>
      <c r="AA32" s="50"/>
    </row>
    <row r="33" spans="1:27" ht="3.6" customHeight="1" x14ac:dyDescent="0.25">
      <c r="A33" s="8" t="s">
        <v>37</v>
      </c>
      <c r="B33" s="8" t="s">
        <v>37</v>
      </c>
      <c r="C33" s="8" t="s">
        <v>37</v>
      </c>
      <c r="D33" s="8" t="s">
        <v>37</v>
      </c>
      <c r="E33" s="8" t="s">
        <v>37</v>
      </c>
      <c r="F33" s="8" t="s">
        <v>37</v>
      </c>
      <c r="G33" s="8" t="s">
        <v>37</v>
      </c>
      <c r="H33" s="8" t="s">
        <v>37</v>
      </c>
      <c r="J33" s="8" t="s">
        <v>37</v>
      </c>
      <c r="K33" s="8" t="s">
        <v>37</v>
      </c>
      <c r="P33" s="8" t="s">
        <v>37</v>
      </c>
      <c r="Q33" s="8" t="s">
        <v>37</v>
      </c>
      <c r="R33" s="8" t="s">
        <v>37</v>
      </c>
      <c r="S33" s="8" t="s">
        <v>37</v>
      </c>
      <c r="U33" s="8" t="s">
        <v>37</v>
      </c>
      <c r="V33" s="8" t="s">
        <v>37</v>
      </c>
      <c r="W33" s="8" t="s">
        <v>37</v>
      </c>
      <c r="X33" s="8" t="s">
        <v>37</v>
      </c>
      <c r="Y33" s="8" t="s">
        <v>37</v>
      </c>
      <c r="AA33" s="31"/>
    </row>
    <row r="34" spans="1:27" s="2" customFormat="1" ht="12.9" customHeight="1" x14ac:dyDescent="0.25">
      <c r="A34" s="1" t="s">
        <v>298</v>
      </c>
      <c r="B34" s="1" t="s">
        <v>312</v>
      </c>
      <c r="C34" s="27" t="s">
        <v>313</v>
      </c>
      <c r="D34" s="27" t="s">
        <v>314</v>
      </c>
      <c r="E34" s="2" t="s">
        <v>269</v>
      </c>
      <c r="F34" s="10">
        <v>37034</v>
      </c>
      <c r="G34" s="2" t="s">
        <v>315</v>
      </c>
      <c r="H34" s="10">
        <v>37036</v>
      </c>
      <c r="I34" s="136"/>
      <c r="J34" s="14">
        <v>0</v>
      </c>
      <c r="K34" s="14">
        <v>0</v>
      </c>
      <c r="L34" s="136"/>
      <c r="P34" s="14">
        <v>1.2193348304994116</v>
      </c>
      <c r="Q34" s="13">
        <v>12.374247336729967</v>
      </c>
      <c r="R34" s="11">
        <v>5.1215611326258621</v>
      </c>
      <c r="S34" s="2" t="s">
        <v>103</v>
      </c>
      <c r="U34" s="15">
        <v>13</v>
      </c>
      <c r="V34" s="15">
        <v>1882.5</v>
      </c>
      <c r="W34" s="17">
        <v>8.8102647983102358</v>
      </c>
      <c r="X34" s="15">
        <v>16300</v>
      </c>
      <c r="Y34" s="15">
        <v>4400</v>
      </c>
      <c r="AA34" s="30"/>
    </row>
    <row r="35" spans="1:27" s="2" customFormat="1" ht="12.9" customHeight="1" x14ac:dyDescent="0.25">
      <c r="A35" s="1" t="s">
        <v>300</v>
      </c>
      <c r="B35" s="1" t="s">
        <v>312</v>
      </c>
      <c r="C35" s="27" t="s">
        <v>313</v>
      </c>
      <c r="D35" s="27" t="s">
        <v>314</v>
      </c>
      <c r="E35" s="2" t="s">
        <v>148</v>
      </c>
      <c r="F35" s="18">
        <v>37034</v>
      </c>
      <c r="G35" s="2" t="s">
        <v>316</v>
      </c>
      <c r="H35" s="18">
        <v>37036</v>
      </c>
      <c r="I35" s="136"/>
      <c r="J35" s="14">
        <v>0</v>
      </c>
      <c r="K35" s="14">
        <v>0</v>
      </c>
      <c r="L35" s="136"/>
      <c r="N35" s="32"/>
      <c r="P35" s="21">
        <v>1.2526159921026656</v>
      </c>
      <c r="Q35" s="20">
        <v>11.472737819025523</v>
      </c>
      <c r="R35" s="19">
        <v>4.7193553156883041</v>
      </c>
      <c r="S35" s="2" t="s">
        <v>103</v>
      </c>
      <c r="T35" s="33"/>
      <c r="U35" s="22">
        <v>7</v>
      </c>
      <c r="V35" s="22">
        <v>1021</v>
      </c>
      <c r="W35" s="23">
        <v>10.540186092066602</v>
      </c>
      <c r="X35" s="22">
        <v>8116</v>
      </c>
      <c r="Y35" s="22" t="s">
        <v>156</v>
      </c>
      <c r="Z35" s="60"/>
      <c r="AA35" s="34"/>
    </row>
    <row r="36" spans="1:27" s="2" customFormat="1" ht="12.9" customHeight="1" outlineLevel="1" x14ac:dyDescent="0.25">
      <c r="A36" s="1" t="s">
        <v>317</v>
      </c>
      <c r="B36" s="1" t="s">
        <v>312</v>
      </c>
      <c r="C36" s="27" t="s">
        <v>313</v>
      </c>
      <c r="D36" s="27" t="s">
        <v>314</v>
      </c>
      <c r="E36" s="2" t="s">
        <v>148</v>
      </c>
      <c r="F36" s="18">
        <v>36759</v>
      </c>
      <c r="G36" s="2" t="s">
        <v>316</v>
      </c>
      <c r="H36" s="18">
        <v>37036</v>
      </c>
      <c r="I36" s="136"/>
      <c r="J36" s="14">
        <v>0</v>
      </c>
      <c r="K36" s="14">
        <v>0</v>
      </c>
      <c r="L36" s="136"/>
      <c r="N36" s="32"/>
      <c r="P36" s="21">
        <v>1.3391005379027341</v>
      </c>
      <c r="Q36" s="20">
        <v>12.393601725377428</v>
      </c>
      <c r="R36" s="19">
        <v>4.2696958592891159</v>
      </c>
      <c r="S36" s="2" t="s">
        <v>103</v>
      </c>
      <c r="T36" s="33"/>
      <c r="U36" s="22">
        <v>11.06</v>
      </c>
      <c r="V36" s="22">
        <v>1707.16</v>
      </c>
      <c r="W36" s="23">
        <v>9.9701566147277703</v>
      </c>
      <c r="X36" s="22">
        <v>16867</v>
      </c>
      <c r="Y36" s="22" t="s">
        <v>156</v>
      </c>
      <c r="Z36" s="60"/>
      <c r="AA36" s="34"/>
    </row>
    <row r="37" spans="1:27" s="2" customFormat="1" ht="12.9" customHeight="1" x14ac:dyDescent="0.25">
      <c r="A37" s="1" t="s">
        <v>302</v>
      </c>
      <c r="B37" s="1" t="s">
        <v>312</v>
      </c>
      <c r="C37" s="27" t="s">
        <v>313</v>
      </c>
      <c r="D37" s="27" t="s">
        <v>314</v>
      </c>
      <c r="E37" s="2" t="s">
        <v>148</v>
      </c>
      <c r="F37" s="18">
        <v>37034</v>
      </c>
      <c r="G37" s="2" t="s">
        <v>318</v>
      </c>
      <c r="H37" s="18">
        <v>37036</v>
      </c>
      <c r="I37" s="136"/>
      <c r="J37" s="14">
        <v>0</v>
      </c>
      <c r="K37" s="14">
        <v>0</v>
      </c>
      <c r="L37" s="136"/>
      <c r="N37" s="32"/>
      <c r="P37" s="21">
        <v>1.1561692619230504</v>
      </c>
      <c r="Q37" s="20">
        <v>12.969345484672742</v>
      </c>
      <c r="R37" s="19">
        <v>4.1577893950709486</v>
      </c>
      <c r="S37" s="2" t="s">
        <v>103</v>
      </c>
      <c r="T37" s="33"/>
      <c r="U37" s="22">
        <v>20</v>
      </c>
      <c r="V37" s="22">
        <v>3793.8701000000001</v>
      </c>
      <c r="W37" s="23">
        <v>8.2857012605676719</v>
      </c>
      <c r="X37" s="22">
        <v>16520</v>
      </c>
      <c r="Y37" s="22">
        <v>4591</v>
      </c>
      <c r="Z37" s="60"/>
      <c r="AA37" s="34"/>
    </row>
    <row r="38" spans="1:27" s="2" customFormat="1" ht="12.9" customHeight="1" x14ac:dyDescent="0.25">
      <c r="A38" s="1" t="s">
        <v>304</v>
      </c>
      <c r="B38" s="1" t="s">
        <v>312</v>
      </c>
      <c r="C38" s="27" t="s">
        <v>313</v>
      </c>
      <c r="D38" s="27" t="s">
        <v>314</v>
      </c>
      <c r="E38" s="2" t="s">
        <v>148</v>
      </c>
      <c r="F38" s="18">
        <v>37034</v>
      </c>
      <c r="G38" s="2" t="s">
        <v>319</v>
      </c>
      <c r="H38" s="18">
        <v>37036</v>
      </c>
      <c r="I38" s="136"/>
      <c r="J38" s="14">
        <v>0</v>
      </c>
      <c r="K38" s="14">
        <v>0</v>
      </c>
      <c r="L38" s="136"/>
      <c r="N38" s="32"/>
      <c r="P38" s="21">
        <v>1.4499557130203722</v>
      </c>
      <c r="Q38" s="20">
        <v>13.894139886578449</v>
      </c>
      <c r="R38" s="19">
        <v>3.8278116826503914</v>
      </c>
      <c r="S38" s="2" t="s">
        <v>103</v>
      </c>
      <c r="T38" s="33"/>
      <c r="U38" s="22">
        <v>4.0599999999999996</v>
      </c>
      <c r="V38" s="22">
        <v>686.16</v>
      </c>
      <c r="W38" s="23">
        <v>10.560600429823111</v>
      </c>
      <c r="X38" s="22">
        <v>8751</v>
      </c>
      <c r="Y38" s="22" t="s">
        <v>156</v>
      </c>
      <c r="Z38" s="60"/>
      <c r="AA38" s="34"/>
    </row>
    <row r="39" spans="1:27" s="2" customFormat="1" ht="12.9" customHeight="1" x14ac:dyDescent="0.25">
      <c r="A39" s="1" t="s">
        <v>306</v>
      </c>
      <c r="B39" s="1" t="s">
        <v>312</v>
      </c>
      <c r="C39" s="27" t="s">
        <v>313</v>
      </c>
      <c r="D39" s="27" t="s">
        <v>314</v>
      </c>
      <c r="E39" s="2" t="s">
        <v>148</v>
      </c>
      <c r="F39" s="18">
        <v>37036</v>
      </c>
      <c r="G39" s="2" t="s">
        <v>318</v>
      </c>
      <c r="H39" s="18">
        <v>37036</v>
      </c>
      <c r="I39" s="136"/>
      <c r="J39" s="14">
        <v>0</v>
      </c>
      <c r="K39" s="14">
        <v>0</v>
      </c>
      <c r="L39" s="136"/>
      <c r="N39" s="32"/>
      <c r="P39" s="21">
        <v>1.0239751865202444</v>
      </c>
      <c r="Q39" s="20">
        <v>14.354007752907341</v>
      </c>
      <c r="R39" s="19">
        <v>3.2006902289464771</v>
      </c>
      <c r="S39" s="2" t="s">
        <v>103</v>
      </c>
      <c r="T39" s="33"/>
      <c r="U39" s="22">
        <v>14.64</v>
      </c>
      <c r="V39" s="22">
        <v>1867.14</v>
      </c>
      <c r="W39" s="23">
        <v>8.6205922925543099</v>
      </c>
      <c r="X39" s="22">
        <v>10234</v>
      </c>
      <c r="Y39" s="22" t="s">
        <v>156</v>
      </c>
      <c r="Z39" s="60"/>
      <c r="AA39" s="34"/>
    </row>
    <row r="40" spans="1:27" s="2" customFormat="1" ht="12.9" customHeight="1" x14ac:dyDescent="0.25">
      <c r="A40" s="40" t="s">
        <v>310</v>
      </c>
      <c r="B40" s="1" t="s">
        <v>312</v>
      </c>
      <c r="C40" s="27" t="s">
        <v>313</v>
      </c>
      <c r="D40" s="27" t="s">
        <v>314</v>
      </c>
      <c r="E40" s="2" t="s">
        <v>148</v>
      </c>
      <c r="F40" s="42">
        <v>37036</v>
      </c>
      <c r="G40" s="2" t="s">
        <v>316</v>
      </c>
      <c r="H40" s="42">
        <v>37036</v>
      </c>
      <c r="I40" s="136"/>
      <c r="J40" s="14">
        <v>0</v>
      </c>
      <c r="K40" s="14">
        <v>0</v>
      </c>
      <c r="L40" s="136"/>
      <c r="N40" s="32"/>
      <c r="P40" s="21">
        <v>1.8356339850514296</v>
      </c>
      <c r="Q40" s="20">
        <v>13.842455129625527</v>
      </c>
      <c r="R40" s="19">
        <v>3.5997912408124213</v>
      </c>
      <c r="S40" s="2" t="s">
        <v>103</v>
      </c>
      <c r="T40" s="33"/>
      <c r="U40" s="22">
        <v>16</v>
      </c>
      <c r="V40" s="22">
        <v>2410</v>
      </c>
      <c r="W40" s="23" t="s">
        <v>156</v>
      </c>
      <c r="X40" s="22">
        <v>18764</v>
      </c>
      <c r="Y40" s="22" t="s">
        <v>156</v>
      </c>
      <c r="Z40" s="60"/>
      <c r="AA40" s="34"/>
    </row>
    <row r="41" spans="1:27" s="2" customFormat="1" ht="12.9" customHeight="1" x14ac:dyDescent="0.25">
      <c r="T41" s="33"/>
      <c r="V41" s="137"/>
    </row>
    <row r="42" spans="1:27" s="2" customFormat="1" ht="12.9" customHeight="1" x14ac:dyDescent="0.25">
      <c r="I42" s="138"/>
      <c r="J42" s="139">
        <v>36741</v>
      </c>
      <c r="K42" s="140">
        <v>36892</v>
      </c>
      <c r="L42" s="140"/>
      <c r="T42" s="33"/>
    </row>
    <row r="43" spans="1:27" s="2" customFormat="1" ht="12.9" customHeight="1" x14ac:dyDescent="0.25">
      <c r="B43" s="35"/>
      <c r="C43" s="35"/>
      <c r="E43" s="35"/>
      <c r="N43" s="53" t="s">
        <v>38</v>
      </c>
      <c r="P43" s="123">
        <v>1.3229474948528621</v>
      </c>
      <c r="Q43" s="20">
        <v>13.151155568256591</v>
      </c>
      <c r="R43" s="19">
        <v>4.1044998326324</v>
      </c>
      <c r="S43" s="33"/>
      <c r="T43" s="33"/>
      <c r="U43" s="22"/>
      <c r="V43" s="22"/>
      <c r="W43" s="23"/>
      <c r="X43" s="22"/>
      <c r="Y43" s="22"/>
      <c r="Z43" s="60"/>
    </row>
    <row r="44" spans="1:27" s="2" customFormat="1" ht="12.9" customHeight="1" x14ac:dyDescent="0.25">
      <c r="B44" s="35"/>
      <c r="C44" s="35"/>
      <c r="D44" s="35"/>
      <c r="N44" s="53" t="s">
        <v>39</v>
      </c>
      <c r="P44" s="123">
        <v>1.2359754113010386</v>
      </c>
      <c r="Q44" s="20">
        <v>13.405900307149135</v>
      </c>
      <c r="R44" s="19">
        <v>3.9928005388606698</v>
      </c>
      <c r="S44" s="33"/>
      <c r="T44" s="33"/>
      <c r="U44" s="22"/>
      <c r="V44" s="97"/>
      <c r="W44" s="23"/>
      <c r="X44" s="22"/>
      <c r="Y44" s="22"/>
      <c r="Z44" s="60"/>
    </row>
    <row r="45" spans="1:27" s="2" customFormat="1" ht="12.9" customHeight="1" x14ac:dyDescent="0.25">
      <c r="B45" s="35"/>
      <c r="C45" s="35"/>
      <c r="D45" s="35"/>
      <c r="N45" s="55" t="s">
        <v>25</v>
      </c>
      <c r="P45" s="123">
        <v>1.8356339850514296</v>
      </c>
      <c r="Q45" s="20">
        <v>14.354007752907341</v>
      </c>
      <c r="R45" s="19">
        <v>5.1215611326258621</v>
      </c>
      <c r="S45" s="33"/>
      <c r="T45" s="33"/>
      <c r="U45" s="22"/>
      <c r="V45" s="97"/>
      <c r="W45" s="23"/>
      <c r="X45" s="22"/>
      <c r="Y45" s="22"/>
      <c r="Z45" s="60"/>
    </row>
    <row r="46" spans="1:27" s="2" customFormat="1" ht="12.9" customHeight="1" x14ac:dyDescent="0.25">
      <c r="B46" s="35"/>
      <c r="C46" s="35"/>
      <c r="D46" s="35"/>
      <c r="N46" s="53" t="s">
        <v>26</v>
      </c>
      <c r="P46" s="123">
        <v>1.0239751865202444</v>
      </c>
      <c r="Q46" s="20">
        <v>11.472737819025523</v>
      </c>
      <c r="R46" s="19">
        <v>3.2006902289464771</v>
      </c>
      <c r="S46" s="33"/>
      <c r="T46" s="33"/>
      <c r="U46" s="22"/>
      <c r="V46" s="97"/>
      <c r="W46" s="23"/>
      <c r="X46" s="22"/>
      <c r="Y46" s="22"/>
      <c r="Z46" s="60"/>
    </row>
    <row r="47" spans="1:27" s="2" customFormat="1" ht="12.9" customHeight="1" x14ac:dyDescent="0.25">
      <c r="A47" s="36" t="s">
        <v>74</v>
      </c>
    </row>
    <row r="48" spans="1:27" s="2" customFormat="1" ht="12.9" customHeight="1" x14ac:dyDescent="0.25">
      <c r="A48" s="9" t="s">
        <v>320</v>
      </c>
    </row>
    <row r="49" spans="1:20" s="2" customFormat="1" ht="12.9" customHeight="1" x14ac:dyDescent="0.25">
      <c r="A49" s="9"/>
    </row>
    <row r="50" spans="1:20" s="2" customFormat="1" ht="12.9" customHeight="1" x14ac:dyDescent="0.25"/>
    <row r="51" spans="1:20" s="2" customFormat="1" ht="12.9" customHeight="1" x14ac:dyDescent="0.25">
      <c r="A51" s="9"/>
    </row>
    <row r="52" spans="1:20" s="2" customFormat="1" ht="12.9" customHeight="1" x14ac:dyDescent="0.25">
      <c r="A52" s="9"/>
    </row>
    <row r="53" spans="1:20" s="2" customFormat="1" ht="12.9" customHeight="1" x14ac:dyDescent="0.25">
      <c r="A53" s="9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</row>
    <row r="54" spans="1:20" s="2" customFormat="1" ht="12.9" customHeight="1" x14ac:dyDescent="0.25"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</row>
    <row r="55" spans="1:20" s="2" customFormat="1" ht="12.9" customHeight="1" x14ac:dyDescent="0.25"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</row>
    <row r="56" spans="1:20" s="2" customFormat="1" ht="12.9" customHeight="1" x14ac:dyDescent="0.25">
      <c r="D56" s="98"/>
      <c r="E56" s="348"/>
      <c r="F56" s="348"/>
      <c r="G56" s="348"/>
      <c r="H56" s="348"/>
      <c r="I56" s="98"/>
      <c r="J56" s="348"/>
      <c r="K56" s="348"/>
      <c r="L56" s="348"/>
      <c r="M56" s="348"/>
      <c r="N56" s="98"/>
      <c r="O56" s="98"/>
      <c r="P56" s="348"/>
      <c r="Q56" s="348"/>
      <c r="R56" s="348"/>
      <c r="S56" s="348"/>
      <c r="T56" s="98"/>
    </row>
    <row r="57" spans="1:20" s="2" customFormat="1" ht="12.9" customHeight="1" x14ac:dyDescent="0.25">
      <c r="D57" s="98"/>
      <c r="E57" s="348"/>
      <c r="F57" s="348"/>
      <c r="G57" s="348"/>
      <c r="H57" s="348"/>
      <c r="I57" s="98"/>
      <c r="J57" s="348"/>
      <c r="K57" s="348"/>
      <c r="L57" s="348"/>
      <c r="M57" s="348"/>
      <c r="N57" s="98"/>
      <c r="O57" s="98"/>
      <c r="P57" s="348"/>
      <c r="Q57" s="348"/>
      <c r="R57" s="348"/>
      <c r="S57" s="348"/>
      <c r="T57" s="98"/>
    </row>
    <row r="58" spans="1:20" s="2" customFormat="1" ht="12.9" customHeight="1" x14ac:dyDescent="0.25">
      <c r="D58" s="98"/>
      <c r="E58" s="98"/>
      <c r="F58" s="141"/>
      <c r="G58" s="141"/>
      <c r="H58" s="98"/>
      <c r="I58" s="98"/>
      <c r="J58" s="98"/>
      <c r="K58" s="141"/>
      <c r="L58" s="142"/>
      <c r="M58" s="98"/>
      <c r="N58" s="98"/>
      <c r="O58" s="98"/>
      <c r="P58" s="98"/>
      <c r="Q58" s="141"/>
      <c r="R58" s="142"/>
      <c r="S58" s="98"/>
      <c r="T58" s="98"/>
    </row>
    <row r="59" spans="1:20" s="2" customFormat="1" ht="12.9" customHeight="1" x14ac:dyDescent="0.25">
      <c r="D59" s="98"/>
      <c r="E59" s="98"/>
      <c r="F59" s="143"/>
      <c r="G59" s="143"/>
      <c r="H59" s="144"/>
      <c r="I59" s="98"/>
      <c r="J59" s="98"/>
      <c r="K59" s="143"/>
      <c r="L59" s="143"/>
      <c r="M59" s="144"/>
      <c r="N59" s="98"/>
      <c r="O59" s="98"/>
      <c r="P59" s="98"/>
      <c r="Q59" s="143"/>
      <c r="R59" s="143"/>
      <c r="S59" s="144"/>
      <c r="T59" s="98"/>
    </row>
    <row r="60" spans="1:20" s="2" customFormat="1" ht="12.9" customHeight="1" x14ac:dyDescent="0.25">
      <c r="D60" s="98"/>
      <c r="E60" s="98"/>
      <c r="F60" s="143"/>
      <c r="G60" s="143"/>
      <c r="H60" s="144"/>
      <c r="I60" s="98"/>
      <c r="J60" s="98"/>
      <c r="K60" s="143"/>
      <c r="L60" s="143"/>
      <c r="M60" s="144"/>
      <c r="N60" s="98"/>
      <c r="O60" s="98"/>
      <c r="P60" s="98"/>
      <c r="Q60" s="143"/>
      <c r="R60" s="143"/>
      <c r="S60" s="144"/>
      <c r="T60" s="98"/>
    </row>
    <row r="61" spans="1:20" s="2" customFormat="1" ht="12.9" customHeight="1" outlineLevel="1" x14ac:dyDescent="0.25">
      <c r="D61" s="98"/>
      <c r="E61" s="98"/>
      <c r="F61" s="143"/>
      <c r="G61" s="143"/>
      <c r="H61" s="144"/>
      <c r="I61" s="98"/>
      <c r="J61" s="98"/>
      <c r="K61" s="143"/>
      <c r="L61" s="143"/>
      <c r="M61" s="144"/>
      <c r="N61" s="98"/>
      <c r="O61" s="98"/>
      <c r="P61" s="98"/>
      <c r="Q61" s="143"/>
      <c r="R61" s="143"/>
      <c r="S61" s="144"/>
      <c r="T61" s="98"/>
    </row>
    <row r="62" spans="1:20" s="2" customFormat="1" ht="12.9" customHeight="1" x14ac:dyDescent="0.25">
      <c r="D62" s="98"/>
      <c r="E62" s="98"/>
      <c r="F62" s="143"/>
      <c r="G62" s="143"/>
      <c r="H62" s="144"/>
      <c r="I62" s="98"/>
      <c r="J62" s="98"/>
      <c r="K62" s="143"/>
      <c r="L62" s="143"/>
      <c r="M62" s="144"/>
      <c r="N62" s="98"/>
      <c r="O62" s="98"/>
      <c r="P62" s="98"/>
      <c r="Q62" s="143"/>
      <c r="R62" s="143"/>
      <c r="S62" s="144"/>
      <c r="T62" s="98"/>
    </row>
    <row r="63" spans="1:20" s="2" customFormat="1" ht="12.9" customHeight="1" x14ac:dyDescent="0.25">
      <c r="D63" s="98"/>
      <c r="E63" s="98"/>
      <c r="F63" s="143"/>
      <c r="G63" s="143"/>
      <c r="H63" s="144"/>
      <c r="I63" s="98"/>
      <c r="J63" s="98"/>
      <c r="K63" s="143"/>
      <c r="L63" s="143"/>
      <c r="M63" s="144"/>
      <c r="N63" s="98"/>
      <c r="O63" s="98"/>
      <c r="P63" s="98"/>
      <c r="Q63" s="143"/>
      <c r="R63" s="143"/>
      <c r="S63" s="144"/>
      <c r="T63" s="98"/>
    </row>
    <row r="64" spans="1:20" s="2" customFormat="1" ht="12.9" customHeight="1" x14ac:dyDescent="0.25">
      <c r="D64" s="98"/>
      <c r="E64" s="98"/>
      <c r="F64" s="143"/>
      <c r="G64" s="143"/>
      <c r="H64" s="144"/>
      <c r="I64" s="98"/>
      <c r="J64" s="98"/>
      <c r="K64" s="143"/>
      <c r="L64" s="143"/>
      <c r="M64" s="144"/>
      <c r="N64" s="98"/>
      <c r="O64" s="98"/>
      <c r="P64" s="98"/>
      <c r="Q64" s="143"/>
      <c r="R64" s="143"/>
      <c r="S64" s="144"/>
      <c r="T64" s="98"/>
    </row>
    <row r="65" spans="4:20" s="2" customFormat="1" ht="12.9" customHeight="1" outlineLevel="1" x14ac:dyDescent="0.25">
      <c r="D65" s="98"/>
      <c r="E65" s="98"/>
      <c r="F65" s="143"/>
      <c r="G65" s="143"/>
      <c r="H65" s="144"/>
      <c r="I65" s="98"/>
      <c r="J65" s="98"/>
      <c r="K65" s="143"/>
      <c r="L65" s="143"/>
      <c r="M65" s="144"/>
      <c r="N65" s="98"/>
      <c r="O65" s="98"/>
      <c r="P65" s="98"/>
      <c r="Q65" s="143"/>
      <c r="R65" s="143"/>
      <c r="S65" s="144"/>
      <c r="T65" s="98"/>
    </row>
    <row r="66" spans="4:20" s="2" customFormat="1" ht="12.9" customHeight="1" outlineLevel="1" x14ac:dyDescent="0.25">
      <c r="D66" s="98"/>
      <c r="E66" s="98"/>
      <c r="F66" s="143"/>
      <c r="G66" s="143"/>
      <c r="H66" s="144"/>
      <c r="I66" s="98"/>
      <c r="J66" s="98"/>
      <c r="K66" s="143"/>
      <c r="L66" s="143"/>
      <c r="M66" s="144"/>
      <c r="N66" s="98"/>
      <c r="O66" s="98"/>
      <c r="P66" s="98"/>
      <c r="Q66" s="143"/>
      <c r="R66" s="143"/>
      <c r="S66" s="144"/>
      <c r="T66" s="98"/>
    </row>
    <row r="67" spans="4:20" s="2" customFormat="1" ht="12.9" customHeight="1" x14ac:dyDescent="0.25">
      <c r="D67" s="98"/>
      <c r="E67" s="98"/>
      <c r="F67" s="143"/>
      <c r="G67" s="143"/>
      <c r="H67" s="144"/>
      <c r="I67" s="98"/>
      <c r="J67" s="98"/>
      <c r="K67" s="143"/>
      <c r="L67" s="143"/>
      <c r="M67" s="144"/>
      <c r="N67" s="98"/>
      <c r="O67" s="98"/>
      <c r="P67" s="98"/>
      <c r="Q67" s="143"/>
      <c r="R67" s="143"/>
      <c r="S67" s="144"/>
      <c r="T67" s="98"/>
    </row>
    <row r="68" spans="4:20" s="2" customFormat="1" ht="12.9" customHeight="1" x14ac:dyDescent="0.25"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</row>
    <row r="69" spans="4:20" s="2" customFormat="1" ht="12.9" customHeight="1" x14ac:dyDescent="0.25"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</row>
    <row r="70" spans="4:20" s="2" customFormat="1" ht="12.9" customHeight="1" x14ac:dyDescent="0.25"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</row>
    <row r="71" spans="4:20" s="2" customFormat="1" ht="12.9" customHeight="1" x14ac:dyDescent="0.25"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</row>
    <row r="72" spans="4:20" ht="12.9" customHeight="1" x14ac:dyDescent="0.25"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4:20" ht="12.9" customHeight="1" x14ac:dyDescent="0.25"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4:20" ht="12.9" customHeight="1" x14ac:dyDescent="0.25"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4:20" ht="12.9" customHeight="1" x14ac:dyDescent="0.25"/>
    <row r="76" spans="4:20" ht="12.9" customHeight="1" x14ac:dyDescent="0.25"/>
    <row r="77" spans="4:20" ht="12.9" customHeight="1" x14ac:dyDescent="0.25"/>
    <row r="78" spans="4:20" ht="12.9" customHeight="1" x14ac:dyDescent="0.25"/>
    <row r="79" spans="4:20" ht="12.9" customHeight="1" x14ac:dyDescent="0.25"/>
    <row r="80" spans="4:20" ht="12.9" customHeight="1" x14ac:dyDescent="0.25"/>
    <row r="81" ht="12.9" customHeight="1" x14ac:dyDescent="0.25"/>
    <row r="82" ht="12.9" customHeight="1" x14ac:dyDescent="0.25"/>
    <row r="83" ht="12.9" customHeight="1" x14ac:dyDescent="0.25"/>
    <row r="84" ht="12.9" customHeight="1" x14ac:dyDescent="0.25"/>
    <row r="85" ht="12.9" customHeight="1" x14ac:dyDescent="0.25"/>
    <row r="86" ht="12.9" customHeight="1" x14ac:dyDescent="0.25"/>
    <row r="87" ht="12.9" customHeight="1" x14ac:dyDescent="0.25"/>
    <row r="88" ht="12.9" customHeight="1" x14ac:dyDescent="0.25"/>
    <row r="89" ht="12.9" customHeight="1" x14ac:dyDescent="0.25"/>
    <row r="90" ht="12.9" customHeight="1" x14ac:dyDescent="0.25"/>
    <row r="91" ht="12.9" customHeight="1" x14ac:dyDescent="0.25"/>
    <row r="92" ht="12.9" customHeight="1" x14ac:dyDescent="0.25"/>
    <row r="93" ht="12.9" customHeight="1" x14ac:dyDescent="0.25"/>
    <row r="94" ht="12.9" customHeight="1" x14ac:dyDescent="0.25"/>
    <row r="95" ht="12.9" customHeight="1" x14ac:dyDescent="0.25"/>
    <row r="96" ht="12.9" customHeight="1" x14ac:dyDescent="0.25"/>
    <row r="97" ht="12.9" customHeight="1" x14ac:dyDescent="0.25"/>
    <row r="98" ht="12.9" customHeight="1" x14ac:dyDescent="0.25"/>
    <row r="99" ht="12.9" customHeight="1" x14ac:dyDescent="0.25"/>
    <row r="100" ht="12.9" customHeight="1" x14ac:dyDescent="0.25"/>
    <row r="101" ht="12.9" customHeight="1" x14ac:dyDescent="0.25"/>
    <row r="102" ht="12.9" customHeight="1" x14ac:dyDescent="0.25"/>
    <row r="103" ht="12.9" customHeight="1" x14ac:dyDescent="0.25"/>
    <row r="104" ht="12.9" customHeight="1" x14ac:dyDescent="0.25"/>
    <row r="105" ht="12.9" customHeight="1" x14ac:dyDescent="0.25"/>
    <row r="106" ht="12.9" customHeight="1" x14ac:dyDescent="0.25"/>
    <row r="107" ht="12.9" customHeight="1" x14ac:dyDescent="0.25"/>
    <row r="108" ht="12.9" customHeight="1" x14ac:dyDescent="0.25"/>
    <row r="109" ht="12.9" customHeight="1" x14ac:dyDescent="0.25"/>
    <row r="110" ht="12.9" customHeight="1" x14ac:dyDescent="0.25"/>
    <row r="111" ht="12.9" customHeight="1" x14ac:dyDescent="0.25"/>
    <row r="112" ht="12.9" customHeight="1" x14ac:dyDescent="0.25"/>
  </sheetData>
  <mergeCells count="6">
    <mergeCell ref="I9:K9"/>
    <mergeCell ref="L9:N9"/>
    <mergeCell ref="O9:Q9"/>
    <mergeCell ref="E56:H57"/>
    <mergeCell ref="J56:M57"/>
    <mergeCell ref="P56:S57"/>
  </mergeCells>
  <phoneticPr fontId="0" type="noConversion"/>
  <pageMargins left="0" right="0" top="0" bottom="0" header="0.5" footer="0.5"/>
  <pageSetup scale="52" orientation="landscape" verticalDpi="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95"/>
  <sheetViews>
    <sheetView topLeftCell="A2" zoomScale="50" workbookViewId="0">
      <selection activeCell="B7" sqref="B7"/>
    </sheetView>
  </sheetViews>
  <sheetFormatPr defaultColWidth="9.109375" defaultRowHeight="13.2" outlineLevelRow="1" outlineLevelCol="1" x14ac:dyDescent="0.25"/>
  <cols>
    <col min="1" max="1" width="33.6640625" style="38" customWidth="1"/>
    <col min="2" max="2" width="17.44140625" style="38" customWidth="1"/>
    <col min="3" max="3" width="17.6640625" style="38" customWidth="1"/>
    <col min="4" max="4" width="10.6640625" style="38" customWidth="1"/>
    <col min="5" max="5" width="11.6640625" style="38" customWidth="1"/>
    <col min="6" max="6" width="10.6640625" style="38" customWidth="1"/>
    <col min="7" max="9" width="10.6640625" style="38" hidden="1" customWidth="1" outlineLevel="1"/>
    <col min="10" max="10" width="13.44140625" style="38" customWidth="1" collapsed="1"/>
    <col min="11" max="11" width="12.5546875" style="38" customWidth="1"/>
    <col min="12" max="12" width="11.109375" style="38" customWidth="1"/>
    <col min="13" max="13" width="12.33203125" style="38" customWidth="1"/>
    <col min="14" max="14" width="10.44140625" style="38" customWidth="1"/>
    <col min="15" max="15" width="11.33203125" style="38" customWidth="1"/>
    <col min="16" max="16" width="9.88671875" style="38" customWidth="1"/>
    <col min="17" max="17" width="8.6640625" style="38" customWidth="1"/>
    <col min="18" max="20" width="9.6640625" style="38" customWidth="1"/>
    <col min="21" max="21" width="11.88671875" style="38" customWidth="1"/>
    <col min="22" max="25" width="9.6640625" style="38" customWidth="1"/>
    <col min="26" max="26" width="10.6640625" style="38" customWidth="1"/>
    <col min="27" max="27" width="9.109375" style="38"/>
    <col min="28" max="30" width="10.6640625" style="38" customWidth="1"/>
    <col min="31" max="31" width="15.6640625" style="38" customWidth="1"/>
    <col min="32" max="16384" width="9.109375" style="38"/>
  </cols>
  <sheetData>
    <row r="1" spans="1:33" s="270" customFormat="1" hidden="1" outlineLevel="1" x14ac:dyDescent="0.25">
      <c r="A1" s="270" t="s">
        <v>364</v>
      </c>
      <c r="D1" s="270" t="s">
        <v>464</v>
      </c>
      <c r="E1" s="270" t="s">
        <v>465</v>
      </c>
      <c r="F1" s="270" t="s">
        <v>466</v>
      </c>
      <c r="G1" s="270" t="s">
        <v>467</v>
      </c>
      <c r="H1" s="270" t="s">
        <v>468</v>
      </c>
      <c r="I1" s="270" t="s">
        <v>469</v>
      </c>
      <c r="L1" s="270" t="s">
        <v>470</v>
      </c>
      <c r="M1" s="270" t="s">
        <v>471</v>
      </c>
      <c r="N1" s="270" t="s">
        <v>472</v>
      </c>
      <c r="O1" s="270" t="s">
        <v>473</v>
      </c>
      <c r="P1" s="270" t="s">
        <v>474</v>
      </c>
      <c r="Q1" s="270" t="s">
        <v>475</v>
      </c>
      <c r="R1" s="270" t="s">
        <v>361</v>
      </c>
      <c r="S1" s="270" t="s">
        <v>476</v>
      </c>
      <c r="T1" s="270" t="s">
        <v>477</v>
      </c>
      <c r="U1" s="270" t="s">
        <v>378</v>
      </c>
      <c r="V1" s="270" t="s">
        <v>379</v>
      </c>
      <c r="W1" s="270" t="s">
        <v>478</v>
      </c>
      <c r="X1" s="270" t="s">
        <v>479</v>
      </c>
      <c r="Y1" s="270" t="s">
        <v>480</v>
      </c>
      <c r="Z1" s="270" t="s">
        <v>481</v>
      </c>
    </row>
    <row r="2" spans="1:33" ht="17.399999999999999" collapsed="1" x14ac:dyDescent="0.3">
      <c r="A2" s="145" t="s">
        <v>482</v>
      </c>
      <c r="B2" s="145"/>
      <c r="C2" s="145"/>
    </row>
    <row r="3" spans="1:33" ht="15" customHeight="1" x14ac:dyDescent="0.3">
      <c r="A3" s="44" t="s">
        <v>0</v>
      </c>
      <c r="B3" s="44"/>
      <c r="C3" s="44"/>
      <c r="AG3" s="57"/>
    </row>
    <row r="4" spans="1:33" x14ac:dyDescent="0.25">
      <c r="A4" s="146" t="s">
        <v>1</v>
      </c>
      <c r="B4" s="146"/>
      <c r="C4" s="146"/>
      <c r="AG4" s="57"/>
    </row>
    <row r="5" spans="1:33" x14ac:dyDescent="0.25">
      <c r="A5" s="146"/>
      <c r="B5" s="146"/>
      <c r="C5" s="146"/>
      <c r="AG5" s="57"/>
    </row>
    <row r="6" spans="1:33" x14ac:dyDescent="0.25">
      <c r="A6" s="146"/>
      <c r="B6" s="146"/>
      <c r="C6" s="146"/>
      <c r="AG6" s="57"/>
    </row>
    <row r="7" spans="1:33" x14ac:dyDescent="0.25">
      <c r="A7" s="147" t="s">
        <v>2</v>
      </c>
      <c r="B7" s="271">
        <v>37108</v>
      </c>
      <c r="C7" s="149"/>
    </row>
    <row r="8" spans="1:33" x14ac:dyDescent="0.25">
      <c r="K8" s="39" t="s">
        <v>3</v>
      </c>
      <c r="U8" s="47" t="s">
        <v>4</v>
      </c>
      <c r="V8" s="47"/>
      <c r="W8" s="47"/>
      <c r="X8" s="47" t="s">
        <v>5</v>
      </c>
      <c r="Y8" s="47"/>
      <c r="Z8" s="39" t="s">
        <v>6</v>
      </c>
    </row>
    <row r="9" spans="1:33" x14ac:dyDescent="0.25">
      <c r="C9" s="39" t="s">
        <v>7</v>
      </c>
      <c r="D9" s="39" t="s">
        <v>8</v>
      </c>
      <c r="E9" s="48" t="s">
        <v>9</v>
      </c>
      <c r="F9" s="48"/>
      <c r="H9" s="48"/>
      <c r="I9" s="48"/>
      <c r="J9" s="39" t="s">
        <v>10</v>
      </c>
      <c r="K9" s="39" t="s">
        <v>10</v>
      </c>
      <c r="L9" s="347" t="s">
        <v>483</v>
      </c>
      <c r="M9" s="347"/>
      <c r="N9" s="347" t="s">
        <v>484</v>
      </c>
      <c r="O9" s="347"/>
      <c r="P9" s="347" t="s">
        <v>13</v>
      </c>
      <c r="Q9" s="347"/>
      <c r="R9" s="49" t="s">
        <v>14</v>
      </c>
      <c r="S9" s="50" t="s">
        <v>15</v>
      </c>
      <c r="T9" s="39" t="s">
        <v>16</v>
      </c>
      <c r="U9" s="39" t="s">
        <v>17</v>
      </c>
      <c r="V9" s="39"/>
      <c r="W9" s="51" t="s">
        <v>18</v>
      </c>
      <c r="X9" s="39" t="s">
        <v>17</v>
      </c>
      <c r="Y9" s="39" t="s">
        <v>19</v>
      </c>
      <c r="Z9" s="39" t="s">
        <v>20</v>
      </c>
      <c r="AA9" s="50"/>
    </row>
    <row r="10" spans="1:33" x14ac:dyDescent="0.25">
      <c r="A10" s="39" t="s">
        <v>21</v>
      </c>
      <c r="B10" s="39" t="s">
        <v>22</v>
      </c>
      <c r="C10" s="39" t="s">
        <v>23</v>
      </c>
      <c r="D10" s="39" t="s">
        <v>24</v>
      </c>
      <c r="E10" s="39" t="s">
        <v>25</v>
      </c>
      <c r="F10" s="39" t="s">
        <v>26</v>
      </c>
      <c r="G10" s="39" t="s">
        <v>485</v>
      </c>
      <c r="H10" s="39" t="s">
        <v>486</v>
      </c>
      <c r="I10" s="39" t="s">
        <v>487</v>
      </c>
      <c r="J10" s="39" t="s">
        <v>27</v>
      </c>
      <c r="K10" s="39" t="s">
        <v>27</v>
      </c>
      <c r="L10" s="51" t="s">
        <v>111</v>
      </c>
      <c r="M10" s="51" t="s">
        <v>112</v>
      </c>
      <c r="N10" s="51" t="s">
        <v>111</v>
      </c>
      <c r="O10" s="51" t="s">
        <v>112</v>
      </c>
      <c r="P10" s="51" t="s">
        <v>111</v>
      </c>
      <c r="Q10" s="51" t="s">
        <v>112</v>
      </c>
      <c r="R10" s="39" t="s">
        <v>29</v>
      </c>
      <c r="S10" s="39" t="s">
        <v>30</v>
      </c>
      <c r="T10" s="39" t="s">
        <v>31</v>
      </c>
      <c r="U10" s="39" t="s">
        <v>32</v>
      </c>
      <c r="V10" s="39" t="s">
        <v>33</v>
      </c>
      <c r="W10" s="39" t="s">
        <v>34</v>
      </c>
      <c r="X10" s="39" t="s">
        <v>35</v>
      </c>
      <c r="Y10" s="39" t="s">
        <v>5</v>
      </c>
      <c r="Z10" s="39" t="s">
        <v>36</v>
      </c>
      <c r="AA10" s="50"/>
    </row>
    <row r="11" spans="1:33" ht="4.95" customHeight="1" x14ac:dyDescent="0.25">
      <c r="A11" s="150" t="s">
        <v>37</v>
      </c>
      <c r="B11" s="150" t="s">
        <v>37</v>
      </c>
      <c r="C11" s="150" t="s">
        <v>37</v>
      </c>
      <c r="D11" s="150" t="s">
        <v>37</v>
      </c>
      <c r="E11" s="150" t="s">
        <v>37</v>
      </c>
      <c r="F11" s="150" t="s">
        <v>37</v>
      </c>
      <c r="G11" s="150"/>
      <c r="H11" s="150"/>
      <c r="I11" s="150"/>
      <c r="J11" s="150" t="s">
        <v>37</v>
      </c>
      <c r="K11" s="150" t="s">
        <v>37</v>
      </c>
      <c r="L11" s="150" t="s">
        <v>37</v>
      </c>
      <c r="M11" s="150" t="s">
        <v>37</v>
      </c>
      <c r="N11" s="150" t="s">
        <v>37</v>
      </c>
      <c r="O11" s="150" t="s">
        <v>37</v>
      </c>
      <c r="P11" s="150" t="s">
        <v>37</v>
      </c>
      <c r="Q11" s="150" t="s">
        <v>37</v>
      </c>
      <c r="R11" s="150" t="s">
        <v>37</v>
      </c>
      <c r="S11" s="150" t="s">
        <v>37</v>
      </c>
      <c r="T11" s="150" t="s">
        <v>37</v>
      </c>
      <c r="U11" s="150" t="s">
        <v>37</v>
      </c>
      <c r="V11" s="150" t="s">
        <v>37</v>
      </c>
      <c r="W11" s="150" t="s">
        <v>37</v>
      </c>
      <c r="X11" s="150" t="s">
        <v>37</v>
      </c>
      <c r="Y11" s="150" t="s">
        <v>37</v>
      </c>
      <c r="Z11" s="150" t="s">
        <v>37</v>
      </c>
      <c r="AA11" s="55"/>
    </row>
    <row r="12" spans="1:33" ht="12.9" customHeight="1" thickBot="1" x14ac:dyDescent="0.3">
      <c r="A12" s="272" t="s">
        <v>488</v>
      </c>
      <c r="B12" s="53" t="s">
        <v>489</v>
      </c>
      <c r="C12" s="273">
        <v>37101</v>
      </c>
      <c r="D12" s="274">
        <v>4.0091869697564375</v>
      </c>
      <c r="E12" s="274">
        <v>4.4165375174857013</v>
      </c>
      <c r="F12" s="274">
        <v>3.4446134036053531</v>
      </c>
      <c r="G12" s="274">
        <v>9837.8213158800008</v>
      </c>
      <c r="H12" s="274">
        <v>10451.821315880001</v>
      </c>
      <c r="I12" s="274">
        <v>0.69964309999999996</v>
      </c>
      <c r="J12" s="274">
        <v>14061.19965433805</v>
      </c>
      <c r="K12" s="274">
        <v>14938.789957165305</v>
      </c>
      <c r="L12" s="275">
        <v>20.404998912902801</v>
      </c>
      <c r="M12" s="275">
        <v>17.969667125652236</v>
      </c>
      <c r="N12" s="275">
        <v>11.060790837163493</v>
      </c>
      <c r="O12" s="275">
        <v>8.1462271145113885</v>
      </c>
      <c r="P12" s="275">
        <v>8.0775661440322981</v>
      </c>
      <c r="Q12" s="275">
        <v>6.267756963916665</v>
      </c>
      <c r="R12" s="276">
        <v>0.11872257435397367</v>
      </c>
      <c r="S12" s="275">
        <v>2.9054404358771415</v>
      </c>
      <c r="T12" s="276">
        <v>1.0516930000000001E-2</v>
      </c>
      <c r="U12" s="274">
        <v>1006.9666666666666</v>
      </c>
      <c r="V12" s="276">
        <v>0.88947002548909271</v>
      </c>
      <c r="W12" s="159">
        <v>6.185935615806887</v>
      </c>
      <c r="X12" s="274">
        <v>3230</v>
      </c>
      <c r="Y12" s="159">
        <v>1.349256512672556</v>
      </c>
      <c r="Z12" s="274">
        <v>3507.2446758930482</v>
      </c>
      <c r="AA12" s="163"/>
      <c r="AE12" s="164"/>
    </row>
    <row r="13" spans="1:33" ht="12.9" customHeight="1" x14ac:dyDescent="0.25">
      <c r="A13" s="272" t="s">
        <v>490</v>
      </c>
      <c r="B13" s="277" t="s">
        <v>491</v>
      </c>
      <c r="C13" s="273">
        <v>37101</v>
      </c>
      <c r="D13" s="274">
        <v>8.3185269746818058</v>
      </c>
      <c r="E13" s="274">
        <v>9.5763111220563744</v>
      </c>
      <c r="F13" s="274">
        <v>7.1465008373555037</v>
      </c>
      <c r="G13" s="274">
        <v>2864.2658719999999</v>
      </c>
      <c r="H13" s="274">
        <v>3295.9658719999998</v>
      </c>
      <c r="I13" s="274">
        <v>0.69964309999999996</v>
      </c>
      <c r="J13" s="274">
        <v>4093.895690531358</v>
      </c>
      <c r="K13" s="274">
        <v>4710.9245728286323</v>
      </c>
      <c r="L13" s="275">
        <v>7.6543716515232472</v>
      </c>
      <c r="M13" s="275">
        <v>11.263334140778609</v>
      </c>
      <c r="N13" s="275">
        <v>3.6929678597215059</v>
      </c>
      <c r="O13" s="275">
        <v>4.4106342346781648</v>
      </c>
      <c r="P13" s="275">
        <v>2.6996198476533699</v>
      </c>
      <c r="Q13" s="275">
        <v>3.5375827755715354</v>
      </c>
      <c r="R13" s="276">
        <v>0.46544999632055334</v>
      </c>
      <c r="S13" s="275">
        <v>1.9715486453744493</v>
      </c>
      <c r="T13" s="276">
        <v>1.3745700000000001E-2</v>
      </c>
      <c r="U13" s="274">
        <v>1412.4</v>
      </c>
      <c r="V13" s="276">
        <v>0.25083781742660249</v>
      </c>
      <c r="W13" s="159">
        <v>3.8317250038866004</v>
      </c>
      <c r="X13" s="274" t="s">
        <v>156</v>
      </c>
      <c r="Y13" s="159" t="s">
        <v>156</v>
      </c>
      <c r="Z13" s="274">
        <v>492.14190240549829</v>
      </c>
      <c r="AA13" s="163"/>
    </row>
    <row r="14" spans="1:33" ht="12.9" customHeight="1" x14ac:dyDescent="0.25">
      <c r="A14" s="272" t="s">
        <v>492</v>
      </c>
      <c r="B14" s="53" t="s">
        <v>493</v>
      </c>
      <c r="C14" s="273">
        <v>37101</v>
      </c>
      <c r="D14" s="274">
        <v>4.9596715811247201</v>
      </c>
      <c r="E14" s="274">
        <v>5.2026526095948071</v>
      </c>
      <c r="F14" s="274">
        <v>2.3583452763273165</v>
      </c>
      <c r="G14" s="274">
        <v>507.68363481</v>
      </c>
      <c r="H14" s="274">
        <v>494.03063480999998</v>
      </c>
      <c r="I14" s="274">
        <v>0.69964309999999996</v>
      </c>
      <c r="J14" s="274">
        <v>725.63230425627012</v>
      </c>
      <c r="K14" s="274">
        <v>706.11806906978711</v>
      </c>
      <c r="L14" s="275">
        <v>11.30698518507795</v>
      </c>
      <c r="M14" s="275">
        <v>14.46392121965812</v>
      </c>
      <c r="N14" s="275">
        <v>8.5468625388888881</v>
      </c>
      <c r="O14" s="275">
        <v>9.7071440690248583</v>
      </c>
      <c r="P14" s="275">
        <v>5.881317081071427</v>
      </c>
      <c r="Q14" s="275">
        <v>6.7954695297111414</v>
      </c>
      <c r="R14" s="276">
        <v>0</v>
      </c>
      <c r="S14" s="275">
        <v>1.7077797300497517</v>
      </c>
      <c r="T14" s="276">
        <v>0</v>
      </c>
      <c r="U14" s="274">
        <v>97.250499999999988</v>
      </c>
      <c r="V14" s="276">
        <v>0.53399725451283042</v>
      </c>
      <c r="W14" s="159">
        <v>6.23417048693066</v>
      </c>
      <c r="X14" s="274" t="s">
        <v>156</v>
      </c>
      <c r="Y14" s="159" t="s">
        <v>156</v>
      </c>
      <c r="Z14" s="274">
        <v>146.306523</v>
      </c>
      <c r="AA14" s="163"/>
    </row>
    <row r="15" spans="1:33" ht="12.9" customHeight="1" x14ac:dyDescent="0.25">
      <c r="A15" s="272" t="s">
        <v>494</v>
      </c>
      <c r="B15" s="53" t="s">
        <v>495</v>
      </c>
      <c r="C15" s="273">
        <v>37101</v>
      </c>
      <c r="D15" s="274">
        <v>0.33231228893703091</v>
      </c>
      <c r="E15" s="274">
        <v>0.37161804354248618</v>
      </c>
      <c r="F15" s="274">
        <v>0.16794276967785435</v>
      </c>
      <c r="G15" s="274">
        <v>368.11725000000001</v>
      </c>
      <c r="H15" s="274">
        <v>813.61725000000001</v>
      </c>
      <c r="I15" s="274">
        <v>0.69964309999999996</v>
      </c>
      <c r="J15" s="274">
        <v>526.15004707400101</v>
      </c>
      <c r="K15" s="274">
        <v>1162.9032716823765</v>
      </c>
      <c r="L15" s="275">
        <v>9.1344230769230776</v>
      </c>
      <c r="M15" s="275">
        <v>7.2421257131615162</v>
      </c>
      <c r="N15" s="275">
        <v>4.5002108801955991</v>
      </c>
      <c r="O15" s="275">
        <v>3.3274631655066429</v>
      </c>
      <c r="P15" s="275">
        <v>6.6580789689034381</v>
      </c>
      <c r="Q15" s="275">
        <v>5.6777198185624558</v>
      </c>
      <c r="R15" s="276">
        <v>0.54474220341639246</v>
      </c>
      <c r="S15" s="275">
        <v>1.2671850258175559</v>
      </c>
      <c r="T15" s="276">
        <v>0</v>
      </c>
      <c r="U15" s="274">
        <v>428.1</v>
      </c>
      <c r="V15" s="276">
        <v>0.77551973837888344</v>
      </c>
      <c r="W15" s="159">
        <v>2.5233150737604184</v>
      </c>
      <c r="X15" s="274" t="s">
        <v>156</v>
      </c>
      <c r="Y15" s="159" t="s">
        <v>156</v>
      </c>
      <c r="Z15" s="274">
        <v>1583.3</v>
      </c>
      <c r="AA15" s="163"/>
    </row>
    <row r="16" spans="1:33" ht="12.9" customHeight="1" x14ac:dyDescent="0.25">
      <c r="A16" s="108"/>
      <c r="B16" s="165"/>
      <c r="C16" s="278"/>
      <c r="D16" s="159"/>
      <c r="E16" s="159"/>
      <c r="F16" s="159"/>
      <c r="G16" s="159"/>
      <c r="H16" s="159"/>
      <c r="I16" s="159"/>
      <c r="J16" s="160"/>
      <c r="K16" s="160"/>
      <c r="L16" s="154"/>
      <c r="M16" s="154"/>
      <c r="N16" s="154"/>
      <c r="O16" s="154"/>
      <c r="P16" s="154"/>
      <c r="Q16" s="154"/>
      <c r="R16" s="128"/>
      <c r="S16" s="154"/>
      <c r="T16" s="128"/>
      <c r="U16" s="161"/>
      <c r="V16" s="128"/>
      <c r="W16" s="159"/>
      <c r="X16" s="160"/>
      <c r="Y16" s="154"/>
      <c r="Z16" s="163"/>
      <c r="AA16" s="39"/>
      <c r="AB16" s="166"/>
      <c r="AC16" s="167"/>
      <c r="AD16" s="53"/>
    </row>
    <row r="17" spans="1:30" ht="13.5" customHeight="1" x14ac:dyDescent="0.25">
      <c r="B17" s="52"/>
      <c r="C17" s="52"/>
      <c r="D17" s="52"/>
      <c r="E17" s="52"/>
      <c r="F17" s="52"/>
      <c r="G17" s="52"/>
      <c r="H17" s="52"/>
      <c r="I17" s="52"/>
      <c r="J17" s="52"/>
      <c r="K17" s="63" t="s">
        <v>38</v>
      </c>
      <c r="L17" s="279">
        <v>12.125194706606768</v>
      </c>
      <c r="M17" s="279">
        <v>12.73476204981262</v>
      </c>
      <c r="N17" s="279">
        <v>6.950208028992372</v>
      </c>
      <c r="O17" s="279">
        <v>6.3978671459302632</v>
      </c>
      <c r="P17" s="279">
        <v>5.8291455104151337</v>
      </c>
      <c r="Q17" s="279">
        <v>5.5696322719404492</v>
      </c>
      <c r="R17" s="280">
        <v>0.28222869352272983</v>
      </c>
      <c r="S17" s="279">
        <v>1.9629884592797244</v>
      </c>
      <c r="T17" s="280">
        <v>6.0656575000000001E-3</v>
      </c>
      <c r="U17" s="281">
        <v>736.17929166666659</v>
      </c>
      <c r="V17" s="280">
        <v>0.61245620895185227</v>
      </c>
      <c r="W17" s="282">
        <v>4.6937865450961409</v>
      </c>
      <c r="X17" s="281"/>
      <c r="Y17" s="283">
        <v>1.349256512672556</v>
      </c>
      <c r="AB17" s="166"/>
      <c r="AC17" s="167"/>
      <c r="AD17" s="53"/>
    </row>
    <row r="18" spans="1:30" ht="12.9" customHeight="1" x14ac:dyDescent="0.25">
      <c r="B18" s="52"/>
      <c r="C18" s="52"/>
      <c r="D18" s="52"/>
      <c r="E18" s="52"/>
      <c r="F18" s="52"/>
      <c r="G18" s="52"/>
      <c r="H18" s="52"/>
      <c r="I18" s="52"/>
      <c r="J18" s="52"/>
      <c r="K18" s="71" t="s">
        <v>39</v>
      </c>
      <c r="L18" s="284">
        <v>10.220704131000513</v>
      </c>
      <c r="M18" s="284">
        <v>12.863627680218364</v>
      </c>
      <c r="N18" s="284">
        <v>6.5235367095422436</v>
      </c>
      <c r="O18" s="284">
        <v>6.2784306745947767</v>
      </c>
      <c r="P18" s="284">
        <v>6.2696980249874326</v>
      </c>
      <c r="Q18" s="284">
        <v>5.9727383912395604</v>
      </c>
      <c r="R18" s="285">
        <v>0.2920862853372635</v>
      </c>
      <c r="S18" s="284">
        <v>1.8396641877121005</v>
      </c>
      <c r="T18" s="285">
        <v>5.2584650000000004E-3</v>
      </c>
      <c r="U18" s="286">
        <v>717.5333333333333</v>
      </c>
      <c r="V18" s="285">
        <v>0.65475849644585693</v>
      </c>
      <c r="W18" s="287">
        <v>5.0088303098467435</v>
      </c>
      <c r="X18" s="286"/>
      <c r="Y18" s="288">
        <v>1.349256512672556</v>
      </c>
      <c r="AB18" s="166"/>
      <c r="AC18" s="167"/>
      <c r="AD18" s="53"/>
    </row>
    <row r="19" spans="1:30" ht="12.9" customHeight="1" x14ac:dyDescent="0.25">
      <c r="B19" s="52"/>
      <c r="C19" s="52"/>
      <c r="D19" s="52"/>
      <c r="E19" s="52"/>
      <c r="F19" s="52"/>
      <c r="G19" s="52"/>
      <c r="H19" s="52"/>
      <c r="I19" s="52"/>
      <c r="J19" s="54"/>
      <c r="K19" s="79" t="s">
        <v>25</v>
      </c>
      <c r="L19" s="284">
        <v>20.404998912902801</v>
      </c>
      <c r="M19" s="284">
        <v>17.969667125652236</v>
      </c>
      <c r="N19" s="284">
        <v>11.060790837163493</v>
      </c>
      <c r="O19" s="284">
        <v>9.7071440690248583</v>
      </c>
      <c r="P19" s="284">
        <v>8.0775661440322981</v>
      </c>
      <c r="Q19" s="284">
        <v>6.7954695297111414</v>
      </c>
      <c r="R19" s="285">
        <v>0.54474220341639246</v>
      </c>
      <c r="S19" s="284">
        <v>2.9054404358771415</v>
      </c>
      <c r="T19" s="285">
        <v>1.3745700000000001E-2</v>
      </c>
      <c r="U19" s="286">
        <v>1412.4</v>
      </c>
      <c r="V19" s="285">
        <v>0.88947002548909271</v>
      </c>
      <c r="W19" s="287">
        <v>6.23417048693066</v>
      </c>
      <c r="X19" s="286"/>
      <c r="Y19" s="288">
        <v>1.349256512672556</v>
      </c>
      <c r="AB19" s="166"/>
      <c r="AC19" s="167"/>
      <c r="AD19" s="53"/>
    </row>
    <row r="20" spans="1:30" ht="12.9" customHeight="1" x14ac:dyDescent="0.25">
      <c r="B20" s="52"/>
      <c r="C20" s="52"/>
      <c r="D20" s="52"/>
      <c r="E20" s="52"/>
      <c r="F20" s="52"/>
      <c r="G20" s="52"/>
      <c r="H20" s="52"/>
      <c r="I20" s="52"/>
      <c r="J20" s="52"/>
      <c r="K20" s="80" t="s">
        <v>26</v>
      </c>
      <c r="L20" s="289">
        <v>7.6543716515232472</v>
      </c>
      <c r="M20" s="289">
        <v>7.2421257131615162</v>
      </c>
      <c r="N20" s="289">
        <v>3.6929678597215059</v>
      </c>
      <c r="O20" s="289">
        <v>3.3274631655066429</v>
      </c>
      <c r="P20" s="289">
        <v>2.6996198476533699</v>
      </c>
      <c r="Q20" s="289">
        <v>3.5375827755715354</v>
      </c>
      <c r="R20" s="290">
        <v>0</v>
      </c>
      <c r="S20" s="289">
        <v>1.2671850258175559</v>
      </c>
      <c r="T20" s="290">
        <v>0</v>
      </c>
      <c r="U20" s="291">
        <v>97.250499999999988</v>
      </c>
      <c r="V20" s="290">
        <v>0.25083781742660249</v>
      </c>
      <c r="W20" s="292">
        <v>2.5233150737604184</v>
      </c>
      <c r="X20" s="291"/>
      <c r="Y20" s="293">
        <v>1.349256512672556</v>
      </c>
      <c r="AB20" s="166"/>
      <c r="AC20" s="167"/>
      <c r="AD20" s="53"/>
    </row>
    <row r="21" spans="1:30" ht="12.9" customHeight="1" x14ac:dyDescent="0.25"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163"/>
      <c r="AA21" s="39"/>
      <c r="AB21" s="166"/>
      <c r="AC21" s="167"/>
      <c r="AD21" s="53"/>
    </row>
    <row r="22" spans="1:30" s="270" customFormat="1" ht="12.9" hidden="1" customHeight="1" outlineLevel="1" x14ac:dyDescent="0.25">
      <c r="B22" s="294"/>
      <c r="C22" s="294"/>
      <c r="D22" s="294" t="s">
        <v>496</v>
      </c>
      <c r="E22" s="294" t="s">
        <v>497</v>
      </c>
      <c r="F22" s="294" t="s">
        <v>498</v>
      </c>
      <c r="G22" s="294"/>
      <c r="H22" s="294"/>
      <c r="I22" s="294"/>
      <c r="J22" s="294" t="s">
        <v>432</v>
      </c>
      <c r="K22" s="294"/>
      <c r="L22" s="294" t="s">
        <v>499</v>
      </c>
      <c r="M22" s="294" t="s">
        <v>500</v>
      </c>
      <c r="N22" s="294"/>
      <c r="O22" s="294"/>
      <c r="P22" s="294" t="s">
        <v>381</v>
      </c>
      <c r="Q22" s="294" t="s">
        <v>363</v>
      </c>
      <c r="R22" s="294" t="s">
        <v>501</v>
      </c>
      <c r="S22" s="294"/>
      <c r="T22" s="294"/>
      <c r="U22" s="294"/>
      <c r="V22" s="294"/>
      <c r="W22" s="294"/>
      <c r="X22" s="294"/>
      <c r="Y22" s="294"/>
      <c r="Z22" s="295"/>
      <c r="AA22" s="296"/>
      <c r="AB22" s="297"/>
      <c r="AC22" s="298"/>
      <c r="AD22" s="299"/>
    </row>
    <row r="23" spans="1:30" ht="12.9" customHeight="1" collapsed="1" x14ac:dyDescent="0.25">
      <c r="B23" s="52"/>
      <c r="C23" s="52"/>
      <c r="D23" s="52"/>
      <c r="Z23" s="163"/>
      <c r="AA23" s="39"/>
      <c r="AB23" s="166"/>
      <c r="AC23" s="167"/>
      <c r="AD23" s="53"/>
    </row>
    <row r="24" spans="1:30" ht="12.9" customHeight="1" x14ac:dyDescent="0.25">
      <c r="A24" s="57"/>
      <c r="B24" s="49" t="s">
        <v>141</v>
      </c>
      <c r="C24" s="49"/>
      <c r="D24" s="49" t="s">
        <v>41</v>
      </c>
      <c r="E24" s="49"/>
      <c r="F24" s="49"/>
      <c r="G24" s="49"/>
      <c r="H24" s="49"/>
      <c r="I24" s="49"/>
      <c r="J24" s="49" t="s">
        <v>42</v>
      </c>
      <c r="K24" s="49"/>
      <c r="L24" s="49" t="s">
        <v>43</v>
      </c>
      <c r="M24" s="49"/>
      <c r="P24" s="49" t="s">
        <v>44</v>
      </c>
      <c r="Q24" s="49"/>
      <c r="R24" s="49"/>
      <c r="S24" s="49"/>
      <c r="Z24" s="163"/>
      <c r="AA24" s="39"/>
      <c r="AB24" s="166"/>
      <c r="AC24" s="167"/>
      <c r="AD24" s="53"/>
    </row>
    <row r="25" spans="1:30" ht="12.9" customHeight="1" x14ac:dyDescent="0.25">
      <c r="A25" s="57"/>
      <c r="B25" s="150" t="s">
        <v>37</v>
      </c>
      <c r="C25" s="58"/>
      <c r="D25" s="150" t="s">
        <v>37</v>
      </c>
      <c r="E25" s="58"/>
      <c r="F25" s="58"/>
      <c r="G25" s="58"/>
      <c r="H25" s="58"/>
      <c r="I25" s="58"/>
      <c r="J25" s="150" t="s">
        <v>37</v>
      </c>
      <c r="K25" s="58"/>
      <c r="L25" s="150" t="s">
        <v>37</v>
      </c>
      <c r="M25" s="58"/>
      <c r="P25" s="150" t="s">
        <v>37</v>
      </c>
      <c r="Q25" s="58"/>
      <c r="R25" s="58"/>
      <c r="S25" s="58"/>
    </row>
    <row r="26" spans="1:30" ht="12.9" customHeight="1" x14ac:dyDescent="0.25">
      <c r="B26" s="39"/>
      <c r="C26" s="39"/>
      <c r="D26" s="50" t="s">
        <v>46</v>
      </c>
      <c r="E26" s="50" t="s">
        <v>47</v>
      </c>
      <c r="F26" s="50" t="s">
        <v>7</v>
      </c>
      <c r="G26" s="50"/>
      <c r="H26" s="50"/>
      <c r="I26" s="50"/>
      <c r="J26" s="51"/>
      <c r="P26" s="50" t="s">
        <v>49</v>
      </c>
      <c r="Q26" s="50"/>
      <c r="R26" s="50" t="s">
        <v>50</v>
      </c>
      <c r="S26" s="50" t="s">
        <v>51</v>
      </c>
    </row>
    <row r="27" spans="1:30" ht="12.9" customHeight="1" x14ac:dyDescent="0.25">
      <c r="A27" s="39" t="s">
        <v>21</v>
      </c>
      <c r="B27" s="39" t="s">
        <v>57</v>
      </c>
      <c r="C27" s="39" t="s">
        <v>58</v>
      </c>
      <c r="D27" s="39" t="s">
        <v>59</v>
      </c>
      <c r="E27" s="39" t="s">
        <v>60</v>
      </c>
      <c r="F27" s="39" t="s">
        <v>61</v>
      </c>
      <c r="G27" s="39"/>
      <c r="H27" s="39"/>
      <c r="I27" s="39"/>
      <c r="J27" s="39" t="s">
        <v>62</v>
      </c>
      <c r="K27" s="39" t="s">
        <v>7</v>
      </c>
      <c r="L27" s="39" t="s">
        <v>63</v>
      </c>
      <c r="M27" s="39" t="s">
        <v>64</v>
      </c>
      <c r="P27" s="39" t="s">
        <v>65</v>
      </c>
      <c r="Q27" s="39" t="s">
        <v>66</v>
      </c>
      <c r="R27" s="51" t="s">
        <v>67</v>
      </c>
      <c r="S27" s="39" t="s">
        <v>68</v>
      </c>
    </row>
    <row r="28" spans="1:30" ht="12.9" customHeight="1" x14ac:dyDescent="0.25">
      <c r="A28" s="150" t="s">
        <v>37</v>
      </c>
      <c r="B28" s="150" t="s">
        <v>37</v>
      </c>
      <c r="C28" s="150" t="s">
        <v>37</v>
      </c>
      <c r="D28" s="150" t="s">
        <v>37</v>
      </c>
      <c r="E28" s="150" t="s">
        <v>37</v>
      </c>
      <c r="F28" s="150" t="s">
        <v>37</v>
      </c>
      <c r="G28" s="150"/>
      <c r="H28" s="150"/>
      <c r="I28" s="150"/>
      <c r="J28" s="150" t="s">
        <v>37</v>
      </c>
      <c r="K28" s="150" t="s">
        <v>37</v>
      </c>
      <c r="L28" s="150" t="s">
        <v>37</v>
      </c>
      <c r="M28" s="150" t="s">
        <v>37</v>
      </c>
      <c r="P28" s="150" t="s">
        <v>37</v>
      </c>
      <c r="Q28" s="150" t="s">
        <v>37</v>
      </c>
      <c r="R28" s="150" t="s">
        <v>37</v>
      </c>
      <c r="S28" s="150" t="s">
        <v>37</v>
      </c>
    </row>
    <row r="29" spans="1:30" ht="12.9" customHeight="1" x14ac:dyDescent="0.25">
      <c r="A29" s="300" t="s">
        <v>488</v>
      </c>
      <c r="B29" s="38" t="s">
        <v>502</v>
      </c>
      <c r="C29" s="53" t="s">
        <v>503</v>
      </c>
      <c r="D29" s="274" t="s">
        <v>504</v>
      </c>
      <c r="E29" s="274" t="s">
        <v>269</v>
      </c>
      <c r="F29" s="301">
        <v>37050</v>
      </c>
      <c r="G29" s="274" t="e">
        <v>#REF!</v>
      </c>
      <c r="H29" s="274" t="e">
        <v>#REF!</v>
      </c>
      <c r="I29" s="274" t="e">
        <v>#REF!</v>
      </c>
      <c r="J29" s="274" t="s">
        <v>505</v>
      </c>
      <c r="K29" s="301">
        <v>37050</v>
      </c>
      <c r="L29" s="276">
        <v>4.4088838001707091E-2</v>
      </c>
      <c r="M29" s="276">
        <v>7.0610687022900784E-2</v>
      </c>
      <c r="N29" s="39"/>
      <c r="O29" s="39"/>
      <c r="P29" s="276">
        <v>8.4878508546783298</v>
      </c>
      <c r="Q29" s="275">
        <v>87.562318840579707</v>
      </c>
      <c r="R29" s="302">
        <v>3.6402216198263089</v>
      </c>
      <c r="S29" s="276" t="s">
        <v>156</v>
      </c>
      <c r="T29" s="39"/>
      <c r="Z29" s="39"/>
    </row>
    <row r="30" spans="1:30" ht="12.9" customHeight="1" x14ac:dyDescent="0.25">
      <c r="A30" s="300" t="s">
        <v>490</v>
      </c>
      <c r="B30" s="38" t="s">
        <v>502</v>
      </c>
      <c r="C30" s="53" t="s">
        <v>503</v>
      </c>
      <c r="D30" s="274" t="s">
        <v>504</v>
      </c>
      <c r="E30" s="274" t="s">
        <v>269</v>
      </c>
      <c r="F30" s="301">
        <v>37050</v>
      </c>
      <c r="G30" s="274" t="e">
        <v>#REF!</v>
      </c>
      <c r="H30" s="274" t="e">
        <v>#REF!</v>
      </c>
      <c r="I30" s="274" t="e">
        <v>#REF!</v>
      </c>
      <c r="J30" s="274" t="s">
        <v>232</v>
      </c>
      <c r="K30" s="301">
        <v>37050</v>
      </c>
      <c r="L30" s="276">
        <v>0.12736077481840188</v>
      </c>
      <c r="M30" s="276">
        <v>2.6455026455026519E-2</v>
      </c>
      <c r="N30" s="39"/>
      <c r="O30" s="303"/>
      <c r="P30" s="276">
        <v>3.9903320880219426</v>
      </c>
      <c r="Q30" s="275">
        <v>13.806451612903224</v>
      </c>
      <c r="R30" s="302">
        <v>2.7716481273714426</v>
      </c>
      <c r="S30" s="276" t="s">
        <v>156</v>
      </c>
      <c r="T30" s="174"/>
      <c r="Z30" s="60"/>
    </row>
    <row r="31" spans="1:30" s="39" customFormat="1" ht="12.9" customHeight="1" x14ac:dyDescent="0.25">
      <c r="A31" s="300" t="s">
        <v>492</v>
      </c>
      <c r="B31" s="38" t="s">
        <v>502</v>
      </c>
      <c r="C31" s="53" t="s">
        <v>503</v>
      </c>
      <c r="D31" s="274" t="s">
        <v>504</v>
      </c>
      <c r="E31" s="274" t="s">
        <v>148</v>
      </c>
      <c r="F31" s="301">
        <v>37050</v>
      </c>
      <c r="G31" s="274" t="e">
        <v>#REF!</v>
      </c>
      <c r="H31" s="274" t="e">
        <v>#REF!</v>
      </c>
      <c r="I31" s="274" t="e">
        <v>#REF!</v>
      </c>
      <c r="J31" s="274" t="s">
        <v>157</v>
      </c>
      <c r="K31" s="301">
        <v>37050</v>
      </c>
      <c r="L31" s="276">
        <v>1.0411764705882351</v>
      </c>
      <c r="M31" s="276">
        <v>0.68856447688564471</v>
      </c>
      <c r="P31" s="276">
        <v>20.662322818966256</v>
      </c>
      <c r="Q31" s="275">
        <v>19.988455741298985</v>
      </c>
      <c r="R31" s="302">
        <v>2.1914213092002357</v>
      </c>
      <c r="S31" s="276" t="s">
        <v>156</v>
      </c>
      <c r="T31" s="174"/>
      <c r="U31" s="38"/>
      <c r="V31" s="38"/>
      <c r="W31" s="38"/>
      <c r="X31" s="38"/>
      <c r="Y31" s="38"/>
    </row>
    <row r="32" spans="1:30" ht="12.9" customHeight="1" x14ac:dyDescent="0.25">
      <c r="A32" s="300" t="s">
        <v>494</v>
      </c>
      <c r="B32" s="38" t="s">
        <v>502</v>
      </c>
      <c r="C32" s="53" t="s">
        <v>503</v>
      </c>
      <c r="D32" s="274" t="s">
        <v>504</v>
      </c>
      <c r="E32" s="274" t="s">
        <v>269</v>
      </c>
      <c r="F32" s="301">
        <v>37050</v>
      </c>
      <c r="G32" s="274" t="e">
        <v>#REF!</v>
      </c>
      <c r="H32" s="274" t="e">
        <v>#REF!</v>
      </c>
      <c r="I32" s="274" t="e">
        <v>#REF!</v>
      </c>
      <c r="J32" s="274" t="s">
        <v>157</v>
      </c>
      <c r="K32" s="301">
        <v>37050</v>
      </c>
      <c r="L32" s="276">
        <v>0.89795918367346927</v>
      </c>
      <c r="M32" s="276">
        <v>0.52459016393442637</v>
      </c>
      <c r="N32" s="39"/>
      <c r="O32" s="303"/>
      <c r="P32" s="276">
        <v>-0.20253164556962022</v>
      </c>
      <c r="Q32" s="275">
        <v>40.642405063291143</v>
      </c>
      <c r="R32" s="302" t="s">
        <v>156</v>
      </c>
      <c r="S32" s="276" t="s">
        <v>156</v>
      </c>
      <c r="T32" s="174"/>
      <c r="Z32" s="60"/>
    </row>
    <row r="33" spans="1:32" s="39" customFormat="1" ht="12.9" customHeight="1" x14ac:dyDescent="0.25">
      <c r="A33" s="300"/>
      <c r="B33" s="38"/>
      <c r="C33" s="53"/>
      <c r="D33" s="53"/>
      <c r="E33" s="53"/>
      <c r="F33" s="304"/>
      <c r="G33" s="304"/>
      <c r="H33" s="304"/>
      <c r="I33" s="304"/>
      <c r="K33" s="304"/>
      <c r="L33" s="155"/>
      <c r="M33" s="155"/>
      <c r="O33" s="303"/>
      <c r="P33" s="155"/>
      <c r="Q33" s="153"/>
      <c r="R33" s="151"/>
      <c r="S33" s="53"/>
      <c r="T33" s="174"/>
      <c r="U33" s="38"/>
      <c r="V33" s="38"/>
      <c r="W33" s="38"/>
      <c r="X33" s="38"/>
      <c r="Y33" s="38"/>
      <c r="Z33" s="60"/>
      <c r="AA33" s="56"/>
      <c r="AB33" s="38"/>
      <c r="AC33" s="38"/>
      <c r="AD33" s="38"/>
      <c r="AE33" s="38"/>
      <c r="AF33" s="38"/>
    </row>
    <row r="34" spans="1:32" s="39" customFormat="1" ht="12.9" customHeight="1" x14ac:dyDescent="0.25">
      <c r="B34" s="175"/>
      <c r="C34" s="175"/>
      <c r="E34" s="175"/>
      <c r="O34" s="63" t="s">
        <v>38</v>
      </c>
      <c r="P34" s="279">
        <v>8.2344935290242276</v>
      </c>
      <c r="Q34" s="279">
        <v>40.499907814518266</v>
      </c>
      <c r="R34" s="279">
        <v>2.8677636854659956</v>
      </c>
      <c r="S34" s="305" t="s">
        <v>156</v>
      </c>
      <c r="T34" s="174"/>
      <c r="U34" s="38"/>
      <c r="V34" s="38"/>
      <c r="W34" s="38"/>
      <c r="X34" s="38"/>
      <c r="Y34" s="38"/>
    </row>
    <row r="35" spans="1:32" s="39" customFormat="1" ht="12.9" customHeight="1" x14ac:dyDescent="0.25">
      <c r="B35" s="175"/>
      <c r="C35" s="175"/>
      <c r="D35" s="175"/>
      <c r="O35" s="71" t="s">
        <v>39</v>
      </c>
      <c r="P35" s="284">
        <v>6.239091471350136</v>
      </c>
      <c r="Q35" s="284">
        <v>30.315430402295064</v>
      </c>
      <c r="R35" s="284">
        <v>2.7716481273714426</v>
      </c>
      <c r="S35" s="306" t="s">
        <v>156</v>
      </c>
      <c r="T35" s="174"/>
      <c r="U35" s="38"/>
      <c r="V35" s="38"/>
      <c r="W35" s="38"/>
      <c r="X35" s="38"/>
      <c r="Y35" s="38"/>
      <c r="Z35" s="60"/>
    </row>
    <row r="36" spans="1:32" s="39" customFormat="1" ht="12.9" customHeight="1" x14ac:dyDescent="0.25">
      <c r="B36" s="175"/>
      <c r="C36" s="175"/>
      <c r="D36" s="175"/>
      <c r="O36" s="79" t="s">
        <v>25</v>
      </c>
      <c r="P36" s="284">
        <v>20.662322818966256</v>
      </c>
      <c r="Q36" s="284">
        <v>87.562318840579707</v>
      </c>
      <c r="R36" s="284">
        <v>3.6402216198263089</v>
      </c>
      <c r="S36" s="306" t="s">
        <v>156</v>
      </c>
      <c r="T36" s="174"/>
      <c r="U36" s="38"/>
      <c r="V36" s="38"/>
      <c r="W36" s="38"/>
      <c r="X36" s="38"/>
      <c r="Y36" s="38"/>
      <c r="Z36" s="60"/>
    </row>
    <row r="37" spans="1:32" s="39" customFormat="1" ht="12.9" customHeight="1" x14ac:dyDescent="0.25">
      <c r="B37" s="175"/>
      <c r="C37" s="175"/>
      <c r="D37" s="175"/>
      <c r="O37" s="80" t="s">
        <v>26</v>
      </c>
      <c r="P37" s="289">
        <v>-0.20253164556962022</v>
      </c>
      <c r="Q37" s="289">
        <v>13.806451612903224</v>
      </c>
      <c r="R37" s="289">
        <v>2.1914213092002357</v>
      </c>
      <c r="S37" s="307" t="s">
        <v>156</v>
      </c>
      <c r="T37" s="174"/>
      <c r="U37" s="38"/>
      <c r="V37" s="38"/>
      <c r="W37" s="38"/>
      <c r="X37" s="38"/>
      <c r="Y37" s="38"/>
      <c r="Z37" s="60"/>
    </row>
    <row r="38" spans="1:32" s="39" customFormat="1" ht="12.9" customHeight="1" x14ac:dyDescent="0.25">
      <c r="A38" s="308"/>
      <c r="Z38" s="60"/>
    </row>
    <row r="39" spans="1:32" s="39" customFormat="1" ht="12.9" customHeight="1" x14ac:dyDescent="0.25">
      <c r="A39" s="55"/>
    </row>
    <row r="40" spans="1:32" s="39" customFormat="1" ht="12.9" customHeight="1" x14ac:dyDescent="0.25">
      <c r="A40" s="55"/>
    </row>
    <row r="41" spans="1:32" s="39" customFormat="1" ht="12.9" customHeight="1" x14ac:dyDescent="0.25">
      <c r="A41" s="55"/>
    </row>
    <row r="42" spans="1:32" s="39" customFormat="1" ht="12.9" customHeight="1" x14ac:dyDescent="0.25">
      <c r="A42" s="55"/>
    </row>
    <row r="43" spans="1:32" s="39" customFormat="1" ht="12.9" customHeight="1" x14ac:dyDescent="0.25">
      <c r="A43" s="55"/>
    </row>
    <row r="44" spans="1:32" s="39" customFormat="1" ht="12.9" customHeight="1" x14ac:dyDescent="0.25">
      <c r="A44" s="55"/>
    </row>
    <row r="45" spans="1:32" s="39" customFormat="1" ht="12.9" customHeight="1" x14ac:dyDescent="0.25"/>
    <row r="46" spans="1:32" s="39" customFormat="1" ht="12.9" customHeight="1" x14ac:dyDescent="0.25"/>
    <row r="47" spans="1:32" s="39" customFormat="1" ht="12.9" customHeight="1" x14ac:dyDescent="0.25"/>
    <row r="48" spans="1:32" s="39" customFormat="1" ht="12.9" customHeight="1" x14ac:dyDescent="0.25"/>
    <row r="49" spans="1:32" s="39" customFormat="1" ht="12.9" customHeight="1" x14ac:dyDescent="0.25"/>
    <row r="50" spans="1:32" s="39" customFormat="1" ht="12.9" customHeight="1" x14ac:dyDescent="0.25"/>
    <row r="51" spans="1:32" s="39" customFormat="1" ht="12.9" customHeight="1" x14ac:dyDescent="0.25"/>
    <row r="52" spans="1:32" s="39" customFormat="1" ht="12.9" customHeight="1" x14ac:dyDescent="0.25"/>
    <row r="53" spans="1:32" s="39" customFormat="1" ht="12.9" customHeight="1" x14ac:dyDescent="0.25"/>
    <row r="54" spans="1:32" s="39" customFormat="1" ht="12.9" customHeight="1" x14ac:dyDescent="0.2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32" ht="12.9" customHeight="1" x14ac:dyDescent="0.25">
      <c r="AA55" s="39"/>
      <c r="AB55" s="39"/>
      <c r="AC55" s="39"/>
      <c r="AD55" s="39"/>
      <c r="AE55" s="39"/>
      <c r="AF55" s="39"/>
    </row>
    <row r="56" spans="1:32" ht="12.9" customHeight="1" x14ac:dyDescent="0.25"/>
    <row r="57" spans="1:32" ht="12.9" customHeight="1" x14ac:dyDescent="0.25"/>
    <row r="58" spans="1:32" ht="12.9" customHeight="1" x14ac:dyDescent="0.25"/>
    <row r="59" spans="1:32" ht="12.9" customHeight="1" x14ac:dyDescent="0.25"/>
    <row r="60" spans="1:32" ht="12.9" customHeight="1" x14ac:dyDescent="0.25"/>
    <row r="61" spans="1:32" ht="12.9" customHeight="1" x14ac:dyDescent="0.25"/>
    <row r="62" spans="1:32" ht="12.9" customHeight="1" x14ac:dyDescent="0.25"/>
    <row r="63" spans="1:32" ht="12.9" customHeight="1" x14ac:dyDescent="0.25"/>
    <row r="64" spans="1:32" ht="12.9" customHeight="1" x14ac:dyDescent="0.25"/>
    <row r="65" ht="12.9" customHeight="1" x14ac:dyDescent="0.25"/>
    <row r="66" ht="12.9" customHeight="1" x14ac:dyDescent="0.25"/>
    <row r="67" ht="12.9" customHeight="1" x14ac:dyDescent="0.25"/>
    <row r="68" ht="12.9" customHeight="1" x14ac:dyDescent="0.25"/>
    <row r="69" ht="12.9" customHeight="1" x14ac:dyDescent="0.25"/>
    <row r="70" ht="12.9" customHeight="1" x14ac:dyDescent="0.25"/>
    <row r="71" ht="12.9" customHeight="1" x14ac:dyDescent="0.25"/>
    <row r="72" ht="12.9" customHeight="1" x14ac:dyDescent="0.25"/>
    <row r="73" ht="12.9" customHeight="1" x14ac:dyDescent="0.25"/>
    <row r="74" ht="12.9" customHeight="1" x14ac:dyDescent="0.25"/>
    <row r="75" ht="12.9" customHeight="1" x14ac:dyDescent="0.25"/>
    <row r="76" ht="12.9" customHeight="1" x14ac:dyDescent="0.25"/>
    <row r="77" ht="12.9" customHeight="1" x14ac:dyDescent="0.25"/>
    <row r="78" ht="12.9" customHeight="1" x14ac:dyDescent="0.25"/>
    <row r="79" ht="12.9" customHeight="1" x14ac:dyDescent="0.25"/>
    <row r="80" ht="12.9" customHeight="1" x14ac:dyDescent="0.25"/>
    <row r="81" ht="12.9" customHeight="1" x14ac:dyDescent="0.25"/>
    <row r="82" ht="12.9" customHeight="1" x14ac:dyDescent="0.25"/>
    <row r="83" ht="12.9" customHeight="1" x14ac:dyDescent="0.25"/>
    <row r="84" ht="12.9" customHeight="1" x14ac:dyDescent="0.25"/>
    <row r="85" ht="12.9" customHeight="1" x14ac:dyDescent="0.25"/>
    <row r="86" ht="12.9" customHeight="1" x14ac:dyDescent="0.25"/>
    <row r="87" ht="12.9" customHeight="1" x14ac:dyDescent="0.25"/>
    <row r="88" ht="12.9" customHeight="1" x14ac:dyDescent="0.25"/>
    <row r="89" ht="12.9" customHeight="1" x14ac:dyDescent="0.25"/>
    <row r="90" ht="12.9" customHeight="1" x14ac:dyDescent="0.25"/>
    <row r="91" ht="12.9" customHeight="1" x14ac:dyDescent="0.25"/>
    <row r="92" ht="12.9" customHeight="1" x14ac:dyDescent="0.25"/>
    <row r="93" ht="12.9" customHeight="1" x14ac:dyDescent="0.25"/>
    <row r="94" ht="12.9" customHeight="1" x14ac:dyDescent="0.25"/>
    <row r="95" ht="12.9" customHeight="1" x14ac:dyDescent="0.25"/>
  </sheetData>
  <mergeCells count="3">
    <mergeCell ref="L9:M9"/>
    <mergeCell ref="N9:O9"/>
    <mergeCell ref="P9:Q9"/>
  </mergeCells>
  <phoneticPr fontId="0" type="noConversion"/>
  <pageMargins left="0" right="0" top="0" bottom="0" header="0.5" footer="0.5"/>
  <pageSetup scale="48" orientation="landscape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13"/>
  <sheetViews>
    <sheetView zoomScale="50" workbookViewId="0">
      <selection activeCell="B6" sqref="B6"/>
    </sheetView>
  </sheetViews>
  <sheetFormatPr defaultColWidth="9.109375" defaultRowHeight="13.2" outlineLevelCol="1" x14ac:dyDescent="0.25"/>
  <cols>
    <col min="1" max="1" width="31.109375" style="1" customWidth="1"/>
    <col min="2" max="2" width="14.44140625" style="1" bestFit="1" customWidth="1"/>
    <col min="3" max="3" width="13.33203125" style="1" customWidth="1"/>
    <col min="4" max="4" width="12.109375" style="1" customWidth="1"/>
    <col min="5" max="5" width="12.33203125" style="1" customWidth="1"/>
    <col min="6" max="6" width="10.6640625" style="1" customWidth="1"/>
    <col min="7" max="7" width="13.109375" style="1" customWidth="1"/>
    <col min="8" max="8" width="10.6640625" style="1" customWidth="1"/>
    <col min="9" max="9" width="8.6640625" style="1" hidden="1" customWidth="1" outlineLevel="1"/>
    <col min="10" max="10" width="9.5546875" style="1" customWidth="1" collapsed="1"/>
    <col min="11" max="11" width="10.44140625" style="1" customWidth="1"/>
    <col min="12" max="12" width="8.6640625" style="1" hidden="1" customWidth="1" outlineLevel="1"/>
    <col min="13" max="13" width="8.6640625" style="1" customWidth="1" collapsed="1"/>
    <col min="14" max="14" width="9.88671875" style="1" customWidth="1"/>
    <col min="15" max="15" width="8.6640625" style="1" hidden="1" customWidth="1" outlineLevel="1"/>
    <col min="16" max="16" width="8.6640625" style="1" customWidth="1" collapsed="1"/>
    <col min="17" max="17" width="8.6640625" style="1" customWidth="1"/>
    <col min="18" max="22" width="9.6640625" style="1" customWidth="1"/>
    <col min="23" max="23" width="10.44140625" style="1" customWidth="1"/>
    <col min="24" max="24" width="10.109375" style="1" customWidth="1"/>
    <col min="25" max="25" width="10.6640625" style="1" bestFit="1" customWidth="1"/>
    <col min="26" max="26" width="10.6640625" style="1" customWidth="1"/>
    <col min="27" max="27" width="13.109375" style="1" customWidth="1"/>
    <col min="28" max="28" width="3.33203125" style="1" customWidth="1"/>
    <col min="29" max="30" width="10.6640625" style="1" customWidth="1"/>
    <col min="31" max="31" width="15.6640625" style="1" customWidth="1"/>
    <col min="32" max="16384" width="9.109375" style="1"/>
  </cols>
  <sheetData>
    <row r="1" spans="1:33" ht="17.399999999999999" x14ac:dyDescent="0.3">
      <c r="A1" s="3" t="s">
        <v>238</v>
      </c>
      <c r="B1" s="3"/>
      <c r="C1" s="3"/>
    </row>
    <row r="2" spans="1:33" ht="15" customHeight="1" x14ac:dyDescent="0.3">
      <c r="A2" s="113" t="s">
        <v>0</v>
      </c>
      <c r="B2" s="113"/>
      <c r="C2" s="113"/>
      <c r="AG2" s="4"/>
    </row>
    <row r="3" spans="1:33" x14ac:dyDescent="0.25">
      <c r="A3" s="5" t="s">
        <v>1</v>
      </c>
      <c r="B3" s="5"/>
      <c r="C3" s="5"/>
      <c r="Q3" s="110"/>
      <c r="T3" s="111"/>
      <c r="AG3" s="4"/>
    </row>
    <row r="4" spans="1:33" x14ac:dyDescent="0.25">
      <c r="A4" s="5"/>
      <c r="B4" s="5"/>
      <c r="C4" s="5"/>
      <c r="AG4" s="4"/>
    </row>
    <row r="5" spans="1:33" x14ac:dyDescent="0.25">
      <c r="A5" s="5"/>
      <c r="B5" s="5"/>
      <c r="C5" s="5"/>
      <c r="AG5" s="4"/>
    </row>
    <row r="6" spans="1:33" x14ac:dyDescent="0.25">
      <c r="A6" s="6" t="s">
        <v>2</v>
      </c>
      <c r="B6" s="114">
        <v>37106</v>
      </c>
      <c r="C6" s="115"/>
    </row>
    <row r="7" spans="1:33" x14ac:dyDescent="0.25">
      <c r="H7" s="2" t="s">
        <v>3</v>
      </c>
      <c r="V7" s="116"/>
      <c r="W7" s="102" t="s">
        <v>4</v>
      </c>
      <c r="X7" s="116"/>
      <c r="Y7" s="352" t="s">
        <v>5</v>
      </c>
      <c r="Z7" s="352"/>
      <c r="AA7" s="2" t="s">
        <v>6</v>
      </c>
    </row>
    <row r="8" spans="1:33" x14ac:dyDescent="0.25">
      <c r="C8" s="2" t="s">
        <v>7</v>
      </c>
      <c r="D8" s="2" t="s">
        <v>8</v>
      </c>
      <c r="E8" s="117" t="s">
        <v>9</v>
      </c>
      <c r="F8" s="117"/>
      <c r="G8" s="2" t="s">
        <v>10</v>
      </c>
      <c r="H8" s="2" t="s">
        <v>10</v>
      </c>
      <c r="I8" s="352" t="s">
        <v>11</v>
      </c>
      <c r="J8" s="352"/>
      <c r="K8" s="352"/>
      <c r="L8" s="352" t="s">
        <v>12</v>
      </c>
      <c r="M8" s="352"/>
      <c r="N8" s="352"/>
      <c r="O8" s="352" t="s">
        <v>13</v>
      </c>
      <c r="P8" s="352"/>
      <c r="Q8" s="352"/>
      <c r="R8" s="118" t="s">
        <v>14</v>
      </c>
      <c r="S8" s="98" t="s">
        <v>15</v>
      </c>
      <c r="T8" s="2" t="s">
        <v>16</v>
      </c>
      <c r="U8" s="98" t="s">
        <v>17</v>
      </c>
      <c r="V8" s="2" t="s">
        <v>17</v>
      </c>
      <c r="W8" s="2"/>
      <c r="X8" s="7" t="s">
        <v>18</v>
      </c>
      <c r="Y8" s="2" t="s">
        <v>17</v>
      </c>
      <c r="Z8" s="2" t="s">
        <v>19</v>
      </c>
      <c r="AA8" s="2" t="s">
        <v>20</v>
      </c>
      <c r="AB8" s="98"/>
    </row>
    <row r="9" spans="1:33" x14ac:dyDescent="0.25">
      <c r="A9" s="2" t="s">
        <v>21</v>
      </c>
      <c r="B9" s="2" t="s">
        <v>22</v>
      </c>
      <c r="C9" s="2" t="s">
        <v>23</v>
      </c>
      <c r="D9" s="2" t="s">
        <v>24</v>
      </c>
      <c r="E9" s="2" t="s">
        <v>25</v>
      </c>
      <c r="F9" s="2" t="s">
        <v>26</v>
      </c>
      <c r="G9" s="2" t="s">
        <v>27</v>
      </c>
      <c r="H9" s="2" t="s">
        <v>27</v>
      </c>
      <c r="I9" s="2" t="s">
        <v>28</v>
      </c>
      <c r="J9" s="7" t="s">
        <v>111</v>
      </c>
      <c r="K9" s="7" t="s">
        <v>112</v>
      </c>
      <c r="L9" s="2" t="s">
        <v>28</v>
      </c>
      <c r="M9" s="7" t="s">
        <v>111</v>
      </c>
      <c r="N9" s="7" t="s">
        <v>112</v>
      </c>
      <c r="O9" s="2" t="s">
        <v>28</v>
      </c>
      <c r="P9" s="7" t="s">
        <v>111</v>
      </c>
      <c r="Q9" s="7" t="s">
        <v>112</v>
      </c>
      <c r="R9" s="2" t="s">
        <v>29</v>
      </c>
      <c r="S9" s="2" t="s">
        <v>30</v>
      </c>
      <c r="T9" s="2" t="s">
        <v>239</v>
      </c>
      <c r="U9" s="2" t="s">
        <v>240</v>
      </c>
      <c r="V9" s="2" t="s">
        <v>32</v>
      </c>
      <c r="W9" s="2" t="s">
        <v>33</v>
      </c>
      <c r="X9" s="2" t="s">
        <v>34</v>
      </c>
      <c r="Y9" s="2" t="s">
        <v>35</v>
      </c>
      <c r="Z9" s="2" t="s">
        <v>5</v>
      </c>
      <c r="AA9" s="2" t="s">
        <v>36</v>
      </c>
      <c r="AB9" s="98"/>
    </row>
    <row r="10" spans="1:33" ht="4.95" customHeight="1" thickBot="1" x14ac:dyDescent="0.3">
      <c r="A10" s="8" t="s">
        <v>37</v>
      </c>
      <c r="B10" s="8" t="s">
        <v>37</v>
      </c>
      <c r="C10" s="8" t="s">
        <v>37</v>
      </c>
      <c r="D10" s="8" t="s">
        <v>37</v>
      </c>
      <c r="E10" s="8" t="s">
        <v>37</v>
      </c>
      <c r="F10" s="8" t="s">
        <v>37</v>
      </c>
      <c r="G10" s="8" t="s">
        <v>37</v>
      </c>
      <c r="H10" s="8" t="s">
        <v>37</v>
      </c>
      <c r="I10" s="8" t="s">
        <v>37</v>
      </c>
      <c r="J10" s="8" t="s">
        <v>37</v>
      </c>
      <c r="K10" s="8" t="s">
        <v>37</v>
      </c>
      <c r="L10" s="8" t="s">
        <v>37</v>
      </c>
      <c r="M10" s="8" t="s">
        <v>37</v>
      </c>
      <c r="N10" s="8" t="s">
        <v>37</v>
      </c>
      <c r="O10" s="8" t="s">
        <v>37</v>
      </c>
      <c r="P10" s="8" t="s">
        <v>37</v>
      </c>
      <c r="Q10" s="8" t="s">
        <v>37</v>
      </c>
      <c r="R10" s="8" t="s">
        <v>37</v>
      </c>
      <c r="S10" s="8" t="s">
        <v>37</v>
      </c>
      <c r="T10" s="8"/>
      <c r="U10" s="8"/>
      <c r="V10" s="8" t="s">
        <v>37</v>
      </c>
      <c r="W10" s="8" t="s">
        <v>37</v>
      </c>
      <c r="X10" s="8" t="s">
        <v>37</v>
      </c>
      <c r="Y10" s="8" t="s">
        <v>37</v>
      </c>
      <c r="Z10" s="8" t="s">
        <v>37</v>
      </c>
      <c r="AA10" s="8" t="s">
        <v>37</v>
      </c>
      <c r="AB10" s="9"/>
    </row>
    <row r="11" spans="1:33" ht="12.9" customHeight="1" x14ac:dyDescent="0.25">
      <c r="A11" s="1" t="s">
        <v>241</v>
      </c>
      <c r="B11" s="2" t="s">
        <v>242</v>
      </c>
      <c r="C11" s="10">
        <v>37109</v>
      </c>
      <c r="D11" s="11">
        <v>36.5</v>
      </c>
      <c r="E11" s="11">
        <v>38.1</v>
      </c>
      <c r="F11" s="11">
        <v>27</v>
      </c>
      <c r="G11" s="12">
        <v>1484.6515384615384</v>
      </c>
      <c r="H11" s="12">
        <v>1798.0705384615385</v>
      </c>
      <c r="I11" s="13">
        <v>22.804306009792615</v>
      </c>
      <c r="J11" s="13">
        <v>15.032948929159803</v>
      </c>
      <c r="K11" s="13">
        <v>14.2578125</v>
      </c>
      <c r="L11" s="13" t="s">
        <v>169</v>
      </c>
      <c r="M11" s="13">
        <v>15.032948929159803</v>
      </c>
      <c r="N11" s="13">
        <v>14.2578125</v>
      </c>
      <c r="O11" s="13">
        <v>13.383437948126227</v>
      </c>
      <c r="P11" s="13">
        <v>11.925878273263425</v>
      </c>
      <c r="Q11" s="13">
        <v>11.582163889860885</v>
      </c>
      <c r="R11" s="14">
        <v>0.4776889972424353</v>
      </c>
      <c r="S11" s="13">
        <v>4.298702669763439</v>
      </c>
      <c r="T11" s="14">
        <v>6.5934065934065936E-2</v>
      </c>
      <c r="U11" s="21">
        <v>0.32380960000000003</v>
      </c>
      <c r="V11" s="15">
        <v>0</v>
      </c>
      <c r="W11" s="14" t="s">
        <v>156</v>
      </c>
      <c r="X11" s="11" t="s">
        <v>156</v>
      </c>
      <c r="Y11" s="12">
        <v>0</v>
      </c>
      <c r="Z11" s="13" t="s">
        <v>156</v>
      </c>
      <c r="AA11" s="17">
        <v>40.675384615384615</v>
      </c>
      <c r="AF11" s="107" t="s">
        <v>180</v>
      </c>
    </row>
    <row r="12" spans="1:33" ht="12.9" customHeight="1" thickBot="1" x14ac:dyDescent="0.3">
      <c r="A12" s="1" t="s">
        <v>243</v>
      </c>
      <c r="B12" s="2" t="s">
        <v>244</v>
      </c>
      <c r="C12" s="18">
        <v>37109</v>
      </c>
      <c r="D12" s="19">
        <v>19.95</v>
      </c>
      <c r="E12" s="19">
        <v>20.48</v>
      </c>
      <c r="F12" s="19">
        <v>13.8125</v>
      </c>
      <c r="G12" s="16">
        <v>550.37092727272727</v>
      </c>
      <c r="H12" s="16">
        <v>798.34392727272723</v>
      </c>
      <c r="I12" s="20">
        <v>32.602981296887236</v>
      </c>
      <c r="J12" s="20">
        <v>29.629524324324329</v>
      </c>
      <c r="K12" s="20">
        <v>27.824680203045663</v>
      </c>
      <c r="L12" s="20">
        <v>10.820441319454543</v>
      </c>
      <c r="M12" s="20">
        <v>10.284168855534709</v>
      </c>
      <c r="N12" s="20">
        <v>9.9662945454545433</v>
      </c>
      <c r="O12" s="20">
        <v>6.8065512468956175</v>
      </c>
      <c r="P12" s="20">
        <v>9.0617925910638739</v>
      </c>
      <c r="Q12" s="20">
        <v>8.9400215820014228</v>
      </c>
      <c r="R12" s="21">
        <v>0.69892009410141176</v>
      </c>
      <c r="S12" s="20">
        <v>6.496658568307371</v>
      </c>
      <c r="T12" s="21">
        <v>9.5959595959595953E-2</v>
      </c>
      <c r="U12" s="21">
        <v>0.29618310000000003</v>
      </c>
      <c r="V12" s="22">
        <v>0</v>
      </c>
      <c r="W12" s="21" t="s">
        <v>156</v>
      </c>
      <c r="X12" s="19" t="s">
        <v>156</v>
      </c>
      <c r="Y12" s="16">
        <v>0</v>
      </c>
      <c r="Z12" s="20" t="s">
        <v>156</v>
      </c>
      <c r="AA12" s="23">
        <v>27.587515151515152</v>
      </c>
      <c r="AB12" s="24"/>
      <c r="AF12" s="62">
        <v>50</v>
      </c>
    </row>
    <row r="13" spans="1:33" ht="12.9" customHeight="1" x14ac:dyDescent="0.25">
      <c r="A13" s="1" t="s">
        <v>245</v>
      </c>
      <c r="B13" s="2" t="s">
        <v>246</v>
      </c>
      <c r="C13" s="18">
        <v>37109</v>
      </c>
      <c r="D13" s="19">
        <v>43.05</v>
      </c>
      <c r="E13" s="19">
        <v>43.9</v>
      </c>
      <c r="F13" s="19">
        <v>22.4375</v>
      </c>
      <c r="G13" s="16">
        <v>2002.8803707500003</v>
      </c>
      <c r="H13" s="16">
        <v>2498.5553707500003</v>
      </c>
      <c r="I13" s="20">
        <v>9.8504412589940351</v>
      </c>
      <c r="J13" s="20">
        <v>10.809191973969632</v>
      </c>
      <c r="K13" s="20">
        <v>10.571336589698047</v>
      </c>
      <c r="L13" s="20">
        <v>8.135242247093796</v>
      </c>
      <c r="M13" s="20">
        <v>8.2432382133995041</v>
      </c>
      <c r="N13" s="20">
        <v>8.2575962539021877</v>
      </c>
      <c r="O13" s="20">
        <v>7.5447717250043267</v>
      </c>
      <c r="P13" s="20">
        <v>8.4524877224289607</v>
      </c>
      <c r="Q13" s="20">
        <v>7.1042234027580333</v>
      </c>
      <c r="R13" s="21">
        <v>0.47599402624779946</v>
      </c>
      <c r="S13" s="20">
        <v>2.1704875931832004</v>
      </c>
      <c r="T13" s="21">
        <v>5.2009456264775412E-2</v>
      </c>
      <c r="U13" s="21">
        <v>0.39920480000000003</v>
      </c>
      <c r="V13" s="22">
        <v>0</v>
      </c>
      <c r="W13" s="21" t="s">
        <v>156</v>
      </c>
      <c r="X13" s="19" t="s">
        <v>156</v>
      </c>
      <c r="Y13" s="16">
        <v>0</v>
      </c>
      <c r="Z13" s="20" t="s">
        <v>156</v>
      </c>
      <c r="AA13" s="23">
        <v>46.524515000000001</v>
      </c>
      <c r="AB13" s="24"/>
    </row>
    <row r="14" spans="1:33" ht="12.9" customHeight="1" x14ac:dyDescent="0.25">
      <c r="A14" s="1" t="s">
        <v>247</v>
      </c>
      <c r="B14" s="2" t="s">
        <v>248</v>
      </c>
      <c r="C14" s="18">
        <v>37109</v>
      </c>
      <c r="D14" s="19">
        <v>35.380000000000003</v>
      </c>
      <c r="E14" s="19">
        <v>35.700000000000003</v>
      </c>
      <c r="F14" s="19">
        <v>22.5625</v>
      </c>
      <c r="G14" s="16">
        <v>1156.700904027972</v>
      </c>
      <c r="H14" s="16">
        <v>1646.709904027972</v>
      </c>
      <c r="I14" s="20">
        <v>47.258575912239408</v>
      </c>
      <c r="J14" s="20" t="s">
        <v>169</v>
      </c>
      <c r="K14" s="20" t="s">
        <v>169</v>
      </c>
      <c r="L14" s="20">
        <v>14.576098896466201</v>
      </c>
      <c r="M14" s="20">
        <v>27.112814070351767</v>
      </c>
      <c r="N14" s="20">
        <v>21.810562248995982</v>
      </c>
      <c r="O14" s="20">
        <v>14.502995436430762</v>
      </c>
      <c r="P14" s="20">
        <v>13.142138100781899</v>
      </c>
      <c r="Q14" s="20">
        <v>12.072653255337038</v>
      </c>
      <c r="R14" s="21">
        <v>0.60988750033998873</v>
      </c>
      <c r="S14" s="20">
        <v>3.1036209437983229</v>
      </c>
      <c r="T14" s="21">
        <v>6.433566433566433E-2</v>
      </c>
      <c r="U14" s="21">
        <v>0.36492029999999998</v>
      </c>
      <c r="V14" s="22">
        <v>0</v>
      </c>
      <c r="W14" s="21" t="s">
        <v>156</v>
      </c>
      <c r="X14" s="19" t="s">
        <v>156</v>
      </c>
      <c r="Y14" s="16">
        <v>0</v>
      </c>
      <c r="Z14" s="20" t="s">
        <v>156</v>
      </c>
      <c r="AA14" s="23">
        <v>32.693637762237756</v>
      </c>
      <c r="AB14" s="24"/>
    </row>
    <row r="15" spans="1:33" ht="12.9" customHeight="1" x14ac:dyDescent="0.25">
      <c r="A15" s="1" t="s">
        <v>249</v>
      </c>
      <c r="B15" s="2" t="s">
        <v>250</v>
      </c>
      <c r="C15" s="18">
        <v>37109</v>
      </c>
      <c r="D15" s="19">
        <v>5.0599999999999996</v>
      </c>
      <c r="E15" s="19">
        <v>7</v>
      </c>
      <c r="F15" s="19">
        <v>3.25</v>
      </c>
      <c r="G15" s="16">
        <v>43.639079440000003</v>
      </c>
      <c r="H15" s="16">
        <v>53.021079440000001</v>
      </c>
      <c r="I15" s="20">
        <v>9.9067149693523717</v>
      </c>
      <c r="J15" s="20" t="s">
        <v>169</v>
      </c>
      <c r="K15" s="20" t="s">
        <v>156</v>
      </c>
      <c r="L15" s="20">
        <v>3.0932151573574656</v>
      </c>
      <c r="M15" s="20">
        <v>4.9899281641008395</v>
      </c>
      <c r="N15" s="20" t="s">
        <v>156</v>
      </c>
      <c r="O15" s="20">
        <v>0.53969353368209394</v>
      </c>
      <c r="P15" s="20">
        <v>8.2427728956778452</v>
      </c>
      <c r="Q15" s="20" t="s">
        <v>156</v>
      </c>
      <c r="R15" s="21">
        <v>0.17434663598165873</v>
      </c>
      <c r="S15" s="20">
        <v>0.52565424422960638</v>
      </c>
      <c r="T15" s="21">
        <v>0.15686274509803921</v>
      </c>
      <c r="U15" s="21">
        <v>0.57241370000000003</v>
      </c>
      <c r="V15" s="22">
        <v>0</v>
      </c>
      <c r="W15" s="21" t="s">
        <v>156</v>
      </c>
      <c r="X15" s="19" t="s">
        <v>156</v>
      </c>
      <c r="Y15" s="16">
        <v>0</v>
      </c>
      <c r="Z15" s="20" t="s">
        <v>156</v>
      </c>
      <c r="AA15" s="23">
        <v>8.6243239999999997</v>
      </c>
      <c r="AB15" s="24"/>
    </row>
    <row r="16" spans="1:33" ht="12.9" customHeight="1" x14ac:dyDescent="0.25">
      <c r="A16" s="1" t="s">
        <v>251</v>
      </c>
      <c r="B16" s="2" t="s">
        <v>252</v>
      </c>
      <c r="C16" s="18">
        <v>37109</v>
      </c>
      <c r="D16" s="19">
        <v>71.61</v>
      </c>
      <c r="E16" s="19">
        <v>73.989999999999995</v>
      </c>
      <c r="F16" s="19">
        <v>40.875</v>
      </c>
      <c r="G16" s="16">
        <v>4836.1560716700005</v>
      </c>
      <c r="H16" s="16">
        <v>7937.20707167</v>
      </c>
      <c r="I16" s="20">
        <v>25.238131894051289</v>
      </c>
      <c r="J16" s="20">
        <v>23.187885190017219</v>
      </c>
      <c r="K16" s="20">
        <v>22.151944869831542</v>
      </c>
      <c r="L16" s="20">
        <v>25.238131894051289</v>
      </c>
      <c r="M16" s="20">
        <v>15.024606364702338</v>
      </c>
      <c r="N16" s="20">
        <v>14.763000522739151</v>
      </c>
      <c r="O16" s="20">
        <v>8.6932129546802717</v>
      </c>
      <c r="P16" s="20">
        <v>12.162438050367752</v>
      </c>
      <c r="Q16" s="20">
        <v>11.882046514476048</v>
      </c>
      <c r="R16" s="21">
        <v>0.59903766643758338</v>
      </c>
      <c r="S16" s="20">
        <v>2.3237656818705998</v>
      </c>
      <c r="T16" s="21">
        <v>5.8667411649671743E-2</v>
      </c>
      <c r="U16" s="21">
        <v>0.32546049999999999</v>
      </c>
      <c r="V16" s="22">
        <v>0</v>
      </c>
      <c r="W16" s="21" t="s">
        <v>156</v>
      </c>
      <c r="X16" s="19" t="s">
        <v>156</v>
      </c>
      <c r="Y16" s="16">
        <v>0</v>
      </c>
      <c r="Z16" s="20" t="s">
        <v>156</v>
      </c>
      <c r="AA16" s="23">
        <v>67.534647000000007</v>
      </c>
      <c r="AB16" s="24"/>
    </row>
    <row r="17" spans="1:32" ht="12.9" customHeight="1" x14ac:dyDescent="0.25">
      <c r="A17" s="40" t="s">
        <v>253</v>
      </c>
      <c r="B17" s="41" t="s">
        <v>254</v>
      </c>
      <c r="C17" s="42">
        <v>37109</v>
      </c>
      <c r="D17" s="19">
        <v>37.42</v>
      </c>
      <c r="E17" s="19">
        <v>39</v>
      </c>
      <c r="F17" s="19">
        <v>24.625</v>
      </c>
      <c r="G17" s="16">
        <v>759.68763074000003</v>
      </c>
      <c r="H17" s="16">
        <v>1043.19763074</v>
      </c>
      <c r="I17" s="20">
        <v>16.092349405609227</v>
      </c>
      <c r="J17" s="20">
        <v>14.228136882129279</v>
      </c>
      <c r="K17" s="20">
        <v>13.656934306569342</v>
      </c>
      <c r="L17" s="20">
        <v>11.677800454084304</v>
      </c>
      <c r="M17" s="20">
        <v>13.607272727272727</v>
      </c>
      <c r="N17" s="20">
        <v>10.183683325972066</v>
      </c>
      <c r="O17" s="20">
        <v>9.2772678293257815</v>
      </c>
      <c r="P17" s="20">
        <v>11.627412004054758</v>
      </c>
      <c r="Q17" s="20">
        <v>11.430098102160978</v>
      </c>
      <c r="R17" s="21">
        <v>0.58544942945700384</v>
      </c>
      <c r="S17" s="20">
        <v>3.6263497273868568</v>
      </c>
      <c r="T17" s="21">
        <v>7.4966532797858088E-2</v>
      </c>
      <c r="U17" s="21">
        <v>0.25760650000000002</v>
      </c>
      <c r="V17" s="22">
        <v>0</v>
      </c>
      <c r="W17" s="21" t="s">
        <v>156</v>
      </c>
      <c r="X17" s="19" t="s">
        <v>156</v>
      </c>
      <c r="Y17" s="16">
        <v>0</v>
      </c>
      <c r="Z17" s="20" t="s">
        <v>156</v>
      </c>
      <c r="AA17" s="23">
        <v>20.301646999999999</v>
      </c>
      <c r="AB17" s="24"/>
    </row>
    <row r="18" spans="1:32" ht="12.9" customHeight="1" x14ac:dyDescent="0.25">
      <c r="A18" s="40" t="s">
        <v>255</v>
      </c>
      <c r="B18" s="41" t="s">
        <v>256</v>
      </c>
      <c r="C18" s="42">
        <v>37109</v>
      </c>
      <c r="D18" s="19">
        <v>24.88</v>
      </c>
      <c r="E18" s="19">
        <v>28</v>
      </c>
      <c r="F18" s="19">
        <v>18</v>
      </c>
      <c r="G18" s="16">
        <v>789.19359999999995</v>
      </c>
      <c r="H18" s="16">
        <v>1118.2436</v>
      </c>
      <c r="I18" s="20">
        <v>19.731319848988601</v>
      </c>
      <c r="J18" s="20">
        <v>15.015298245614181</v>
      </c>
      <c r="K18" s="20">
        <v>12.660828402366933</v>
      </c>
      <c r="L18" s="20">
        <v>7.8871248538391461</v>
      </c>
      <c r="M18" s="20">
        <v>11.321058201058284</v>
      </c>
      <c r="N18" s="20">
        <v>9.9985046728972389</v>
      </c>
      <c r="O18" s="20">
        <v>9.541233648475453</v>
      </c>
      <c r="P18" s="20">
        <v>9.7748566433566904</v>
      </c>
      <c r="Q18" s="20">
        <v>8.4715424242424486</v>
      </c>
      <c r="R18" s="21">
        <v>0.61104001046269396</v>
      </c>
      <c r="S18" s="20">
        <v>3.8500441500026827</v>
      </c>
      <c r="T18" s="21">
        <v>7.6305220883534128E-2</v>
      </c>
      <c r="U18" s="21">
        <v>0.37712420000000002</v>
      </c>
      <c r="V18" s="22">
        <v>0</v>
      </c>
      <c r="W18" s="21" t="s">
        <v>156</v>
      </c>
      <c r="X18" s="19" t="s">
        <v>156</v>
      </c>
      <c r="Y18" s="16">
        <v>0</v>
      </c>
      <c r="Z18" s="20" t="s">
        <v>156</v>
      </c>
      <c r="AA18" s="23">
        <v>31.72</v>
      </c>
      <c r="AB18" s="24"/>
      <c r="AC18" s="2"/>
      <c r="AD18" s="25"/>
      <c r="AE18" s="26"/>
      <c r="AF18" s="27"/>
    </row>
    <row r="19" spans="1:32" ht="12.9" customHeight="1" x14ac:dyDescent="0.25">
      <c r="A19" s="40" t="s">
        <v>257</v>
      </c>
      <c r="B19" s="41" t="s">
        <v>258</v>
      </c>
      <c r="C19" s="42">
        <v>37109</v>
      </c>
      <c r="D19" s="19">
        <v>31</v>
      </c>
      <c r="E19" s="19">
        <v>31.9</v>
      </c>
      <c r="F19" s="19">
        <v>21.625</v>
      </c>
      <c r="G19" s="16">
        <v>1174.5590000000002</v>
      </c>
      <c r="H19" s="16">
        <v>1968.17</v>
      </c>
      <c r="I19" s="20">
        <v>18.270552366730445</v>
      </c>
      <c r="J19" s="20">
        <v>16.717709720372795</v>
      </c>
      <c r="K19" s="20">
        <v>15.372502937720332</v>
      </c>
      <c r="L19" s="20">
        <v>11.616645237859759</v>
      </c>
      <c r="M19" s="20">
        <v>10.453788509575338</v>
      </c>
      <c r="N19" s="20">
        <v>9.8881330309901738</v>
      </c>
      <c r="O19" s="20">
        <v>7.8102429066342181</v>
      </c>
      <c r="P19" s="20">
        <v>10.326180482686244</v>
      </c>
      <c r="Q19" s="20">
        <v>9.801643426294838</v>
      </c>
      <c r="R19" s="21">
        <v>0.6307198913905141</v>
      </c>
      <c r="S19" s="20">
        <v>3.291491871866655</v>
      </c>
      <c r="T19" s="21">
        <v>6.7983166073162835E-2</v>
      </c>
      <c r="U19" s="21">
        <v>0.30035620000000002</v>
      </c>
      <c r="V19" s="22">
        <v>0</v>
      </c>
      <c r="W19" s="21" t="s">
        <v>156</v>
      </c>
      <c r="X19" s="19" t="s">
        <v>156</v>
      </c>
      <c r="Y19" s="16">
        <v>0</v>
      </c>
      <c r="Z19" s="20" t="s">
        <v>156</v>
      </c>
      <c r="AA19" s="23">
        <v>37.889000000000003</v>
      </c>
      <c r="AB19" s="24"/>
      <c r="AC19" s="2"/>
      <c r="AD19" s="25"/>
      <c r="AE19" s="26"/>
      <c r="AF19" s="27"/>
    </row>
    <row r="20" spans="1:32" ht="12.9" customHeight="1" x14ac:dyDescent="0.25">
      <c r="A20" s="40"/>
      <c r="B20" s="41"/>
      <c r="C20" s="42"/>
      <c r="D20" s="19"/>
      <c r="E20" s="19"/>
      <c r="F20" s="19"/>
      <c r="G20" s="16"/>
      <c r="H20" s="16"/>
      <c r="I20" s="20"/>
      <c r="J20" s="20"/>
      <c r="K20" s="20"/>
      <c r="L20" s="20"/>
      <c r="M20" s="20"/>
      <c r="N20" s="20"/>
      <c r="O20" s="20"/>
      <c r="P20" s="20"/>
      <c r="Q20" s="20"/>
      <c r="R20" s="21"/>
      <c r="S20" s="20"/>
      <c r="T20" s="21"/>
      <c r="U20" s="22"/>
      <c r="V20" s="21"/>
      <c r="W20" s="19"/>
      <c r="X20" s="16"/>
      <c r="Y20" s="20"/>
      <c r="Z20" s="23"/>
      <c r="AA20" s="24"/>
      <c r="AB20" s="2"/>
      <c r="AC20" s="25"/>
      <c r="AD20" s="26"/>
      <c r="AE20" s="27"/>
    </row>
    <row r="21" spans="1:32" ht="12.9" customHeight="1" x14ac:dyDescent="0.25">
      <c r="B21" s="2"/>
      <c r="C21" s="18"/>
      <c r="D21" s="19"/>
      <c r="E21" s="19"/>
      <c r="F21" s="19"/>
      <c r="G21" s="16"/>
      <c r="H21" s="16"/>
      <c r="I21" s="20"/>
      <c r="J21" s="20"/>
      <c r="K21" s="20"/>
      <c r="L21" s="20"/>
      <c r="M21" s="20"/>
      <c r="N21" s="20"/>
      <c r="O21" s="20"/>
      <c r="P21" s="20"/>
      <c r="Q21" s="20"/>
      <c r="R21" s="21"/>
      <c r="S21" s="20"/>
      <c r="T21" s="21"/>
      <c r="U21" s="22"/>
      <c r="V21" s="21"/>
      <c r="W21" s="19"/>
      <c r="X21" s="28"/>
      <c r="Y21" s="20"/>
      <c r="Z21" s="23"/>
    </row>
    <row r="22" spans="1:32" ht="12.9" customHeight="1" x14ac:dyDescent="0.25">
      <c r="B22" s="29"/>
      <c r="C22" s="29"/>
      <c r="D22" s="29"/>
      <c r="E22" s="29"/>
      <c r="F22" s="29"/>
      <c r="G22" s="29"/>
      <c r="H22" s="27" t="s">
        <v>38</v>
      </c>
      <c r="I22" s="29"/>
      <c r="J22" s="20">
        <v>17.802956466512462</v>
      </c>
      <c r="K22" s="20">
        <v>16.642291401318836</v>
      </c>
      <c r="L22" s="20">
        <v>11.630587507525812</v>
      </c>
      <c r="M22" s="20">
        <v>12.896647115017254</v>
      </c>
      <c r="N22" s="20">
        <v>12.390698387618919</v>
      </c>
      <c r="O22" s="20">
        <v>8.6777119143616392</v>
      </c>
      <c r="P22" s="20">
        <v>10.523995195964606</v>
      </c>
      <c r="Q22" s="20">
        <v>10.160549074641462</v>
      </c>
      <c r="R22" s="21">
        <v>0.54034269462900997</v>
      </c>
      <c r="S22" s="20">
        <v>3.2985306056009702</v>
      </c>
      <c r="T22" s="21">
        <v>7.922487322181862E-2</v>
      </c>
      <c r="U22" s="21">
        <v>0.35745321111111111</v>
      </c>
      <c r="V22" s="21"/>
      <c r="W22" s="19" t="s">
        <v>156</v>
      </c>
      <c r="X22" s="19" t="s">
        <v>156</v>
      </c>
      <c r="Y22" s="20"/>
      <c r="Z22" s="19" t="s">
        <v>156</v>
      </c>
    </row>
    <row r="23" spans="1:32" ht="12.9" customHeight="1" x14ac:dyDescent="0.25">
      <c r="B23" s="29"/>
      <c r="C23" s="29"/>
      <c r="D23" s="29"/>
      <c r="E23" s="29"/>
      <c r="F23" s="29"/>
      <c r="G23" s="29"/>
      <c r="H23" s="27" t="s">
        <v>39</v>
      </c>
      <c r="I23" s="29"/>
      <c r="J23" s="20">
        <v>15.032948929159803</v>
      </c>
      <c r="K23" s="20">
        <v>14.2578125</v>
      </c>
      <c r="L23" s="20">
        <v>11.218543278657151</v>
      </c>
      <c r="M23" s="20">
        <v>11.321058201058284</v>
      </c>
      <c r="N23" s="20">
        <v>10.091093999434651</v>
      </c>
      <c r="O23" s="20">
        <v>8.6932129546802717</v>
      </c>
      <c r="P23" s="20">
        <v>10.326180482686244</v>
      </c>
      <c r="Q23" s="20">
        <v>10.615870764227907</v>
      </c>
      <c r="R23" s="21">
        <v>0.59903766643758338</v>
      </c>
      <c r="S23" s="20">
        <v>3.291491871866655</v>
      </c>
      <c r="T23" s="21">
        <v>6.7983166073162835E-2</v>
      </c>
      <c r="U23" s="21">
        <v>0.32546049999999999</v>
      </c>
      <c r="V23" s="21"/>
      <c r="W23" s="19" t="s">
        <v>156</v>
      </c>
      <c r="X23" s="19" t="s">
        <v>156</v>
      </c>
      <c r="Y23" s="20"/>
      <c r="Z23" s="19" t="s">
        <v>156</v>
      </c>
    </row>
    <row r="24" spans="1:32" ht="12.9" customHeight="1" x14ac:dyDescent="0.25">
      <c r="B24" s="29"/>
      <c r="C24" s="29"/>
      <c r="D24" s="29"/>
      <c r="E24" s="29"/>
      <c r="F24" s="29"/>
      <c r="G24" s="119"/>
      <c r="H24" s="9" t="s">
        <v>25</v>
      </c>
      <c r="I24" s="29"/>
      <c r="J24" s="20">
        <v>29.629524324324329</v>
      </c>
      <c r="K24" s="20">
        <v>27.824680203045663</v>
      </c>
      <c r="L24" s="20">
        <v>25.238131894051289</v>
      </c>
      <c r="M24" s="20">
        <v>27.112814070351767</v>
      </c>
      <c r="N24" s="20">
        <v>21.810562248995982</v>
      </c>
      <c r="O24" s="20">
        <v>14.502995436430762</v>
      </c>
      <c r="P24" s="20">
        <v>13.142138100781899</v>
      </c>
      <c r="Q24" s="20">
        <v>12.072653255337038</v>
      </c>
      <c r="R24" s="21">
        <v>0.69892009410141176</v>
      </c>
      <c r="S24" s="20">
        <v>6.496658568307371</v>
      </c>
      <c r="T24" s="21">
        <v>0.15686274509803921</v>
      </c>
      <c r="U24" s="21">
        <v>0.57241370000000003</v>
      </c>
      <c r="V24" s="21"/>
      <c r="W24" s="19" t="s">
        <v>156</v>
      </c>
      <c r="X24" s="19" t="s">
        <v>156</v>
      </c>
      <c r="Y24" s="20"/>
      <c r="Z24" s="19" t="s">
        <v>156</v>
      </c>
    </row>
    <row r="25" spans="1:32" ht="12.9" customHeight="1" x14ac:dyDescent="0.25">
      <c r="B25" s="29"/>
      <c r="C25" s="29"/>
      <c r="D25" s="29"/>
      <c r="E25" s="29"/>
      <c r="F25" s="29"/>
      <c r="G25" s="29"/>
      <c r="H25" s="27" t="s">
        <v>26</v>
      </c>
      <c r="I25" s="29"/>
      <c r="J25" s="20">
        <v>10.809191973969632</v>
      </c>
      <c r="K25" s="20">
        <v>10.571336589698047</v>
      </c>
      <c r="L25" s="20">
        <v>3.0932151573574656</v>
      </c>
      <c r="M25" s="20">
        <v>4.9899281641008395</v>
      </c>
      <c r="N25" s="20">
        <v>8.2575962539021877</v>
      </c>
      <c r="O25" s="20">
        <v>0.53969353368209394</v>
      </c>
      <c r="P25" s="20">
        <v>8.2427728956778452</v>
      </c>
      <c r="Q25" s="20">
        <v>7.1042234027580333</v>
      </c>
      <c r="R25" s="21">
        <v>0.17434663598165873</v>
      </c>
      <c r="S25" s="20">
        <v>0.52565424422960638</v>
      </c>
      <c r="T25" s="21">
        <v>5.2009456264775412E-2</v>
      </c>
      <c r="U25" s="21">
        <v>0.25760650000000002</v>
      </c>
      <c r="V25" s="21"/>
      <c r="W25" s="19" t="s">
        <v>156</v>
      </c>
      <c r="X25" s="19" t="s">
        <v>156</v>
      </c>
      <c r="Y25" s="20"/>
      <c r="Z25" s="19" t="s">
        <v>156</v>
      </c>
    </row>
    <row r="26" spans="1:32" ht="12.9" customHeight="1" x14ac:dyDescent="0.25"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32" ht="12.9" customHeight="1" x14ac:dyDescent="0.25">
      <c r="B27" s="29"/>
      <c r="C27" s="29"/>
      <c r="D27" s="29"/>
    </row>
    <row r="28" spans="1:32" ht="12.9" customHeight="1" x14ac:dyDescent="0.25">
      <c r="A28" s="4"/>
      <c r="B28" s="118" t="s">
        <v>141</v>
      </c>
      <c r="C28" s="118"/>
      <c r="D28" s="118" t="s">
        <v>41</v>
      </c>
      <c r="E28" s="118"/>
      <c r="F28" s="118"/>
      <c r="G28" s="118" t="s">
        <v>42</v>
      </c>
      <c r="H28" s="118"/>
      <c r="J28" s="118" t="s">
        <v>43</v>
      </c>
      <c r="K28" s="118"/>
      <c r="P28" s="118" t="s">
        <v>44</v>
      </c>
      <c r="Q28" s="118"/>
      <c r="R28" s="118"/>
      <c r="S28" s="118"/>
      <c r="U28" s="118" t="s">
        <v>45</v>
      </c>
      <c r="V28" s="118"/>
      <c r="W28" s="118"/>
      <c r="X28" s="118"/>
      <c r="Y28" s="118"/>
      <c r="AA28" s="31"/>
    </row>
    <row r="29" spans="1:32" ht="3.6" customHeight="1" x14ac:dyDescent="0.25">
      <c r="A29" s="4"/>
      <c r="B29" s="8" t="s">
        <v>37</v>
      </c>
      <c r="C29" s="120"/>
      <c r="D29" s="8" t="s">
        <v>37</v>
      </c>
      <c r="E29" s="120"/>
      <c r="F29" s="120"/>
      <c r="G29" s="8" t="s">
        <v>37</v>
      </c>
      <c r="H29" s="120"/>
      <c r="J29" s="8" t="s">
        <v>37</v>
      </c>
      <c r="K29" s="120"/>
      <c r="P29" s="8" t="s">
        <v>37</v>
      </c>
      <c r="Q29" s="120"/>
      <c r="R29" s="120"/>
      <c r="S29" s="120"/>
      <c r="U29" s="8" t="s">
        <v>37</v>
      </c>
      <c r="V29" s="120"/>
      <c r="W29" s="120"/>
      <c r="X29" s="120"/>
      <c r="Y29" s="120"/>
      <c r="AA29" s="31"/>
    </row>
    <row r="30" spans="1:32" x14ac:dyDescent="0.25">
      <c r="B30" s="2"/>
      <c r="C30" s="2"/>
      <c r="D30" s="98" t="s">
        <v>46</v>
      </c>
      <c r="E30" s="98" t="s">
        <v>47</v>
      </c>
      <c r="F30" s="98" t="s">
        <v>7</v>
      </c>
      <c r="G30" s="7" t="s">
        <v>48</v>
      </c>
      <c r="P30" s="98" t="s">
        <v>49</v>
      </c>
      <c r="Q30" s="98"/>
      <c r="R30" s="98" t="s">
        <v>50</v>
      </c>
      <c r="S30" s="98" t="s">
        <v>51</v>
      </c>
      <c r="U30" s="98" t="s">
        <v>52</v>
      </c>
      <c r="V30" s="98" t="s">
        <v>53</v>
      </c>
      <c r="W30" s="30" t="s">
        <v>54</v>
      </c>
      <c r="X30" s="98" t="s">
        <v>55</v>
      </c>
      <c r="Y30" s="98" t="s">
        <v>56</v>
      </c>
      <c r="AA30" s="31"/>
    </row>
    <row r="31" spans="1:32" x14ac:dyDescent="0.25">
      <c r="A31" s="2" t="s">
        <v>21</v>
      </c>
      <c r="B31" s="2" t="s">
        <v>57</v>
      </c>
      <c r="C31" s="2" t="s">
        <v>58</v>
      </c>
      <c r="D31" s="2" t="s">
        <v>59</v>
      </c>
      <c r="E31" s="2" t="s">
        <v>60</v>
      </c>
      <c r="F31" s="2" t="s">
        <v>61</v>
      </c>
      <c r="G31" s="2" t="s">
        <v>62</v>
      </c>
      <c r="H31" s="2" t="s">
        <v>7</v>
      </c>
      <c r="J31" s="2" t="s">
        <v>63</v>
      </c>
      <c r="K31" s="2" t="s">
        <v>64</v>
      </c>
      <c r="P31" s="2" t="s">
        <v>65</v>
      </c>
      <c r="Q31" s="2" t="s">
        <v>66</v>
      </c>
      <c r="R31" s="2" t="s">
        <v>67</v>
      </c>
      <c r="S31" s="2" t="s">
        <v>68</v>
      </c>
      <c r="U31" s="2" t="s">
        <v>69</v>
      </c>
      <c r="V31" s="7" t="s">
        <v>70</v>
      </c>
      <c r="W31" s="2" t="s">
        <v>71</v>
      </c>
      <c r="X31" s="7" t="s">
        <v>72</v>
      </c>
      <c r="Y31" s="2" t="s">
        <v>73</v>
      </c>
      <c r="AA31" s="98"/>
    </row>
    <row r="32" spans="1:32" ht="3.6" customHeight="1" x14ac:dyDescent="0.25">
      <c r="A32" s="8" t="s">
        <v>37</v>
      </c>
      <c r="B32" s="8" t="s">
        <v>37</v>
      </c>
      <c r="C32" s="8" t="s">
        <v>37</v>
      </c>
      <c r="D32" s="8" t="s">
        <v>37</v>
      </c>
      <c r="E32" s="8" t="s">
        <v>37</v>
      </c>
      <c r="F32" s="8" t="s">
        <v>37</v>
      </c>
      <c r="G32" s="8" t="s">
        <v>37</v>
      </c>
      <c r="H32" s="8" t="s">
        <v>37</v>
      </c>
      <c r="J32" s="8" t="s">
        <v>37</v>
      </c>
      <c r="K32" s="8" t="s">
        <v>37</v>
      </c>
      <c r="P32" s="8" t="s">
        <v>37</v>
      </c>
      <c r="Q32" s="8" t="s">
        <v>37</v>
      </c>
      <c r="R32" s="8" t="s">
        <v>37</v>
      </c>
      <c r="S32" s="8" t="s">
        <v>37</v>
      </c>
      <c r="U32" s="8" t="s">
        <v>37</v>
      </c>
      <c r="V32" s="8" t="s">
        <v>37</v>
      </c>
      <c r="W32" s="8" t="s">
        <v>37</v>
      </c>
      <c r="X32" s="8" t="s">
        <v>37</v>
      </c>
      <c r="Y32" s="8" t="s">
        <v>37</v>
      </c>
      <c r="AA32" s="31"/>
    </row>
    <row r="33" spans="1:27" s="2" customFormat="1" ht="12.9" customHeight="1" x14ac:dyDescent="0.25">
      <c r="A33" s="1" t="s">
        <v>241</v>
      </c>
      <c r="B33" s="1" t="s">
        <v>259</v>
      </c>
      <c r="C33" s="27" t="s">
        <v>260</v>
      </c>
      <c r="D33" s="27" t="s">
        <v>261</v>
      </c>
      <c r="E33" s="27" t="s">
        <v>148</v>
      </c>
      <c r="F33" s="37">
        <v>37006</v>
      </c>
      <c r="G33" s="2" t="s">
        <v>262</v>
      </c>
      <c r="H33" s="10">
        <v>36342</v>
      </c>
      <c r="J33" s="14">
        <v>0.33029612756264237</v>
      </c>
      <c r="K33" s="14">
        <v>0.26406926406926406</v>
      </c>
      <c r="P33" s="14" t="s">
        <v>156</v>
      </c>
      <c r="Q33" s="13" t="s">
        <v>156</v>
      </c>
      <c r="R33" s="14" t="s">
        <v>156</v>
      </c>
      <c r="S33" s="13" t="s">
        <v>156</v>
      </c>
      <c r="U33" s="15">
        <v>0</v>
      </c>
      <c r="V33" s="15">
        <v>0</v>
      </c>
      <c r="W33" s="17">
        <v>0</v>
      </c>
      <c r="X33" s="15">
        <v>0</v>
      </c>
      <c r="Y33" s="15">
        <v>0</v>
      </c>
      <c r="AA33" s="30"/>
    </row>
    <row r="34" spans="1:27" s="2" customFormat="1" ht="12.9" customHeight="1" x14ac:dyDescent="0.25">
      <c r="A34" s="1" t="s">
        <v>243</v>
      </c>
      <c r="B34" s="1" t="s">
        <v>259</v>
      </c>
      <c r="C34" s="27" t="s">
        <v>260</v>
      </c>
      <c r="D34" s="27" t="s">
        <v>263</v>
      </c>
      <c r="E34" s="27" t="s">
        <v>264</v>
      </c>
      <c r="F34" s="37">
        <v>37077</v>
      </c>
      <c r="G34" s="2" t="s">
        <v>265</v>
      </c>
      <c r="H34" s="10">
        <v>36413</v>
      </c>
      <c r="J34" s="14">
        <v>0.4123893805309734</v>
      </c>
      <c r="K34" s="14">
        <v>0.21832061068702285</v>
      </c>
      <c r="N34" s="32"/>
      <c r="P34" s="14" t="s">
        <v>156</v>
      </c>
      <c r="Q34" s="13" t="s">
        <v>156</v>
      </c>
      <c r="R34" s="19" t="s">
        <v>156</v>
      </c>
      <c r="S34" s="19" t="s">
        <v>156</v>
      </c>
      <c r="T34" s="33"/>
      <c r="U34" s="15">
        <v>0</v>
      </c>
      <c r="V34" s="15">
        <v>0</v>
      </c>
      <c r="W34" s="17">
        <v>0</v>
      </c>
      <c r="X34" s="15">
        <v>0</v>
      </c>
      <c r="Y34" s="15">
        <v>0</v>
      </c>
      <c r="Z34" s="121"/>
      <c r="AA34" s="34"/>
    </row>
    <row r="35" spans="1:27" s="2" customFormat="1" ht="12.9" customHeight="1" x14ac:dyDescent="0.25">
      <c r="A35" s="1" t="s">
        <v>245</v>
      </c>
      <c r="B35" s="1" t="s">
        <v>259</v>
      </c>
      <c r="C35" s="27" t="s">
        <v>260</v>
      </c>
      <c r="D35" s="27" t="s">
        <v>263</v>
      </c>
      <c r="E35" s="27" t="s">
        <v>148</v>
      </c>
      <c r="F35" s="37">
        <v>37046</v>
      </c>
      <c r="G35" s="2" t="s">
        <v>266</v>
      </c>
      <c r="H35" s="10">
        <v>0</v>
      </c>
      <c r="J35" s="14">
        <v>0.85161290322580663</v>
      </c>
      <c r="K35" s="14">
        <v>0.36938369781312141</v>
      </c>
      <c r="N35" s="32"/>
      <c r="P35" s="14" t="s">
        <v>156</v>
      </c>
      <c r="Q35" s="13" t="s">
        <v>156</v>
      </c>
      <c r="R35" s="19" t="s">
        <v>156</v>
      </c>
      <c r="S35" s="19" t="s">
        <v>156</v>
      </c>
      <c r="T35" s="33"/>
      <c r="U35" s="15">
        <v>0</v>
      </c>
      <c r="V35" s="15">
        <v>0</v>
      </c>
      <c r="W35" s="17">
        <v>0</v>
      </c>
      <c r="X35" s="15">
        <v>0</v>
      </c>
      <c r="Y35" s="15">
        <v>0</v>
      </c>
      <c r="Z35" s="121"/>
      <c r="AA35" s="34"/>
    </row>
    <row r="36" spans="1:27" s="2" customFormat="1" ht="12.9" customHeight="1" x14ac:dyDescent="0.25">
      <c r="A36" s="1" t="s">
        <v>247</v>
      </c>
      <c r="B36" s="1" t="s">
        <v>259</v>
      </c>
      <c r="C36" s="27" t="s">
        <v>260</v>
      </c>
      <c r="D36" s="27" t="s">
        <v>97</v>
      </c>
      <c r="E36" s="27" t="s">
        <v>144</v>
      </c>
      <c r="F36" s="37">
        <v>37013</v>
      </c>
      <c r="G36" s="2" t="s">
        <v>267</v>
      </c>
      <c r="H36" s="10">
        <v>37014</v>
      </c>
      <c r="J36" s="14">
        <v>0.55090410958904124</v>
      </c>
      <c r="K36" s="14">
        <v>0.28947608200455588</v>
      </c>
      <c r="N36" s="32"/>
      <c r="P36" s="14" t="s">
        <v>156</v>
      </c>
      <c r="Q36" s="13" t="s">
        <v>156</v>
      </c>
      <c r="R36" s="19" t="s">
        <v>156</v>
      </c>
      <c r="S36" s="19" t="s">
        <v>156</v>
      </c>
      <c r="T36" s="33"/>
      <c r="U36" s="15">
        <v>0</v>
      </c>
      <c r="V36" s="15">
        <v>0</v>
      </c>
      <c r="W36" s="17">
        <v>0</v>
      </c>
      <c r="X36" s="15">
        <v>0</v>
      </c>
      <c r="Y36" s="15">
        <v>0</v>
      </c>
      <c r="Z36" s="121"/>
      <c r="AA36" s="34"/>
    </row>
    <row r="37" spans="1:27" s="2" customFormat="1" ht="12.9" customHeight="1" x14ac:dyDescent="0.25">
      <c r="A37" s="1" t="s">
        <v>249</v>
      </c>
      <c r="B37" s="1" t="s">
        <v>259</v>
      </c>
      <c r="C37" s="27" t="s">
        <v>260</v>
      </c>
      <c r="D37" s="27" t="s">
        <v>268</v>
      </c>
      <c r="E37" s="27" t="s">
        <v>269</v>
      </c>
      <c r="F37" s="37">
        <v>36948</v>
      </c>
      <c r="G37" s="2" t="s">
        <v>166</v>
      </c>
      <c r="H37" s="10">
        <v>0</v>
      </c>
      <c r="J37" s="14">
        <v>-0.20627450980392148</v>
      </c>
      <c r="K37" s="14">
        <v>0.3958620689655174</v>
      </c>
      <c r="N37" s="32"/>
      <c r="P37" s="14" t="s">
        <v>156</v>
      </c>
      <c r="Q37" s="13" t="s">
        <v>156</v>
      </c>
      <c r="R37" s="19" t="s">
        <v>156</v>
      </c>
      <c r="S37" s="19" t="s">
        <v>156</v>
      </c>
      <c r="T37" s="33"/>
      <c r="U37" s="15">
        <v>0</v>
      </c>
      <c r="V37" s="15">
        <v>0</v>
      </c>
      <c r="W37" s="17">
        <v>0</v>
      </c>
      <c r="X37" s="15">
        <v>0</v>
      </c>
      <c r="Y37" s="15">
        <v>0</v>
      </c>
      <c r="Z37" s="121"/>
      <c r="AA37" s="34"/>
    </row>
    <row r="38" spans="1:27" s="2" customFormat="1" ht="12.9" customHeight="1" x14ac:dyDescent="0.25">
      <c r="A38" s="1" t="s">
        <v>251</v>
      </c>
      <c r="B38" s="1" t="s">
        <v>259</v>
      </c>
      <c r="C38" s="27" t="s">
        <v>260</v>
      </c>
      <c r="D38" s="27" t="s">
        <v>270</v>
      </c>
      <c r="E38" s="27" t="s">
        <v>144</v>
      </c>
      <c r="F38" s="37">
        <v>37069</v>
      </c>
      <c r="G38" s="2" t="s">
        <v>271</v>
      </c>
      <c r="H38" s="10">
        <v>36809</v>
      </c>
      <c r="J38" s="14">
        <v>0.71520958083832331</v>
      </c>
      <c r="K38" s="14">
        <v>0.27165371809100997</v>
      </c>
      <c r="N38" s="32"/>
      <c r="P38" s="14" t="s">
        <v>156</v>
      </c>
      <c r="Q38" s="13" t="s">
        <v>156</v>
      </c>
      <c r="R38" s="19" t="s">
        <v>156</v>
      </c>
      <c r="S38" s="19" t="s">
        <v>156</v>
      </c>
      <c r="T38" s="33"/>
      <c r="U38" s="15">
        <v>0</v>
      </c>
      <c r="V38" s="15">
        <v>0</v>
      </c>
      <c r="W38" s="17">
        <v>0</v>
      </c>
      <c r="X38" s="15">
        <v>0</v>
      </c>
      <c r="Y38" s="15">
        <v>0</v>
      </c>
      <c r="Z38" s="121"/>
      <c r="AA38" s="34"/>
    </row>
    <row r="39" spans="1:27" s="2" customFormat="1" ht="12.9" customHeight="1" x14ac:dyDescent="0.25">
      <c r="A39" s="1" t="s">
        <v>253</v>
      </c>
      <c r="B39" s="1" t="s">
        <v>259</v>
      </c>
      <c r="C39" s="27" t="s">
        <v>260</v>
      </c>
      <c r="D39" s="27" t="s">
        <v>272</v>
      </c>
      <c r="E39" s="27" t="s">
        <v>273</v>
      </c>
      <c r="F39" s="37">
        <v>37026</v>
      </c>
      <c r="G39" s="2" t="s">
        <v>166</v>
      </c>
      <c r="H39" s="10">
        <v>0</v>
      </c>
      <c r="J39" s="14">
        <v>0.511919191919192</v>
      </c>
      <c r="K39" s="14">
        <v>0.21444219066937126</v>
      </c>
      <c r="N39" s="32"/>
      <c r="P39" s="14" t="s">
        <v>156</v>
      </c>
      <c r="Q39" s="13" t="s">
        <v>156</v>
      </c>
      <c r="R39" s="19" t="s">
        <v>156</v>
      </c>
      <c r="S39" s="19" t="s">
        <v>156</v>
      </c>
      <c r="T39" s="33"/>
      <c r="U39" s="15">
        <v>0</v>
      </c>
      <c r="V39" s="15">
        <v>0</v>
      </c>
      <c r="W39" s="17">
        <v>0</v>
      </c>
      <c r="X39" s="15">
        <v>0</v>
      </c>
      <c r="Y39" s="15">
        <v>0</v>
      </c>
      <c r="Z39" s="121"/>
      <c r="AA39" s="34"/>
    </row>
    <row r="40" spans="1:27" s="2" customFormat="1" ht="12.9" customHeight="1" x14ac:dyDescent="0.25">
      <c r="A40" s="1" t="s">
        <v>255</v>
      </c>
      <c r="B40" s="1" t="s">
        <v>259</v>
      </c>
      <c r="C40" s="27" t="s">
        <v>260</v>
      </c>
      <c r="D40" s="27" t="s">
        <v>263</v>
      </c>
      <c r="E40" s="27" t="s">
        <v>148</v>
      </c>
      <c r="F40" s="37">
        <v>37020</v>
      </c>
      <c r="G40" s="2" t="s">
        <v>267</v>
      </c>
      <c r="H40" s="10">
        <v>36530</v>
      </c>
      <c r="J40" s="14">
        <v>0.33583892617449657</v>
      </c>
      <c r="K40" s="14">
        <v>0.30091503267973851</v>
      </c>
      <c r="N40" s="32"/>
      <c r="P40" s="14" t="s">
        <v>156</v>
      </c>
      <c r="Q40" s="13" t="s">
        <v>156</v>
      </c>
      <c r="R40" s="19" t="s">
        <v>156</v>
      </c>
      <c r="S40" s="19" t="s">
        <v>156</v>
      </c>
      <c r="T40" s="33"/>
      <c r="U40" s="15">
        <v>0</v>
      </c>
      <c r="V40" s="15">
        <v>0</v>
      </c>
      <c r="W40" s="17">
        <v>0</v>
      </c>
      <c r="X40" s="15">
        <v>0</v>
      </c>
      <c r="Y40" s="15">
        <v>0</v>
      </c>
      <c r="Z40" s="121"/>
      <c r="AA40" s="34"/>
    </row>
    <row r="41" spans="1:27" s="2" customFormat="1" ht="12.9" customHeight="1" x14ac:dyDescent="0.25">
      <c r="A41" s="1" t="s">
        <v>257</v>
      </c>
      <c r="B41" s="1" t="s">
        <v>259</v>
      </c>
      <c r="C41" s="27" t="s">
        <v>260</v>
      </c>
      <c r="D41" s="27" t="s">
        <v>274</v>
      </c>
      <c r="E41" s="27" t="s">
        <v>148</v>
      </c>
      <c r="F41" s="37">
        <v>37005</v>
      </c>
      <c r="G41" s="2" t="s">
        <v>166</v>
      </c>
      <c r="H41" s="10" t="s">
        <v>156</v>
      </c>
      <c r="J41" s="14">
        <v>0.19230769230769232</v>
      </c>
      <c r="K41" s="14">
        <v>0.26208651399491095</v>
      </c>
      <c r="N41" s="32"/>
      <c r="P41" s="14" t="s">
        <v>156</v>
      </c>
      <c r="Q41" s="13" t="s">
        <v>156</v>
      </c>
      <c r="R41" s="19" t="s">
        <v>156</v>
      </c>
      <c r="S41" s="19" t="s">
        <v>156</v>
      </c>
      <c r="T41" s="33"/>
      <c r="U41" s="15">
        <v>0</v>
      </c>
      <c r="V41" s="15">
        <v>0</v>
      </c>
      <c r="W41" s="17">
        <v>0</v>
      </c>
      <c r="X41" s="15">
        <v>0</v>
      </c>
      <c r="Y41" s="15">
        <v>0</v>
      </c>
      <c r="Z41" s="121"/>
      <c r="AA41" s="34"/>
    </row>
    <row r="42" spans="1:27" s="2" customFormat="1" ht="12.9" customHeight="1" x14ac:dyDescent="0.25">
      <c r="A42" s="1"/>
      <c r="B42" s="1"/>
      <c r="C42" s="27"/>
      <c r="D42" s="27"/>
      <c r="E42" s="27"/>
      <c r="F42" s="10"/>
      <c r="H42" s="10"/>
      <c r="J42" s="14"/>
      <c r="K42" s="14"/>
      <c r="T42" s="33"/>
    </row>
    <row r="43" spans="1:27" s="2" customFormat="1" ht="12.9" customHeight="1" x14ac:dyDescent="0.25">
      <c r="A43" s="1"/>
      <c r="B43" s="1"/>
      <c r="C43" s="27"/>
      <c r="D43" s="27"/>
      <c r="E43" s="27"/>
      <c r="F43" s="10"/>
      <c r="H43" s="10"/>
      <c r="J43" s="14"/>
      <c r="K43" s="14"/>
      <c r="T43" s="33"/>
    </row>
    <row r="44" spans="1:27" s="2" customFormat="1" ht="12.9" customHeight="1" x14ac:dyDescent="0.25">
      <c r="B44" s="35"/>
      <c r="C44" s="35"/>
      <c r="E44" s="35"/>
      <c r="N44" s="27" t="s">
        <v>38</v>
      </c>
      <c r="P44" s="21" t="s">
        <v>156</v>
      </c>
      <c r="Q44" s="21" t="s">
        <v>156</v>
      </c>
      <c r="R44" s="19" t="s">
        <v>156</v>
      </c>
      <c r="S44" s="19" t="s">
        <v>156</v>
      </c>
      <c r="T44" s="33"/>
      <c r="U44" s="15"/>
      <c r="V44" s="15"/>
      <c r="W44" s="17"/>
      <c r="X44" s="15"/>
      <c r="Y44" s="15"/>
      <c r="Z44" s="121"/>
    </row>
    <row r="45" spans="1:27" s="2" customFormat="1" ht="12.9" customHeight="1" x14ac:dyDescent="0.25">
      <c r="B45" s="35"/>
      <c r="C45" s="35"/>
      <c r="D45" s="35"/>
      <c r="N45" s="27" t="s">
        <v>39</v>
      </c>
      <c r="P45" s="21" t="s">
        <v>156</v>
      </c>
      <c r="Q45" s="21" t="s">
        <v>156</v>
      </c>
      <c r="R45" s="19" t="s">
        <v>156</v>
      </c>
      <c r="S45" s="19" t="s">
        <v>156</v>
      </c>
      <c r="T45" s="33"/>
      <c r="U45" s="15"/>
      <c r="V45" s="15"/>
      <c r="W45" s="17"/>
      <c r="X45" s="15"/>
      <c r="Y45" s="15"/>
      <c r="Z45" s="121"/>
    </row>
    <row r="46" spans="1:27" s="2" customFormat="1" ht="12.9" customHeight="1" x14ac:dyDescent="0.25">
      <c r="B46" s="35"/>
      <c r="C46" s="35"/>
      <c r="D46" s="35"/>
      <c r="N46" s="9" t="s">
        <v>25</v>
      </c>
      <c r="P46" s="21" t="s">
        <v>156</v>
      </c>
      <c r="Q46" s="21" t="s">
        <v>156</v>
      </c>
      <c r="R46" s="19" t="s">
        <v>156</v>
      </c>
      <c r="S46" s="19" t="s">
        <v>156</v>
      </c>
      <c r="T46" s="33"/>
      <c r="U46" s="15"/>
      <c r="V46" s="15"/>
      <c r="W46" s="17"/>
      <c r="X46" s="15"/>
      <c r="Y46" s="15"/>
      <c r="Z46" s="121"/>
    </row>
    <row r="47" spans="1:27" s="2" customFormat="1" ht="12.9" customHeight="1" x14ac:dyDescent="0.25">
      <c r="B47" s="35"/>
      <c r="C47" s="35"/>
      <c r="D47" s="35"/>
      <c r="N47" s="27" t="s">
        <v>26</v>
      </c>
      <c r="P47" s="21" t="s">
        <v>156</v>
      </c>
      <c r="Q47" s="21" t="s">
        <v>156</v>
      </c>
      <c r="R47" s="19" t="s">
        <v>156</v>
      </c>
      <c r="S47" s="19" t="s">
        <v>156</v>
      </c>
      <c r="T47" s="33"/>
      <c r="U47" s="15"/>
      <c r="V47" s="15"/>
      <c r="W47" s="17"/>
      <c r="X47" s="15"/>
      <c r="Y47" s="15"/>
      <c r="Z47" s="121"/>
    </row>
    <row r="48" spans="1:27" s="2" customFormat="1" ht="12.9" customHeight="1" x14ac:dyDescent="0.25">
      <c r="A48" s="36" t="s">
        <v>74</v>
      </c>
    </row>
    <row r="49" spans="1:18" s="2" customFormat="1" ht="12.9" customHeight="1" x14ac:dyDescent="0.25">
      <c r="A49" s="9" t="s">
        <v>75</v>
      </c>
    </row>
    <row r="50" spans="1:18" s="2" customFormat="1" ht="12.9" customHeight="1" x14ac:dyDescent="0.25">
      <c r="A50" s="9" t="s">
        <v>76</v>
      </c>
    </row>
    <row r="51" spans="1:18" s="2" customFormat="1" ht="12.9" customHeight="1" x14ac:dyDescent="0.25">
      <c r="A51" s="9" t="s">
        <v>77</v>
      </c>
    </row>
    <row r="52" spans="1:18" s="2" customFormat="1" ht="12.9" customHeight="1" x14ac:dyDescent="0.25">
      <c r="A52" s="9" t="s">
        <v>78</v>
      </c>
    </row>
    <row r="53" spans="1:18" s="2" customFormat="1" ht="12.9" customHeight="1" x14ac:dyDescent="0.25">
      <c r="A53" s="9" t="s">
        <v>77</v>
      </c>
    </row>
    <row r="54" spans="1:18" s="2" customFormat="1" ht="12.9" customHeight="1" x14ac:dyDescent="0.25">
      <c r="A54" s="9" t="s">
        <v>79</v>
      </c>
    </row>
    <row r="55" spans="1:18" s="2" customFormat="1" ht="12.9" customHeight="1" x14ac:dyDescent="0.25"/>
    <row r="56" spans="1:18" s="2" customFormat="1" ht="12.9" customHeight="1" x14ac:dyDescent="0.25"/>
    <row r="57" spans="1:18" s="2" customFormat="1" ht="12.9" customHeight="1" x14ac:dyDescent="0.25">
      <c r="Q57" s="1"/>
    </row>
    <row r="58" spans="1:18" s="2" customFormat="1" ht="12.9" customHeight="1" x14ac:dyDescent="0.25"/>
    <row r="59" spans="1:18" s="2" customFormat="1" ht="12.9" customHeight="1" x14ac:dyDescent="0.25"/>
    <row r="60" spans="1:18" s="2" customFormat="1" ht="12.9" customHeight="1" x14ac:dyDescent="0.25"/>
    <row r="61" spans="1:18" s="2" customFormat="1" ht="12.9" customHeight="1" x14ac:dyDescent="0.25"/>
    <row r="62" spans="1:18" s="2" customFormat="1" ht="12.9" customHeight="1" x14ac:dyDescent="0.25"/>
    <row r="63" spans="1:18" s="2" customFormat="1" ht="12.9" customHeight="1" x14ac:dyDescent="0.25"/>
    <row r="64" spans="1:18" s="2" customFormat="1" ht="12.9" customHeight="1" x14ac:dyDescent="0.25">
      <c r="F64" s="18">
        <v>37107.638693634261</v>
      </c>
      <c r="G64" s="18">
        <v>36742.638693634261</v>
      </c>
      <c r="Q64" s="18">
        <v>36892</v>
      </c>
      <c r="R64" s="18">
        <v>37107.638693634261</v>
      </c>
    </row>
    <row r="65" spans="5:19" s="2" customFormat="1" ht="12.9" customHeight="1" x14ac:dyDescent="0.25">
      <c r="H65" s="2" t="s">
        <v>63</v>
      </c>
      <c r="S65" s="2" t="s">
        <v>64</v>
      </c>
    </row>
    <row r="66" spans="5:19" s="2" customFormat="1" ht="12.9" customHeight="1" x14ac:dyDescent="0.25">
      <c r="E66" s="2" t="s">
        <v>242</v>
      </c>
      <c r="F66" s="11">
        <v>36.5</v>
      </c>
      <c r="G66" s="11">
        <v>27.4375</v>
      </c>
      <c r="H66" s="106">
        <v>0.33029612756264237</v>
      </c>
      <c r="P66" s="2" t="s">
        <v>242</v>
      </c>
      <c r="Q66" s="11">
        <v>28.875</v>
      </c>
      <c r="R66" s="11">
        <v>36.5</v>
      </c>
      <c r="S66" s="106">
        <v>0.26406926406926406</v>
      </c>
    </row>
    <row r="67" spans="5:19" s="2" customFormat="1" ht="12.9" customHeight="1" x14ac:dyDescent="0.25">
      <c r="E67" s="2" t="s">
        <v>244</v>
      </c>
      <c r="F67" s="19">
        <v>19.95</v>
      </c>
      <c r="G67" s="19">
        <v>14.125</v>
      </c>
      <c r="H67" s="106">
        <v>0.4123893805309734</v>
      </c>
      <c r="P67" s="2" t="s">
        <v>244</v>
      </c>
      <c r="Q67" s="19">
        <v>16.375</v>
      </c>
      <c r="R67" s="19">
        <v>19.95</v>
      </c>
      <c r="S67" s="106">
        <v>0.21832061068702285</v>
      </c>
    </row>
    <row r="68" spans="5:19" s="2" customFormat="1" ht="12.9" customHeight="1" x14ac:dyDescent="0.25">
      <c r="E68" s="2" t="s">
        <v>246</v>
      </c>
      <c r="F68" s="19">
        <v>43.05</v>
      </c>
      <c r="G68" s="19">
        <v>23.25</v>
      </c>
      <c r="H68" s="106">
        <v>0.85161290322580663</v>
      </c>
      <c r="P68" s="2" t="s">
        <v>246</v>
      </c>
      <c r="Q68" s="19">
        <v>31.4375</v>
      </c>
      <c r="R68" s="19">
        <v>43.05</v>
      </c>
      <c r="S68" s="106">
        <v>0.36938369781312141</v>
      </c>
    </row>
    <row r="69" spans="5:19" s="2" customFormat="1" ht="12.9" customHeight="1" x14ac:dyDescent="0.25">
      <c r="E69" s="2" t="s">
        <v>248</v>
      </c>
      <c r="F69" s="19">
        <v>35.380000000000003</v>
      </c>
      <c r="G69" s="19">
        <v>22.8125</v>
      </c>
      <c r="H69" s="106">
        <v>0.55090410958904124</v>
      </c>
      <c r="P69" s="2" t="s">
        <v>248</v>
      </c>
      <c r="Q69" s="19">
        <v>27.4375</v>
      </c>
      <c r="R69" s="19">
        <v>35.380000000000003</v>
      </c>
      <c r="S69" s="106">
        <v>0.28947608200455588</v>
      </c>
    </row>
    <row r="70" spans="5:19" s="2" customFormat="1" ht="12.9" customHeight="1" x14ac:dyDescent="0.25">
      <c r="E70" s="2" t="s">
        <v>250</v>
      </c>
      <c r="F70" s="19">
        <v>5.0599999999999996</v>
      </c>
      <c r="G70" s="19">
        <v>6.375</v>
      </c>
      <c r="H70" s="106">
        <v>-0.20627450980392148</v>
      </c>
      <c r="P70" s="2" t="s">
        <v>250</v>
      </c>
      <c r="Q70" s="19">
        <v>3.625</v>
      </c>
      <c r="R70" s="19">
        <v>5.0599999999999996</v>
      </c>
      <c r="S70" s="106">
        <v>0.3958620689655174</v>
      </c>
    </row>
    <row r="71" spans="5:19" s="2" customFormat="1" ht="12.9" customHeight="1" x14ac:dyDescent="0.25">
      <c r="E71" s="2" t="s">
        <v>252</v>
      </c>
      <c r="F71" s="19">
        <v>71.61</v>
      </c>
      <c r="G71" s="19">
        <v>41.75</v>
      </c>
      <c r="H71" s="106">
        <v>0.71520958083832331</v>
      </c>
      <c r="P71" s="2" t="s">
        <v>252</v>
      </c>
      <c r="Q71" s="19">
        <v>56.3125</v>
      </c>
      <c r="R71" s="19">
        <v>71.61</v>
      </c>
      <c r="S71" s="106">
        <v>0.27165371809100997</v>
      </c>
    </row>
    <row r="72" spans="5:19" s="2" customFormat="1" ht="12.9" customHeight="1" x14ac:dyDescent="0.25">
      <c r="E72" s="2" t="s">
        <v>254</v>
      </c>
      <c r="F72" s="19">
        <v>37.42</v>
      </c>
      <c r="G72" s="19">
        <v>24.75</v>
      </c>
      <c r="H72" s="106">
        <v>0.511919191919192</v>
      </c>
      <c r="P72" s="2" t="s">
        <v>254</v>
      </c>
      <c r="Q72" s="19">
        <v>30.8125</v>
      </c>
      <c r="R72" s="19">
        <v>37.42</v>
      </c>
      <c r="S72" s="106">
        <v>0.21444219066937126</v>
      </c>
    </row>
    <row r="73" spans="5:19" ht="12.9" customHeight="1" x14ac:dyDescent="0.25">
      <c r="E73" s="2" t="s">
        <v>256</v>
      </c>
      <c r="F73" s="19">
        <v>24.88</v>
      </c>
      <c r="G73" s="19">
        <v>18.625</v>
      </c>
      <c r="H73" s="106">
        <v>0.33583892617449657</v>
      </c>
      <c r="P73" s="2" t="s">
        <v>256</v>
      </c>
      <c r="Q73" s="19">
        <v>19.125</v>
      </c>
      <c r="R73" s="19">
        <v>24.88</v>
      </c>
      <c r="S73" s="106">
        <v>0.30091503267973851</v>
      </c>
    </row>
    <row r="74" spans="5:19" ht="12.9" customHeight="1" x14ac:dyDescent="0.25">
      <c r="E74" s="2" t="s">
        <v>258</v>
      </c>
      <c r="F74" s="19">
        <v>31</v>
      </c>
      <c r="G74" s="19">
        <v>26</v>
      </c>
      <c r="H74" s="106">
        <v>0.19230769230769232</v>
      </c>
      <c r="P74" s="2" t="s">
        <v>258</v>
      </c>
      <c r="Q74" s="19">
        <v>24.5625</v>
      </c>
      <c r="R74" s="19">
        <v>31</v>
      </c>
      <c r="S74" s="106">
        <v>0.26208651399491095</v>
      </c>
    </row>
    <row r="75" spans="5:19" ht="12.9" customHeight="1" x14ac:dyDescent="0.25">
      <c r="E75" s="2"/>
      <c r="P75" s="2"/>
    </row>
    <row r="76" spans="5:19" ht="12.9" customHeight="1" x14ac:dyDescent="0.25">
      <c r="P76" s="2"/>
    </row>
    <row r="77" spans="5:19" ht="12.9" customHeight="1" x14ac:dyDescent="0.25"/>
    <row r="78" spans="5:19" ht="12.9" customHeight="1" x14ac:dyDescent="0.25"/>
    <row r="79" spans="5:19" ht="12.9" customHeight="1" x14ac:dyDescent="0.25"/>
    <row r="80" spans="5:19" ht="12.9" customHeight="1" x14ac:dyDescent="0.25"/>
    <row r="81" ht="12.9" customHeight="1" x14ac:dyDescent="0.25"/>
    <row r="82" ht="12.9" customHeight="1" x14ac:dyDescent="0.25"/>
    <row r="83" ht="12.9" customHeight="1" x14ac:dyDescent="0.25"/>
    <row r="84" ht="12.9" customHeight="1" x14ac:dyDescent="0.25"/>
    <row r="85" ht="12.9" customHeight="1" x14ac:dyDescent="0.25"/>
    <row r="86" ht="12.9" customHeight="1" x14ac:dyDescent="0.25"/>
    <row r="87" ht="12.9" customHeight="1" x14ac:dyDescent="0.25"/>
    <row r="88" ht="12.9" customHeight="1" x14ac:dyDescent="0.25"/>
    <row r="89" ht="12.9" customHeight="1" x14ac:dyDescent="0.25"/>
    <row r="90" ht="12.9" customHeight="1" x14ac:dyDescent="0.25"/>
    <row r="91" ht="12.9" customHeight="1" x14ac:dyDescent="0.25"/>
    <row r="92" ht="12.9" customHeight="1" x14ac:dyDescent="0.25"/>
    <row r="93" ht="12.9" customHeight="1" x14ac:dyDescent="0.25"/>
    <row r="94" ht="12.9" customHeight="1" x14ac:dyDescent="0.25"/>
    <row r="95" ht="12.9" customHeight="1" x14ac:dyDescent="0.25"/>
    <row r="96" ht="12.9" customHeight="1" x14ac:dyDescent="0.25"/>
    <row r="97" ht="12.9" customHeight="1" x14ac:dyDescent="0.25"/>
    <row r="98" ht="12.9" customHeight="1" x14ac:dyDescent="0.25"/>
    <row r="99" ht="12.9" customHeight="1" x14ac:dyDescent="0.25"/>
    <row r="100" ht="12.9" customHeight="1" x14ac:dyDescent="0.25"/>
    <row r="101" ht="12.9" customHeight="1" x14ac:dyDescent="0.25"/>
    <row r="102" ht="12.9" customHeight="1" x14ac:dyDescent="0.25"/>
    <row r="103" ht="12.9" customHeight="1" x14ac:dyDescent="0.25"/>
    <row r="104" ht="12.9" customHeight="1" x14ac:dyDescent="0.25"/>
    <row r="105" ht="12.9" customHeight="1" x14ac:dyDescent="0.25"/>
    <row r="106" ht="12.9" customHeight="1" x14ac:dyDescent="0.25"/>
    <row r="107" ht="12.9" customHeight="1" x14ac:dyDescent="0.25"/>
    <row r="108" ht="12.9" customHeight="1" x14ac:dyDescent="0.25"/>
    <row r="109" ht="12.9" customHeight="1" x14ac:dyDescent="0.25"/>
    <row r="110" ht="12.9" customHeight="1" x14ac:dyDescent="0.25"/>
    <row r="111" ht="12.9" customHeight="1" x14ac:dyDescent="0.25"/>
    <row r="112" ht="12.9" customHeight="1" x14ac:dyDescent="0.25"/>
    <row r="113" ht="12.9" customHeight="1" x14ac:dyDescent="0.25"/>
  </sheetData>
  <mergeCells count="4">
    <mergeCell ref="Y7:Z7"/>
    <mergeCell ref="I8:K8"/>
    <mergeCell ref="L8:N8"/>
    <mergeCell ref="O8:Q8"/>
  </mergeCells>
  <phoneticPr fontId="0" type="noConversion"/>
  <pageMargins left="0" right="0" top="0" bottom="0" header="0.5" footer="0.5"/>
  <pageSetup scale="49" orientation="landscape" verticalDpi="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  <customProperties>
    <customPr name="_FDS_0" r:id="rId1"/>
    <customPr name="_FDS_1" r:id="rId2"/>
    <customPr name="_FDS_2" r:id="rId3"/>
    <customPr name="_FDS_3" r:id="rId4"/>
    <customPr name="_FDS_4" r:id="rId5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G143"/>
  <sheetViews>
    <sheetView view="pageBreakPreview" zoomScale="50" zoomScaleNormal="75" workbookViewId="0"/>
  </sheetViews>
  <sheetFormatPr defaultColWidth="9.109375" defaultRowHeight="13.2" outlineLevelCol="1" x14ac:dyDescent="0.25"/>
  <cols>
    <col min="1" max="1" width="29.6640625" style="38" customWidth="1"/>
    <col min="2" max="2" width="12.88671875" style="38" customWidth="1"/>
    <col min="3" max="3" width="12.6640625" style="38" customWidth="1"/>
    <col min="4" max="4" width="10.6640625" style="38" customWidth="1"/>
    <col min="5" max="5" width="11.6640625" style="38" customWidth="1"/>
    <col min="6" max="6" width="10.6640625" style="38" customWidth="1"/>
    <col min="7" max="7" width="11.6640625" style="38" customWidth="1"/>
    <col min="8" max="8" width="10.6640625" style="38" customWidth="1"/>
    <col min="9" max="9" width="8.6640625" style="38" hidden="1" customWidth="1" outlineLevel="1"/>
    <col min="10" max="10" width="8.6640625" style="38" customWidth="1" collapsed="1"/>
    <col min="11" max="11" width="8.6640625" style="38" customWidth="1"/>
    <col min="12" max="12" width="8.6640625" style="38" hidden="1" customWidth="1" outlineLevel="1"/>
    <col min="13" max="13" width="8.6640625" style="38" customWidth="1" collapsed="1"/>
    <col min="14" max="14" width="8.6640625" style="38" customWidth="1"/>
    <col min="15" max="15" width="8.6640625" style="38" hidden="1" customWidth="1" outlineLevel="1"/>
    <col min="16" max="16" width="8.6640625" style="38" customWidth="1" collapsed="1"/>
    <col min="17" max="17" width="8.6640625" style="38" customWidth="1"/>
    <col min="18" max="25" width="9.6640625" style="38" customWidth="1"/>
    <col min="26" max="26" width="10.6640625" style="38" customWidth="1"/>
    <col min="27" max="27" width="9.109375" style="38"/>
    <col min="28" max="30" width="10.6640625" style="38" customWidth="1"/>
    <col min="31" max="31" width="15.6640625" style="38" customWidth="1"/>
    <col min="32" max="16384" width="9.109375" style="38"/>
  </cols>
  <sheetData>
    <row r="1" spans="1:33" ht="17.399999999999999" x14ac:dyDescent="0.3">
      <c r="A1" s="145" t="s">
        <v>698</v>
      </c>
      <c r="B1" s="145"/>
      <c r="C1" s="145"/>
    </row>
    <row r="2" spans="1:33" ht="15" customHeight="1" x14ac:dyDescent="0.3">
      <c r="A2" s="44" t="s">
        <v>0</v>
      </c>
      <c r="B2" s="44"/>
      <c r="C2" s="44"/>
      <c r="AG2" s="57"/>
    </row>
    <row r="3" spans="1:33" x14ac:dyDescent="0.25">
      <c r="A3" s="146" t="s">
        <v>1</v>
      </c>
      <c r="B3" s="146"/>
      <c r="C3" s="146"/>
      <c r="AG3" s="57"/>
    </row>
    <row r="4" spans="1:33" x14ac:dyDescent="0.25">
      <c r="A4" s="146"/>
      <c r="B4" s="146"/>
      <c r="C4" s="146"/>
      <c r="AG4" s="57"/>
    </row>
    <row r="5" spans="1:33" x14ac:dyDescent="0.25">
      <c r="A5" s="146"/>
      <c r="B5" s="146"/>
      <c r="C5" s="146"/>
      <c r="AG5" s="57"/>
    </row>
    <row r="6" spans="1:33" x14ac:dyDescent="0.25">
      <c r="A6" s="147" t="s">
        <v>2</v>
      </c>
      <c r="B6" s="45">
        <v>37106</v>
      </c>
      <c r="C6" s="149"/>
    </row>
    <row r="7" spans="1:33" x14ac:dyDescent="0.25">
      <c r="H7" s="39" t="s">
        <v>3</v>
      </c>
      <c r="U7" s="47" t="s">
        <v>4</v>
      </c>
      <c r="V7" s="47"/>
      <c r="W7" s="47"/>
      <c r="X7" s="47" t="s">
        <v>5</v>
      </c>
      <c r="Y7" s="47"/>
      <c r="Z7" s="39" t="s">
        <v>6</v>
      </c>
    </row>
    <row r="8" spans="1:33" x14ac:dyDescent="0.25">
      <c r="C8" s="39" t="s">
        <v>7</v>
      </c>
      <c r="D8" s="39" t="s">
        <v>8</v>
      </c>
      <c r="E8" s="48" t="s">
        <v>9</v>
      </c>
      <c r="F8" s="48"/>
      <c r="G8" s="39" t="s">
        <v>10</v>
      </c>
      <c r="H8" s="39" t="s">
        <v>10</v>
      </c>
      <c r="I8" s="347" t="s">
        <v>11</v>
      </c>
      <c r="J8" s="347"/>
      <c r="K8" s="347"/>
      <c r="L8" s="347" t="s">
        <v>12</v>
      </c>
      <c r="M8" s="347"/>
      <c r="N8" s="347"/>
      <c r="O8" s="347" t="s">
        <v>13</v>
      </c>
      <c r="P8" s="347"/>
      <c r="Q8" s="347"/>
      <c r="R8" s="49" t="s">
        <v>14</v>
      </c>
      <c r="S8" s="50" t="s">
        <v>15</v>
      </c>
      <c r="T8" s="39" t="s">
        <v>16</v>
      </c>
      <c r="U8" s="39" t="s">
        <v>17</v>
      </c>
      <c r="V8" s="39"/>
      <c r="W8" s="51" t="s">
        <v>18</v>
      </c>
      <c r="X8" s="39" t="s">
        <v>17</v>
      </c>
      <c r="Y8" s="39" t="s">
        <v>19</v>
      </c>
      <c r="Z8" s="39" t="s">
        <v>20</v>
      </c>
      <c r="AA8" s="50"/>
    </row>
    <row r="9" spans="1:33" x14ac:dyDescent="0.25">
      <c r="A9" s="39" t="s">
        <v>21</v>
      </c>
      <c r="B9" s="39" t="s">
        <v>22</v>
      </c>
      <c r="C9" s="39" t="s">
        <v>23</v>
      </c>
      <c r="D9" s="39" t="s">
        <v>24</v>
      </c>
      <c r="E9" s="39" t="s">
        <v>25</v>
      </c>
      <c r="F9" s="39" t="s">
        <v>26</v>
      </c>
      <c r="G9" s="39" t="s">
        <v>27</v>
      </c>
      <c r="H9" s="39" t="s">
        <v>27</v>
      </c>
      <c r="I9" s="39" t="s">
        <v>28</v>
      </c>
      <c r="J9" s="51" t="s">
        <v>111</v>
      </c>
      <c r="K9" s="51" t="s">
        <v>112</v>
      </c>
      <c r="L9" s="39" t="s">
        <v>28</v>
      </c>
      <c r="M9" s="51" t="s">
        <v>111</v>
      </c>
      <c r="N9" s="51" t="s">
        <v>112</v>
      </c>
      <c r="O9" s="39" t="s">
        <v>28</v>
      </c>
      <c r="P9" s="51" t="s">
        <v>111</v>
      </c>
      <c r="Q9" s="51" t="s">
        <v>112</v>
      </c>
      <c r="R9" s="39" t="s">
        <v>29</v>
      </c>
      <c r="S9" s="39" t="s">
        <v>30</v>
      </c>
      <c r="T9" s="39" t="s">
        <v>31</v>
      </c>
      <c r="U9" s="39" t="s">
        <v>32</v>
      </c>
      <c r="V9" s="39" t="s">
        <v>33</v>
      </c>
      <c r="W9" s="39" t="s">
        <v>34</v>
      </c>
      <c r="X9" s="39" t="s">
        <v>35</v>
      </c>
      <c r="Y9" s="39" t="s">
        <v>5</v>
      </c>
      <c r="Z9" s="39" t="s">
        <v>36</v>
      </c>
      <c r="AA9" s="50"/>
    </row>
    <row r="10" spans="1:33" ht="4.95" customHeight="1" thickBot="1" x14ac:dyDescent="0.3">
      <c r="A10" s="150" t="s">
        <v>37</v>
      </c>
      <c r="B10" s="150" t="s">
        <v>37</v>
      </c>
      <c r="C10" s="150" t="s">
        <v>37</v>
      </c>
      <c r="D10" s="150" t="s">
        <v>37</v>
      </c>
      <c r="E10" s="150" t="s">
        <v>37</v>
      </c>
      <c r="F10" s="150" t="s">
        <v>37</v>
      </c>
      <c r="G10" s="150" t="s">
        <v>37</v>
      </c>
      <c r="H10" s="150" t="s">
        <v>37</v>
      </c>
      <c r="I10" s="150" t="s">
        <v>37</v>
      </c>
      <c r="J10" s="150" t="s">
        <v>37</v>
      </c>
      <c r="K10" s="150" t="s">
        <v>37</v>
      </c>
      <c r="L10" s="150" t="s">
        <v>37</v>
      </c>
      <c r="M10" s="150" t="s">
        <v>37</v>
      </c>
      <c r="N10" s="150" t="s">
        <v>37</v>
      </c>
      <c r="O10" s="150" t="s">
        <v>37</v>
      </c>
      <c r="P10" s="150" t="s">
        <v>37</v>
      </c>
      <c r="Q10" s="150" t="s">
        <v>37</v>
      </c>
      <c r="R10" s="150" t="s">
        <v>37</v>
      </c>
      <c r="S10" s="150" t="s">
        <v>37</v>
      </c>
      <c r="T10" s="150" t="s">
        <v>37</v>
      </c>
      <c r="U10" s="150" t="s">
        <v>37</v>
      </c>
      <c r="V10" s="150" t="s">
        <v>37</v>
      </c>
      <c r="W10" s="150" t="s">
        <v>37</v>
      </c>
      <c r="X10" s="150" t="s">
        <v>37</v>
      </c>
      <c r="Y10" s="150" t="s">
        <v>37</v>
      </c>
      <c r="Z10" s="150" t="s">
        <v>37</v>
      </c>
      <c r="AA10" s="55"/>
    </row>
    <row r="11" spans="1:33" ht="12.9" customHeight="1" x14ac:dyDescent="0.25">
      <c r="A11" s="38" t="str">
        <f>[15]BHI!$D$305</f>
        <v>Baker Hughes Incorporated</v>
      </c>
      <c r="B11" s="39" t="str">
        <f>[15]BHI!$E$305</f>
        <v>BHI</v>
      </c>
      <c r="C11" s="126">
        <f>[15]BHI!$D$9</f>
        <v>37106</v>
      </c>
      <c r="D11" s="151">
        <f>_xll.FDS(B11,"ib_price",$B$6)</f>
        <v>34.630000000000003</v>
      </c>
      <c r="E11" s="151">
        <f>_xll.FDS(B11,"ib_price_high_52w",$B$6)</f>
        <v>45.29</v>
      </c>
      <c r="F11" s="151">
        <f>_xll.FDS(B11,"ib_price_low_52w",$B$6)</f>
        <v>29.8</v>
      </c>
      <c r="G11" s="152">
        <f t="shared" ref="G11:G25" si="0">D11*Z11</f>
        <v>11674.473998330001</v>
      </c>
      <c r="H11" s="152">
        <f>G11+[15]BHI!$J$123</f>
        <v>13673.473998330001</v>
      </c>
      <c r="I11" s="153" t="str">
        <f>IF(OR($G$11/[15]BHI!$O$46&lt;=0,$G11/[15]BHI!$O$46&gt;=AE12),"NM",$G$11/[15]BHI!$O$46)</f>
        <v>NM</v>
      </c>
      <c r="J11" s="153">
        <f>IF(OR(D11/[15]BHI!$P$58&lt;=0,D11/[15]BHI!$P$58&gt;=AE12),"NM",D11/[15]BHI!$P$58)</f>
        <v>27.632401741244944</v>
      </c>
      <c r="K11" s="153">
        <f>IF(OR($D11/[15]BHI!$Q$58&lt;=0,$D11/[15]BHI!$Q$58&gt;=$AE$12),"NM",$D11/[15]BHI!$Q$58)</f>
        <v>19.813118655223935</v>
      </c>
      <c r="L11" s="153" t="str">
        <f>IF(OR($G$11/[15]BHI!$O$52&lt;=0,$G11/[15]BHI!$O$52&gt;=AH17),"NM",$G$11/[15]BHI!$O$52)</f>
        <v>NM</v>
      </c>
      <c r="M11" s="153">
        <f>IF(OR($D11/[15]BHI!$P$59&lt;=0,$D11/[15]BHI!$P$59&gt;=$AE$12),"NM",$D11/[15]BHI!$P$59)</f>
        <v>11.802002646531321</v>
      </c>
      <c r="N11" s="153">
        <f>IF(OR($D11/[15]BHI!$Q$59&lt;=0,$D11/[15]BHI!$Q$59&gt;=$AE$12),"NM",$D11/[15]BHI!$Q$59)</f>
        <v>9.8858288105834511</v>
      </c>
      <c r="O11" s="153">
        <f>IF(G11/[15]BHI!O$28&gt;=$AE$12,"NM",G11/[15]BHI!O$28)</f>
        <v>10.903590173092372</v>
      </c>
      <c r="P11" s="153">
        <f>IF(H11/[15]BHI!P$28&gt;=$AE$12,"NM",H11/[15]BHI!P$28)</f>
        <v>10.357123161892138</v>
      </c>
      <c r="Q11" s="153">
        <f>IF(H11/[15]BHI!$Q$28&gt;=$AE$12,"NM",H11/[15]BHI!$Q$28)</f>
        <v>8.6159256448204182</v>
      </c>
      <c r="R11" s="155">
        <f>[15]BHI!$J$132</f>
        <v>0.397215876920674</v>
      </c>
      <c r="S11" s="153">
        <f>G11/[15]BHI!$I$97</f>
        <v>3.7813286254874652</v>
      </c>
      <c r="T11" s="155">
        <f>_xll.FDS(B11,"ib_div_yld",0)/100</f>
        <v>1.369048E-2</v>
      </c>
      <c r="U11" s="156">
        <f>[15]BHI!$S$305</f>
        <v>0</v>
      </c>
      <c r="V11" s="155" t="str">
        <f>[15]BHI!$T$305</f>
        <v>NA</v>
      </c>
      <c r="W11" s="151" t="str">
        <f>IF(ISERROR(((([15]BHI!$Q$282/[15]BHI!$Q$285)*H11)/U11)),"NA",((([15]BHI!$Q$282/[15]BHI!$Q$285)*H11)/U11))</f>
        <v>NA</v>
      </c>
      <c r="X11" s="160" t="s">
        <v>156</v>
      </c>
      <c r="Y11" s="153" t="str">
        <f>IF(ISERROR(((([15]BHI!$Q$282/[15]BHI!$Q$285)*G11)/X11)),"NA",((([15]BHI!$Q$282/[15]BHI!$Q$285)*G11)/X11))</f>
        <v>NA</v>
      </c>
      <c r="Z11" s="157">
        <f>[15]BHI!$S$56</f>
        <v>337.12024251602656</v>
      </c>
      <c r="AE11" s="158" t="s">
        <v>180</v>
      </c>
    </row>
    <row r="12" spans="1:33" ht="12.9" customHeight="1" thickBot="1" x14ac:dyDescent="0.3">
      <c r="A12" s="38" t="str">
        <f>[16]BJS!$D$305</f>
        <v>BJ Services Company</v>
      </c>
      <c r="B12" s="39" t="str">
        <f>[16]BJS!$E$305</f>
        <v>BJS</v>
      </c>
      <c r="C12" s="169">
        <f>[16]BJS!$D$9</f>
        <v>37106</v>
      </c>
      <c r="D12" s="159">
        <f>_xll.FDS(B12,"ib_price",$B$6)</f>
        <v>24.200000000000003</v>
      </c>
      <c r="E12" s="159">
        <f>_xll.FDS(B12,"ib_price_high_52w",$B$6)</f>
        <v>43.1</v>
      </c>
      <c r="F12" s="159">
        <f>_xll.FDS(B12,"ib_price_low_52w",$B$6)</f>
        <v>21.18</v>
      </c>
      <c r="G12" s="160">
        <f t="shared" si="0"/>
        <v>4060.3974332000003</v>
      </c>
      <c r="H12" s="160">
        <f>G12+[16]BJS!$J$123</f>
        <v>4213.4814332000005</v>
      </c>
      <c r="I12" s="154">
        <f>IF(OR($G$12/[16]BJS!$O$46&lt;=0,G12/[16]BJS!$O$46&gt;=$AE$12),"NM",$G$12/[16]BJS!$O$46)</f>
        <v>19.11629873684706</v>
      </c>
      <c r="J12" s="154">
        <f>IF(OR(D12/[16]BJS!$P$58&lt;=0,D12/[16]BJS!$P$58&gt;=AE12),"NM",D12/[16]BJS!$P$58)</f>
        <v>11.826591226922245</v>
      </c>
      <c r="K12" s="154">
        <f>IF(OR($D12/[16]BJS!$Q$58&lt;=0,$D12/[16]BJS!$Q$58&gt;=$AE$12),"NM",$D12/[16]BJS!$Q$58)</f>
        <v>10.284923928077458</v>
      </c>
      <c r="L12" s="154">
        <f>IF(OR($G$12/[16]BJS!$O$52&lt;=0,J12/[16]BJS!$O$52&gt;=$AE$12),"NM",$G$12/[16]BJS!$O$52)</f>
        <v>9.9901521336482624</v>
      </c>
      <c r="M12" s="154">
        <f>IF(OR($D12/[16]BJS!$P$59&lt;=0,$D12/[16]BJS!$P$59&gt;=$AE$12),"NM",$D12/[16]BJS!$P$59)</f>
        <v>9.0544195636469542</v>
      </c>
      <c r="N12" s="154">
        <f>IF(OR($D12/[16]BJS!$Q$59&lt;=0,$D12/[16]BJS!$Q$59&gt;=$AE$12),"NM",$D12/[16]BJS!$Q$59)</f>
        <v>7.9467599339356854</v>
      </c>
      <c r="O12" s="154">
        <f>IF(G12/[16]BJS!O$28&gt;=$AE$12,"NM",G12/[16]BJS!O$28)</f>
        <v>9.2758199689313283</v>
      </c>
      <c r="P12" s="154">
        <f>IF(H12/[16]BJS!P$28&gt;=$AE$12,"NM",H12/[16]BJS!P$28)</f>
        <v>6.5536636489765483</v>
      </c>
      <c r="Q12" s="154">
        <f>IF(H12/[16]BJS!$Q$28&gt;=$AE$12,"NM",H12/[16]BJS!$Q$28)</f>
        <v>5.8036934341597801</v>
      </c>
      <c r="R12" s="128">
        <f>[16]BJS!$J$132</f>
        <v>0.11417653023846532</v>
      </c>
      <c r="S12" s="154">
        <f>IF(G12/[16]BJS!$I$97&lt;=0,"NM",G12/[16]BJS!$I$97)</f>
        <v>3.2414046786613513</v>
      </c>
      <c r="T12" s="128">
        <f>_xll.FDS(B12,"ib_div_yld",0)/100</f>
        <v>0</v>
      </c>
      <c r="U12" s="161">
        <f>[16]BJS!$S$305</f>
        <v>0</v>
      </c>
      <c r="V12" s="128" t="str">
        <f>[16]BJS!$T$305</f>
        <v>NA</v>
      </c>
      <c r="W12" s="159" t="str">
        <f>IF(ISERROR(((([16]BJS!$Q$282/[16]BJS!$Q$285)*H12)/U12)),"NA",((([16]BJS!$Q$282/[16]BJS!$Q$285)*H12)/U12))</f>
        <v>NA</v>
      </c>
      <c r="X12" s="160" t="s">
        <v>156</v>
      </c>
      <c r="Y12" s="154" t="str">
        <f>IF(ISERROR(((([16]BJS!$Q$282/[16]BJS!$Q$285)*G12)/X12)),"NA",((([16]BJS!$Q$282/[16]BJS!$Q$285)*G12)/X12))</f>
        <v>NA</v>
      </c>
      <c r="Z12" s="162">
        <f>[16]BJS!$S$56</f>
        <v>167.78501790082643</v>
      </c>
      <c r="AA12" s="163"/>
      <c r="AE12" s="164">
        <v>50</v>
      </c>
    </row>
    <row r="13" spans="1:33" ht="12.9" customHeight="1" x14ac:dyDescent="0.25">
      <c r="A13" s="38" t="str">
        <f>[17]CAM!$D$305</f>
        <v>Cooper Cameron Corporation</v>
      </c>
      <c r="B13" s="39" t="str">
        <f>[17]CAM!$E$305</f>
        <v>CAM</v>
      </c>
      <c r="C13" s="169">
        <f>[17]CAM!$D$9</f>
        <v>37106</v>
      </c>
      <c r="D13" s="159">
        <f>_xll.FDS(B13,"ib_price",$B$6)</f>
        <v>49.53</v>
      </c>
      <c r="E13" s="159">
        <f>_xll.FDS(B13,"ib_price_high_52w",$B$6)</f>
        <v>83.875</v>
      </c>
      <c r="F13" s="159">
        <f>_xll.FDS(B13,"ib_price_low_52w",$B$6)</f>
        <v>46.550000000000004</v>
      </c>
      <c r="G13" s="160">
        <f t="shared" si="0"/>
        <v>2687.22121044</v>
      </c>
      <c r="H13" s="160">
        <f>G13+[17]CAM!$J$123</f>
        <v>2908.32121044</v>
      </c>
      <c r="I13" s="154">
        <f>IF(OR($G$13/[17]CAM!$O$46&lt;=0,$G$13/[17]CAM!$O$46&gt;=$AE$12),"NM",$G$13/[17]CAM!$O$46)</f>
        <v>32.903668395058865</v>
      </c>
      <c r="J13" s="154">
        <f>IF(OR(D13/[17]CAM!$P$58&lt;=0,D13/[17]CAM!$P$58&gt;=AE12),"NM",D13/[17]CAM!$P$58)</f>
        <v>23.318423522051901</v>
      </c>
      <c r="K13" s="154">
        <f>IF(OR($D13/[17]CAM!$Q$58&lt;=0,$D13/[17]CAM!$Q$58&gt;=$AE$12),"NM",$D13/[17]CAM!$Q$58)</f>
        <v>16.169642283732578</v>
      </c>
      <c r="L13" s="154">
        <f>IF(OR($G$13/[17]CAM!$O$52&lt;=0,$G$13/[17]CAM!$O$52&gt;=$AE$12),"NM",$G$13/[17]CAM!$O$52)</f>
        <v>16.718920411486767</v>
      </c>
      <c r="M13" s="154">
        <f>IF(OR($D13/[17]CAM!$P$59&lt;=0,$D13/[17]CAM!$P$59&gt;=$AE$12),"NM",$D13/[17]CAM!$P$59)</f>
        <v>14.394335166820964</v>
      </c>
      <c r="N13" s="154">
        <f>IF(OR($D13/[17]CAM!$Q$59&lt;=0,$D13/[17]CAM!$Q$59&gt;=$AE$12),"NM",$D13/[17]CAM!$Q$59)</f>
        <v>11.229539271218945</v>
      </c>
      <c r="O13" s="154">
        <f>IF(G13/[17]CAM!O$28&gt;=$AE$12,"NM",G13/[17]CAM!O$28)</f>
        <v>12.34760310084501</v>
      </c>
      <c r="P13" s="154">
        <f>IF(H13/[17]CAM!P$28&gt;=$AE$12,"NM",H13/[17]CAM!P$28)</f>
        <v>11.008028805601811</v>
      </c>
      <c r="Q13" s="154">
        <f>IF(H13/[17]CAM!$Q$28&gt;=$AE$12,"NM",H13/[17]CAM!$Q$28)</f>
        <v>8.3572448575862062</v>
      </c>
      <c r="R13" s="128">
        <f>[17]CAM!$J$132</f>
        <v>0.35571701720841303</v>
      </c>
      <c r="S13" s="154">
        <f>G13/[17]CAM!$I$97</f>
        <v>3.189958701851852</v>
      </c>
      <c r="T13" s="128">
        <f>_xll.FDS(B13,"ib_div_yld",0)/100</f>
        <v>0</v>
      </c>
      <c r="U13" s="161">
        <f>[17]CAM!$S$305</f>
        <v>0</v>
      </c>
      <c r="V13" s="128" t="str">
        <f>[17]CAM!$T$305</f>
        <v>NA</v>
      </c>
      <c r="W13" s="159" t="str">
        <f>IF(ISERROR(((([17]CAM!$Q$282/[17]CAM!$Q$285)*H13)/U13)),"NA",((([17]CAM!$Q$282/[17]CAM!$Q$285)*H13)/U13))</f>
        <v>NA</v>
      </c>
      <c r="X13" s="160" t="s">
        <v>156</v>
      </c>
      <c r="Y13" s="154" t="str">
        <f>IF(ISERROR(((([17]CAM!$Q$282/[17]CAM!$Q$285)*G13)/X13)),"NA",((([17]CAM!$Q$282/[17]CAM!$Q$285)*G13)/X13))</f>
        <v>NA</v>
      </c>
      <c r="Z13" s="162">
        <f>[17]CAM!$S$56</f>
        <v>54.254415716535433</v>
      </c>
      <c r="AA13" s="163"/>
    </row>
    <row r="14" spans="1:33" ht="12.9" customHeight="1" x14ac:dyDescent="0.25">
      <c r="A14" s="38" t="str">
        <f>[18]CLB!$D$305</f>
        <v>Core Laboratories N.V.</v>
      </c>
      <c r="B14" s="39" t="str">
        <f>[18]CLB!$E$305</f>
        <v xml:space="preserve">CLB </v>
      </c>
      <c r="C14" s="169">
        <f>[18]CLB!$D$9</f>
        <v>37106</v>
      </c>
      <c r="D14" s="159">
        <f>_xll.FDS(B14,"ib_price",$B$6)</f>
        <v>19.68</v>
      </c>
      <c r="E14" s="159">
        <f>_xll.FDS(B14,"ib_price_high_52w",$B$6)</f>
        <v>28.5625</v>
      </c>
      <c r="F14" s="159">
        <f>_xll.FDS(B14,"ib_price_low_52w",$B$6)</f>
        <v>15.51</v>
      </c>
      <c r="G14" s="160">
        <f t="shared" si="0"/>
        <v>654.43729296000004</v>
      </c>
      <c r="H14" s="160">
        <f>G14+[18]CLB!$J$123</f>
        <v>722.70029296000007</v>
      </c>
      <c r="I14" s="154">
        <f>IF(OR($G$14/[18]CLB!$O$46&lt;=0,$G$14/[18]CLB!$O$46&gt;=$AE$12),"NM",$G$14/[18]CLB!$O$46)</f>
        <v>29.785190729381078</v>
      </c>
      <c r="J14" s="154">
        <f>IF(OR(D14/[18]CLB!$P$58&lt;=0,D14/[18]CLB!$P$58&gt;=AE12),"NM",D14/[18]CLB!$P$58)</f>
        <v>18.676487252124641</v>
      </c>
      <c r="K14" s="154">
        <f>IF(OR($D14/[18]CLB!$Q$58&lt;=0,$D14/[18]CLB!$Q$58&gt;=$AE$12),"NM",$D14/[18]CLB!$Q$58)</f>
        <v>13.132913385826763</v>
      </c>
      <c r="L14" s="154">
        <f>IF(OR($G$14/[18]CLB!$O$52&lt;=0,$G$14/[18]CLB!$O$52&gt;=$AE$12),"NM",$G$14/[18]CLB!$O$52)</f>
        <v>15.654558700505186</v>
      </c>
      <c r="M14" s="154">
        <f>IF(OR($D14/[18]CLB!$P$59&lt;=0,$D14/[18]CLB!$P$59&gt;=$AE$12),"NM",$D14/[18]CLB!$P$59)</f>
        <v>11.485714285714282</v>
      </c>
      <c r="N14" s="154">
        <f>IF(OR($D14/[18]CLB!$Q$59&lt;=0,$D14/[18]CLB!$Q$59&gt;=$AE$12),"NM",$D14/[18]CLB!$Q$59)</f>
        <v>9.0034008097165952</v>
      </c>
      <c r="O14" s="154">
        <f>IF(G14/[18]CLB!O$28&gt;=$AE$12,"NM",G14/[18]CLB!O$28)</f>
        <v>10.943401440754478</v>
      </c>
      <c r="P14" s="154">
        <f>IF(H14/[18]CLB!P$28&gt;=$AE$12,"NM",H14/[18]CLB!P$28)</f>
        <v>9.2181159816326534</v>
      </c>
      <c r="Q14" s="154">
        <f>IF(H14/[18]CLB!$Q$28&gt;=$AE$12,"NM",H14/[18]CLB!$Q$28)</f>
        <v>7.2779485695871085</v>
      </c>
      <c r="R14" s="128">
        <f>[18]CLB!$J$132</f>
        <v>0.23410491110719941</v>
      </c>
      <c r="S14" s="154">
        <f>G14/[18]CLB!$I$97</f>
        <v>2.526687359406973</v>
      </c>
      <c r="T14" s="128">
        <f>_xll.FDS(B14,"ib_div_yld",0)/100</f>
        <v>0</v>
      </c>
      <c r="U14" s="161">
        <f>[18]CLB!$S$305</f>
        <v>0</v>
      </c>
      <c r="V14" s="128" t="str">
        <f>[18]CLB!$T$305</f>
        <v>NA</v>
      </c>
      <c r="W14" s="159" t="str">
        <f>IF(ISERROR(((([18]CLB!$Q$282/[18]CLB!$Q$285)*H14)/U14)),"NA",((([18]CLB!$Q$282/[18]CLB!$Q$285)*H14)/U14))</f>
        <v>NA</v>
      </c>
      <c r="X14" s="160" t="s">
        <v>156</v>
      </c>
      <c r="Y14" s="154" t="str">
        <f>IF(ISERROR(((([18]CLB!$Q$282/[18]CLB!$Q$285)*G14)/X14)),"NA",((([18]CLB!$Q$282/[18]CLB!$Q$285)*G14)/X14))</f>
        <v>NA</v>
      </c>
      <c r="Z14" s="162">
        <f>[18]CLB!$S$56</f>
        <v>33.25392748780488</v>
      </c>
      <c r="AA14" s="163"/>
    </row>
    <row r="15" spans="1:33" ht="12.9" customHeight="1" x14ac:dyDescent="0.25">
      <c r="A15" s="38" t="str">
        <f>[19]EFX!$D$305</f>
        <v>Enerflex Systems Ltd.</v>
      </c>
      <c r="B15" s="39" t="str">
        <f>[19]EFX!$E$305</f>
        <v>*EFX</v>
      </c>
      <c r="C15" s="169">
        <f>[19]EFX!$D$9</f>
        <v>37099</v>
      </c>
      <c r="D15" s="159">
        <f>_xll.FDS(B15,"ib_price",$B$6)</f>
        <v>16.93252</v>
      </c>
      <c r="E15" s="159">
        <f>_xll.FDS(B15,"ib_price_high_52w",$B$6)</f>
        <v>22.931840000000001</v>
      </c>
      <c r="F15" s="159">
        <f>_xll.FDS(B15,"ib_price_low_52w",$B$6)</f>
        <v>16.266580000000001</v>
      </c>
      <c r="G15" s="160">
        <f t="shared" si="0"/>
        <v>257.64234579160001</v>
      </c>
      <c r="H15" s="160">
        <f>G15+[19]EFX!$J$123</f>
        <v>277.37581703159998</v>
      </c>
      <c r="I15" s="154">
        <f>IF(OR($G$15/[19]EFX!$O$46&lt;=0,$G$15/[19]EFX!$O$46&gt;=$AE$12),"NM",$G$15/[19]EFX!$O$46)</f>
        <v>37.619722881527643</v>
      </c>
      <c r="J15" s="154">
        <f>IF(OR(D15/[19]EFX!$P$58&lt;=0,D15/[19]EFX!$P$58&gt;=AE12),"NM",D15/[19]EFX!$P$58)</f>
        <v>11.59761643835613</v>
      </c>
      <c r="K15" s="154">
        <f>IF(OR($D15/[19]EFX!$Q$58&lt;=0,$D15/[19]EFX!$Q$58&gt;=$AE$12),"NM",$D15/[19]EFX!$Q$58)</f>
        <v>7.0946312849161988</v>
      </c>
      <c r="L15" s="154">
        <f>IF(OR($G$15/[19]EFX!$O$52&lt;=0,$G$15/[19]EFX!$O$52&gt;=$AE$12),"NM",$G$15/[19]EFX!$O$52)</f>
        <v>21.60392517308598</v>
      </c>
      <c r="M15" s="154">
        <f>IF(OR($D15/[19]EFX!$P$59&lt;=0,$D15/[19]EFX!$P$59&gt;=$AE$12),"NM",$D15/[19]EFX!$P$59)</f>
        <v>8.5517777777777599</v>
      </c>
      <c r="N15" s="154">
        <f>IF(OR($D15/[19]EFX!$Q$59&lt;=0,$D15/[19]EFX!$Q$59&gt;=$AE$12),"NM",$D15/[19]EFX!$Q$59)</f>
        <v>5.7988082191780803</v>
      </c>
      <c r="O15" s="154">
        <f>IF(G15/[16]BJS!O$28&gt;=$AE$12,"NM",G15/[16]BJS!O$28)</f>
        <v>0.58857391554712835</v>
      </c>
      <c r="P15" s="154">
        <f>IF(H15/[19]EFX!P$28&gt;=$AE$12,"NM",H15/[19]EFX!P$28)</f>
        <v>5.851810485898727</v>
      </c>
      <c r="Q15" s="154">
        <f>IF(H15/[19]EFX!$Q$28&gt;=$AE$12,"NM",H15/[19]EFX!$Q$28)</f>
        <v>4.1836473157104059</v>
      </c>
      <c r="R15" s="128">
        <f>[19]EFX!$J$132</f>
        <v>0.2248512780040354</v>
      </c>
      <c r="S15" s="154">
        <f>G15/[19]EFX!$I$97</f>
        <v>3.7872509449382838</v>
      </c>
      <c r="T15" s="128">
        <v>0</v>
      </c>
      <c r="U15" s="161">
        <f>[19]EFX!$S$305</f>
        <v>0</v>
      </c>
      <c r="V15" s="128" t="str">
        <f>[19]EFX!$T$305</f>
        <v>NA</v>
      </c>
      <c r="W15" s="159" t="str">
        <f>IF(ISERROR(((([19]EFX!$Q$282/[19]EFX!$Q$285)*H15)/U15)),"NA",((([19]EFX!$Q$282/[19]EFX!$Q$285)*H15)/U15))</f>
        <v>NA</v>
      </c>
      <c r="X15" s="160" t="s">
        <v>156</v>
      </c>
      <c r="Y15" s="154" t="str">
        <f>IF(ISERROR(((([19]EFX!$Q$282/[19]EFX!$Q$285)*G15)/X15)),"NA",((([19]EFX!$Q$282/[19]EFX!$Q$285)*G15)/X15))</f>
        <v>NA</v>
      </c>
      <c r="Z15" s="162">
        <f>[19]EFX!$S$56</f>
        <v>15.215829999999999</v>
      </c>
      <c r="AA15" s="163"/>
    </row>
    <row r="16" spans="1:33" ht="12.9" customHeight="1" x14ac:dyDescent="0.25">
      <c r="A16" s="38" t="str">
        <f>[20]GRP!$D$305</f>
        <v>Grant Prideco, Inc.</v>
      </c>
      <c r="B16" s="39" t="str">
        <f>[20]GRP!$E$305</f>
        <v>GRP</v>
      </c>
      <c r="C16" s="169">
        <f>[20]GRP!$D$9</f>
        <v>37106</v>
      </c>
      <c r="D16" s="159">
        <f>_xll.FDS(B16,"ib_price",$B$6)</f>
        <v>13.290000000000001</v>
      </c>
      <c r="E16" s="159">
        <f>_xll.FDS(B16,"ib_price_high_52w",$B$6)</f>
        <v>25.875</v>
      </c>
      <c r="F16" s="159">
        <f>_xll.FDS(B16,"ib_price_low_52w",$B$6)</f>
        <v>11.17</v>
      </c>
      <c r="G16" s="160">
        <f t="shared" si="0"/>
        <v>1457.8565279800002</v>
      </c>
      <c r="H16" s="160">
        <f>G16+[20]GRP!$J$123</f>
        <v>1722.1995279800003</v>
      </c>
      <c r="I16" s="154" t="str">
        <f>IF(OR($G$16/[20]GRP!$O$46&lt;=0,$G$16/[20]GRP!$O$46&gt;=$AE$12),"NM",$G$16/[20]GRP!$O$46)</f>
        <v>NM</v>
      </c>
      <c r="J16" s="154">
        <f>IF(OR(D16/[20]GRP!$P$58&lt;=0,D16/[20]GRP!$P$58&gt;=AE12),"NM",D16/[20]GRP!$P$58)</f>
        <v>25.496943972835304</v>
      </c>
      <c r="K16" s="154">
        <f>IF(OR($D16/[20]GRP!$Q$58&lt;=0,$D16/[20]GRP!$Q$58&gt;=$AE$12),"NM",$D16/[20]GRP!$Q$58)</f>
        <v>10.797634748646502</v>
      </c>
      <c r="L16" s="154" t="str">
        <f>IF(OR($G$16/[20]GRP!$O$52&lt;=0,$G$16/[20]GRP!$O$46&gt;=$AE$12),"NM",$G$16/[20]GRP!$O$46)</f>
        <v>NM</v>
      </c>
      <c r="M16" s="154">
        <f>IF(OR($D16/[20]GRP!$P$59&lt;=0,$D16/[20]GRP!$P$59&gt;=$AE$12),"NM",$D16/[20]GRP!$P$59)</f>
        <v>15.824762908324548</v>
      </c>
      <c r="N16" s="154">
        <f>IF(OR($D16/[20]GRP!$Q$59&lt;=0,$D16/[20]GRP!$Q$59&gt;=$AE$12),"NM",$D16/[20]GRP!$Q$59)</f>
        <v>8.5439381446865426</v>
      </c>
      <c r="O16" s="154">
        <f>IF(G16/[20]GRP!O$28&gt;=$AE$12,"NM",G16/[20]GRP!O$28)</f>
        <v>16.456219979455902</v>
      </c>
      <c r="P16" s="154">
        <f>IF(H16/[20]GRP!P$28&gt;=$AE$12,"NM",H16/[20]GRP!P$28)</f>
        <v>11.219540898892507</v>
      </c>
      <c r="Q16" s="154">
        <f>IF(H16/[20]GRP!$Q$28&gt;=$AE$12,"NM",H16/[20]GRP!$Q$28)</f>
        <v>6.3061132478213118</v>
      </c>
      <c r="R16" s="128">
        <f>[20]GRP!$J$132</f>
        <v>0.39869420030767827</v>
      </c>
      <c r="S16" s="154">
        <f>G16/[20]GRP!$I$97</f>
        <v>3.5683499970138444</v>
      </c>
      <c r="T16" s="128">
        <f>_xll.FDS(B16,"ib_div_yld",0)/100</f>
        <v>0</v>
      </c>
      <c r="U16" s="161">
        <f>[20]GRP!$S$305</f>
        <v>0</v>
      </c>
      <c r="V16" s="128" t="str">
        <f>[20]GRP!$T$305</f>
        <v>NA</v>
      </c>
      <c r="W16" s="159" t="str">
        <f>IF(ISERROR(((([20]GRP!$Q$282/[20]GRP!$Q$285)*H16)/U16)),"NA",((([20]GRP!$Q$282/[20]GRP!$Q$285)*H16)/U16))</f>
        <v>NA</v>
      </c>
      <c r="X16" s="160" t="s">
        <v>156</v>
      </c>
      <c r="Y16" s="154" t="str">
        <f>IF(ISERROR(((([20]GRP!$Q$282/[20]GRP!$Q$285)*G16)/X16)),"NA",((([20]GRP!$Q$282/[20]GRP!$Q$285)*G16)/X16))</f>
        <v>NA</v>
      </c>
      <c r="Z16" s="162">
        <f>[20]GRP!$S$56</f>
        <v>109.69575078856283</v>
      </c>
      <c r="AA16" s="163"/>
    </row>
    <row r="17" spans="1:31" ht="12.9" customHeight="1" x14ac:dyDescent="0.25">
      <c r="A17" s="108" t="str">
        <f>[21]HAL!$D$305</f>
        <v>Halliburton Company</v>
      </c>
      <c r="B17" s="165" t="str">
        <f>[21]HAL!$E$305</f>
        <v>HAL</v>
      </c>
      <c r="C17" s="168">
        <f>[21]HAL!$D$9</f>
        <v>37106</v>
      </c>
      <c r="D17" s="159">
        <f>_xll.FDS(B17,"ib_price",$B$6)</f>
        <v>35.160000000000004</v>
      </c>
      <c r="E17" s="159">
        <f>_xll.FDS(B17,"ib_price_high_52w",$B$6)</f>
        <v>55.1875</v>
      </c>
      <c r="F17" s="159">
        <f>_xll.FDS(B17,"ib_price_low_52w",$B$6)</f>
        <v>29.240000000000002</v>
      </c>
      <c r="G17" s="160">
        <f t="shared" si="0"/>
        <v>15218.902246744243</v>
      </c>
      <c r="H17" s="160">
        <f>G17+[21]HAL!$J$123</f>
        <v>16570.902246744241</v>
      </c>
      <c r="I17" s="154" t="str">
        <f>IF(OR($G$17/[21]HAL!$O$46&lt;=0,$G$17/[21]HAL!$O$46&gt;=$AE$12),"NM",$G$17/[21]HAL!$O$46)</f>
        <v>NM</v>
      </c>
      <c r="J17" s="154">
        <f>IF(OR(D17/[21]HAL!$P$58&lt;=0,D17/[21]HAL!$P$58&gt;=AE12),"NM",D17/[21]HAL!$P$58)</f>
        <v>24.234199512883976</v>
      </c>
      <c r="K17" s="154">
        <f>IF(OR($D17/[21]HAL!$Q$58&lt;=0,$D17/[21]HAL!$Q$58&gt;=$AE$12),"NM",$D17/[21]HAL!$Q$58)</f>
        <v>17.679119325469898</v>
      </c>
      <c r="L17" s="154">
        <f>IF(OR($G$17/[21]HAL!$O$52&lt;=0,$G$17/[21]HAL!$O$52&gt;=$AE$12),"NM",$G$17/[21]HAL!$O$52)</f>
        <v>31.392125096419647</v>
      </c>
      <c r="M17" s="154">
        <f>IF(OR($D17/[21]HAL!$P$59&lt;=0,$D17/[21]HAL!$P$59&gt;=$AE$12),"NM",$D17/[21]HAL!$P$59)</f>
        <v>12.77399809325196</v>
      </c>
      <c r="N17" s="154">
        <f>IF(OR($D17/[21]HAL!$Q$59&lt;=0,$D17/[21]HAL!$Q$59&gt;=$AE$12),"NM",$D17/[21]HAL!$Q$59)</f>
        <v>10.173884800745382</v>
      </c>
      <c r="O17" s="154">
        <f>IF(G17/[21]HAL!O$28&gt;=$AE$12,"NM",G17/[21]HAL!O$28)</f>
        <v>15.128133446067835</v>
      </c>
      <c r="P17" s="154">
        <f>IF(H17/[21]HAL!P$28&gt;=$AE$12,"NM",H17/[21]HAL!P$28)</f>
        <v>9.4313615519318432</v>
      </c>
      <c r="Q17" s="154">
        <f>IF(H17/[21]HAL!$Q$28&gt;=$AE$12,"NM",H17/[21]HAL!$Q$28)</f>
        <v>7.3096172239718751</v>
      </c>
      <c r="R17" s="128">
        <f>[21]HAL!$J$132</f>
        <v>0.31805929919137466</v>
      </c>
      <c r="S17" s="154">
        <f>G17/[21]HAL!$I$97</f>
        <v>3.7990270211543291</v>
      </c>
      <c r="T17" s="128">
        <f>_xll.FDS(B17,"ib_div_yld",0)/100</f>
        <v>1.414027E-2</v>
      </c>
      <c r="U17" s="161">
        <f>[21]HAL!$S$305</f>
        <v>0</v>
      </c>
      <c r="V17" s="128" t="str">
        <f>[21]HAL!$T$305</f>
        <v>NA</v>
      </c>
      <c r="W17" s="159" t="str">
        <f>IF(ISERROR(((([21]HAL!$Q$282/[21]HAL!$Q$285)*H17)/U17)),"NA",((([21]HAL!$Q$282/[21]HAL!$Q$285)*H17)/U17))</f>
        <v>NA</v>
      </c>
      <c r="X17" s="160" t="s">
        <v>156</v>
      </c>
      <c r="Y17" s="154" t="str">
        <f>IF(ISERROR(((([21]HAL!$Q$282/[21]HAL!$Q$285)*G17)/X17)),"NA",((([21]HAL!$Q$282/[21]HAL!$Q$285)*G17)/X17))</f>
        <v>NA</v>
      </c>
      <c r="Z17" s="162">
        <f>[21]HAL!$S$56</f>
        <v>432.84704911104211</v>
      </c>
      <c r="AA17" s="163"/>
    </row>
    <row r="18" spans="1:31" ht="12.9" customHeight="1" x14ac:dyDescent="0.25">
      <c r="A18" s="108" t="str">
        <f>[22]HC!$D$305</f>
        <v>Hanover Compressor Company</v>
      </c>
      <c r="B18" s="165" t="str">
        <f>[22]HC!$E$305</f>
        <v>HC</v>
      </c>
      <c r="C18" s="168">
        <f>[22]HC!$D$9</f>
        <v>37106</v>
      </c>
      <c r="D18" s="159">
        <f>_xll.FDS(B18,"ib_price",$B$6)</f>
        <v>31.900000000000002</v>
      </c>
      <c r="E18" s="159">
        <f>_xll.FDS(B18,"ib_price_high_52w",$B$6)</f>
        <v>46.0625</v>
      </c>
      <c r="F18" s="159">
        <f>_xll.FDS(B18,"ib_price_low_52w",$B$6)</f>
        <v>25.25</v>
      </c>
      <c r="G18" s="160">
        <f t="shared" si="0"/>
        <v>2678.8472866503525</v>
      </c>
      <c r="H18" s="160">
        <f>G18+[22]HC!$J$123</f>
        <v>4057.2092866503526</v>
      </c>
      <c r="I18" s="154">
        <f>IF(OR($G$18/[22]HC!$O$46&lt;=0,$G$18/[22]HC!$O$46&gt;=$AE$12),"NM",$G$18/[22]HC!$O$46)</f>
        <v>41.478381960572342</v>
      </c>
      <c r="J18" s="154">
        <f>IF(OR(D18/[22]HC!$P$58&lt;=0,D18/[22]HC!$P$58&gt;=AE12),"NM",D18/[22]HC!$P$58)</f>
        <v>23.587084297287099</v>
      </c>
      <c r="K18" s="154">
        <f>IF(OR($D18/[22]HC!$Q$58&lt;=0,$D18/[22]HC!$Q$58&gt;=$AE$12),"NM",$D18/[22]HC!$Q$58)</f>
        <v>17.895476784231231</v>
      </c>
      <c r="L18" s="154">
        <f>IF(OR($G$18/[22]HC!$O$52&lt;=0,$G$18/[22]HC!$O$52&gt;=$AE$12),"NM",$G$18/[22]HC!$O$52)</f>
        <v>16.725110827503482</v>
      </c>
      <c r="M18" s="154">
        <f>IF(OR($D18/[22]HC!$P$59&lt;=0,$D18/[22]HC!$P$59&gt;=$AE$12),"NM",$D18/[22]HC!$P$59)</f>
        <v>13.538478695472481</v>
      </c>
      <c r="N18" s="154">
        <f>IF(OR($D18/[22]HC!$Q$59&lt;=0,$D18/[22]HC!$Q$59&gt;=$AE$12),"NM",$D18/[22]HC!$Q$59)</f>
        <v>10.666957496240537</v>
      </c>
      <c r="O18" s="154">
        <f>IF(G18/[22]HC!O$28&gt;=$AE$12,"NM",G18/[22]HC!O$28)</f>
        <v>11.630474912735441</v>
      </c>
      <c r="P18" s="154">
        <f>IF(H18/[22]HC!P$28&gt;=$AE$12,"NM",H18/[22]HC!P$28)</f>
        <v>12.983069717281126</v>
      </c>
      <c r="Q18" s="154">
        <f>IF(H18/[22]HC!$Q$28&gt;=$AE$12,"NM",H18/[22]HC!$Q$28)</f>
        <v>10.258430560430726</v>
      </c>
      <c r="R18" s="128">
        <f>[22]HC!$J$132</f>
        <v>0.61595378137869727</v>
      </c>
      <c r="S18" s="154">
        <f>G18/[22]HC!$I$97</f>
        <v>3.4283628239473756</v>
      </c>
      <c r="T18" s="128">
        <f>_xll.FDS(B18,"ib_div_yld",0)/100</f>
        <v>0</v>
      </c>
      <c r="U18" s="161">
        <f>[22]HC!$S$305</f>
        <v>0</v>
      </c>
      <c r="V18" s="128" t="str">
        <f>[22]HC!$T$305</f>
        <v>NA</v>
      </c>
      <c r="W18" s="159" t="str">
        <f>IF(ISERROR(((([22]HC!$Q$282/[22]HC!$Q$285)*H18)/U18)),"NA",((([22]HC!$Q$282/[22]HC!$Q$285)*H18)/U18))</f>
        <v>NA</v>
      </c>
      <c r="X18" s="160" t="s">
        <v>156</v>
      </c>
      <c r="Y18" s="154" t="str">
        <f>IF(ISERROR(((([22]HC!$Q$282/[22]HC!$Q$285)*G18)/X18)),"NA",((([22]HC!$Q$282/[22]HC!$Q$285)*G18)/X18))</f>
        <v>NA</v>
      </c>
      <c r="Z18" s="162">
        <f>[22]HC!$S$56</f>
        <v>83.976403970230479</v>
      </c>
      <c r="AA18" s="163"/>
      <c r="AB18" s="39"/>
      <c r="AC18" s="166"/>
      <c r="AD18" s="167"/>
      <c r="AE18" s="53"/>
    </row>
    <row r="19" spans="1:31" ht="12.9" customHeight="1" x14ac:dyDescent="0.25">
      <c r="A19" s="108" t="str">
        <f>[23]HYDL!$D$305</f>
        <v>Hydril Company</v>
      </c>
      <c r="B19" s="165" t="str">
        <f>[23]HYDL!$E$305</f>
        <v>HYDL</v>
      </c>
      <c r="C19" s="168">
        <f>[23]HYDL!$D$9</f>
        <v>37106</v>
      </c>
      <c r="D19" s="159">
        <f>_xll.FDS(B19,"ib_price",$B$6)</f>
        <v>19.650000000000002</v>
      </c>
      <c r="E19" s="159">
        <f>_xll.FDS(B19,"ib_price_high_52w",$B$6)</f>
        <v>33.200000000000003</v>
      </c>
      <c r="F19" s="159">
        <f>_xll.FDS(B19,"ib_price_low_52w",$B$6)</f>
        <v>13.75</v>
      </c>
      <c r="G19" s="160">
        <f t="shared" si="0"/>
        <v>450.2406072</v>
      </c>
      <c r="H19" s="160">
        <f>G19+[23]HYDL!$J$123</f>
        <v>446.05260720000001</v>
      </c>
      <c r="I19" s="154">
        <f>IF(OR($G$19/[23]HYDL!$O$46&lt;=0,$G$19/[23]HYDL!$O$46&gt;=$AE$12),"NM",$G$19/[23]HYDL!$O$46)</f>
        <v>27.091919321258864</v>
      </c>
      <c r="J19" s="154">
        <f>IF(OR(D19/[23]HYDL!$P$58&lt;=0,D19/[23]HYDL!$P$58&gt;=AE12),"NM",D19/[23]HYDL!$P$58)</f>
        <v>18.737974683544305</v>
      </c>
      <c r="K19" s="154">
        <f>IF(OR($D19/[23]HYDL!$Q$58&lt;=0,$D19/[23]HYDL!$Q$58&gt;=$AE$12),"NM",$D19/[23]HYDL!$Q$58)</f>
        <v>12.096370967741946</v>
      </c>
      <c r="L19" s="154">
        <f>IF(OR($G$19/[23]HYDL!$O$52&lt;=0,$G$19/[23]HYDL!$O$52&gt;=$AE$12),"NM",$G$19/[23]HYDL!$O$52)</f>
        <v>26.955673064718976</v>
      </c>
      <c r="M19" s="154">
        <f>IF(OR($D19/[23]HYDL!$P$59&lt;=0,$D19/[23]HYDL!$P$59&gt;=$AE$12),"NM",$D19/[23]HYDL!$P$59)</f>
        <v>13.29610778443114</v>
      </c>
      <c r="N19" s="154">
        <f>IF(OR($D19/[23]HYDL!$Q$59&lt;=0,$D19/[23]HYDL!$Q$59&gt;=$AE$12),"NM",$D19/[23]HYDL!$Q$59)</f>
        <v>8.9282738095238123</v>
      </c>
      <c r="O19" s="154">
        <f>IF(G19/[23]HYDL!O$28&gt;=$AE$12,"NM",G19/[23]HYDL!O$28)</f>
        <v>17.399930715721158</v>
      </c>
      <c r="P19" s="154">
        <f>IF(H19/[23]HYDL!P$28&gt;=$AE$12,"NM",H19/[23]HYDL!P$28)</f>
        <v>9.292762650000002</v>
      </c>
      <c r="Q19" s="154">
        <f>IF(H19/[23]HYDL!$Q$28&gt;=$AE$12,"NM",H19/[23]HYDL!$Q$28)</f>
        <v>6.0440732682926841</v>
      </c>
      <c r="R19" s="128">
        <f>[23]HYDL!$J$132</f>
        <v>0.30581434476246916</v>
      </c>
      <c r="S19" s="154">
        <f>G19/[23]HYDL!$I$97</f>
        <v>3.2574201070756765</v>
      </c>
      <c r="T19" s="128">
        <f>_xll.FDS(B19,"ib_div_yld",0)/100</f>
        <v>0</v>
      </c>
      <c r="U19" s="161">
        <f>[23]HYDL!$S$305</f>
        <v>0</v>
      </c>
      <c r="V19" s="128" t="str">
        <f>[23]HYDL!$T$305</f>
        <v>NA</v>
      </c>
      <c r="W19" s="159" t="str">
        <f>IF(ISERROR(((([23]HYDL!$Q$282/[23]HYDL!$Q$285)*H19)/U19)),"NA",((([23]HYDL!$Q$282/[23]HYDL!$Q$285)*H19)/U19))</f>
        <v>NA</v>
      </c>
      <c r="X19" s="160" t="s">
        <v>156</v>
      </c>
      <c r="Y19" s="154" t="str">
        <f>IF(ISERROR(((([23]HYDL!$Q$282/[23]HYDL!$Q$285)*G19)/X19)),"NA",((([23]HYDL!$Q$282/[23]HYDL!$Q$285)*G19)/X19))</f>
        <v>NA</v>
      </c>
      <c r="Z19" s="162">
        <f>[23]HYDL!$S$56</f>
        <v>22.913007999999998</v>
      </c>
      <c r="AA19" s="163"/>
      <c r="AB19" s="39"/>
      <c r="AC19" s="166"/>
      <c r="AD19" s="167"/>
      <c r="AE19" s="53"/>
    </row>
    <row r="20" spans="1:31" ht="12.9" customHeight="1" x14ac:dyDescent="0.25">
      <c r="A20" s="108" t="str">
        <f>[24]IO!$D$305</f>
        <v>Input/Output, Inc.</v>
      </c>
      <c r="B20" s="165" t="str">
        <f>[24]IO!$E$305</f>
        <v>IO</v>
      </c>
      <c r="C20" s="168">
        <f>[24]IO!$D$9</f>
        <v>37099</v>
      </c>
      <c r="D20" s="159">
        <f>_xll.FDS(B20,"ib_price",$B$6)</f>
        <v>10</v>
      </c>
      <c r="E20" s="159">
        <f>_xll.FDS(B20,"ib_price_high_52w",$B$6)</f>
        <v>14.25</v>
      </c>
      <c r="F20" s="159">
        <f>_xll.FDS(B20,"ib_price_low_52w",$B$6)</f>
        <v>7.375</v>
      </c>
      <c r="G20" s="160">
        <f t="shared" si="0"/>
        <v>515.00647848341123</v>
      </c>
      <c r="H20" s="160">
        <f>G20+[24]IO!$J$123</f>
        <v>503.94747848341126</v>
      </c>
      <c r="I20" s="154" t="str">
        <f>IF(OR($G$20/[24]IO!$O$46&lt;=0,$G$20/[24]IO!$O$46&gt;=$AE$12),"NM",$G$20/[24]IO!$O$46)</f>
        <v>NM</v>
      </c>
      <c r="J20" s="154" t="str">
        <f>IF(OR(D20/[24]IO!$P$58&lt;=0,D20/[24]IO!$P$58&gt;=AE12),"NM",D20/[24]IO!$P$58)</f>
        <v>NM</v>
      </c>
      <c r="K20" s="154">
        <f>IF(OR($D20/[24]IO!$Q$58&lt;=0,$D20/[24]IO!$Q$58&gt;=$AE$12),"NM",$D20/[24]IO!$Q$58)</f>
        <v>29.085714285714303</v>
      </c>
      <c r="L20" s="154" t="str">
        <f>IF(OR($G$20/[24]IO!$O$52&lt;=0,$G$20/[24]IO!$O$52&gt;=$AE$12),"NM",$G$20/[24]IO!$O$52)</f>
        <v>NM</v>
      </c>
      <c r="M20" s="154">
        <f>IF(OR($D20/[24]IO!$P$59&lt;=0,$D20/[24]IO!$P$59&gt;=$AE$12),"NM",$D20/[24]IO!$P$59)</f>
        <v>18.309352517985612</v>
      </c>
      <c r="N20" s="154">
        <f>IF(OR($D20/[24]IO!$Q$59&lt;=0,$D20/[24]IO!$Q$59&gt;=$AE$12),"NM",$D20/[24]IO!$Q$59)</f>
        <v>11.0412147505423</v>
      </c>
      <c r="O20" s="154">
        <f>IF(G20/[24]IO!O$28&gt;=$AE$12,"NM",G20/[24]IO!O$28)</f>
        <v>-48.930182272936392</v>
      </c>
      <c r="P20" s="154">
        <f>IF(H20/[24]IO!P$28&gt;=$AE$12,"NM",H20/[24]IO!P$28)</f>
        <v>15.847404983755073</v>
      </c>
      <c r="Q20" s="154">
        <f>IF(H20/[24]IO!$Q$28&gt;=$AE$12,"NM",H20/[24]IO!$Q$28)</f>
        <v>8.5997863222425135</v>
      </c>
      <c r="R20" s="128">
        <f>[24]IO!$J$132</f>
        <v>3.2716470157495084E-2</v>
      </c>
      <c r="S20" s="154">
        <f>G20/[24]IO!$I$97</f>
        <v>1.5848547598387814</v>
      </c>
      <c r="T20" s="128">
        <f>_xll.FDS(B20,"ib_div_yld",0)/100</f>
        <v>0</v>
      </c>
      <c r="U20" s="161">
        <f>[24]IO!$S$305</f>
        <v>0</v>
      </c>
      <c r="V20" s="128" t="str">
        <f>[24]IO!$T$305</f>
        <v>NA</v>
      </c>
      <c r="W20" s="159" t="str">
        <f>IF(ISERROR(((([24]IO!$Q$282/[24]IO!$Q$285)*H20)/U20)),"NA",((([24]IO!$Q$282/[24]IO!$Q$285)*H20)/U20))</f>
        <v>NA</v>
      </c>
      <c r="X20" s="160" t="s">
        <v>156</v>
      </c>
      <c r="Y20" s="154" t="str">
        <f>IF(ISERROR(((([24]IO!$Q$282/[24]IO!$Q$285)*G20)/X20)),"NA",((([24]IO!$Q$282/[24]IO!$Q$285)*G20)/X20))</f>
        <v>NA</v>
      </c>
      <c r="Z20" s="162">
        <f>[24]IO!$S$56</f>
        <v>51.500647848341117</v>
      </c>
      <c r="AA20" s="163"/>
      <c r="AB20" s="39"/>
      <c r="AC20" s="166"/>
      <c r="AD20" s="167"/>
      <c r="AE20" s="53"/>
    </row>
    <row r="21" spans="1:31" ht="12.9" customHeight="1" x14ac:dyDescent="0.25">
      <c r="A21" s="108" t="str">
        <f>[25]NOI!$D$305</f>
        <v>National-Oilwell, Inc.</v>
      </c>
      <c r="B21" s="165" t="str">
        <f>[25]NOI!$E$305</f>
        <v>NOI</v>
      </c>
      <c r="C21" s="168">
        <f>[25]NOI!$D$9</f>
        <v>37106</v>
      </c>
      <c r="D21" s="159">
        <f>_xll.FDS(B21,"ib_price",$B$6)</f>
        <v>18.05</v>
      </c>
      <c r="E21" s="159">
        <f>_xll.FDS(B21,"ib_price_high_52w",$B$6)</f>
        <v>41.24</v>
      </c>
      <c r="F21" s="159">
        <f>_xll.FDS(B21,"ib_price_low_52w",$B$6)</f>
        <v>17.600000000000001</v>
      </c>
      <c r="G21" s="160">
        <f t="shared" si="0"/>
        <v>1464.36812459</v>
      </c>
      <c r="H21" s="160">
        <f>G21+[25]NOI!$J$123</f>
        <v>1701.2481245899999</v>
      </c>
      <c r="I21" s="154">
        <f>IF(OR($G$21/[25]NOI!$O$46&lt;=0,$G$21/[25]NOI!$O$46&gt;=$AE$12),"NM",$G$21/[25]NOI!$O$46)</f>
        <v>31.024551212386143</v>
      </c>
      <c r="J21" s="154">
        <f>IF(OR(D21/[25]NOI!$P$58&lt;=0,D21/[25]NOI!$P$58&gt;=AE12),"NM",D21/[25]NOI!$P$58)</f>
        <v>13.470149253731343</v>
      </c>
      <c r="K21" s="154">
        <f>IF(OR($D21/[25]NOI!$Q$58&lt;=0,$D21/[25]NOI!$Q$58&gt;=$AE$12),"NM",$D21/[25]NOI!$Q$58)</f>
        <v>10.130961621896798</v>
      </c>
      <c r="L21" s="154">
        <f>IF(OR($G$21/[25]NOI!$O$52&lt;=0,$G$21/[25]NOI!$O$52&gt;=$AE$12),"NM",$G$21/[25]NOI!$O$52)</f>
        <v>18.703381019946459</v>
      </c>
      <c r="M21" s="154">
        <f>IF(OR($D21/[25]NOI!$P$59&lt;=0,$D21/[25]NOI!$P$59&gt;=$AE$12),"NM",$D21/[25]NOI!$P$59)</f>
        <v>9.5502645502645507</v>
      </c>
      <c r="N21" s="154">
        <f>IF(OR($D21/[25]NOI!$Q$59&lt;=0,$D21/[25]NOI!$Q$59&gt;=$AE$12),"NM",$D21/[25]NOI!$Q$59)</f>
        <v>6.5045045045045047</v>
      </c>
      <c r="O21" s="154">
        <f>IF(G21/[25]NOI!O$28&gt;=$AE$12,"NM",G21/[25]NOI!O$28)</f>
        <v>10.818881920533689</v>
      </c>
      <c r="P21" s="154">
        <f>IF(H21/[25]NOI!P$28&gt;=$AE$12,"NM",H21/[25]NOI!P$28)</f>
        <v>7.4202819859306297</v>
      </c>
      <c r="Q21" s="154">
        <f>IF(H21/[25]NOI!$Q$28&gt;=$AE$12,"NM",H21/[25]NOI!$Q$28)</f>
        <v>5.401427507836182</v>
      </c>
      <c r="R21" s="128">
        <f>[25]NOI!$J$132</f>
        <v>0.27776619321694235</v>
      </c>
      <c r="S21" s="154">
        <f>G21/[25]NOI!$I$97</f>
        <v>1.8707514654240709</v>
      </c>
      <c r="T21" s="128">
        <f>_xll.FDS(B21,"ib_div_yld",0)/100</f>
        <v>0</v>
      </c>
      <c r="U21" s="161">
        <f>[25]NOI!$S$305</f>
        <v>0</v>
      </c>
      <c r="V21" s="128" t="str">
        <f>[25]NOI!$T$305</f>
        <v>NA</v>
      </c>
      <c r="W21" s="159" t="str">
        <f>IF(ISERROR(((([25]NOI!$Q$282/[25]NOI!$Q$285)*G21)/T21)),"NA",((([25]NOI!$Q$282/[25]NOI!$Q$285)*H21)/U21))</f>
        <v>NA</v>
      </c>
      <c r="X21" s="160" t="s">
        <v>156</v>
      </c>
      <c r="Y21" s="154" t="str">
        <f>IF(ISERROR(((([25]NOI!$Q$282/[25]NOI!$Q$285)*G21)/X21)),"NA",((([25]NOI!$Q$282/[25]NOI!$Q$285)*G21)/X21))</f>
        <v>NA</v>
      </c>
      <c r="Z21" s="162">
        <f>[25]NOI!$S$56</f>
        <v>81.12842795512465</v>
      </c>
      <c r="AA21" s="163"/>
      <c r="AB21" s="39"/>
      <c r="AC21" s="166"/>
      <c r="AD21" s="167"/>
      <c r="AE21" s="53"/>
    </row>
    <row r="22" spans="1:31" ht="12.9" customHeight="1" x14ac:dyDescent="0.25">
      <c r="A22" s="108" t="str">
        <f>[26]SLB!$D$305</f>
        <v>Schlumberger Limited</v>
      </c>
      <c r="B22" s="165" t="str">
        <f>[26]SLB!$E$305</f>
        <v>SLB</v>
      </c>
      <c r="C22" s="168">
        <f>[26]SLB!$D$9</f>
        <v>37106</v>
      </c>
      <c r="D22" s="159">
        <f>_xll.FDS(B22,"ib_price",$B$6)</f>
        <v>52.02</v>
      </c>
      <c r="E22" s="159">
        <f>_xll.FDS(B22,"ib_price_high_52w",$B$6)</f>
        <v>88.875</v>
      </c>
      <c r="F22" s="159">
        <f>_xll.FDS(B22,"ib_price_low_52w",$B$6)</f>
        <v>46.900000000000006</v>
      </c>
      <c r="G22" s="160">
        <f t="shared" si="0"/>
        <v>30055.551738027003</v>
      </c>
      <c r="H22" s="160">
        <f>G22+[26]SLB!$J$123</f>
        <v>37124.917738027005</v>
      </c>
      <c r="I22" s="154" t="str">
        <f>IF(OR($G$22/[26]SLB!$O$46&lt;=0,$G$22/[26]SLB!$O$46&gt;=$AE$12),"NM",$G$22/[26]SLB!$O$46)</f>
        <v>NM</v>
      </c>
      <c r="J22" s="154">
        <f>IF(OR(D22/[26]SLB!$P$58&lt;=0,D22/[26]SLB!$P$58&gt;=AE12),"NM",D22/[26]SLB!$P$58)</f>
        <v>32.999326742207586</v>
      </c>
      <c r="K22" s="154">
        <f>IF(OR(D22/[26]SLB!$Q$58&lt;=0,D22/[26]SLB!$Q$58&gt;=[27]output!$AI$13),"NM",D22/[26]SLB!$Q$58)</f>
        <v>24.255577452763436</v>
      </c>
      <c r="L22" s="154">
        <f>IF(OR($G$22/[26]SLB!$O$52&lt;=0,$G$22/[26]SLB!$O$52&gt;=$AE$12),"NM",$G$22/[26]SLB!$O$52)</f>
        <v>16.87287925080981</v>
      </c>
      <c r="M22" s="154">
        <f>IF(OR(D22/[26]SLB!$P$59&lt;=0,D22/[26]SLB!$P$59&gt;=[27]output!$AI$13),"NM",D22/[26]SLB!$P$59)</f>
        <v>12.723393972346198</v>
      </c>
      <c r="N22" s="154">
        <f>IF(OR($D22/[26]SLB!$Q$59&lt;=0,$D22/[26]SLB!$Q$59&gt;=$AE$12),"NM",$D22/[26]SLB!$Q$59)</f>
        <v>10.555107483556398</v>
      </c>
      <c r="O22" s="154">
        <f>IF(G22/[26]SLB!O$28&gt;=$AE$12,"NM",G22/[26]SLB!O$28)</f>
        <v>14.229931640116858</v>
      </c>
      <c r="P22" s="154">
        <f>IF(H22/[26]SLB!P$28&gt;=$AE$12,"NM",H22/[26]SLB!P$28)</f>
        <v>12.559173795002373</v>
      </c>
      <c r="Q22" s="154">
        <f>IF(H22/[26]SLB!$Q$28&gt;=$AE$12,"NM",H22/[26]SLB!$Q$28)</f>
        <v>9.877588862053214</v>
      </c>
      <c r="R22" s="128">
        <f>[26]SLB!$J$132</f>
        <v>0.4267814017623261</v>
      </c>
      <c r="S22" s="154">
        <f>G22/[26]SLB!$I$97</f>
        <v>3.5783549796353618</v>
      </c>
      <c r="T22" s="128">
        <f>_xll.FDS(B22,"ib_div_yld",0)/100</f>
        <v>1.4563109999999999E-2</v>
      </c>
      <c r="U22" s="161">
        <f>[26]SLB!$S$305</f>
        <v>0</v>
      </c>
      <c r="V22" s="128" t="str">
        <f>[26]SLB!$T$305</f>
        <v>NA</v>
      </c>
      <c r="W22" s="159" t="str">
        <f>IF(ISERROR(((([26]SLB!$Q$282/[26]SLB!$Q$285)*H22)/U22)),"NA",((([26]SLB!$Q$282/[26]SLB!$Q$285)*H22)/U22))</f>
        <v>NA</v>
      </c>
      <c r="X22" s="160" t="s">
        <v>156</v>
      </c>
      <c r="Y22" s="154" t="str">
        <f>IF(ISERROR(((([26]SLB!$Q$282/[26]SLB!$Q$285)*G22)/X22)),"NA",((([26]SLB!$Q$282/[26]SLB!$Q$285)*G22)/X22))</f>
        <v>NA</v>
      </c>
      <c r="Z22" s="162">
        <f>[26]SLB!$S$56</f>
        <v>577.76916066949252</v>
      </c>
      <c r="AA22" s="163"/>
      <c r="AB22" s="39"/>
      <c r="AC22" s="166"/>
      <c r="AD22" s="167"/>
      <c r="AE22" s="53"/>
    </row>
    <row r="23" spans="1:31" ht="12.9" customHeight="1" x14ac:dyDescent="0.25">
      <c r="A23" s="108" t="str">
        <f>[28]SII!$D$305</f>
        <v>Smith International, Inc.</v>
      </c>
      <c r="B23" s="165" t="str">
        <f>[28]SII!$E$305</f>
        <v>SII</v>
      </c>
      <c r="C23" s="168">
        <f>[28]SII!$D$9</f>
        <v>37106</v>
      </c>
      <c r="D23" s="159">
        <f>_xll.FDS(B23,"ib_price",$B$6)</f>
        <v>52.26</v>
      </c>
      <c r="E23" s="159">
        <f>_xll.FDS(B23,"ib_price_high_52w",$B$6)</f>
        <v>87.125</v>
      </c>
      <c r="F23" s="159">
        <f>_xll.FDS(B23,"ib_price_low_52w",$B$6)</f>
        <v>48.550000000000004</v>
      </c>
      <c r="G23" s="160">
        <f t="shared" si="0"/>
        <v>2657.6259920699999</v>
      </c>
      <c r="H23" s="160">
        <f>G23+[28]SII!$J$123</f>
        <v>3627.9579920699998</v>
      </c>
      <c r="I23" s="154">
        <f>IF(OR($G$23/[28]SII!$O$46&lt;=0,$G$23/[28]SII!$O$46&gt;=$AE$12),"NM",$G$23/[28]SII!$O$46)</f>
        <v>28.734999790776452</v>
      </c>
      <c r="J23" s="154">
        <f>IF(OR(D23/[28]SII!$P$58&lt;=0,D23/[28]SII!$P$58&gt;=AE12),"NM",D23/[28]SII!$P$58)</f>
        <v>16.861375305109028</v>
      </c>
      <c r="K23" s="154">
        <f>IF(OR(D23/[28]SII!$Q$58&lt;=0,D23/[28]SII!$Q$58&gt;=[27]output!$AI$13),"NM",D23/[28]SII!$Q$58)</f>
        <v>12.907637352298977</v>
      </c>
      <c r="L23" s="154">
        <f>IF(OR($G$23/[28]SII!$O$52&lt;=0,$G$23/[28]SII!$O$52&gt;=$AE$12),"NM",$G$23/[28]SII!$O$52)</f>
        <v>11.666261756446369</v>
      </c>
      <c r="M23" s="154">
        <f>IF(OR($D23/[28]SII!$P$59&lt;=0,$D23/[28]SII!$P$59&gt;=$AE$12),"NM",$D23/[28]SII!$P$59)</f>
        <v>11.421263495058088</v>
      </c>
      <c r="N23" s="154">
        <f>IF(OR($D23/[28]SII!$Q$59&lt;=0,$D23/[28]SII!$Q$59&gt;=$AE$12),"NM",$D23/[28]SII!$Q$59)</f>
        <v>9.3028001876813669</v>
      </c>
      <c r="O23" s="154">
        <f>IF(G23/[28]SII!O$28&gt;=$AE$12,"NM",G23/[28]SII!O$28)</f>
        <v>8.1279180122945149</v>
      </c>
      <c r="P23" s="154">
        <f>IF(H23/[28]SII!P$28&gt;=$AE$12,"NM",H23/[28]SII!P$28)</f>
        <v>7.9717820085036308</v>
      </c>
      <c r="Q23" s="154">
        <f>IF(H23/[28]SII!$Q$28&gt;=$AE$12,"NM",H23/[28]SII!$Q$28)</f>
        <v>6.3872499860387348</v>
      </c>
      <c r="R23" s="128">
        <f>[28]SII!$J$132</f>
        <v>0.32253366622294571</v>
      </c>
      <c r="S23" s="154">
        <f>G23/[26]SLB!$I$97</f>
        <v>0.31641173270161138</v>
      </c>
      <c r="T23" s="128">
        <f>_xll.FDS(B23,"ib_div_yld",0)/100</f>
        <v>0</v>
      </c>
      <c r="U23" s="161">
        <f>[28]SII!$S$305</f>
        <v>0</v>
      </c>
      <c r="V23" s="128" t="str">
        <f>[28]SII!$T$305</f>
        <v>NA</v>
      </c>
      <c r="W23" s="159" t="str">
        <f>IF(ISERROR(((([28]SII!$Q$282/[28]SII!$Q$285)*H23)/U23)),"NA",((([28]SII!$Q$282/[28]SII!$Q$285)*H23)/U23))</f>
        <v>NA</v>
      </c>
      <c r="X23" s="160" t="s">
        <v>156</v>
      </c>
      <c r="Y23" s="154" t="str">
        <f>IF(ISERROR(((([28]SII!$Q$282/[28]SII!$Q$285)*G23)/X23)),"NA",((([28]SII!$Q$282/[28]SII!$Q$285)*G23)/X23))</f>
        <v>NA</v>
      </c>
      <c r="Z23" s="162">
        <f>[28]SII!$S$56</f>
        <v>50.853922542479907</v>
      </c>
      <c r="AA23" s="163"/>
      <c r="AB23" s="39"/>
      <c r="AC23" s="166"/>
      <c r="AD23" s="167"/>
      <c r="AE23" s="53"/>
    </row>
    <row r="24" spans="1:31" ht="12.9" customHeight="1" x14ac:dyDescent="0.25">
      <c r="A24" s="108" t="str">
        <f>[29]SESI!$D$305</f>
        <v>Superior Energy Services, Inc.</v>
      </c>
      <c r="B24" s="165" t="str">
        <f>[29]SESI!$E$305</f>
        <v>SESI</v>
      </c>
      <c r="C24" s="168">
        <f>[29]SESI!$D$9</f>
        <v>37106</v>
      </c>
      <c r="D24" s="159">
        <f>_xll.FDS(B24,"ib_price",$B$6)</f>
        <v>7.78</v>
      </c>
      <c r="E24" s="159">
        <f>_xll.FDS(B24,"ib_price_high_52w",$B$6)</f>
        <v>14.100000000000001</v>
      </c>
      <c r="F24" s="159">
        <f>_xll.FDS(B24,"ib_price_low_52w",$B$6)</f>
        <v>7.4</v>
      </c>
      <c r="G24" s="160">
        <f t="shared" si="0"/>
        <v>535.97831327999995</v>
      </c>
      <c r="H24" s="160">
        <f>G24+[29]SESI!$J$123</f>
        <v>784.81431327999996</v>
      </c>
      <c r="I24" s="154">
        <f>IF(OR($G$24/[29]SESI!$O$46&lt;=0,$G$24/[29]SESI!$O$46&gt;=$AE$12),"NM",$G$24/[29]SESI!$O$46)</f>
        <v>23.205085984816439</v>
      </c>
      <c r="J24" s="154">
        <f>IF(OR(D24/[29]SESI!$P$58&lt;=0,D24/[29]SESI!$P$58&gt;=AE12),"NM",D24/[29]SESI!$P$58)</f>
        <v>10.473076923076922</v>
      </c>
      <c r="K24" s="154">
        <f>IF(OR(D24/[29]SESI!$Q$58&lt;=0,D24/[29]SESI!$Q$58&gt;=[27]output!$AI$13),"NM",D24/[29]SESI!$Q$58)</f>
        <v>7.7800000000000038</v>
      </c>
      <c r="L24" s="154">
        <f>IF(OR($G$24/[29]SESI!$O$52&lt;=0,$G$24/[29]SESI!$O$52&gt;=$AE$12),"NM",$G$24/[29]SESI!$O$52)</f>
        <v>9.5523715395534854</v>
      </c>
      <c r="M24" s="154">
        <f>IF(OR($D24/[29]SESI!$P$59&lt;=0,$D24/[29]SESI!$P$59&gt;=$AE$12),"NM",$D24/[29]SESI!$P$59)</f>
        <v>6.6012121212121215</v>
      </c>
      <c r="N24" s="154">
        <f>IF(OR($D24/[29]SESI!$Q$59&lt;=0,$D24/[29]SESI!$Q$59&gt;=$AE$12),"NM",$D24/[29]SESI!$Q$59)</f>
        <v>5.0445662100456641</v>
      </c>
      <c r="O24" s="154">
        <f>IF(G24/[29]SESI!O$28&gt;=$AE$12,"NM",G24/[29]SESI!O$28)</f>
        <v>6.4010403697466893</v>
      </c>
      <c r="P24" s="154">
        <f>IF(H24/[29]SESI!P$28&gt;=$AE$12,"NM",H24/[29]SESI!P$28)</f>
        <v>5.7077404602181812</v>
      </c>
      <c r="Q24" s="154">
        <f>IF(H24/[29]SESI!$Q$28&gt;=$AE$12,"NM",H24/[29]SESI!$Q$28)</f>
        <v>4.3240458031955926</v>
      </c>
      <c r="R24" s="128">
        <f>[29]SESI!$J$132</f>
        <v>0.53096665683968525</v>
      </c>
      <c r="S24" s="154">
        <f>G24/[29]SESI!$I$97</f>
        <v>2.4236510582649391</v>
      </c>
      <c r="T24" s="128">
        <f>_xll.FDS(B24,"ib_div_yld",0)/100</f>
        <v>0</v>
      </c>
      <c r="U24" s="161">
        <f>[29]SESI!$S$305</f>
        <v>0</v>
      </c>
      <c r="V24" s="128" t="str">
        <f>[29]SESI!$T$305</f>
        <v>NA</v>
      </c>
      <c r="W24" s="159" t="str">
        <f>IF(ISERROR(((([29]SESI!$Q$282/[29]SESI!$Q$285)*G24)/T24)),"NA",((([29]SESI!$Q$282/[29]SESI!$Q$285)*G24)/T24))</f>
        <v>NA</v>
      </c>
      <c r="X24" s="160" t="s">
        <v>156</v>
      </c>
      <c r="Y24" s="154" t="str">
        <f>IF(ISERROR(((([29]SESI!$Q$282/[29]SESI!$Q$285)*G24)/X24)),"NA",((([29]SESI!$Q$282/[29]SESI!$Q$285)*G24)/X24))</f>
        <v>NA</v>
      </c>
      <c r="Z24" s="162">
        <f>[29]SESI!$S$56</f>
        <v>68.891814046272486</v>
      </c>
      <c r="AA24" s="163"/>
      <c r="AB24" s="39"/>
      <c r="AC24" s="166"/>
      <c r="AD24" s="167"/>
      <c r="AE24" s="53"/>
    </row>
    <row r="25" spans="1:31" ht="12.9" customHeight="1" x14ac:dyDescent="0.25">
      <c r="A25" s="108" t="str">
        <f>[30]TEO!$D$305</f>
        <v>Tesco Corporation</v>
      </c>
      <c r="B25" s="165" t="str">
        <f>[30]TEO!$E$305</f>
        <v>*TEO</v>
      </c>
      <c r="C25" s="168">
        <f>[30]TEO!$D$9</f>
        <v>37099</v>
      </c>
      <c r="D25" s="159">
        <f>_xll.FDS(B25,"ib_price",$B$6)</f>
        <v>10.257200000000001</v>
      </c>
      <c r="E25" s="159">
        <f>_xll.FDS(B25,"ib_price_high_52w",$B$6)</f>
        <v>14.921781999999999</v>
      </c>
      <c r="F25" s="159">
        <f>_xll.FDS(B25,"ib_price_low_52w",$B$6)</f>
        <v>8.037412999999999</v>
      </c>
      <c r="G25" s="160">
        <f t="shared" si="0"/>
        <v>335.94528864465474</v>
      </c>
      <c r="H25" s="160">
        <f>G25+[30]TEO!$J$123</f>
        <v>348.84328864465476</v>
      </c>
      <c r="I25" s="154">
        <f>IF(OR($G$25/[30]TEO!$O$46&lt;=0,$G$25/[30]TEO!$O$46&gt;=$AE$12),"NM",$G$25/[30]TEO!$O$46)</f>
        <v>39.370126408608229</v>
      </c>
      <c r="J25" s="154">
        <f>IF(OR(D25/[30]TEO!$P$58&lt;=0,D25/[30]TEO!$P$58&gt;=AE12),"NM",D25/[30]TEO!$P$58)</f>
        <v>15.546787443946187</v>
      </c>
      <c r="K25" s="154">
        <f>IF(OR($D25/[30]TEO!$Q$58&lt;=0,$D25/[30]TEO!$Q$58&gt;=$AE$12),"NM",$D25/[30]TEO!$Q$58)</f>
        <v>11.156370129870128</v>
      </c>
      <c r="L25" s="154">
        <f>IF(OR($G$25/[30]TEO!$O$52&lt;=0,$G$25/[30]TEO!$O$52&gt;=$AE$12),"NM",$G$25/[30]TEO!$O$52)</f>
        <v>17.08949479319638</v>
      </c>
      <c r="M25" s="154">
        <f>IF(OR($D25/[30]TEO!$P$59&lt;=0,$D25/[30]TEO!$P$59&gt;=$AE$12),"NM",$D25/[30]TEO!$P$59)</f>
        <v>9.2698759358288747</v>
      </c>
      <c r="N25" s="154">
        <f>IF(OR($D25/[30]TEO!$Q$59&lt;=0,$D25/[30]TEO!$Q$59&gt;=$AE$12),"NM",$D25/[30]TEO!$Q$59)</f>
        <v>7.3109829787234037</v>
      </c>
      <c r="O25" s="154">
        <f>IF(G25/[30]TEO!O$28&gt;=$AE$12,"NM",G25/[30]TEO!O$28)</f>
        <v>13.688586449541784</v>
      </c>
      <c r="P25" s="154">
        <f>IF(H25/[30]TEO!P$28&gt;=$AE$12,"NM",H25/[30]TEO!P$28)</f>
        <v>5.983589856683615</v>
      </c>
      <c r="Q25" s="154">
        <f>IF(H25/[30]TEO!$Q$28&gt;=$AE$12,"NM",H25/[30]TEO!$Q$28)</f>
        <v>5.0338136889560561</v>
      </c>
      <c r="R25" s="128">
        <f>[30]TEO!$J$132</f>
        <v>0.26935528269626674</v>
      </c>
      <c r="S25" s="154">
        <f>G25/[30]TEO!$I$97</f>
        <v>1.782647602556896</v>
      </c>
      <c r="T25" s="128">
        <f>_xll.FDS(B25,"ib_div_yld",0)/100</f>
        <v>0</v>
      </c>
      <c r="U25" s="161">
        <f>[30]TEO!$S$305</f>
        <v>0</v>
      </c>
      <c r="V25" s="128" t="str">
        <f>[30]TEO!$T$305</f>
        <v>NA</v>
      </c>
      <c r="W25" s="159" t="str">
        <f>IF(ISERROR(((([30]TEO!$Q$282/[30]TEO!$Q$285)*H25)/U25)),"NA",((([30]TEO!$Q$282/[30]TEO!$Q$285)*H25)/U25))</f>
        <v>NA</v>
      </c>
      <c r="X25" s="160" t="s">
        <v>156</v>
      </c>
      <c r="Y25" s="154" t="str">
        <f>IF(ISERROR(((([30]TEO!$Q$282/[30]TEO!$Q$285)*G25)/X25)),"NA",((([30]TEO!$Q$282/[30]TEO!$Q$285)*G25)/X25))</f>
        <v>NA</v>
      </c>
      <c r="Z25" s="162">
        <f>[30]TEO!$S$56</f>
        <v>32.752143727786795</v>
      </c>
      <c r="AA25" s="163"/>
      <c r="AB25" s="39"/>
      <c r="AC25" s="166"/>
      <c r="AD25" s="167"/>
      <c r="AE25" s="53"/>
    </row>
    <row r="26" spans="1:31" ht="12.9" customHeight="1" x14ac:dyDescent="0.25">
      <c r="A26" s="108" t="str">
        <f>[31]UCO!$D$305</f>
        <v>Universal Compression, Inc.</v>
      </c>
      <c r="B26" s="165" t="str">
        <f>[31]UCO!$E$305</f>
        <v>UCO</v>
      </c>
      <c r="C26" s="168">
        <f>[31]UCO!$D$9</f>
        <v>37106</v>
      </c>
      <c r="D26" s="159">
        <f>_xll.FDS(B26,"ib_price",$B$6)</f>
        <v>28.21</v>
      </c>
      <c r="E26" s="159">
        <f>_xll.FDS(B26,"ib_price_high_52w",$B$6)</f>
        <v>40.5</v>
      </c>
      <c r="F26" s="159">
        <f>_xll.FDS(B26,"ib_price_low_52w",$B$6)</f>
        <v>22.125</v>
      </c>
      <c r="G26" s="160">
        <f>D26*Z26</f>
        <v>853.53566753000007</v>
      </c>
      <c r="H26" s="160">
        <f>G26+[31]UCO!$J$123</f>
        <v>1447.2636765550001</v>
      </c>
      <c r="I26" s="154">
        <f>IF(OR($G$25/[30]TEO!$O$46&lt;=0,$G$25/[30]TEO!$O$46&gt;=$AE$12),"NM",$G$25/[30]TEO!$O$46)</f>
        <v>39.370126408608229</v>
      </c>
      <c r="J26" s="154">
        <f>IF(OR(D26/[31]UCO!$P$58&lt;=0,D26/[31]UCO!$P$58&gt;=AE12),"NM",D26/[31]UCO!$P$58)</f>
        <v>19.42327868852459</v>
      </c>
      <c r="K26" s="154">
        <f>IF(OR($D26/[31]UCO!$Q$58&lt;=0,$D26/[31]UCO!$Q$58&gt;=$AE$12),"NM",$D26/[31]UCO!$Q$58)</f>
        <v>13.132986217457875</v>
      </c>
      <c r="L26" s="154">
        <f>IF(OR($G$25/[30]TEO!$O$52&lt;=0,$G$25/[30]TEO!$O$52&gt;=$AE$12),"NM",$G$25/[30]TEO!$O$52)</f>
        <v>17.08949479319638</v>
      </c>
      <c r="M26" s="154">
        <f>IF(OR($D26/[31]UCO!$P$59&lt;=0,$D26/[31]UCO!$P$59&gt;=$AE$12),"NM",$D26/[31]UCO!$P$59)</f>
        <v>8.3103607214428852</v>
      </c>
      <c r="N26" s="154">
        <f>IF(OR($D26/[31]UCO!$Q$59&lt;=0,$D26/[31]UCO!$Q$59&gt;=$AE$12),"NM",$D26/[31]UCO!$Q$59)</f>
        <v>6.4577108433734933</v>
      </c>
      <c r="O26" s="154">
        <f>IF(G26/[30]TEO!O$28&gt;=$AE$12,"NM",G26/[30]TEO!O$28)</f>
        <v>34.778570105533348</v>
      </c>
      <c r="P26" s="154">
        <f>IF(H26/[31]UCO!P$28&gt;=$AE$12,"NM",H26/[31]UCO!P$28)</f>
        <v>7.2910008894458445</v>
      </c>
      <c r="Q26" s="154">
        <f>IF(H26/[31]UCO!$Q$28&gt;=$AE$12,"NM",H26/[31]UCO!$Q$28)</f>
        <v>5.6866942104322193</v>
      </c>
      <c r="R26" s="128">
        <f>[31]UCO!$J$132</f>
        <v>0.48150020116262737</v>
      </c>
      <c r="S26" s="154">
        <f>G26/[31]UCO!$I$97</f>
        <v>1.3079523050719155</v>
      </c>
      <c r="T26" s="128">
        <f>_xll.FDS(B26,"ib_div_yld",0)/100</f>
        <v>0</v>
      </c>
      <c r="U26" s="161">
        <f>[31]UCO!$S$305</f>
        <v>0</v>
      </c>
      <c r="V26" s="128" t="str">
        <f>[31]UCO!$T$305</f>
        <v>NA</v>
      </c>
      <c r="W26" s="159" t="str">
        <f>IF(ISERROR(((([31]UCO!$Q$282/[31]UCO!$Q$285)*H26)/U26)),"NA",((([31]UCO!$Q$282/[31]UCO!$Q$285)*H26)/U26))</f>
        <v>NA</v>
      </c>
      <c r="X26" s="160" t="s">
        <v>156</v>
      </c>
      <c r="Y26" s="154" t="str">
        <f>IF(ISERROR(((([31]UCO!$Q$282/[31]UCO!$Q$285)*G26)/X26)),"NA",((([31]UCO!$Q$282/[31]UCO!$Q$285)*G26)/X26))</f>
        <v>NA</v>
      </c>
      <c r="Z26" s="162">
        <f>[31]UCO!$S$56</f>
        <v>30.256493000000003</v>
      </c>
      <c r="AA26" s="163"/>
      <c r="AB26" s="39"/>
      <c r="AC26" s="166"/>
      <c r="AD26" s="167"/>
      <c r="AE26" s="53"/>
    </row>
    <row r="27" spans="1:31" ht="12.9" customHeight="1" x14ac:dyDescent="0.25">
      <c r="A27" s="108" t="str">
        <f>[32]VRC!$D$305</f>
        <v>Varco International, Inc.</v>
      </c>
      <c r="B27" s="165" t="str">
        <f>[32]VRC!$E$305</f>
        <v>VRC</v>
      </c>
      <c r="C27" s="168">
        <f>[32]VRC!$D$9</f>
        <v>37106</v>
      </c>
      <c r="D27" s="159">
        <f>_xll.FDS(B27,"ib_price",$B$6)</f>
        <v>16.02</v>
      </c>
      <c r="E27" s="159">
        <f>_xll.FDS(B27,"ib_price_high_52w",$B$6)</f>
        <v>25.18</v>
      </c>
      <c r="F27" s="159">
        <f>_xll.FDS(B27,"ib_price_low_52w",$B$6)</f>
        <v>13.8</v>
      </c>
      <c r="G27" s="160">
        <f>D27*Z27</f>
        <v>1551.8975695600002</v>
      </c>
      <c r="H27" s="160">
        <f>G27+[32]VRC!$J$123</f>
        <v>1924.89456956</v>
      </c>
      <c r="I27" s="154">
        <f>IF(OR($G$25/[30]TEO!$O$46&lt;=0,$G$25/[30]TEO!$O$46&gt;=$AE$12),"NM",$G$25/[30]TEO!$O$46)</f>
        <v>39.370126408608229</v>
      </c>
      <c r="J27" s="154">
        <f>IF(OR(D27/[32]VRC!$P$58&lt;=0,D27/[32]VRC!$P$58&gt;=AE12),"NM",D27/[32]VRC!$P$58)</f>
        <v>15.572781655034895</v>
      </c>
      <c r="K27" s="154">
        <f>IF(OR($D27/[32]VRC!$Q$58&lt;=0,$D27/[32]VRC!$Q$58&gt;=$AE$12),"NM",$D27/[32]VRC!$Q$58)</f>
        <v>10.251485153645069</v>
      </c>
      <c r="L27" s="154">
        <f>IF(OR($G$25/[30]TEO!$O$52&lt;=0,$G$25/[30]TEO!$O$52&gt;=$AE$12),"NM",$G$25/[30]TEO!$O$52)</f>
        <v>17.08949479319638</v>
      </c>
      <c r="M27" s="154">
        <f>IF(OR($D27/[32]VRC!$P$59&lt;=0,$D27/[32]VRC!$P$59&gt;=$AE$12),"NM",$D27/[32]VRC!$P$59)</f>
        <v>9.4491833030852987</v>
      </c>
      <c r="N27" s="154">
        <f>IF(OR($D27/[32]VRC!$Q$59&lt;=0,$D27/[32]VRC!$Q$59&gt;=$AE$12),"NM",$D27/[32]VRC!$Q$59)</f>
        <v>7.1169649650081741</v>
      </c>
      <c r="O27" s="154" t="str">
        <f>IF(G27/[30]TEO!O$28&gt;=$AE$12,"NM",G27/[30]TEO!O$28)</f>
        <v>NM</v>
      </c>
      <c r="P27" s="154">
        <f>IF(H27/[32]VRC!P$28&gt;=$AE$12,"NM",H27/[32]VRC!P$28)</f>
        <v>7.8343287324379327</v>
      </c>
      <c r="Q27" s="154">
        <f>IF(H27/[32]VRC!$Q$28&gt;=$AE$12,"NM",H27/[32]VRC!$Q$28)</f>
        <v>5.7891566001804513</v>
      </c>
      <c r="R27" s="128">
        <f>[32]VRC!$J$132</f>
        <v>0.34777390282299747</v>
      </c>
      <c r="S27" s="154">
        <f>G27/[32]VRC!$I$97</f>
        <v>2.0413312272735644</v>
      </c>
      <c r="T27" s="128">
        <f>_xll.FDS(B27,"ib_div_yld",0)/100</f>
        <v>0</v>
      </c>
      <c r="U27" s="161">
        <f>[32]VRC!$S$305</f>
        <v>0</v>
      </c>
      <c r="V27" s="128" t="str">
        <f>[32]VRC!$T$305</f>
        <v>NA</v>
      </c>
      <c r="W27" s="159" t="str">
        <f>IF(ISERROR(((([32]VRC!$Q$282/[32]VRC!$Q$285)*H27)/U27)),"NA",((([32]VRC!$Q$282/[32]VRC!$Q$285)*H27)/U27))</f>
        <v>NA</v>
      </c>
      <c r="X27" s="160" t="s">
        <v>156</v>
      </c>
      <c r="Y27" s="154" t="str">
        <f>IF(ISERROR(((([32]VRC!$Q$282/[32]VRC!$Q$285)*G27)/X27)),"NA",((([32]VRC!$Q$282/[32]VRC!$Q$285)*G27)/X27))</f>
        <v>NA</v>
      </c>
      <c r="Z27" s="162">
        <f>[32]VRC!$S$56</f>
        <v>96.872507463171047</v>
      </c>
      <c r="AA27" s="163"/>
      <c r="AB27" s="39"/>
      <c r="AC27" s="166"/>
      <c r="AD27" s="167"/>
      <c r="AE27" s="53"/>
    </row>
    <row r="28" spans="1:31" ht="12.9" customHeight="1" x14ac:dyDescent="0.25">
      <c r="A28" s="108" t="str">
        <f>[33]WHES!$D$305</f>
        <v>W-H Energy Services, Inc.</v>
      </c>
      <c r="B28" s="165" t="str">
        <f>[33]WHES!$E$305</f>
        <v>WHES</v>
      </c>
      <c r="C28" s="168">
        <f>[33]WHES!$D$9</f>
        <v>37106</v>
      </c>
      <c r="D28" s="159">
        <f>_xll.FDS(B28,"ib_price",$B$6)</f>
        <v>22.6</v>
      </c>
      <c r="E28" s="159">
        <f>_xll.FDS(B28,"ib_price_high_52w",$B$6)</f>
        <v>35</v>
      </c>
      <c r="F28" s="159">
        <f>_xll.FDS(B28,"ib_price_low_52w",$B$6)</f>
        <v>11.625</v>
      </c>
      <c r="G28" s="160">
        <f>D28*Z28</f>
        <v>649.03782951000005</v>
      </c>
      <c r="H28" s="160">
        <f>G28+[33]WHES!$J$123</f>
        <v>738.08082951000006</v>
      </c>
      <c r="I28" s="154">
        <f>IF(OR($G$25/[30]TEO!$O$46&lt;=0,$G$25/[30]TEO!$O$46&gt;=$AE$12),"NM",$G$25/[30]TEO!$O$46)</f>
        <v>39.370126408608229</v>
      </c>
      <c r="J28" s="154">
        <f>IF(OR(D28/[33]WHES!$P$58&lt;=0,D28/[33]WHES!$P$58&gt;=AE12),"NM",D28/[33]WHES!$P$58)</f>
        <v>13.719699302759937</v>
      </c>
      <c r="K28" s="154">
        <f>IF(OR($D28/[33]WHES!$Q$58&lt;=0,$D28/[33]WHES!$Q$58&gt;=$AE$12),"NM",$D28/[33]WHES!$Q$58)</f>
        <v>11.05313384001909</v>
      </c>
      <c r="L28" s="154">
        <f>IF(OR($G$25/[30]TEO!$O$52&lt;=0,$G$25/[30]TEO!$O$52&gt;=$AE$12),"NM",$G$25/[30]TEO!$O$52)</f>
        <v>17.08949479319638</v>
      </c>
      <c r="M28" s="154">
        <f>IF(OR($D28/[33]WHES!$P$59&lt;=0,$D28/[33]WHES!$P$59&gt;=$AE$12),"NM",$D28/[33]WHES!$P$59)</f>
        <v>8.5607125724579074</v>
      </c>
      <c r="N28" s="154">
        <f>IF(OR($D28/[33]WHES!$Q$59&lt;=0,$D28/[33]WHES!$Q$59&gt;=$AE$12),"NM",$D28/[33]WHES!$Q$59)</f>
        <v>6.9983384044366774</v>
      </c>
      <c r="O28" s="154">
        <f>IF(G28/[30]TEO!O$28&gt;=$AE$12,"NM",G28/[30]TEO!O$28)</f>
        <v>26.446003973188802</v>
      </c>
      <c r="P28" s="154">
        <f>IF(H28/[33]WHES!P$28&gt;=$AE$12,"NM",H28/[33]WHES!P$28)</f>
        <v>6.6374175315647488</v>
      </c>
      <c r="Q28" s="154">
        <f>IF(H28/[33]WHES!$Q$28&gt;=$AE$12,"NM",H28/[33]WHES!$Q$28)</f>
        <v>5.2457770398720687</v>
      </c>
      <c r="R28" s="128">
        <f>[33]WHES!$J$132</f>
        <v>0.44514343411196877</v>
      </c>
      <c r="S28" s="154">
        <f>G28/[33]WHES!$I$97</f>
        <v>4.1882325237631237</v>
      </c>
      <c r="T28" s="128">
        <f>_xll.FDS(B28,"ib_div_yld",0)/100</f>
        <v>0</v>
      </c>
      <c r="U28" s="161">
        <f>[33]WHES!$S$305</f>
        <v>0</v>
      </c>
      <c r="V28" s="128" t="str">
        <f>[33]WHES!$T$305</f>
        <v>NA</v>
      </c>
      <c r="W28" s="159" t="str">
        <f>IF(ISERROR(((([33]WHES!$Q$282/[33]WHES!$Q$285)*H28)/U28)),"NA",((([33]WHES!$Q$282/[33]WHES!$Q$285)*H28)/U28))</f>
        <v>NA</v>
      </c>
      <c r="X28" s="160" t="s">
        <v>156</v>
      </c>
      <c r="Y28" s="154" t="str">
        <f>IF(ISERROR(((([33]WHES!$Q$282/[33]WHES!$Q$285)*G28)/X28)),"NA",((([33]WHES!$Q$282/[33]WHES!$Q$285)*G28)/X28))</f>
        <v>NA</v>
      </c>
      <c r="Z28" s="162">
        <f>[33]WHES!$S$56</f>
        <v>28.71848803141593</v>
      </c>
      <c r="AA28" s="163"/>
      <c r="AB28" s="39"/>
      <c r="AC28" s="166"/>
      <c r="AD28" s="167"/>
      <c r="AE28" s="53"/>
    </row>
    <row r="29" spans="1:31" ht="12.9" customHeight="1" x14ac:dyDescent="0.25">
      <c r="A29" s="108" t="str">
        <f>[34]WFT!$D$305</f>
        <v>Weatherford International, Inc.</v>
      </c>
      <c r="B29" s="165" t="str">
        <f>[34]WFT!$E$305</f>
        <v>WFT</v>
      </c>
      <c r="C29" s="168">
        <f>[34]WFT!$D$9</f>
        <v>37106</v>
      </c>
      <c r="D29" s="159">
        <f>_xll.FDS(B29,"ib_price",$B$6)</f>
        <v>40.25</v>
      </c>
      <c r="E29" s="159">
        <f>_xll.FDS(B29,"ib_price_high_52w",$B$6)</f>
        <v>60.35</v>
      </c>
      <c r="F29" s="159">
        <f>_xll.FDS(B29,"ib_price_low_52w",$B$6)</f>
        <v>31.75</v>
      </c>
      <c r="G29" s="160">
        <f>D29*Z29</f>
        <v>4604.2659491499999</v>
      </c>
      <c r="H29" s="160">
        <f>G29+[34]WFT!$J$123</f>
        <v>6017.6479491499995</v>
      </c>
      <c r="I29" s="154">
        <f>IF(OR($G$25/[30]TEO!$O$46&lt;=0,$G$25/[30]TEO!$O$46&gt;=$AE$12),"NM",$G$25/[30]TEO!$O$46)</f>
        <v>39.370126408608229</v>
      </c>
      <c r="J29" s="154">
        <f>IF(OR(D29/[34]WFT!$P$58&lt;=0,D29/[34]WFT!$P$58&gt;=AE12),"NM",D29/[34]WFT!$P$58)</f>
        <v>22.418150991972539</v>
      </c>
      <c r="K29" s="154">
        <f>IF(OR($D29/[34]WFT!$Q$58&lt;=0,$D29/[34]WFT!$Q$58&gt;=$AE$12),"NM",$D29/[34]WFT!$Q$58)</f>
        <v>15.990614923998162</v>
      </c>
      <c r="L29" s="154">
        <f>IF(OR($G$25/[30]TEO!$O$52&lt;=0,$G$25/[30]TEO!$O$52&gt;=$AE$12),"NM",$G$25/[30]TEO!$O$52)</f>
        <v>17.08949479319638</v>
      </c>
      <c r="M29" s="154">
        <f>IF(OR($D29/[34]WFT!$P$59&lt;=0,$D29/[34]WFT!$P$59&gt;=$AE$12),"NM",$D29/[34]WFT!$P$59)</f>
        <v>12.241642556747681</v>
      </c>
      <c r="N29" s="154">
        <f>IF(OR($D29/[34]WFT!$Q$59&lt;=0,$D29/[34]WFT!$Q$59&gt;=$AE$12),"NM",$D29/[34]WFT!$Q$59)</f>
        <v>9.963943601334627</v>
      </c>
      <c r="O29" s="154" t="str">
        <f>IF(G29/[30]TEO!O$28&gt;=$AE$12,"NM",G29/[30]TEO!O$28)</f>
        <v>NM</v>
      </c>
      <c r="P29" s="154">
        <f>IF(H29/[34]WFT!P$28&gt;=$AE$12,"NM",H29/[34]WFT!P$28)</f>
        <v>9.7736689120513258</v>
      </c>
      <c r="Q29" s="154">
        <f>IF(H29/[34]WFT!$Q$28&gt;=$AE$12,"NM",H29/[34]WFT!$Q$28)</f>
        <v>7.8293624110720792</v>
      </c>
      <c r="R29" s="128">
        <f>[34]WFT!$J$132</f>
        <v>0.5141657152177459</v>
      </c>
      <c r="S29" s="154">
        <f>G29/[34]WFT!$I$97</f>
        <v>3.3630610189033434</v>
      </c>
      <c r="T29" s="128">
        <f>_xll.FDS(B29,"ib_div_yld",0)/100</f>
        <v>0</v>
      </c>
      <c r="U29" s="161">
        <f>[34]WFT!$S$305</f>
        <v>0</v>
      </c>
      <c r="V29" s="128" t="str">
        <f>[34]WFT!$T$305</f>
        <v>NA</v>
      </c>
      <c r="W29" s="159" t="str">
        <f>IF(ISERROR(((([34]WFT!$Q$282/[34]WFT!$Q$285)*H29)/U29)),"NA",((([34]WFT!$Q$282/[34]WFT!$Q$285)*H29)/U29))</f>
        <v>NA</v>
      </c>
      <c r="X29" s="160" t="s">
        <v>156</v>
      </c>
      <c r="Y29" s="154" t="str">
        <f>IF(ISERROR(((([34]WFT!$Q$282/[34]WFT!$Q$285)*G29)/X29)),"NA",((([34]WFT!$Q$282/[34]WFT!$Q$285)*G29)/X29))</f>
        <v>NA</v>
      </c>
      <c r="Z29" s="162">
        <f>[34]WFT!$S$56</f>
        <v>114.39170060000001</v>
      </c>
      <c r="AA29" s="163"/>
      <c r="AB29" s="39"/>
      <c r="AC29" s="166"/>
      <c r="AD29" s="167"/>
      <c r="AE29" s="53"/>
    </row>
    <row r="30" spans="1:31" ht="13.5" customHeight="1" x14ac:dyDescent="0.25">
      <c r="A30" s="108"/>
      <c r="B30" s="165"/>
      <c r="C30" s="168"/>
      <c r="D30" s="159"/>
      <c r="E30" s="159"/>
      <c r="F30" s="159"/>
      <c r="G30" s="160"/>
      <c r="H30" s="160"/>
      <c r="I30" s="154"/>
      <c r="J30" s="154"/>
      <c r="K30" s="154"/>
      <c r="L30" s="154"/>
      <c r="M30" s="154"/>
      <c r="N30" s="154"/>
      <c r="O30" s="154"/>
      <c r="P30" s="154"/>
      <c r="Q30" s="154"/>
      <c r="R30" s="128"/>
      <c r="S30" s="154"/>
      <c r="T30" s="128"/>
      <c r="U30" s="161"/>
      <c r="V30" s="128"/>
      <c r="W30" s="159"/>
      <c r="X30" s="160"/>
      <c r="Y30" s="154"/>
      <c r="Z30" s="162"/>
      <c r="AC30" s="166"/>
      <c r="AD30" s="167"/>
      <c r="AE30" s="53"/>
    </row>
    <row r="31" spans="1:31" ht="12.9" customHeight="1" x14ac:dyDescent="0.25">
      <c r="A31" s="108"/>
      <c r="B31" s="165"/>
      <c r="C31" s="168"/>
      <c r="D31" s="159"/>
      <c r="E31" s="159"/>
      <c r="F31" s="159"/>
      <c r="G31" s="160"/>
      <c r="H31" s="160"/>
      <c r="I31" s="154"/>
      <c r="J31" s="154"/>
      <c r="K31" s="154"/>
      <c r="L31" s="154"/>
      <c r="M31" s="154"/>
      <c r="N31" s="154"/>
      <c r="O31" s="154"/>
      <c r="P31" s="154"/>
      <c r="Q31" s="154"/>
      <c r="R31" s="128"/>
      <c r="S31" s="154"/>
      <c r="T31" s="128"/>
      <c r="U31" s="161"/>
      <c r="V31" s="128"/>
      <c r="W31" s="159"/>
      <c r="X31" s="160"/>
      <c r="Y31" s="154"/>
      <c r="Z31" s="162"/>
      <c r="AC31" s="166"/>
      <c r="AD31" s="167"/>
      <c r="AE31" s="53"/>
    </row>
    <row r="32" spans="1:31" ht="12.9" customHeight="1" x14ac:dyDescent="0.25">
      <c r="B32" s="39"/>
      <c r="C32" s="169"/>
      <c r="D32" s="159"/>
      <c r="E32" s="159"/>
      <c r="F32" s="159"/>
      <c r="G32" s="160"/>
      <c r="H32" s="160"/>
      <c r="I32" s="154"/>
      <c r="J32" s="154"/>
      <c r="K32" s="154"/>
      <c r="L32" s="154"/>
      <c r="M32" s="154"/>
      <c r="N32" s="154"/>
      <c r="O32" s="154"/>
      <c r="P32" s="154"/>
      <c r="Q32" s="154"/>
      <c r="R32" s="128"/>
      <c r="S32" s="154"/>
      <c r="T32" s="128"/>
      <c r="U32" s="161"/>
      <c r="V32" s="128"/>
      <c r="W32" s="159"/>
      <c r="X32" s="170"/>
      <c r="Y32" s="154"/>
      <c r="Z32" s="162"/>
      <c r="AC32" s="166"/>
      <c r="AD32" s="167"/>
      <c r="AE32" s="53"/>
    </row>
    <row r="33" spans="1:31" ht="12.9" customHeight="1" x14ac:dyDescent="0.25">
      <c r="B33" s="52"/>
      <c r="C33" s="52"/>
      <c r="D33" s="52"/>
      <c r="E33" s="52"/>
      <c r="F33" s="52"/>
      <c r="G33" s="52"/>
      <c r="H33" s="53" t="s">
        <v>38</v>
      </c>
      <c r="I33" s="52"/>
      <c r="J33" s="154">
        <f t="shared" ref="J33:T33" si="1">AVERAGE(J11:J29)</f>
        <v>19.199574941867418</v>
      </c>
      <c r="K33" s="154">
        <f t="shared" si="1"/>
        <v>14.247805912712124</v>
      </c>
      <c r="L33" s="154">
        <f t="shared" si="1"/>
        <v>17.580177058756639</v>
      </c>
      <c r="M33" s="154">
        <f t="shared" si="1"/>
        <v>11.42941361412635</v>
      </c>
      <c r="N33" s="154">
        <f t="shared" si="1"/>
        <v>8.5512381697387188</v>
      </c>
      <c r="O33" s="154">
        <f t="shared" si="1"/>
        <v>10.01379399124529</v>
      </c>
      <c r="P33" s="154">
        <f t="shared" si="1"/>
        <v>9.1022034767210904</v>
      </c>
      <c r="Q33" s="154">
        <f t="shared" si="1"/>
        <v>6.7542945554873484</v>
      </c>
      <c r="R33" s="128">
        <f t="shared" si="1"/>
        <v>0.34806790333315824</v>
      </c>
      <c r="S33" s="154">
        <f t="shared" si="1"/>
        <v>2.7914231017353033</v>
      </c>
      <c r="T33" s="128">
        <f t="shared" si="1"/>
        <v>2.231255789473684E-3</v>
      </c>
      <c r="U33" s="161"/>
      <c r="V33" s="128" t="str">
        <f>[34]WFT!$T$305</f>
        <v>NA</v>
      </c>
      <c r="W33" s="159" t="str">
        <f>IF(ISERROR(((([34]WFT!$Q$282/[34]WFT!$Q$285)*H33)/U33)),"NA",((([34]WFT!$Q$282/[34]WFT!$Q$285)*H33)/U33))</f>
        <v>NA</v>
      </c>
      <c r="X33" s="160"/>
      <c r="Y33" s="154" t="str">
        <f>IF(ISERROR(((([34]WFT!$Q$282/[34]WFT!$Q$285)*G33)/X33)),"NA",((([34]WFT!$Q$282/[34]WFT!$Q$285)*G33)/X33))</f>
        <v>NA</v>
      </c>
      <c r="Z33" s="52"/>
      <c r="AA33" s="163"/>
      <c r="AB33" s="39"/>
      <c r="AC33" s="166"/>
      <c r="AD33" s="167"/>
      <c r="AE33" s="53"/>
    </row>
    <row r="34" spans="1:31" ht="12.9" customHeight="1" x14ac:dyDescent="0.25">
      <c r="B34" s="52"/>
      <c r="C34" s="52"/>
      <c r="D34" s="52"/>
      <c r="E34" s="52"/>
      <c r="F34" s="52"/>
      <c r="G34" s="52"/>
      <c r="H34" s="53" t="s">
        <v>39</v>
      </c>
      <c r="I34" s="52"/>
      <c r="J34" s="154">
        <f t="shared" ref="J34:T34" si="2">MEDIAN(J11:J29)</f>
        <v>18.707230967834473</v>
      </c>
      <c r="K34" s="154">
        <f t="shared" si="2"/>
        <v>12.907637352298977</v>
      </c>
      <c r="L34" s="154">
        <f t="shared" si="2"/>
        <v>17.08949479319638</v>
      </c>
      <c r="M34" s="154">
        <f t="shared" si="2"/>
        <v>11.485714285714282</v>
      </c>
      <c r="N34" s="154">
        <f t="shared" si="2"/>
        <v>8.9282738095238123</v>
      </c>
      <c r="O34" s="154">
        <f t="shared" si="2"/>
        <v>11.630474912735441</v>
      </c>
      <c r="P34" s="154">
        <f t="shared" si="2"/>
        <v>9.2181159816326534</v>
      </c>
      <c r="Q34" s="154">
        <f t="shared" si="2"/>
        <v>6.3061132478213118</v>
      </c>
      <c r="R34" s="128">
        <f t="shared" si="2"/>
        <v>0.34777390282299747</v>
      </c>
      <c r="S34" s="154">
        <f t="shared" si="2"/>
        <v>3.2414046786613513</v>
      </c>
      <c r="T34" s="128">
        <f t="shared" si="2"/>
        <v>0</v>
      </c>
      <c r="U34" s="161"/>
      <c r="V34" s="128" t="str">
        <f>[34]WFT!$T$305</f>
        <v>NA</v>
      </c>
      <c r="W34" s="159" t="str">
        <f>IF(ISERROR(((([34]WFT!$Q$282/[34]WFT!$Q$285)*H34)/U34)),"NA",((([34]WFT!$Q$282/[34]WFT!$Q$285)*H34)/U34))</f>
        <v>NA</v>
      </c>
      <c r="X34" s="160"/>
      <c r="Y34" s="154" t="str">
        <f>IF(ISERROR(((([34]WFT!$Q$282/[34]WFT!$Q$285)*G34)/X34)),"NA",((([34]WFT!$Q$282/[34]WFT!$Q$285)*G34)/X34))</f>
        <v>NA</v>
      </c>
      <c r="Z34" s="52"/>
      <c r="AA34" s="163"/>
      <c r="AB34" s="39"/>
      <c r="AC34" s="166"/>
      <c r="AD34" s="167"/>
      <c r="AE34" s="53"/>
    </row>
    <row r="35" spans="1:31" ht="12.9" customHeight="1" x14ac:dyDescent="0.25">
      <c r="B35" s="52"/>
      <c r="C35" s="52"/>
      <c r="D35" s="52"/>
      <c r="E35" s="52"/>
      <c r="F35" s="52"/>
      <c r="G35" s="54"/>
      <c r="H35" s="55" t="s">
        <v>25</v>
      </c>
      <c r="I35" s="52"/>
      <c r="J35" s="154">
        <f t="shared" ref="J35:T35" si="3">MAX(J11:J29)</f>
        <v>32.999326742207586</v>
      </c>
      <c r="K35" s="154">
        <f t="shared" si="3"/>
        <v>29.085714285714303</v>
      </c>
      <c r="L35" s="154">
        <f t="shared" si="3"/>
        <v>31.392125096419647</v>
      </c>
      <c r="M35" s="154">
        <f t="shared" si="3"/>
        <v>18.309352517985612</v>
      </c>
      <c r="N35" s="154">
        <f t="shared" si="3"/>
        <v>11.229539271218945</v>
      </c>
      <c r="O35" s="154">
        <f t="shared" si="3"/>
        <v>34.778570105533348</v>
      </c>
      <c r="P35" s="154">
        <f t="shared" si="3"/>
        <v>15.847404983755073</v>
      </c>
      <c r="Q35" s="154">
        <f t="shared" si="3"/>
        <v>10.258430560430726</v>
      </c>
      <c r="R35" s="128">
        <f t="shared" si="3"/>
        <v>0.61595378137869727</v>
      </c>
      <c r="S35" s="154">
        <f t="shared" si="3"/>
        <v>4.1882325237631237</v>
      </c>
      <c r="T35" s="128">
        <f t="shared" si="3"/>
        <v>1.4563109999999999E-2</v>
      </c>
      <c r="U35" s="161"/>
      <c r="V35" s="128" t="str">
        <f>[34]WFT!$T$305</f>
        <v>NA</v>
      </c>
      <c r="W35" s="159" t="str">
        <f>IF(ISERROR(((([34]WFT!$Q$282/[34]WFT!$Q$285)*H35)/U35)),"NA",((([34]WFT!$Q$282/[34]WFT!$Q$285)*H35)/U35))</f>
        <v>NA</v>
      </c>
      <c r="X35" s="160"/>
      <c r="Y35" s="154" t="str">
        <f>IF(ISERROR(((([34]WFT!$Q$282/[34]WFT!$Q$285)*G35)/X35)),"NA",((([34]WFT!$Q$282/[34]WFT!$Q$285)*G35)/X35))</f>
        <v>NA</v>
      </c>
      <c r="Z35" s="52"/>
    </row>
    <row r="36" spans="1:31" ht="12.9" customHeight="1" x14ac:dyDescent="0.25">
      <c r="B36" s="52"/>
      <c r="C36" s="52"/>
      <c r="D36" s="52"/>
      <c r="E36" s="52"/>
      <c r="F36" s="52"/>
      <c r="G36" s="52"/>
      <c r="H36" s="53" t="s">
        <v>26</v>
      </c>
      <c r="I36" s="52"/>
      <c r="J36" s="154">
        <f t="shared" ref="J36:T36" si="4">MIN(J11:J29)</f>
        <v>10.473076923076922</v>
      </c>
      <c r="K36" s="154">
        <f t="shared" si="4"/>
        <v>7.0946312849161988</v>
      </c>
      <c r="L36" s="154">
        <f t="shared" si="4"/>
        <v>9.5523715395534854</v>
      </c>
      <c r="M36" s="154">
        <f t="shared" si="4"/>
        <v>6.6012121212121215</v>
      </c>
      <c r="N36" s="154">
        <f t="shared" si="4"/>
        <v>5.0445662100456641</v>
      </c>
      <c r="O36" s="154">
        <f t="shared" si="4"/>
        <v>-48.930182272936392</v>
      </c>
      <c r="P36" s="154">
        <f t="shared" si="4"/>
        <v>5.7077404602181812</v>
      </c>
      <c r="Q36" s="154">
        <f t="shared" si="4"/>
        <v>4.1836473157104059</v>
      </c>
      <c r="R36" s="128">
        <f t="shared" si="4"/>
        <v>3.2716470157495084E-2</v>
      </c>
      <c r="S36" s="154">
        <f t="shared" si="4"/>
        <v>0.31641173270161138</v>
      </c>
      <c r="T36" s="128">
        <f t="shared" si="4"/>
        <v>0</v>
      </c>
      <c r="U36" s="161"/>
      <c r="V36" s="128" t="str">
        <f>[34]WFT!$T$305</f>
        <v>NA</v>
      </c>
      <c r="W36" s="159" t="str">
        <f>IF(ISERROR(((([34]WFT!$Q$282/[34]WFT!$Q$285)*H36)/U36)),"NA",((([34]WFT!$Q$282/[34]WFT!$Q$285)*H36)/U36))</f>
        <v>NA</v>
      </c>
      <c r="X36" s="160"/>
      <c r="Y36" s="154" t="str">
        <f>IF(ISERROR(((([34]WFT!$Q$282/[34]WFT!$Q$285)*G36)/X36)),"NA",((([34]WFT!$Q$282/[34]WFT!$Q$285)*G36)/X36))</f>
        <v>NA</v>
      </c>
      <c r="Z36" s="52"/>
    </row>
    <row r="37" spans="1:31" ht="12.9" customHeight="1" x14ac:dyDescent="0.25"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spans="1:31" ht="12.9" customHeight="1" x14ac:dyDescent="0.25">
      <c r="B38" s="52"/>
      <c r="C38" s="52"/>
      <c r="D38" s="52"/>
      <c r="U38" s="49" t="s">
        <v>95</v>
      </c>
      <c r="V38" s="49"/>
      <c r="W38" s="49"/>
      <c r="X38" s="49"/>
      <c r="Y38" s="49"/>
    </row>
    <row r="39" spans="1:31" ht="12.9" customHeight="1" x14ac:dyDescent="0.25">
      <c r="A39" s="57"/>
      <c r="B39" s="49" t="s">
        <v>141</v>
      </c>
      <c r="C39" s="49"/>
      <c r="D39" s="49" t="s">
        <v>41</v>
      </c>
      <c r="E39" s="49"/>
      <c r="F39" s="49"/>
      <c r="G39" s="49" t="s">
        <v>42</v>
      </c>
      <c r="H39" s="49"/>
      <c r="J39" s="49" t="s">
        <v>43</v>
      </c>
      <c r="K39" s="49"/>
      <c r="P39" s="49" t="s">
        <v>44</v>
      </c>
      <c r="Q39" s="49"/>
      <c r="R39" s="49"/>
      <c r="S39" s="49"/>
      <c r="U39" s="49" t="s">
        <v>45</v>
      </c>
      <c r="V39" s="49"/>
      <c r="W39" s="49"/>
      <c r="X39" s="49"/>
      <c r="Y39" s="49"/>
    </row>
    <row r="40" spans="1:31" ht="4.5" customHeight="1" x14ac:dyDescent="0.25">
      <c r="A40" s="57"/>
      <c r="B40" s="150" t="s">
        <v>37</v>
      </c>
      <c r="C40" s="58"/>
      <c r="D40" s="150" t="s">
        <v>37</v>
      </c>
      <c r="E40" s="58"/>
      <c r="F40" s="58"/>
      <c r="G40" s="150" t="s">
        <v>37</v>
      </c>
      <c r="H40" s="58"/>
      <c r="J40" s="150" t="s">
        <v>37</v>
      </c>
      <c r="K40" s="58"/>
      <c r="P40" s="150" t="s">
        <v>37</v>
      </c>
      <c r="Q40" s="58"/>
      <c r="R40" s="58"/>
      <c r="S40" s="58"/>
      <c r="U40" s="150" t="s">
        <v>37</v>
      </c>
      <c r="V40" s="58"/>
      <c r="W40" s="58"/>
      <c r="X40" s="58"/>
      <c r="Y40" s="58"/>
    </row>
    <row r="41" spans="1:31" ht="12.9" customHeight="1" x14ac:dyDescent="0.25">
      <c r="B41" s="39"/>
      <c r="C41" s="39"/>
      <c r="D41" s="50" t="s">
        <v>46</v>
      </c>
      <c r="E41" s="50" t="s">
        <v>47</v>
      </c>
      <c r="F41" s="50" t="s">
        <v>7</v>
      </c>
      <c r="G41" s="51" t="s">
        <v>48</v>
      </c>
      <c r="P41" s="50" t="s">
        <v>49</v>
      </c>
      <c r="Q41" s="50"/>
      <c r="R41" s="50" t="s">
        <v>50</v>
      </c>
      <c r="S41" s="50" t="s">
        <v>51</v>
      </c>
      <c r="U41" s="50" t="s">
        <v>52</v>
      </c>
      <c r="V41" s="50" t="s">
        <v>53</v>
      </c>
      <c r="W41" s="59" t="s">
        <v>54</v>
      </c>
      <c r="X41" s="50" t="s">
        <v>55</v>
      </c>
      <c r="Y41" s="50" t="s">
        <v>56</v>
      </c>
    </row>
    <row r="42" spans="1:31" ht="12.9" customHeight="1" x14ac:dyDescent="0.25">
      <c r="A42" s="39" t="s">
        <v>21</v>
      </c>
      <c r="B42" s="39" t="s">
        <v>57</v>
      </c>
      <c r="C42" s="39" t="s">
        <v>58</v>
      </c>
      <c r="D42" s="39" t="s">
        <v>59</v>
      </c>
      <c r="E42" s="39" t="s">
        <v>60</v>
      </c>
      <c r="F42" s="39" t="s">
        <v>61</v>
      </c>
      <c r="G42" s="39" t="s">
        <v>62</v>
      </c>
      <c r="H42" s="39" t="s">
        <v>7</v>
      </c>
      <c r="J42" s="39" t="s">
        <v>699</v>
      </c>
      <c r="K42" s="39" t="s">
        <v>64</v>
      </c>
      <c r="P42" s="39" t="s">
        <v>65</v>
      </c>
      <c r="Q42" s="39" t="s">
        <v>66</v>
      </c>
      <c r="R42" s="51" t="s">
        <v>67</v>
      </c>
      <c r="S42" s="39" t="s">
        <v>68</v>
      </c>
      <c r="U42" s="39" t="s">
        <v>69</v>
      </c>
      <c r="V42" s="51" t="s">
        <v>70</v>
      </c>
      <c r="W42" s="39" t="s">
        <v>71</v>
      </c>
      <c r="X42" s="51" t="s">
        <v>72</v>
      </c>
      <c r="Y42" s="39" t="s">
        <v>73</v>
      </c>
      <c r="AA42" s="56"/>
    </row>
    <row r="43" spans="1:31" ht="3.6" customHeight="1" x14ac:dyDescent="0.25">
      <c r="A43" s="150" t="s">
        <v>37</v>
      </c>
      <c r="B43" s="150" t="s">
        <v>37</v>
      </c>
      <c r="C43" s="150" t="s">
        <v>37</v>
      </c>
      <c r="D43" s="150" t="s">
        <v>37</v>
      </c>
      <c r="E43" s="150" t="s">
        <v>37</v>
      </c>
      <c r="F43" s="150" t="s">
        <v>37</v>
      </c>
      <c r="G43" s="150" t="s">
        <v>37</v>
      </c>
      <c r="H43" s="150" t="s">
        <v>37</v>
      </c>
      <c r="J43" s="150" t="s">
        <v>37</v>
      </c>
      <c r="K43" s="150" t="s">
        <v>37</v>
      </c>
      <c r="P43" s="150" t="s">
        <v>37</v>
      </c>
      <c r="Q43" s="150" t="s">
        <v>37</v>
      </c>
      <c r="R43" s="150" t="s">
        <v>37</v>
      </c>
      <c r="S43" s="150" t="s">
        <v>37</v>
      </c>
      <c r="U43" s="150" t="s">
        <v>37</v>
      </c>
      <c r="V43" s="150" t="s">
        <v>37</v>
      </c>
      <c r="W43" s="150" t="s">
        <v>37</v>
      </c>
      <c r="X43" s="150" t="s">
        <v>37</v>
      </c>
      <c r="Y43" s="150" t="s">
        <v>37</v>
      </c>
      <c r="AA43" s="56"/>
    </row>
    <row r="44" spans="1:31" x14ac:dyDescent="0.25">
      <c r="A44" s="38" t="str">
        <f>[15]BHI!$D$305</f>
        <v>Baker Hughes Incorporated</v>
      </c>
      <c r="B44" s="38" t="s">
        <v>700</v>
      </c>
      <c r="C44" s="53" t="s">
        <v>701</v>
      </c>
      <c r="D44" s="53" t="str">
        <f>[15]BHI!$V$16</f>
        <v>CSFB / G. Hall</v>
      </c>
      <c r="E44" s="53" t="str">
        <f>[15]BHI!$U$11</f>
        <v>Buy</v>
      </c>
      <c r="F44" s="126">
        <f>[15]BHI!$U$12</f>
        <v>37106</v>
      </c>
      <c r="G44" s="39" t="str">
        <f>[15]BHI!$F$113</f>
        <v>A2/A</v>
      </c>
      <c r="H44" s="126">
        <f>[15]BHI!$F$114</f>
        <v>37041</v>
      </c>
      <c r="I44" s="39"/>
      <c r="J44" s="155">
        <f t="shared" ref="J44:J62" si="5">H88</f>
        <v>-2.9632224168126022E-2</v>
      </c>
      <c r="K44" s="155">
        <f t="shared" ref="K44:K62" si="6">S88</f>
        <v>-0.16679699248120294</v>
      </c>
      <c r="L44" s="39"/>
      <c r="M44" s="39"/>
      <c r="N44" s="39"/>
      <c r="O44" s="39"/>
      <c r="P44" s="155" t="str">
        <f>[15]BHI!$K$286</f>
        <v>NA</v>
      </c>
      <c r="Q44" s="153" t="str">
        <f>[15]BHI!$Q$263</f>
        <v>NA</v>
      </c>
      <c r="R44" s="159" t="s">
        <v>156</v>
      </c>
      <c r="S44" s="159" t="s">
        <v>156</v>
      </c>
      <c r="T44" s="39"/>
      <c r="U44" s="156">
        <v>0</v>
      </c>
      <c r="V44" s="156">
        <v>0</v>
      </c>
      <c r="W44" s="157">
        <v>0</v>
      </c>
      <c r="X44" s="156">
        <v>0</v>
      </c>
      <c r="Y44" s="156">
        <v>0</v>
      </c>
      <c r="Z44" s="39"/>
      <c r="AA44" s="56"/>
    </row>
    <row r="45" spans="1:31" x14ac:dyDescent="0.25">
      <c r="A45" s="38" t="str">
        <f>[16]BJS!$D$305</f>
        <v>BJ Services Company</v>
      </c>
      <c r="B45" s="38" t="s">
        <v>700</v>
      </c>
      <c r="C45" s="53" t="s">
        <v>701</v>
      </c>
      <c r="D45" s="53" t="str">
        <f>[16]BJS!$V$16</f>
        <v>CSFB / G. Hall</v>
      </c>
      <c r="E45" s="53" t="str">
        <f>[16]BJS!$U$11</f>
        <v>Buy</v>
      </c>
      <c r="F45" s="126">
        <f>[16]BJS!$U$12</f>
        <v>37106</v>
      </c>
      <c r="G45" s="39" t="str">
        <f>[16]BJS!$F$113</f>
        <v>Baa2 / BBB+</v>
      </c>
      <c r="H45" s="126">
        <f>[16]BJS!$F$114</f>
        <v>37040</v>
      </c>
      <c r="I45" s="39"/>
      <c r="J45" s="155">
        <f t="shared" si="5"/>
        <v>-0.22248995983935735</v>
      </c>
      <c r="K45" s="155">
        <f t="shared" si="6"/>
        <v>-0.2972776769509981</v>
      </c>
      <c r="L45" s="39"/>
      <c r="M45" s="39"/>
      <c r="N45" s="303"/>
      <c r="O45" s="39"/>
      <c r="P45" s="155" t="str">
        <f>[16]BJS!$K$286</f>
        <v>NA</v>
      </c>
      <c r="Q45" s="153" t="str">
        <f>[16]BJS!$Q$263</f>
        <v>NA</v>
      </c>
      <c r="R45" s="159" t="s">
        <v>156</v>
      </c>
      <c r="S45" s="159" t="s">
        <v>156</v>
      </c>
      <c r="T45" s="174"/>
      <c r="U45" s="156">
        <v>0</v>
      </c>
      <c r="V45" s="156">
        <v>0</v>
      </c>
      <c r="W45" s="157">
        <v>0</v>
      </c>
      <c r="X45" s="156">
        <v>0</v>
      </c>
      <c r="Y45" s="156">
        <v>0</v>
      </c>
      <c r="Z45" s="60"/>
      <c r="AA45" s="50"/>
    </row>
    <row r="46" spans="1:31" ht="13.5" customHeight="1" x14ac:dyDescent="0.25">
      <c r="A46" s="38" t="str">
        <f>[17]CAM!$D$305</f>
        <v>Cooper Cameron Corporation</v>
      </c>
      <c r="B46" s="38" t="s">
        <v>700</v>
      </c>
      <c r="C46" s="53" t="s">
        <v>701</v>
      </c>
      <c r="D46" s="53" t="str">
        <f>[17]CAM!$V$16</f>
        <v>CSFB / G. Hall</v>
      </c>
      <c r="E46" s="53" t="str">
        <f>[17]CAM!$U$11</f>
        <v>Buy</v>
      </c>
      <c r="F46" s="126">
        <f>[17]CAM!$U$12</f>
        <v>37106</v>
      </c>
      <c r="G46" s="39" t="str">
        <f>[17]CAM!$F$113</f>
        <v>Baa1/A-</v>
      </c>
      <c r="H46" s="126">
        <f>[17]CAM!$F$114</f>
        <v>37040</v>
      </c>
      <c r="I46" s="39"/>
      <c r="J46" s="155">
        <f t="shared" si="5"/>
        <v>-0.25518796992481202</v>
      </c>
      <c r="K46" s="155">
        <f t="shared" si="6"/>
        <v>-0.25025543992431409</v>
      </c>
      <c r="L46" s="39"/>
      <c r="M46" s="39"/>
      <c r="N46" s="303"/>
      <c r="O46" s="39"/>
      <c r="P46" s="155" t="str">
        <f>[17]CAM!$K$286</f>
        <v>NA</v>
      </c>
      <c r="Q46" s="153" t="str">
        <f>[17]CAM!$Q$263</f>
        <v>NA</v>
      </c>
      <c r="R46" s="159" t="s">
        <v>156</v>
      </c>
      <c r="S46" s="159" t="s">
        <v>156</v>
      </c>
      <c r="T46" s="174"/>
      <c r="U46" s="156">
        <v>0</v>
      </c>
      <c r="V46" s="156">
        <v>0</v>
      </c>
      <c r="W46" s="157">
        <v>0</v>
      </c>
      <c r="X46" s="156">
        <v>0</v>
      </c>
      <c r="Y46" s="156">
        <v>0</v>
      </c>
      <c r="Z46" s="60"/>
      <c r="AA46" s="56"/>
    </row>
    <row r="47" spans="1:31" s="39" customFormat="1" ht="12.9" customHeight="1" x14ac:dyDescent="0.25">
      <c r="A47" s="38" t="str">
        <f>[18]CLB!$D$305</f>
        <v>Core Laboratories N.V.</v>
      </c>
      <c r="B47" s="38" t="s">
        <v>702</v>
      </c>
      <c r="C47" s="53" t="s">
        <v>703</v>
      </c>
      <c r="D47" s="53" t="str">
        <f>[18]CLB!$V$16</f>
        <v>CSFB / G. Hall</v>
      </c>
      <c r="E47" s="53" t="str">
        <f>[18]CLB!$U$11</f>
        <v>Buy</v>
      </c>
      <c r="F47" s="126">
        <f>[18]CLB!$U$12</f>
        <v>37106</v>
      </c>
      <c r="G47" s="39" t="str">
        <f>[18]CLB!$F$113</f>
        <v>NR/NR</v>
      </c>
      <c r="H47" s="126">
        <f>[18]CLB!$F$114</f>
        <v>37035</v>
      </c>
      <c r="J47" s="155">
        <f t="shared" si="5"/>
        <v>2.8025477707006225E-3</v>
      </c>
      <c r="K47" s="155">
        <f t="shared" si="6"/>
        <v>-0.27945080091533181</v>
      </c>
      <c r="N47" s="303"/>
      <c r="P47" s="155" t="str">
        <f>[18]CLB!$K$286</f>
        <v>NA</v>
      </c>
      <c r="Q47" s="153" t="str">
        <f>[18]CLB!$Q$263</f>
        <v>NA</v>
      </c>
      <c r="R47" s="159" t="s">
        <v>156</v>
      </c>
      <c r="S47" s="159" t="s">
        <v>156</v>
      </c>
      <c r="T47" s="174"/>
      <c r="U47" s="156">
        <v>0</v>
      </c>
      <c r="V47" s="156">
        <v>0</v>
      </c>
      <c r="W47" s="157">
        <v>0</v>
      </c>
      <c r="X47" s="156">
        <v>0</v>
      </c>
      <c r="Y47" s="156">
        <v>0</v>
      </c>
      <c r="Z47" s="60"/>
      <c r="AA47" s="59"/>
    </row>
    <row r="48" spans="1:31" s="39" customFormat="1" ht="12.9" customHeight="1" x14ac:dyDescent="0.25">
      <c r="A48" s="38" t="str">
        <f>[19]EFX!$D$305</f>
        <v>Enerflex Systems Ltd.</v>
      </c>
      <c r="B48" s="38" t="s">
        <v>702</v>
      </c>
      <c r="C48" s="53" t="s">
        <v>703</v>
      </c>
      <c r="D48" s="53" t="str">
        <f>[19]EFX!$V$16</f>
        <v>CIBC World Markets</v>
      </c>
      <c r="E48" s="53" t="str">
        <f>[19]EFX!$U$11</f>
        <v>Buy</v>
      </c>
      <c r="F48" s="126">
        <f>[19]EFX!$U$12</f>
        <v>37011</v>
      </c>
      <c r="G48" s="39" t="str">
        <f>[19]EFX!$F$113</f>
        <v>NR/NR</v>
      </c>
      <c r="H48" s="126">
        <f>[19]EFX!$F$114</f>
        <v>37035</v>
      </c>
      <c r="J48" s="155">
        <f t="shared" si="5"/>
        <v>-0.25614565953322949</v>
      </c>
      <c r="K48" s="155">
        <f t="shared" si="6"/>
        <v>-0.17958741278054255</v>
      </c>
      <c r="N48" s="303"/>
      <c r="P48" s="155" t="str">
        <f>[19]EFX!$K$286</f>
        <v>NA</v>
      </c>
      <c r="Q48" s="153" t="str">
        <f>[19]EFX!$Q$263</f>
        <v>NA</v>
      </c>
      <c r="R48" s="159" t="s">
        <v>156</v>
      </c>
      <c r="S48" s="159" t="s">
        <v>156</v>
      </c>
      <c r="T48" s="174"/>
      <c r="U48" s="156">
        <v>0</v>
      </c>
      <c r="V48" s="156">
        <v>0</v>
      </c>
      <c r="W48" s="157">
        <v>0</v>
      </c>
      <c r="X48" s="156">
        <v>0</v>
      </c>
      <c r="Y48" s="156">
        <v>0</v>
      </c>
      <c r="Z48" s="60"/>
      <c r="AA48" s="176"/>
    </row>
    <row r="49" spans="1:27" s="39" customFormat="1" ht="12.9" customHeight="1" x14ac:dyDescent="0.25">
      <c r="A49" s="38" t="str">
        <f>[20]GRP!$D$305</f>
        <v>Grant Prideco, Inc.</v>
      </c>
      <c r="B49" s="38" t="s">
        <v>702</v>
      </c>
      <c r="C49" s="53" t="s">
        <v>703</v>
      </c>
      <c r="D49" s="53" t="str">
        <f>[20]GRP!$V$16</f>
        <v>CSFB / G. Hall</v>
      </c>
      <c r="E49" s="53" t="str">
        <f>[20]GRP!$U$11</f>
        <v>Buy</v>
      </c>
      <c r="F49" s="126">
        <f>[20]GRP!$U$12</f>
        <v>37106</v>
      </c>
      <c r="G49" s="39" t="str">
        <f>[20]GRP!$F$113</f>
        <v>BB-/Ba3</v>
      </c>
      <c r="H49" s="126">
        <f>[20]GRP!$F$114</f>
        <v>37035</v>
      </c>
      <c r="J49" s="155">
        <f t="shared" si="5"/>
        <v>-0.39245714285714284</v>
      </c>
      <c r="K49" s="155">
        <f t="shared" si="6"/>
        <v>-0.39418803418803416</v>
      </c>
      <c r="N49" s="303"/>
      <c r="P49" s="155" t="str">
        <f>[20]GRP!$K$286</f>
        <v>NA</v>
      </c>
      <c r="Q49" s="153" t="str">
        <f>[20]GRP!$Q$263</f>
        <v>NA</v>
      </c>
      <c r="R49" s="159" t="s">
        <v>156</v>
      </c>
      <c r="S49" s="159" t="s">
        <v>156</v>
      </c>
      <c r="T49" s="174"/>
      <c r="U49" s="156">
        <v>0</v>
      </c>
      <c r="V49" s="156">
        <v>0</v>
      </c>
      <c r="W49" s="157">
        <v>0</v>
      </c>
      <c r="X49" s="156">
        <v>0</v>
      </c>
      <c r="Y49" s="156">
        <v>0</v>
      </c>
      <c r="Z49" s="60"/>
      <c r="AA49" s="176"/>
    </row>
    <row r="50" spans="1:27" s="39" customFormat="1" ht="12.9" customHeight="1" x14ac:dyDescent="0.25">
      <c r="A50" s="38" t="str">
        <f>[21]HAL!$D$305</f>
        <v>Halliburton Company</v>
      </c>
      <c r="B50" s="38" t="s">
        <v>700</v>
      </c>
      <c r="C50" s="53" t="s">
        <v>701</v>
      </c>
      <c r="D50" s="53" t="str">
        <f>[21]HAL!$V$16</f>
        <v>CSFB / G. Hall</v>
      </c>
      <c r="E50" s="53" t="str">
        <f>[21]HAL!$U$11</f>
        <v>Buy</v>
      </c>
      <c r="F50" s="126">
        <f>[21]HAL!$U$12</f>
        <v>37106</v>
      </c>
      <c r="G50" s="39" t="str">
        <f>[21]HAL!$F$113</f>
        <v>A1 / A+</v>
      </c>
      <c r="H50" s="126">
        <f>[21]HAL!$F$114</f>
        <v>37040</v>
      </c>
      <c r="J50" s="155">
        <f t="shared" si="5"/>
        <v>-0.25389920424403173</v>
      </c>
      <c r="K50" s="155">
        <f t="shared" si="6"/>
        <v>-3.0068965517241277E-2</v>
      </c>
      <c r="N50" s="303"/>
      <c r="P50" s="155" t="str">
        <f>[21]HAL!$K$286</f>
        <v>NA</v>
      </c>
      <c r="Q50" s="153" t="str">
        <f>[21]HAL!$Q$263</f>
        <v>NA</v>
      </c>
      <c r="R50" s="159" t="s">
        <v>156</v>
      </c>
      <c r="S50" s="159" t="s">
        <v>156</v>
      </c>
      <c r="T50" s="174"/>
      <c r="U50" s="156">
        <v>0</v>
      </c>
      <c r="V50" s="156">
        <v>0</v>
      </c>
      <c r="W50" s="157">
        <v>0</v>
      </c>
      <c r="X50" s="156">
        <v>0</v>
      </c>
      <c r="Y50" s="156">
        <v>0</v>
      </c>
      <c r="Z50" s="60"/>
      <c r="AA50" s="176"/>
    </row>
    <row r="51" spans="1:27" s="39" customFormat="1" ht="12.9" customHeight="1" x14ac:dyDescent="0.25">
      <c r="A51" s="38" t="str">
        <f>[22]HC!$D$305</f>
        <v>Hanover Compressor Company</v>
      </c>
      <c r="B51" s="38" t="s">
        <v>700</v>
      </c>
      <c r="C51" s="53" t="s">
        <v>701</v>
      </c>
      <c r="D51" s="53" t="str">
        <f>[22]HC!$V$16</f>
        <v>CSFB / G. Hall</v>
      </c>
      <c r="E51" s="53" t="str">
        <f>[22]HC!$U$11</f>
        <v>Buy</v>
      </c>
      <c r="F51" s="126">
        <f>[22]HC!$U$12</f>
        <v>37106</v>
      </c>
      <c r="G51" s="39" t="str">
        <f>[22]HC!$F$113</f>
        <v>Ba2 / BB+</v>
      </c>
      <c r="H51" s="126">
        <f>[22]HC!$F$114</f>
        <v>37040</v>
      </c>
      <c r="J51" s="155">
        <f t="shared" si="5"/>
        <v>-6.6910420475319865E-2</v>
      </c>
      <c r="K51" s="155">
        <f t="shared" si="6"/>
        <v>-0.28415147265077134</v>
      </c>
      <c r="N51" s="303"/>
      <c r="P51" s="155" t="str">
        <f>[22]HC!$K$286</f>
        <v>NA</v>
      </c>
      <c r="Q51" s="153" t="str">
        <f>[22]HC!$Q$263</f>
        <v>NA</v>
      </c>
      <c r="R51" s="159" t="s">
        <v>156</v>
      </c>
      <c r="S51" s="159" t="s">
        <v>156</v>
      </c>
      <c r="T51" s="174"/>
      <c r="U51" s="156">
        <v>0</v>
      </c>
      <c r="V51" s="156">
        <v>0</v>
      </c>
      <c r="W51" s="157">
        <v>0</v>
      </c>
      <c r="X51" s="156">
        <v>0</v>
      </c>
      <c r="Y51" s="156">
        <v>0</v>
      </c>
      <c r="Z51" s="60"/>
      <c r="AA51" s="176"/>
    </row>
    <row r="52" spans="1:27" s="39" customFormat="1" ht="12.9" customHeight="1" x14ac:dyDescent="0.25">
      <c r="A52" s="38" t="str">
        <f>[23]HYDL!$D$305</f>
        <v>Hydril Company</v>
      </c>
      <c r="B52" s="38" t="s">
        <v>702</v>
      </c>
      <c r="C52" s="53" t="s">
        <v>703</v>
      </c>
      <c r="D52" s="53" t="str">
        <f>[23]HYDL!$V$16</f>
        <v>CSFB / G. Hall</v>
      </c>
      <c r="E52" s="53" t="str">
        <f>+[23]HYDL!$U$11</f>
        <v>Buy</v>
      </c>
      <c r="F52" s="126">
        <f>+[23]HYDL!$U$12</f>
        <v>37106</v>
      </c>
      <c r="G52" s="39" t="str">
        <f>+[23]HYDL!$F$113</f>
        <v>NR/NR</v>
      </c>
      <c r="H52" s="126">
        <f>+[23]HYDL!$F$114</f>
        <v>37035</v>
      </c>
      <c r="J52" s="155">
        <f t="shared" si="5"/>
        <v>-3.5582822085889469E-2</v>
      </c>
      <c r="K52" s="155">
        <f t="shared" si="6"/>
        <v>0.11886120996441293</v>
      </c>
      <c r="N52" s="303"/>
      <c r="P52" s="155" t="str">
        <f>+[23]HYDL!$K$286</f>
        <v>NA</v>
      </c>
      <c r="Q52" s="153" t="str">
        <f>+[23]HYDL!$Q$263</f>
        <v>NA</v>
      </c>
      <c r="R52" s="159" t="s">
        <v>156</v>
      </c>
      <c r="S52" s="159" t="s">
        <v>156</v>
      </c>
      <c r="T52" s="174"/>
      <c r="U52" s="156">
        <v>0</v>
      </c>
      <c r="V52" s="156">
        <v>0</v>
      </c>
      <c r="W52" s="157">
        <v>0</v>
      </c>
      <c r="X52" s="156">
        <v>0</v>
      </c>
      <c r="Y52" s="156">
        <v>0</v>
      </c>
      <c r="Z52" s="60"/>
      <c r="AA52" s="176"/>
    </row>
    <row r="53" spans="1:27" s="39" customFormat="1" ht="12.9" customHeight="1" x14ac:dyDescent="0.25">
      <c r="A53" s="38" t="str">
        <f>[24]IO!$D$305</f>
        <v>Input/Output, Inc.</v>
      </c>
      <c r="B53" s="38" t="s">
        <v>702</v>
      </c>
      <c r="C53" s="53" t="s">
        <v>703</v>
      </c>
      <c r="D53" s="53" t="str">
        <f>[24]IO!$V$16</f>
        <v>SSB</v>
      </c>
      <c r="E53" s="53" t="str">
        <f>[24]IO!$U$11</f>
        <v>Buy</v>
      </c>
      <c r="F53" s="126">
        <f>[24]IO!$U$12</f>
        <v>37013</v>
      </c>
      <c r="G53" s="39" t="str">
        <f>[24]IO!$F$113</f>
        <v>NR/NR</v>
      </c>
      <c r="H53" s="126">
        <f>[24]IO!$F$114</f>
        <v>37035</v>
      </c>
      <c r="J53" s="155">
        <f t="shared" si="5"/>
        <v>0.24031007751937986</v>
      </c>
      <c r="K53" s="155">
        <f t="shared" si="6"/>
        <v>-1.8404907975460124E-2</v>
      </c>
      <c r="N53" s="303"/>
      <c r="P53" s="155" t="str">
        <f>[24]IO!$K$286</f>
        <v>NA</v>
      </c>
      <c r="Q53" s="153" t="str">
        <f>[24]IO!$Q$263</f>
        <v>NA</v>
      </c>
      <c r="R53" s="159" t="s">
        <v>156</v>
      </c>
      <c r="S53" s="159" t="s">
        <v>156</v>
      </c>
      <c r="T53" s="174"/>
      <c r="U53" s="156">
        <v>0</v>
      </c>
      <c r="V53" s="156">
        <v>0</v>
      </c>
      <c r="W53" s="157">
        <v>0</v>
      </c>
      <c r="X53" s="156">
        <v>0</v>
      </c>
      <c r="Y53" s="156">
        <v>0</v>
      </c>
      <c r="Z53" s="60"/>
      <c r="AA53" s="176"/>
    </row>
    <row r="54" spans="1:27" s="39" customFormat="1" ht="12.9" customHeight="1" x14ac:dyDescent="0.25">
      <c r="A54" s="38" t="str">
        <f>[25]NOI!$D$305</f>
        <v>National-Oilwell, Inc.</v>
      </c>
      <c r="B54" s="38" t="s">
        <v>700</v>
      </c>
      <c r="C54" s="53" t="s">
        <v>701</v>
      </c>
      <c r="D54" s="53" t="str">
        <f>[25]NOI!$V$16</f>
        <v>MSDW / Slorer</v>
      </c>
      <c r="E54" s="53" t="str">
        <f>[25]NOI!$U$11</f>
        <v>Buy</v>
      </c>
      <c r="F54" s="126">
        <f>[25]NOI!$U$12</f>
        <v>37098</v>
      </c>
      <c r="G54" s="39" t="str">
        <f>[25]NOI!$F$113</f>
        <v>Baa2 /BBB+</v>
      </c>
      <c r="H54" s="126">
        <f>[25]NOI!$F$114</f>
        <v>37040</v>
      </c>
      <c r="J54" s="155">
        <f t="shared" si="5"/>
        <v>-0.50378006872852232</v>
      </c>
      <c r="K54" s="155">
        <f t="shared" si="6"/>
        <v>-0.53344103392568654</v>
      </c>
      <c r="N54" s="303"/>
      <c r="P54" s="155" t="str">
        <f>[25]NOI!$K$286</f>
        <v>NA</v>
      </c>
      <c r="Q54" s="153" t="str">
        <f>[25]NOI!$Q$263</f>
        <v>NA</v>
      </c>
      <c r="R54" s="159" t="s">
        <v>156</v>
      </c>
      <c r="S54" s="159" t="s">
        <v>156</v>
      </c>
      <c r="T54" s="174"/>
      <c r="U54" s="156">
        <v>0</v>
      </c>
      <c r="V54" s="156">
        <v>0</v>
      </c>
      <c r="W54" s="157">
        <v>0</v>
      </c>
      <c r="X54" s="156">
        <v>0</v>
      </c>
      <c r="Y54" s="156">
        <v>0</v>
      </c>
      <c r="Z54" s="60"/>
      <c r="AA54" s="176"/>
    </row>
    <row r="55" spans="1:27" s="39" customFormat="1" ht="12.9" customHeight="1" x14ac:dyDescent="0.25">
      <c r="A55" s="38" t="str">
        <f>[26]SLB!$D$305</f>
        <v>Schlumberger Limited</v>
      </c>
      <c r="B55" s="38" t="s">
        <v>700</v>
      </c>
      <c r="C55" s="53" t="s">
        <v>701</v>
      </c>
      <c r="D55" s="53" t="str">
        <f>[26]SLB!$V$16</f>
        <v>CSFB / G. Hall</v>
      </c>
      <c r="E55" s="53" t="str">
        <f>[26]SLB!$U$11</f>
        <v>Hold</v>
      </c>
      <c r="F55" s="126">
        <f>+[26]SLB!$U$12</f>
        <v>37106</v>
      </c>
      <c r="G55" s="39" t="str">
        <f>+[26]SLB!$F$113</f>
        <v>NR/NR</v>
      </c>
      <c r="H55" s="126">
        <f>+[26]SLB!$F$114</f>
        <v>37064</v>
      </c>
      <c r="J55" s="155">
        <f t="shared" si="5"/>
        <v>-0.31832923832923826</v>
      </c>
      <c r="K55" s="155">
        <f t="shared" si="6"/>
        <v>-0.34924159499609064</v>
      </c>
      <c r="N55" s="303"/>
      <c r="P55" s="155" t="str">
        <f>+[26]SLB!$K$286</f>
        <v>NA</v>
      </c>
      <c r="Q55" s="153" t="str">
        <f>+[26]SLB!$Q$263</f>
        <v>NA</v>
      </c>
      <c r="R55" s="159" t="s">
        <v>156</v>
      </c>
      <c r="S55" s="159" t="s">
        <v>156</v>
      </c>
      <c r="T55" s="174"/>
      <c r="U55" s="156">
        <v>0</v>
      </c>
      <c r="V55" s="156">
        <v>0</v>
      </c>
      <c r="W55" s="157">
        <v>0</v>
      </c>
      <c r="X55" s="156">
        <v>0</v>
      </c>
      <c r="Y55" s="156">
        <v>0</v>
      </c>
      <c r="Z55" s="60"/>
      <c r="AA55" s="176"/>
    </row>
    <row r="56" spans="1:27" s="39" customFormat="1" ht="12.9" customHeight="1" x14ac:dyDescent="0.25">
      <c r="A56" s="38" t="str">
        <f>[28]SII!$D$305</f>
        <v>Smith International, Inc.</v>
      </c>
      <c r="B56" s="38" t="s">
        <v>700</v>
      </c>
      <c r="C56" s="53" t="s">
        <v>701</v>
      </c>
      <c r="D56" s="53" t="str">
        <f>[28]SII!$V$16</f>
        <v>CSFB / G. Hall</v>
      </c>
      <c r="E56" s="53" t="str">
        <f>[28]SII!$U$11</f>
        <v>Buy</v>
      </c>
      <c r="F56" s="126">
        <f>[28]SII!$U$12</f>
        <v>37106</v>
      </c>
      <c r="G56" s="39" t="str">
        <f>[28]SII!$F$113</f>
        <v>Baa1 / BBB+</v>
      </c>
      <c r="H56" s="126">
        <f>[28]SII!$F$114</f>
        <v>37040</v>
      </c>
      <c r="J56" s="155">
        <f t="shared" si="5"/>
        <v>-0.28716112531969312</v>
      </c>
      <c r="K56" s="155">
        <f t="shared" si="6"/>
        <v>-0.29911148365465218</v>
      </c>
      <c r="N56" s="303"/>
      <c r="P56" s="155" t="str">
        <f>IF([28]SII!$K$286&lt;0, "NM",[28]SII!$K$286)</f>
        <v>NA</v>
      </c>
      <c r="Q56" s="153" t="str">
        <f>[28]SII!$Q$263</f>
        <v>NA</v>
      </c>
      <c r="R56" s="159" t="s">
        <v>156</v>
      </c>
      <c r="S56" s="159" t="s">
        <v>156</v>
      </c>
      <c r="T56" s="174"/>
      <c r="U56" s="156">
        <v>0</v>
      </c>
      <c r="V56" s="156">
        <v>0</v>
      </c>
      <c r="W56" s="157">
        <v>0</v>
      </c>
      <c r="X56" s="156">
        <v>0</v>
      </c>
      <c r="Y56" s="156">
        <v>0</v>
      </c>
      <c r="AA56" s="176"/>
    </row>
    <row r="57" spans="1:27" s="39" customFormat="1" ht="12.9" customHeight="1" x14ac:dyDescent="0.25">
      <c r="A57" s="38" t="str">
        <f>[29]SESI!$D$305</f>
        <v>Superior Energy Services, Inc.</v>
      </c>
      <c r="B57" s="38" t="s">
        <v>702</v>
      </c>
      <c r="C57" s="53" t="s">
        <v>703</v>
      </c>
      <c r="D57" s="53" t="str">
        <f>[29]SESI!$V$16</f>
        <v>CSFB / G. Hall</v>
      </c>
      <c r="E57" s="53" t="str">
        <f>[29]SESI!$U$11</f>
        <v>Buy</v>
      </c>
      <c r="F57" s="126">
        <f>[29]SESI!$U$12</f>
        <v>37106</v>
      </c>
      <c r="G57" s="39" t="str">
        <f>[29]SESI!$F$113</f>
        <v>BB-/Ba1</v>
      </c>
      <c r="H57" s="126">
        <f>[29]SESI!$F$114</f>
        <v>37035</v>
      </c>
      <c r="J57" s="155">
        <f t="shared" si="5"/>
        <v>-0.18105263157894735</v>
      </c>
      <c r="K57" s="155">
        <f t="shared" si="6"/>
        <v>-0.32347826086956522</v>
      </c>
      <c r="P57" s="155" t="str">
        <f>[29]SESI!$K$286</f>
        <v>NA</v>
      </c>
      <c r="Q57" s="153" t="str">
        <f>[29]SESI!$Q$263</f>
        <v>NA</v>
      </c>
      <c r="R57" s="159" t="s">
        <v>156</v>
      </c>
      <c r="S57" s="159" t="s">
        <v>156</v>
      </c>
      <c r="T57" s="174"/>
      <c r="U57" s="156">
        <v>0</v>
      </c>
      <c r="V57" s="156">
        <v>0</v>
      </c>
      <c r="W57" s="157">
        <v>0</v>
      </c>
      <c r="X57" s="156">
        <v>0</v>
      </c>
      <c r="Y57" s="156">
        <v>0</v>
      </c>
      <c r="AA57" s="176"/>
    </row>
    <row r="58" spans="1:27" s="39" customFormat="1" ht="12.9" customHeight="1" x14ac:dyDescent="0.25">
      <c r="A58" s="38" t="str">
        <f>[30]TEO!$D$305</f>
        <v>Tesco Corporation</v>
      </c>
      <c r="B58" s="38" t="s">
        <v>702</v>
      </c>
      <c r="C58" s="53" t="s">
        <v>703</v>
      </c>
      <c r="D58" s="53" t="str">
        <f>[30]TEO!$V$16</f>
        <v>CIBC World Markets</v>
      </c>
      <c r="E58" s="53" t="str">
        <f>[30]TEO!$U$11</f>
        <v>Buy</v>
      </c>
      <c r="F58" s="126">
        <f>[30]TEO!$U$12</f>
        <v>37025</v>
      </c>
      <c r="G58" s="39" t="str">
        <f>[30]TEO!$F$113</f>
        <v>NR/NR</v>
      </c>
      <c r="H58" s="126">
        <f>[30]TEO!$F$114</f>
        <v>37035</v>
      </c>
      <c r="J58" s="155">
        <f t="shared" si="5"/>
        <v>0.16090730771072137</v>
      </c>
      <c r="K58" s="155">
        <f t="shared" si="6"/>
        <v>-6.0387516198673261E-3</v>
      </c>
      <c r="P58" s="39" t="str">
        <f>[30]TEO!$K$286</f>
        <v>NA</v>
      </c>
      <c r="Q58" s="153" t="str">
        <f>[30]TEO!$Q$263</f>
        <v>NA</v>
      </c>
      <c r="R58" s="159" t="s">
        <v>156</v>
      </c>
      <c r="S58" s="159" t="s">
        <v>156</v>
      </c>
      <c r="T58" s="174"/>
      <c r="U58" s="156">
        <v>0</v>
      </c>
      <c r="V58" s="156">
        <v>0</v>
      </c>
      <c r="W58" s="157">
        <v>0</v>
      </c>
      <c r="X58" s="156">
        <v>0</v>
      </c>
      <c r="Y58" s="156">
        <v>0</v>
      </c>
      <c r="AA58" s="176"/>
    </row>
    <row r="59" spans="1:27" s="39" customFormat="1" ht="12.9" customHeight="1" x14ac:dyDescent="0.25">
      <c r="A59" s="38" t="str">
        <f>[31]UCO!$D$305</f>
        <v>Universal Compression, Inc.</v>
      </c>
      <c r="B59" s="38" t="s">
        <v>702</v>
      </c>
      <c r="C59" s="53" t="s">
        <v>703</v>
      </c>
      <c r="D59" s="53" t="str">
        <f>[31]UCO!$V$16</f>
        <v>Deutsche Bank</v>
      </c>
      <c r="E59" s="53" t="str">
        <f>[31]UCO!$U$11</f>
        <v>Buy</v>
      </c>
      <c r="F59" s="126">
        <f>[31]UCO!$U$12</f>
        <v>37106</v>
      </c>
      <c r="G59" s="39" t="str">
        <f>[31]UCO!$F$113</f>
        <v>B+/B1</v>
      </c>
      <c r="H59" s="126">
        <f>[31]UCO!$F$114</f>
        <v>37035</v>
      </c>
      <c r="J59" s="155">
        <f t="shared" si="5"/>
        <v>-3.9659574468085081E-2</v>
      </c>
      <c r="K59" s="155">
        <f t="shared" si="6"/>
        <v>-0.25147595356550578</v>
      </c>
      <c r="P59" s="39" t="str">
        <f>[31]UCO!$K$286</f>
        <v>NA</v>
      </c>
      <c r="Q59" s="153" t="str">
        <f>[31]UCO!$Q$263</f>
        <v>NA</v>
      </c>
      <c r="R59" s="159" t="s">
        <v>156</v>
      </c>
      <c r="S59" s="159" t="s">
        <v>156</v>
      </c>
      <c r="T59" s="174"/>
      <c r="U59" s="156">
        <v>0</v>
      </c>
      <c r="V59" s="156">
        <v>0</v>
      </c>
      <c r="W59" s="157">
        <v>0</v>
      </c>
      <c r="X59" s="156">
        <v>0</v>
      </c>
      <c r="Y59" s="156">
        <v>0</v>
      </c>
      <c r="AA59" s="176"/>
    </row>
    <row r="60" spans="1:27" s="39" customFormat="1" ht="12.9" customHeight="1" x14ac:dyDescent="0.25">
      <c r="A60" s="38" t="str">
        <f>[32]VRC!$D$305</f>
        <v>Varco International, Inc.</v>
      </c>
      <c r="B60" s="38" t="s">
        <v>702</v>
      </c>
      <c r="C60" s="53" t="s">
        <v>703</v>
      </c>
      <c r="D60" s="53" t="str">
        <f>[32]VRC!$V$16</f>
        <v>CSFB / G.Hall</v>
      </c>
      <c r="E60" s="112" t="str">
        <f>[32]VRC!$U$11</f>
        <v>Buy</v>
      </c>
      <c r="F60" s="126">
        <f>[32]VRC!$U$12</f>
        <v>37106</v>
      </c>
      <c r="G60" s="39" t="str">
        <f>[32]VRC!$F$113</f>
        <v>BBB+/Baa2</v>
      </c>
      <c r="H60" s="126">
        <f>[32]VRC!$F$114</f>
        <v>37035</v>
      </c>
      <c r="J60" s="155">
        <f t="shared" si="5"/>
        <v>-0.10689895470383277</v>
      </c>
      <c r="K60" s="155">
        <f t="shared" si="6"/>
        <v>-0.26344827586206898</v>
      </c>
      <c r="P60" s="39" t="str">
        <f>[32]VRC!$K$286</f>
        <v>NA</v>
      </c>
      <c r="Q60" s="153" t="str">
        <f>[32]VRC!$Q$263</f>
        <v>NA</v>
      </c>
      <c r="R60" s="159" t="s">
        <v>156</v>
      </c>
      <c r="S60" s="159" t="s">
        <v>156</v>
      </c>
      <c r="T60" s="174"/>
      <c r="U60" s="156"/>
      <c r="V60" s="156"/>
      <c r="W60" s="157"/>
      <c r="X60" s="156"/>
      <c r="Y60" s="156"/>
      <c r="AA60" s="176"/>
    </row>
    <row r="61" spans="1:27" s="39" customFormat="1" ht="12.9" customHeight="1" x14ac:dyDescent="0.25">
      <c r="A61" s="38" t="str">
        <f>[33]WHES!$D$305</f>
        <v>W-H Energy Services, Inc.</v>
      </c>
      <c r="B61" s="38" t="s">
        <v>702</v>
      </c>
      <c r="C61" s="53" t="s">
        <v>703</v>
      </c>
      <c r="D61" s="53" t="str">
        <f>[33]WHES!$V$16</f>
        <v>CSFB / G. Hall</v>
      </c>
      <c r="E61" s="53" t="str">
        <f>[33]WHES!$U$11</f>
        <v>Buy</v>
      </c>
      <c r="F61" s="126">
        <f>[33]WHES!$U$12</f>
        <v>37106</v>
      </c>
      <c r="G61" s="39" t="str">
        <f>[33]WHES!$F$113</f>
        <v>NR/NR</v>
      </c>
      <c r="H61" s="126">
        <f>[33]WHES!$F$114</f>
        <v>37035</v>
      </c>
      <c r="J61" s="155">
        <f t="shared" si="5"/>
        <v>0.44640000000000007</v>
      </c>
      <c r="K61" s="155">
        <f t="shared" si="6"/>
        <v>0.147936507936508</v>
      </c>
      <c r="P61" s="39" t="str">
        <f>[33]WHES!$K$286</f>
        <v>NA</v>
      </c>
      <c r="Q61" s="153" t="str">
        <f>[33]WHES!$Q$263</f>
        <v>NA</v>
      </c>
      <c r="R61" s="159" t="s">
        <v>156</v>
      </c>
      <c r="S61" s="159" t="s">
        <v>156</v>
      </c>
      <c r="T61" s="174"/>
      <c r="U61" s="156">
        <v>0</v>
      </c>
      <c r="V61" s="156">
        <v>0</v>
      </c>
      <c r="W61" s="157">
        <v>0</v>
      </c>
      <c r="X61" s="156">
        <v>0</v>
      </c>
      <c r="Y61" s="156">
        <v>0</v>
      </c>
    </row>
    <row r="62" spans="1:27" s="39" customFormat="1" ht="12.9" customHeight="1" x14ac:dyDescent="0.25">
      <c r="A62" s="38" t="str">
        <f>[34]WFT!$D$305</f>
        <v>Weatherford International, Inc.</v>
      </c>
      <c r="B62" s="38" t="s">
        <v>700</v>
      </c>
      <c r="C62" s="53" t="s">
        <v>701</v>
      </c>
      <c r="D62" s="53" t="str">
        <f>[34]WFT!$V$16</f>
        <v>CSFB / G. Hall</v>
      </c>
      <c r="E62" s="53" t="str">
        <f>[34]WFT!$U$11</f>
        <v>Buy</v>
      </c>
      <c r="F62" s="126">
        <f>[34]WFT!$U$12</f>
        <v>37106</v>
      </c>
      <c r="G62" s="39" t="str">
        <f>[34]WFT!$F$113</f>
        <v>Baa1/BBB+</v>
      </c>
      <c r="H62" s="126">
        <f>[34]WFT!$F$114</f>
        <v>37040</v>
      </c>
      <c r="J62" s="155">
        <f t="shared" si="5"/>
        <v>-0.08</v>
      </c>
      <c r="K62" s="155">
        <f t="shared" si="6"/>
        <v>-0.14814814814814814</v>
      </c>
      <c r="P62" s="39" t="str">
        <f>[34]WFT!$K$286</f>
        <v>NA</v>
      </c>
      <c r="Q62" s="153" t="str">
        <f>[34]WFT!$Q$263</f>
        <v>NA</v>
      </c>
      <c r="R62" s="159" t="s">
        <v>156</v>
      </c>
      <c r="S62" s="159" t="s">
        <v>156</v>
      </c>
      <c r="T62" s="174"/>
      <c r="U62" s="156">
        <v>0</v>
      </c>
      <c r="V62" s="156">
        <v>0</v>
      </c>
      <c r="W62" s="157">
        <v>0</v>
      </c>
      <c r="X62" s="156">
        <v>0</v>
      </c>
      <c r="Y62" s="156">
        <v>0</v>
      </c>
    </row>
    <row r="63" spans="1:27" s="39" customFormat="1" ht="12.9" customHeight="1" x14ac:dyDescent="0.25">
      <c r="A63" s="38"/>
      <c r="B63" s="38"/>
      <c r="C63" s="53"/>
      <c r="D63" s="53"/>
      <c r="E63" s="53"/>
      <c r="F63" s="126"/>
      <c r="H63" s="126"/>
      <c r="J63" s="155"/>
      <c r="K63" s="155"/>
      <c r="T63" s="174"/>
    </row>
    <row r="64" spans="1:27" s="39" customFormat="1" ht="12.9" customHeight="1" x14ac:dyDescent="0.25">
      <c r="A64" s="38"/>
      <c r="B64" s="38"/>
      <c r="C64" s="53"/>
      <c r="D64" s="53"/>
      <c r="E64" s="53"/>
      <c r="F64" s="126"/>
      <c r="H64" s="126"/>
      <c r="J64" s="155"/>
      <c r="K64" s="155"/>
      <c r="T64" s="174"/>
    </row>
    <row r="65" spans="1:26" s="39" customFormat="1" ht="12.9" customHeight="1" x14ac:dyDescent="0.25">
      <c r="A65" s="38"/>
      <c r="B65" s="38"/>
      <c r="C65" s="53"/>
      <c r="D65" s="53"/>
      <c r="E65" s="53"/>
      <c r="F65" s="126"/>
      <c r="H65" s="126"/>
      <c r="J65" s="155"/>
      <c r="K65" s="155"/>
      <c r="T65" s="174"/>
    </row>
    <row r="66" spans="1:26" s="39" customFormat="1" ht="12.9" customHeight="1" x14ac:dyDescent="0.25">
      <c r="B66" s="175"/>
      <c r="C66" s="175"/>
      <c r="E66" s="175"/>
      <c r="N66" s="53" t="s">
        <v>38</v>
      </c>
      <c r="P66" s="39" t="str">
        <f>[34]WFT!$K$286</f>
        <v>NA</v>
      </c>
      <c r="Q66" s="153" t="str">
        <f>[34]WFT!$Q$263</f>
        <v>NA</v>
      </c>
      <c r="R66" s="151" t="s">
        <v>156</v>
      </c>
      <c r="S66" s="53"/>
      <c r="T66" s="174"/>
      <c r="U66" s="156"/>
      <c r="V66" s="156"/>
      <c r="W66" s="157"/>
      <c r="X66" s="156"/>
      <c r="Y66" s="156"/>
    </row>
    <row r="67" spans="1:26" s="39" customFormat="1" ht="12.9" customHeight="1" x14ac:dyDescent="0.25">
      <c r="B67" s="175"/>
      <c r="C67" s="175"/>
      <c r="D67" s="175"/>
      <c r="N67" s="53" t="s">
        <v>39</v>
      </c>
      <c r="P67" s="39" t="str">
        <f>[34]WFT!$K$286</f>
        <v>NA</v>
      </c>
      <c r="Q67" s="153" t="str">
        <f>[34]WFT!$Q$263</f>
        <v>NA</v>
      </c>
      <c r="R67" s="151" t="s">
        <v>156</v>
      </c>
      <c r="S67" s="53"/>
      <c r="T67" s="174"/>
      <c r="U67" s="156"/>
      <c r="V67" s="156"/>
      <c r="W67" s="157"/>
      <c r="X67" s="156"/>
      <c r="Y67" s="156"/>
    </row>
    <row r="68" spans="1:26" s="39" customFormat="1" ht="12.9" customHeight="1" x14ac:dyDescent="0.25">
      <c r="B68" s="175"/>
      <c r="C68" s="175"/>
      <c r="D68" s="175"/>
      <c r="N68" s="55" t="s">
        <v>25</v>
      </c>
      <c r="P68" s="39" t="str">
        <f>[34]WFT!$K$286</f>
        <v>NA</v>
      </c>
      <c r="Q68" s="153" t="str">
        <f>[34]WFT!$Q$263</f>
        <v>NA</v>
      </c>
      <c r="R68" s="151" t="s">
        <v>156</v>
      </c>
      <c r="S68" s="53"/>
      <c r="T68" s="174"/>
      <c r="U68" s="156"/>
      <c r="V68" s="156"/>
      <c r="W68" s="157"/>
      <c r="X68" s="156"/>
      <c r="Y68" s="156"/>
    </row>
    <row r="69" spans="1:26" s="39" customFormat="1" ht="12.9" customHeight="1" x14ac:dyDescent="0.25">
      <c r="B69" s="175"/>
      <c r="C69" s="175"/>
      <c r="D69" s="175"/>
      <c r="N69" s="53" t="s">
        <v>26</v>
      </c>
      <c r="P69" s="39" t="str">
        <f>[34]WFT!$K$286</f>
        <v>NA</v>
      </c>
      <c r="Q69" s="153" t="str">
        <f>[34]WFT!$Q$263</f>
        <v>NA</v>
      </c>
      <c r="R69" s="151" t="s">
        <v>156</v>
      </c>
      <c r="S69" s="53"/>
      <c r="T69" s="174"/>
      <c r="U69" s="156"/>
      <c r="V69" s="156"/>
      <c r="W69" s="157"/>
      <c r="X69" s="156"/>
      <c r="Y69" s="156"/>
      <c r="Z69" s="60"/>
    </row>
    <row r="70" spans="1:26" s="39" customFormat="1" ht="12.9" customHeight="1" x14ac:dyDescent="0.25">
      <c r="A70" s="122" t="s">
        <v>74</v>
      </c>
      <c r="Z70" s="60"/>
    </row>
    <row r="71" spans="1:26" s="39" customFormat="1" ht="12.9" customHeight="1" x14ac:dyDescent="0.25">
      <c r="A71" s="55" t="s">
        <v>704</v>
      </c>
      <c r="Z71" s="60"/>
    </row>
    <row r="72" spans="1:26" s="39" customFormat="1" ht="12.9" customHeight="1" x14ac:dyDescent="0.25">
      <c r="A72" s="55" t="s">
        <v>76</v>
      </c>
      <c r="Z72" s="60"/>
    </row>
    <row r="73" spans="1:26" s="39" customFormat="1" ht="12.9" customHeight="1" x14ac:dyDescent="0.25">
      <c r="A73" s="55" t="s">
        <v>77</v>
      </c>
    </row>
    <row r="74" spans="1:26" s="39" customFormat="1" ht="12.9" customHeight="1" x14ac:dyDescent="0.25">
      <c r="A74" s="55" t="s">
        <v>78</v>
      </c>
    </row>
    <row r="75" spans="1:26" s="39" customFormat="1" ht="12.9" customHeight="1" x14ac:dyDescent="0.25">
      <c r="A75" s="55" t="s">
        <v>77</v>
      </c>
    </row>
    <row r="76" spans="1:26" s="39" customFormat="1" ht="12.9" customHeight="1" x14ac:dyDescent="0.25">
      <c r="A76" s="55" t="s">
        <v>79</v>
      </c>
    </row>
    <row r="77" spans="1:26" s="39" customFormat="1" ht="12.9" customHeight="1" x14ac:dyDescent="0.25"/>
    <row r="78" spans="1:26" s="39" customFormat="1" ht="12.9" customHeight="1" x14ac:dyDescent="0.25"/>
    <row r="79" spans="1:26" s="39" customFormat="1" ht="12.9" customHeight="1" x14ac:dyDescent="0.25"/>
    <row r="80" spans="1:26" s="39" customFormat="1" ht="12.9" customHeight="1" x14ac:dyDescent="0.25"/>
    <row r="81" spans="1:25" s="39" customFormat="1" ht="12.9" customHeight="1" x14ac:dyDescent="0.25"/>
    <row r="82" spans="1:25" s="39" customFormat="1" ht="12.9" customHeight="1" x14ac:dyDescent="0.25"/>
    <row r="83" spans="1:25" s="39" customFormat="1" ht="12.9" customHeight="1" x14ac:dyDescent="0.25"/>
    <row r="84" spans="1:25" s="39" customFormat="1" ht="12.9" customHeight="1" x14ac:dyDescent="0.25">
      <c r="G84" s="303">
        <v>36815</v>
      </c>
    </row>
    <row r="85" spans="1:25" s="39" customFormat="1" ht="12.9" customHeight="1" x14ac:dyDescent="0.25">
      <c r="G85" s="303">
        <v>36796</v>
      </c>
    </row>
    <row r="86" spans="1:25" s="39" customFormat="1" ht="12.9" customHeight="1" x14ac:dyDescent="0.25">
      <c r="F86" s="169">
        <f>B6</f>
        <v>37106</v>
      </c>
      <c r="G86" s="169">
        <f>F86-365</f>
        <v>36741</v>
      </c>
      <c r="Q86" s="169">
        <v>36892</v>
      </c>
      <c r="R86" s="169">
        <f>F86</f>
        <v>37106</v>
      </c>
    </row>
    <row r="87" spans="1:25" s="39" customFormat="1" ht="12.9" customHeight="1" x14ac:dyDescent="0.25">
      <c r="H87" s="39" t="s">
        <v>63</v>
      </c>
      <c r="S87" s="39" t="s">
        <v>64</v>
      </c>
    </row>
    <row r="88" spans="1:25" s="39" customFormat="1" ht="12.9" customHeight="1" x14ac:dyDescent="0.25">
      <c r="E88" s="39" t="str">
        <f t="shared" ref="E88:E106" si="7">B11</f>
        <v>BHI</v>
      </c>
      <c r="F88" s="151">
        <f>_xll.FDS(E88,"ib_price",$F$86)</f>
        <v>34.630000000000003</v>
      </c>
      <c r="G88" s="151">
        <f>_xll.FDS(E88,"ib_price",$G$86)</f>
        <v>35.6875</v>
      </c>
      <c r="H88" s="177">
        <f>(F88-G88)/G88</f>
        <v>-2.9632224168126022E-2</v>
      </c>
      <c r="P88" s="39" t="str">
        <f>E88</f>
        <v>BHI</v>
      </c>
      <c r="Q88" s="151">
        <f>_xll.FDS(P88,"ib_price",$Q$86)</f>
        <v>41.5625</v>
      </c>
      <c r="R88" s="151">
        <f>_xll.FDS(P88,"ib_price",$R$86)</f>
        <v>34.630000000000003</v>
      </c>
      <c r="S88" s="177">
        <f>(R88-Q88)/Q88</f>
        <v>-0.16679699248120294</v>
      </c>
    </row>
    <row r="89" spans="1:25" s="39" customFormat="1" ht="12.9" customHeight="1" x14ac:dyDescent="0.25">
      <c r="E89" s="39" t="str">
        <f t="shared" si="7"/>
        <v>BJS</v>
      </c>
      <c r="F89" s="151">
        <f>_xll.FDS(E89,"ib_price",$F$86)</f>
        <v>24.200000000000003</v>
      </c>
      <c r="G89" s="151">
        <f>_xll.FDS(E89,"ib_price",$G$86)</f>
        <v>31.125</v>
      </c>
      <c r="H89" s="177">
        <f t="shared" ref="H89:H106" si="8">(F89-G89)/G89</f>
        <v>-0.22248995983935735</v>
      </c>
      <c r="P89" s="39" t="str">
        <f t="shared" ref="P89:P106" si="9">E89</f>
        <v>BJS</v>
      </c>
      <c r="Q89" s="151">
        <f>_xll.FDS(P89,"ib_price",$Q$86)</f>
        <v>34.4375</v>
      </c>
      <c r="R89" s="151">
        <f>_xll.FDS(P89,"ib_price",$R$86)</f>
        <v>24.200000000000003</v>
      </c>
      <c r="S89" s="177">
        <f t="shared" ref="S89:S106" si="10">(R89-Q89)/Q89</f>
        <v>-0.2972776769509981</v>
      </c>
    </row>
    <row r="90" spans="1:25" s="39" customFormat="1" ht="12.9" customHeight="1" x14ac:dyDescent="0.25">
      <c r="E90" s="39" t="str">
        <f t="shared" si="7"/>
        <v>CAM</v>
      </c>
      <c r="F90" s="151">
        <f>_xll.FDS(E90,"ib_price",$F$86)</f>
        <v>49.53</v>
      </c>
      <c r="G90" s="151">
        <f>_xll.FDS(E90,"ib_price",$G$86)</f>
        <v>66.5</v>
      </c>
      <c r="H90" s="177">
        <f t="shared" si="8"/>
        <v>-0.25518796992481202</v>
      </c>
      <c r="P90" s="39" t="str">
        <f t="shared" si="9"/>
        <v>CAM</v>
      </c>
      <c r="Q90" s="151">
        <f>_xll.FDS(P90,"ib_price",$Q$86)</f>
        <v>66.0625</v>
      </c>
      <c r="R90" s="151">
        <f>_xll.FDS(P90,"ib_price",$R$86)</f>
        <v>49.53</v>
      </c>
      <c r="S90" s="177">
        <f t="shared" si="10"/>
        <v>-0.25025543992431409</v>
      </c>
    </row>
    <row r="91" spans="1:25" s="39" customFormat="1" ht="12.9" customHeight="1" x14ac:dyDescent="0.25">
      <c r="E91" s="39" t="str">
        <f t="shared" si="7"/>
        <v xml:space="preserve">CLB </v>
      </c>
      <c r="F91" s="151">
        <f>_xll.FDS(E91,"ib_price",$F$86)</f>
        <v>19.68</v>
      </c>
      <c r="G91" s="151">
        <f>_xll.FDS(E91,"ib_price",$G$86)</f>
        <v>19.625</v>
      </c>
      <c r="H91" s="177">
        <f t="shared" si="8"/>
        <v>2.8025477707006225E-3</v>
      </c>
      <c r="P91" s="39" t="str">
        <f t="shared" si="9"/>
        <v xml:space="preserve">CLB </v>
      </c>
      <c r="Q91" s="151">
        <f>_xll.FDS(P91,"ib_price",$Q$86)</f>
        <v>27.3125</v>
      </c>
      <c r="R91" s="151">
        <f>_xll.FDS(P91,"ib_price",$R$86)</f>
        <v>19.68</v>
      </c>
      <c r="S91" s="177">
        <f t="shared" si="10"/>
        <v>-0.27945080091533181</v>
      </c>
    </row>
    <row r="92" spans="1:25" s="39" customFormat="1" ht="12.9" customHeight="1" x14ac:dyDescent="0.25">
      <c r="E92" s="39" t="str">
        <f t="shared" si="7"/>
        <v>*EFX</v>
      </c>
      <c r="F92" s="151">
        <f>_xll.FDS(E92,"ib_price",$F$86)</f>
        <v>16.93252</v>
      </c>
      <c r="G92" s="151">
        <f>_xll.FDS(E92,"ib_price",$G$86)</f>
        <v>22.76322</v>
      </c>
      <c r="H92" s="177">
        <f t="shared" si="8"/>
        <v>-0.25614565953322949</v>
      </c>
      <c r="P92" s="39" t="str">
        <f t="shared" si="9"/>
        <v>*EFX</v>
      </c>
      <c r="Q92" s="151">
        <f>_xll.FDS(P92,"ib_price",$Q$86)</f>
        <v>20.639030000000002</v>
      </c>
      <c r="R92" s="151">
        <f>_xll.FDS(P92,"ib_price",$R$86)</f>
        <v>16.93252</v>
      </c>
      <c r="S92" s="177">
        <f t="shared" si="10"/>
        <v>-0.17958741278054255</v>
      </c>
    </row>
    <row r="93" spans="1:25" s="39" customFormat="1" ht="12.9" customHeight="1" x14ac:dyDescent="0.25">
      <c r="E93" s="39" t="str">
        <f t="shared" si="7"/>
        <v>GRP</v>
      </c>
      <c r="F93" s="151">
        <f>_xll.FDS(E93,"ib_price",$F$86)</f>
        <v>13.290000000000001</v>
      </c>
      <c r="G93" s="151">
        <f>_xll.FDS(E93,"ib_price",$G$86)</f>
        <v>21.875</v>
      </c>
      <c r="H93" s="177">
        <f t="shared" si="8"/>
        <v>-0.39245714285714284</v>
      </c>
      <c r="P93" s="39" t="str">
        <f t="shared" si="9"/>
        <v>GRP</v>
      </c>
      <c r="Q93" s="151">
        <f>_xll.FDS(P93,"ib_price",$Q$86)</f>
        <v>21.9375</v>
      </c>
      <c r="R93" s="151">
        <f>_xll.FDS(P93,"ib_price",$R$86)</f>
        <v>13.290000000000001</v>
      </c>
      <c r="S93" s="177">
        <f t="shared" si="10"/>
        <v>-0.39418803418803416</v>
      </c>
    </row>
    <row r="94" spans="1:25" s="39" customFormat="1" ht="12.9" customHeight="1" x14ac:dyDescent="0.25">
      <c r="E94" s="39" t="str">
        <f t="shared" si="7"/>
        <v>HAL</v>
      </c>
      <c r="F94" s="151">
        <f>_xll.FDS(E94,"ib_price",$F$86)</f>
        <v>35.160000000000004</v>
      </c>
      <c r="G94" s="151">
        <f>_xll.FDS(E94,"ib_price",$G$86)</f>
        <v>47.125</v>
      </c>
      <c r="H94" s="177">
        <f t="shared" si="8"/>
        <v>-0.25389920424403173</v>
      </c>
      <c r="P94" s="39" t="str">
        <f t="shared" si="9"/>
        <v>HAL</v>
      </c>
      <c r="Q94" s="151">
        <f>_xll.FDS(P94,"ib_price",$Q$86)</f>
        <v>36.25</v>
      </c>
      <c r="R94" s="151">
        <f>_xll.FDS(P94,"ib_price",$R$86)</f>
        <v>35.160000000000004</v>
      </c>
      <c r="S94" s="177">
        <f t="shared" si="10"/>
        <v>-3.0068965517241277E-2</v>
      </c>
    </row>
    <row r="95" spans="1:25" s="39" customFormat="1" ht="12.9" customHeight="1" x14ac:dyDescent="0.25">
      <c r="A95" s="38"/>
      <c r="B95" s="38"/>
      <c r="C95" s="38"/>
      <c r="D95" s="38"/>
      <c r="E95" s="39" t="str">
        <f t="shared" si="7"/>
        <v>HC</v>
      </c>
      <c r="F95" s="151">
        <f>_xll.FDS(E95,"ib_price",$F$86)</f>
        <v>31.900000000000002</v>
      </c>
      <c r="G95" s="151">
        <f>_xll.FDS(E95,"ib_price",$G$86)</f>
        <v>34.1875</v>
      </c>
      <c r="H95" s="177">
        <f t="shared" si="8"/>
        <v>-6.6910420475319865E-2</v>
      </c>
      <c r="I95" s="38"/>
      <c r="J95" s="38"/>
      <c r="K95" s="38"/>
      <c r="L95" s="38"/>
      <c r="M95" s="38"/>
      <c r="N95" s="38"/>
      <c r="O95" s="38"/>
      <c r="P95" s="39" t="str">
        <f t="shared" si="9"/>
        <v>HC</v>
      </c>
      <c r="Q95" s="151">
        <f>_xll.FDS(P95,"ib_price",$Q$86)</f>
        <v>44.5625</v>
      </c>
      <c r="R95" s="151">
        <f>_xll.FDS(P95,"ib_price",$R$86)</f>
        <v>31.900000000000002</v>
      </c>
      <c r="S95" s="177">
        <f t="shared" si="10"/>
        <v>-0.28415147265077134</v>
      </c>
      <c r="T95" s="38"/>
      <c r="U95" s="38"/>
      <c r="V95" s="38"/>
      <c r="W95" s="38"/>
      <c r="X95" s="38"/>
      <c r="Y95" s="38"/>
    </row>
    <row r="96" spans="1:25" s="39" customFormat="1" ht="12.9" customHeight="1" x14ac:dyDescent="0.25">
      <c r="A96" s="38"/>
      <c r="B96" s="38"/>
      <c r="C96" s="38"/>
      <c r="D96" s="38"/>
      <c r="E96" s="39" t="str">
        <f t="shared" si="7"/>
        <v>HYDL</v>
      </c>
      <c r="F96" s="151">
        <f>_xll.FDS(E96,"ib_price",$F$86)</f>
        <v>19.650000000000002</v>
      </c>
      <c r="G96" s="151">
        <f>_xll.FDS(E96,"ib_price",$G$85)</f>
        <v>20.375</v>
      </c>
      <c r="H96" s="177">
        <f t="shared" si="8"/>
        <v>-3.5582822085889469E-2</v>
      </c>
      <c r="I96" s="38"/>
      <c r="J96" s="38"/>
      <c r="K96" s="38"/>
      <c r="L96" s="38"/>
      <c r="M96" s="38"/>
      <c r="N96" s="38"/>
      <c r="O96" s="38"/>
      <c r="P96" s="39" t="str">
        <f t="shared" si="9"/>
        <v>HYDL</v>
      </c>
      <c r="Q96" s="151">
        <f>_xll.FDS(P96,"ib_price",$Q$86)</f>
        <v>17.5625</v>
      </c>
      <c r="R96" s="151">
        <f>_xll.FDS(P96,"ib_price",$R$86)</f>
        <v>19.650000000000002</v>
      </c>
      <c r="S96" s="177">
        <f t="shared" si="10"/>
        <v>0.11886120996441293</v>
      </c>
      <c r="T96" s="38"/>
      <c r="U96" s="38"/>
      <c r="V96" s="38"/>
      <c r="W96" s="38"/>
      <c r="X96" s="38"/>
      <c r="Y96" s="38"/>
    </row>
    <row r="97" spans="1:26" s="39" customFormat="1" ht="12.9" customHeight="1" x14ac:dyDescent="0.25">
      <c r="A97" s="38"/>
      <c r="B97" s="38"/>
      <c r="C97" s="38"/>
      <c r="D97" s="38"/>
      <c r="E97" s="39" t="str">
        <f t="shared" si="7"/>
        <v>IO</v>
      </c>
      <c r="F97" s="151">
        <f>_xll.FDS(E97,"ib_price",$F$86)</f>
        <v>10</v>
      </c>
      <c r="G97" s="151">
        <f>_xll.FDS(E97,"ib_price",$G$86)</f>
        <v>8.0625</v>
      </c>
      <c r="H97" s="177">
        <f t="shared" si="8"/>
        <v>0.24031007751937986</v>
      </c>
      <c r="I97" s="38"/>
      <c r="J97" s="38"/>
      <c r="K97" s="38"/>
      <c r="L97" s="38"/>
      <c r="M97" s="38"/>
      <c r="N97" s="38"/>
      <c r="O97" s="38"/>
      <c r="P97" s="39" t="str">
        <f t="shared" si="9"/>
        <v>IO</v>
      </c>
      <c r="Q97" s="151">
        <f>_xll.FDS(P97,"ib_price",$Q$86)</f>
        <v>10.1875</v>
      </c>
      <c r="R97" s="151">
        <f>_xll.FDS(P97,"ib_price",$R$86)</f>
        <v>10</v>
      </c>
      <c r="S97" s="177">
        <f t="shared" si="10"/>
        <v>-1.8404907975460124E-2</v>
      </c>
      <c r="T97" s="38"/>
      <c r="U97" s="38"/>
      <c r="V97" s="38"/>
      <c r="W97" s="38"/>
      <c r="X97" s="38"/>
      <c r="Y97" s="38"/>
    </row>
    <row r="98" spans="1:26" s="39" customFormat="1" ht="12.9" customHeight="1" x14ac:dyDescent="0.25">
      <c r="A98" s="38"/>
      <c r="B98" s="38"/>
      <c r="C98" s="38"/>
      <c r="D98" s="38"/>
      <c r="E98" s="39" t="str">
        <f t="shared" si="7"/>
        <v>NOI</v>
      </c>
      <c r="F98" s="151">
        <f>_xll.FDS(E98,"ib_price",$F$86)</f>
        <v>18.05</v>
      </c>
      <c r="G98" s="151">
        <f>_xll.FDS(E98,"ib_price",$G$86)</f>
        <v>36.375</v>
      </c>
      <c r="H98" s="177">
        <f t="shared" si="8"/>
        <v>-0.50378006872852232</v>
      </c>
      <c r="I98" s="38"/>
      <c r="J98" s="38"/>
      <c r="K98" s="38"/>
      <c r="L98" s="38"/>
      <c r="M98" s="38"/>
      <c r="N98" s="38"/>
      <c r="O98" s="38"/>
      <c r="P98" s="39" t="str">
        <f t="shared" si="9"/>
        <v>NOI</v>
      </c>
      <c r="Q98" s="151">
        <f>_xll.FDS(P98,"ib_price",$Q$86)</f>
        <v>38.6875</v>
      </c>
      <c r="R98" s="151">
        <f>_xll.FDS(P98,"ib_price",$R$86)</f>
        <v>18.05</v>
      </c>
      <c r="S98" s="177">
        <f t="shared" si="10"/>
        <v>-0.53344103392568654</v>
      </c>
      <c r="T98" s="38"/>
      <c r="U98" s="38"/>
      <c r="V98" s="38"/>
      <c r="W98" s="38"/>
      <c r="X98" s="38"/>
      <c r="Y98" s="38"/>
      <c r="Z98" s="38"/>
    </row>
    <row r="99" spans="1:26" s="39" customFormat="1" ht="12.9" customHeight="1" x14ac:dyDescent="0.25">
      <c r="A99" s="38"/>
      <c r="B99" s="38"/>
      <c r="C99" s="38"/>
      <c r="D99" s="38"/>
      <c r="E99" s="39" t="str">
        <f t="shared" si="7"/>
        <v>SLB</v>
      </c>
      <c r="F99" s="151">
        <f>_xll.FDS(E99,"ib_price",$F$86)</f>
        <v>52.02</v>
      </c>
      <c r="G99" s="151">
        <f>_xll.FDS(E99,"ib_price",$G$86)</f>
        <v>76.3125</v>
      </c>
      <c r="H99" s="177">
        <f t="shared" si="8"/>
        <v>-0.31832923832923826</v>
      </c>
      <c r="I99" s="38"/>
      <c r="J99" s="38"/>
      <c r="K99" s="38"/>
      <c r="L99" s="38"/>
      <c r="M99" s="38"/>
      <c r="N99" s="38"/>
      <c r="O99" s="38"/>
      <c r="P99" s="39" t="str">
        <f t="shared" si="9"/>
        <v>SLB</v>
      </c>
      <c r="Q99" s="151">
        <f>_xll.FDS(P99,"ib_price",$Q$86)</f>
        <v>79.9375</v>
      </c>
      <c r="R99" s="151">
        <f>_xll.FDS(P99,"ib_price",$R$86)</f>
        <v>52.02</v>
      </c>
      <c r="S99" s="177">
        <f t="shared" si="10"/>
        <v>-0.34924159499609064</v>
      </c>
      <c r="T99" s="38"/>
      <c r="U99" s="38"/>
      <c r="V99" s="38"/>
      <c r="W99" s="38"/>
      <c r="X99" s="38"/>
      <c r="Y99" s="38"/>
      <c r="Z99" s="38"/>
    </row>
    <row r="100" spans="1:26" s="39" customFormat="1" ht="12.9" customHeight="1" x14ac:dyDescent="0.25">
      <c r="A100" s="38"/>
      <c r="B100" s="38"/>
      <c r="C100" s="38"/>
      <c r="D100" s="38"/>
      <c r="E100" s="39" t="str">
        <f t="shared" si="7"/>
        <v>SII</v>
      </c>
      <c r="F100" s="151">
        <f>_xll.FDS(E100,"ib_price",$F$86)</f>
        <v>52.26</v>
      </c>
      <c r="G100" s="151">
        <f>_xll.FDS(E100,"ib_price",$G$86)</f>
        <v>73.3125</v>
      </c>
      <c r="H100" s="177">
        <f t="shared" si="8"/>
        <v>-0.28716112531969312</v>
      </c>
      <c r="I100" s="38"/>
      <c r="J100" s="38"/>
      <c r="K100" s="38"/>
      <c r="L100" s="38"/>
      <c r="M100" s="38"/>
      <c r="N100" s="38"/>
      <c r="O100" s="38"/>
      <c r="P100" s="39" t="str">
        <f t="shared" si="9"/>
        <v>SII</v>
      </c>
      <c r="Q100" s="151">
        <f>_xll.FDS(P100,"ib_price",$Q$86)</f>
        <v>74.5625</v>
      </c>
      <c r="R100" s="151">
        <f>_xll.FDS(P100,"ib_price",$R$86)</f>
        <v>52.26</v>
      </c>
      <c r="S100" s="177">
        <f t="shared" si="10"/>
        <v>-0.29911148365465218</v>
      </c>
      <c r="T100" s="38"/>
      <c r="U100" s="38"/>
      <c r="V100" s="38"/>
      <c r="W100" s="38"/>
      <c r="X100" s="38"/>
      <c r="Y100" s="38"/>
      <c r="Z100" s="38"/>
    </row>
    <row r="101" spans="1:26" s="39" customFormat="1" ht="12.9" customHeight="1" x14ac:dyDescent="0.25">
      <c r="A101" s="38"/>
      <c r="B101" s="38"/>
      <c r="C101" s="38"/>
      <c r="D101" s="38"/>
      <c r="E101" s="39" t="str">
        <f t="shared" si="7"/>
        <v>SESI</v>
      </c>
      <c r="F101" s="151">
        <f>_xll.FDS(E101,"ib_price",$F$86)</f>
        <v>7.78</v>
      </c>
      <c r="G101" s="151">
        <f>_xll.FDS(E101,"ib_price",$G$86)</f>
        <v>9.5</v>
      </c>
      <c r="H101" s="177">
        <f t="shared" si="8"/>
        <v>-0.18105263157894735</v>
      </c>
      <c r="I101" s="38"/>
      <c r="J101" s="38"/>
      <c r="K101" s="38"/>
      <c r="L101" s="38"/>
      <c r="M101" s="38"/>
      <c r="N101" s="38"/>
      <c r="O101" s="38"/>
      <c r="P101" s="39" t="str">
        <f t="shared" si="9"/>
        <v>SESI</v>
      </c>
      <c r="Q101" s="151">
        <f>_xll.FDS(P101,"ib_price",$Q$86)</f>
        <v>11.5</v>
      </c>
      <c r="R101" s="151">
        <f>_xll.FDS(P101,"ib_price",$R$86)</f>
        <v>7.78</v>
      </c>
      <c r="S101" s="177">
        <f t="shared" si="10"/>
        <v>-0.32347826086956522</v>
      </c>
      <c r="T101" s="38"/>
      <c r="U101" s="38"/>
      <c r="V101" s="38"/>
      <c r="W101" s="38"/>
      <c r="X101" s="38"/>
      <c r="Y101" s="38"/>
      <c r="Z101" s="38"/>
    </row>
    <row r="102" spans="1:26" ht="12.9" customHeight="1" x14ac:dyDescent="0.25">
      <c r="E102" s="39" t="str">
        <f t="shared" si="7"/>
        <v>*TEO</v>
      </c>
      <c r="F102" s="151">
        <f>_xll.FDS(E102,"ib_price",$F$86)</f>
        <v>10.257200000000001</v>
      </c>
      <c r="G102" s="151">
        <f>_xll.FDS(E102,"ib_price",$G$86)</f>
        <v>8.8355029999999992</v>
      </c>
      <c r="H102" s="177">
        <f t="shared" si="8"/>
        <v>0.16090730771072137</v>
      </c>
      <c r="P102" s="39" t="str">
        <f t="shared" si="9"/>
        <v>*TEO</v>
      </c>
      <c r="Q102" s="151">
        <f>_xll.FDS(P102,"ib_price",$Q$86)</f>
        <v>10.319516999999999</v>
      </c>
      <c r="R102" s="151">
        <f>_xll.FDS(P102,"ib_price",$R$86)</f>
        <v>10.257200000000001</v>
      </c>
      <c r="S102" s="177">
        <f t="shared" si="10"/>
        <v>-6.0387516198673261E-3</v>
      </c>
    </row>
    <row r="103" spans="1:26" ht="12.9" customHeight="1" x14ac:dyDescent="0.25">
      <c r="E103" s="39" t="str">
        <f t="shared" si="7"/>
        <v>UCO</v>
      </c>
      <c r="F103" s="151">
        <f>_xll.FDS(E103,"ib_price",$F$86)</f>
        <v>28.21</v>
      </c>
      <c r="G103" s="151">
        <f>_xll.FDS(E103,"ib_price",$G$86)</f>
        <v>29.375</v>
      </c>
      <c r="H103" s="177">
        <f t="shared" si="8"/>
        <v>-3.9659574468085081E-2</v>
      </c>
      <c r="P103" s="39" t="str">
        <f t="shared" si="9"/>
        <v>UCO</v>
      </c>
      <c r="Q103" s="151">
        <f>_xll.FDS(P103,"ib_price",$Q$86)</f>
        <v>37.6875</v>
      </c>
      <c r="R103" s="151">
        <f>_xll.FDS(P103,"ib_price",$R$86)</f>
        <v>28.21</v>
      </c>
      <c r="S103" s="177">
        <f t="shared" si="10"/>
        <v>-0.25147595356550578</v>
      </c>
    </row>
    <row r="104" spans="1:26" ht="12.9" customHeight="1" x14ac:dyDescent="0.25">
      <c r="E104" s="39" t="str">
        <f t="shared" si="7"/>
        <v>VRC</v>
      </c>
      <c r="F104" s="151">
        <f>_xll.FDS(E104,"ib_price",$F$86)</f>
        <v>16.02</v>
      </c>
      <c r="G104" s="151">
        <f>_xll.FDS(E104,"ib_price",$G$86)</f>
        <v>17.9375</v>
      </c>
      <c r="H104" s="177">
        <f>(F104-G104)/G104</f>
        <v>-0.10689895470383277</v>
      </c>
      <c r="P104" s="39" t="str">
        <f>E104</f>
        <v>VRC</v>
      </c>
      <c r="Q104" s="151">
        <f>_xll.FDS(P104,"ib_price",$Q$86)</f>
        <v>21.75</v>
      </c>
      <c r="R104" s="151">
        <f>_xll.FDS(P104,"ib_price",$R$86)</f>
        <v>16.02</v>
      </c>
      <c r="S104" s="177">
        <f>(R104-Q104)/Q104</f>
        <v>-0.26344827586206898</v>
      </c>
    </row>
    <row r="105" spans="1:26" ht="12.9" customHeight="1" x14ac:dyDescent="0.25">
      <c r="E105" s="39" t="str">
        <f t="shared" si="7"/>
        <v>WHES</v>
      </c>
      <c r="F105" s="151">
        <f>_xll.FDS(E105,"ib_price",$F$86)</f>
        <v>22.6</v>
      </c>
      <c r="G105" s="151">
        <f>_xll.FDS(E105,"ib_price",$G$84)</f>
        <v>15.625</v>
      </c>
      <c r="H105" s="177">
        <f t="shared" si="8"/>
        <v>0.44640000000000007</v>
      </c>
      <c r="P105" s="39" t="str">
        <f t="shared" si="9"/>
        <v>WHES</v>
      </c>
      <c r="Q105" s="151">
        <f>_xll.FDS(P105,"ib_price",$Q$86)</f>
        <v>19.6875</v>
      </c>
      <c r="R105" s="151">
        <f>_xll.FDS(P105,"ib_price",$R$86)</f>
        <v>22.6</v>
      </c>
      <c r="S105" s="177">
        <f t="shared" si="10"/>
        <v>0.147936507936508</v>
      </c>
    </row>
    <row r="106" spans="1:26" ht="12.9" customHeight="1" x14ac:dyDescent="0.25">
      <c r="E106" s="39" t="str">
        <f t="shared" si="7"/>
        <v>WFT</v>
      </c>
      <c r="F106" s="151">
        <f>_xll.FDS(E106,"ib_price",$F$86)</f>
        <v>40.25</v>
      </c>
      <c r="G106" s="151">
        <f>_xll.FDS(E106,"ib_price",$G$86)</f>
        <v>43.75</v>
      </c>
      <c r="H106" s="177">
        <f t="shared" si="8"/>
        <v>-0.08</v>
      </c>
      <c r="P106" s="39" t="str">
        <f t="shared" si="9"/>
        <v>WFT</v>
      </c>
      <c r="Q106" s="151">
        <f>_xll.FDS(P106,"ib_price",$Q$86)</f>
        <v>47.25</v>
      </c>
      <c r="R106" s="151">
        <f>_xll.FDS(P106,"ib_price",$R$86)</f>
        <v>40.25</v>
      </c>
      <c r="S106" s="177">
        <f t="shared" si="10"/>
        <v>-0.14814814814814814</v>
      </c>
    </row>
    <row r="107" spans="1:26" ht="12.9" customHeight="1" x14ac:dyDescent="0.25">
      <c r="E107" s="39"/>
      <c r="F107" s="151"/>
      <c r="G107" s="151"/>
      <c r="H107" s="177"/>
      <c r="P107" s="39"/>
      <c r="Q107" s="151"/>
      <c r="R107" s="151"/>
      <c r="S107" s="177"/>
    </row>
    <row r="108" spans="1:26" ht="12.9" customHeight="1" x14ac:dyDescent="0.25">
      <c r="E108" s="39"/>
      <c r="F108" s="151"/>
      <c r="G108" s="151"/>
      <c r="H108" s="177"/>
      <c r="P108" s="39"/>
      <c r="Q108" s="151"/>
      <c r="R108" s="151"/>
      <c r="S108" s="177"/>
    </row>
    <row r="109" spans="1:26" ht="12.9" customHeight="1" x14ac:dyDescent="0.25">
      <c r="E109" s="39"/>
      <c r="F109" s="151"/>
      <c r="G109" s="151"/>
      <c r="H109" s="177"/>
      <c r="P109" s="39"/>
      <c r="Q109" s="151"/>
      <c r="R109" s="151"/>
      <c r="S109" s="177"/>
    </row>
    <row r="110" spans="1:26" ht="12.9" customHeight="1" x14ac:dyDescent="0.25">
      <c r="E110" s="39"/>
      <c r="F110" s="151"/>
      <c r="G110" s="151"/>
      <c r="H110" s="177"/>
      <c r="P110" s="39"/>
      <c r="Q110" s="151"/>
      <c r="R110" s="151"/>
      <c r="S110" s="177"/>
    </row>
    <row r="111" spans="1:26" ht="12.9" customHeight="1" x14ac:dyDescent="0.25">
      <c r="E111" s="39"/>
      <c r="F111" s="151"/>
      <c r="G111" s="151"/>
      <c r="H111" s="177"/>
      <c r="P111" s="39"/>
      <c r="Q111" s="151"/>
      <c r="R111" s="151"/>
      <c r="S111" s="177"/>
    </row>
    <row r="112" spans="1:26" ht="12.9" customHeight="1" x14ac:dyDescent="0.25">
      <c r="E112" s="39"/>
      <c r="F112" s="151"/>
      <c r="G112" s="151"/>
      <c r="H112" s="177"/>
      <c r="P112" s="39"/>
      <c r="Q112" s="151"/>
      <c r="R112" s="151"/>
      <c r="S112" s="177"/>
    </row>
    <row r="113" spans="5:19" ht="12.9" customHeight="1" x14ac:dyDescent="0.25">
      <c r="E113" s="39"/>
      <c r="F113" s="151"/>
      <c r="G113" s="151"/>
      <c r="H113" s="177"/>
      <c r="P113" s="39"/>
      <c r="Q113" s="151"/>
      <c r="R113" s="151"/>
      <c r="S113" s="177"/>
    </row>
    <row r="114" spans="5:19" ht="12.9" customHeight="1" x14ac:dyDescent="0.25">
      <c r="E114" s="39"/>
      <c r="F114" s="151"/>
      <c r="G114" s="151"/>
      <c r="H114" s="177"/>
      <c r="P114" s="39"/>
      <c r="Q114" s="151"/>
      <c r="R114" s="151"/>
      <c r="S114" s="177"/>
    </row>
    <row r="115" spans="5:19" ht="12.9" customHeight="1" x14ac:dyDescent="0.25">
      <c r="E115" s="39"/>
      <c r="F115" s="151"/>
      <c r="G115" s="151"/>
      <c r="H115" s="177"/>
      <c r="P115" s="39"/>
      <c r="Q115" s="151"/>
      <c r="R115" s="151"/>
      <c r="S115" s="177"/>
    </row>
    <row r="116" spans="5:19" ht="12.9" customHeight="1" x14ac:dyDescent="0.25">
      <c r="E116" s="39"/>
      <c r="F116" s="151"/>
      <c r="G116" s="151"/>
      <c r="H116" s="177"/>
      <c r="P116" s="39"/>
      <c r="Q116" s="151"/>
      <c r="R116" s="151"/>
      <c r="S116" s="177"/>
    </row>
    <row r="117" spans="5:19" ht="12.9" customHeight="1" x14ac:dyDescent="0.25">
      <c r="E117" s="39"/>
      <c r="F117" s="151"/>
      <c r="G117" s="151"/>
      <c r="H117" s="177"/>
      <c r="P117" s="39"/>
      <c r="Q117" s="151"/>
      <c r="R117" s="151"/>
      <c r="S117" s="177"/>
    </row>
    <row r="118" spans="5:19" ht="12.9" customHeight="1" x14ac:dyDescent="0.25">
      <c r="E118" s="39"/>
      <c r="F118" s="151"/>
      <c r="G118" s="151"/>
      <c r="H118" s="177"/>
      <c r="P118" s="39"/>
      <c r="Q118" s="151"/>
      <c r="R118" s="151"/>
      <c r="S118" s="177"/>
    </row>
    <row r="119" spans="5:19" ht="12.9" customHeight="1" x14ac:dyDescent="0.25">
      <c r="E119" s="39"/>
      <c r="F119" s="151"/>
      <c r="G119" s="151"/>
      <c r="H119" s="177"/>
      <c r="P119" s="39"/>
      <c r="Q119" s="151"/>
      <c r="R119" s="151"/>
      <c r="S119" s="177"/>
    </row>
    <row r="120" spans="5:19" ht="12.9" customHeight="1" x14ac:dyDescent="0.25">
      <c r="E120" s="39"/>
      <c r="F120" s="151"/>
      <c r="G120" s="151"/>
      <c r="H120" s="177"/>
    </row>
    <row r="121" spans="5:19" ht="12.9" customHeight="1" x14ac:dyDescent="0.25">
      <c r="E121" s="39"/>
      <c r="F121" s="151"/>
      <c r="G121" s="151"/>
      <c r="H121" s="177"/>
    </row>
    <row r="122" spans="5:19" ht="12.9" customHeight="1" x14ac:dyDescent="0.25">
      <c r="E122" s="39"/>
      <c r="F122" s="151"/>
      <c r="G122" s="151"/>
      <c r="H122" s="177"/>
    </row>
    <row r="123" spans="5:19" ht="12.9" customHeight="1" x14ac:dyDescent="0.25"/>
    <row r="124" spans="5:19" ht="12.9" customHeight="1" x14ac:dyDescent="0.25"/>
    <row r="125" spans="5:19" ht="12.9" customHeight="1" x14ac:dyDescent="0.25"/>
    <row r="126" spans="5:19" ht="12.9" customHeight="1" x14ac:dyDescent="0.25"/>
    <row r="127" spans="5:19" ht="12.9" customHeight="1" x14ac:dyDescent="0.25"/>
    <row r="128" spans="5:19" ht="12.9" customHeight="1" x14ac:dyDescent="0.25"/>
    <row r="129" ht="12.9" customHeight="1" x14ac:dyDescent="0.25"/>
    <row r="130" ht="12.9" customHeight="1" x14ac:dyDescent="0.25"/>
    <row r="131" ht="12.9" customHeight="1" x14ac:dyDescent="0.25"/>
    <row r="132" ht="12.9" customHeight="1" x14ac:dyDescent="0.25"/>
    <row r="133" ht="12.9" customHeight="1" x14ac:dyDescent="0.25"/>
    <row r="134" ht="12.9" customHeight="1" x14ac:dyDescent="0.25"/>
    <row r="135" ht="12.9" customHeight="1" x14ac:dyDescent="0.25"/>
    <row r="136" ht="12.9" customHeight="1" x14ac:dyDescent="0.25"/>
    <row r="137" ht="12.9" customHeight="1" x14ac:dyDescent="0.25"/>
    <row r="138" ht="12.9" customHeight="1" x14ac:dyDescent="0.25"/>
    <row r="139" ht="12.9" customHeight="1" x14ac:dyDescent="0.25"/>
    <row r="140" ht="12.9" customHeight="1" x14ac:dyDescent="0.25"/>
    <row r="141" ht="12.9" customHeight="1" x14ac:dyDescent="0.25"/>
    <row r="142" ht="12.9" customHeight="1" x14ac:dyDescent="0.25"/>
    <row r="143" ht="12.9" customHeight="1" x14ac:dyDescent="0.25"/>
  </sheetData>
  <mergeCells count="3">
    <mergeCell ref="I8:K8"/>
    <mergeCell ref="L8:N8"/>
    <mergeCell ref="O8:Q8"/>
  </mergeCells>
  <phoneticPr fontId="0" type="noConversion"/>
  <pageMargins left="0" right="0" top="0.3" bottom="0.4" header="0" footer="0.2"/>
  <pageSetup scale="55" orientation="landscape" r:id="rId1"/>
  <headerFooter alignWithMargins="0">
    <oddFooter>&amp;L&amp;"Arial,Bold"CREDIT SUISSE FIRST BOSTON&amp;CPage &amp;P&amp;R&amp;D &amp;T &amp;F &amp;A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08"/>
  <sheetViews>
    <sheetView topLeftCell="B2" zoomScale="50" workbookViewId="0">
      <selection activeCell="B2" sqref="B2"/>
    </sheetView>
  </sheetViews>
  <sheetFormatPr defaultColWidth="17.44140625" defaultRowHeight="13.2" outlineLevelRow="1" outlineLevelCol="1" x14ac:dyDescent="0.25"/>
  <cols>
    <col min="1" max="1" width="17.44140625" style="38" hidden="1" customWidth="1" outlineLevel="1"/>
    <col min="2" max="2" width="17.44140625" style="38" customWidth="1" collapsed="1"/>
    <col min="3" max="7" width="17.44140625" style="38" customWidth="1"/>
    <col min="8" max="10" width="17.44140625" style="38" hidden="1" customWidth="1" outlineLevel="1"/>
    <col min="11" max="11" width="17.44140625" style="38" customWidth="1" collapsed="1"/>
    <col min="12" max="16384" width="17.44140625" style="38"/>
  </cols>
  <sheetData>
    <row r="1" spans="1:256" s="270" customFormat="1" hidden="1" outlineLevel="1" x14ac:dyDescent="0.25">
      <c r="B1" s="270" t="s">
        <v>364</v>
      </c>
      <c r="C1" s="270" t="s">
        <v>537</v>
      </c>
      <c r="E1" s="317" t="s">
        <v>538</v>
      </c>
      <c r="F1" s="317" t="s">
        <v>539</v>
      </c>
      <c r="G1" s="317" t="s">
        <v>540</v>
      </c>
      <c r="H1" s="317" t="s">
        <v>541</v>
      </c>
      <c r="I1" s="317" t="s">
        <v>542</v>
      </c>
      <c r="J1" s="270" t="s">
        <v>469</v>
      </c>
      <c r="M1" s="317" t="s">
        <v>543</v>
      </c>
      <c r="N1" s="270" t="s">
        <v>544</v>
      </c>
      <c r="O1" s="317" t="s">
        <v>545</v>
      </c>
      <c r="P1" s="317" t="s">
        <v>546</v>
      </c>
      <c r="Q1" s="317" t="s">
        <v>547</v>
      </c>
      <c r="R1" s="317" t="s">
        <v>548</v>
      </c>
      <c r="S1" s="270" t="s">
        <v>361</v>
      </c>
      <c r="T1" s="270" t="s">
        <v>549</v>
      </c>
      <c r="U1" s="270" t="s">
        <v>377</v>
      </c>
      <c r="AA1" s="270" t="s">
        <v>380</v>
      </c>
    </row>
    <row r="2" spans="1:256" ht="17.399999999999999" collapsed="1" x14ac:dyDescent="0.3">
      <c r="B2" s="145" t="s">
        <v>550</v>
      </c>
      <c r="C2" s="145"/>
      <c r="D2" s="145"/>
    </row>
    <row r="3" spans="1:256" ht="15" customHeight="1" x14ac:dyDescent="0.3">
      <c r="B3" s="44" t="s">
        <v>0</v>
      </c>
      <c r="C3" s="44"/>
      <c r="D3" s="44"/>
      <c r="W3" s="329"/>
      <c r="X3" s="329"/>
      <c r="Y3" s="329"/>
      <c r="Z3" s="329"/>
      <c r="AA3" s="294"/>
      <c r="AB3" s="295"/>
      <c r="AC3" s="296"/>
      <c r="AD3" s="297"/>
      <c r="AE3" s="298"/>
      <c r="AF3" s="299"/>
      <c r="AG3" s="270"/>
      <c r="AH3" s="270"/>
      <c r="AI3" s="270"/>
      <c r="AJ3" s="270"/>
      <c r="AK3" s="270"/>
      <c r="AL3" s="270"/>
      <c r="AM3" s="270"/>
      <c r="AN3" s="270"/>
      <c r="AO3" s="270"/>
      <c r="AP3" s="270"/>
      <c r="AQ3" s="270"/>
      <c r="AR3" s="270"/>
      <c r="AS3" s="270"/>
      <c r="AT3" s="270"/>
      <c r="AU3" s="270"/>
      <c r="AV3" s="270"/>
      <c r="AW3" s="270"/>
      <c r="AX3" s="270"/>
      <c r="AY3" s="270"/>
      <c r="AZ3" s="270"/>
      <c r="BA3" s="270"/>
      <c r="BB3" s="270"/>
      <c r="BC3" s="270"/>
      <c r="BD3" s="270"/>
      <c r="BE3" s="270"/>
      <c r="BF3" s="270"/>
      <c r="BG3" s="270"/>
      <c r="BH3" s="270"/>
      <c r="BI3" s="270"/>
      <c r="BJ3" s="270"/>
      <c r="BK3" s="270"/>
      <c r="BL3" s="270"/>
      <c r="BM3" s="270"/>
      <c r="BN3" s="270"/>
      <c r="BO3" s="270"/>
      <c r="BP3" s="270"/>
      <c r="BQ3" s="270"/>
      <c r="BR3" s="270"/>
      <c r="BS3" s="270"/>
      <c r="BT3" s="270"/>
      <c r="BU3" s="270"/>
      <c r="BV3" s="270"/>
      <c r="BW3" s="270"/>
      <c r="BX3" s="270"/>
      <c r="BY3" s="270"/>
      <c r="BZ3" s="270"/>
      <c r="CA3" s="270"/>
      <c r="CB3" s="270"/>
      <c r="CC3" s="270"/>
      <c r="CD3" s="270"/>
      <c r="CE3" s="270"/>
      <c r="CF3" s="270"/>
      <c r="CG3" s="270"/>
      <c r="CH3" s="270"/>
      <c r="CI3" s="270"/>
      <c r="CJ3" s="270"/>
      <c r="CK3" s="270"/>
      <c r="CL3" s="270"/>
      <c r="CM3" s="270"/>
      <c r="CN3" s="270"/>
      <c r="CO3" s="270"/>
      <c r="CP3" s="270"/>
      <c r="CQ3" s="270"/>
      <c r="CR3" s="270"/>
      <c r="CS3" s="270"/>
      <c r="CT3" s="270"/>
      <c r="CU3" s="270"/>
      <c r="CV3" s="270"/>
      <c r="CW3" s="270"/>
      <c r="CX3" s="270"/>
      <c r="CY3" s="270"/>
      <c r="CZ3" s="270"/>
      <c r="DA3" s="270"/>
      <c r="DB3" s="270"/>
      <c r="DC3" s="270"/>
      <c r="DD3" s="270"/>
      <c r="DE3" s="270"/>
      <c r="DF3" s="270"/>
      <c r="DG3" s="270"/>
      <c r="DH3" s="270"/>
      <c r="DI3" s="270"/>
      <c r="DJ3" s="270"/>
      <c r="DK3" s="270"/>
      <c r="DL3" s="270"/>
      <c r="DM3" s="270"/>
      <c r="DN3" s="270"/>
      <c r="DO3" s="270"/>
      <c r="DP3" s="270"/>
      <c r="DQ3" s="270"/>
      <c r="DR3" s="270"/>
      <c r="DS3" s="270"/>
      <c r="DT3" s="270"/>
      <c r="DU3" s="270"/>
      <c r="DV3" s="270"/>
      <c r="DW3" s="270"/>
      <c r="DX3" s="270"/>
      <c r="DY3" s="270"/>
      <c r="DZ3" s="270"/>
      <c r="EA3" s="270"/>
      <c r="EB3" s="270"/>
      <c r="EC3" s="270"/>
      <c r="ED3" s="270"/>
      <c r="EE3" s="270"/>
      <c r="EF3" s="270"/>
      <c r="EG3" s="270"/>
      <c r="EH3" s="270"/>
      <c r="EI3" s="270"/>
      <c r="EJ3" s="270"/>
      <c r="EK3" s="270"/>
      <c r="EL3" s="270"/>
      <c r="EM3" s="270"/>
      <c r="EN3" s="270"/>
      <c r="EO3" s="270"/>
      <c r="EP3" s="270"/>
      <c r="EQ3" s="270"/>
      <c r="ER3" s="270"/>
      <c r="ES3" s="270"/>
      <c r="ET3" s="270"/>
      <c r="EU3" s="270"/>
      <c r="EV3" s="270"/>
      <c r="EW3" s="270"/>
      <c r="EX3" s="270"/>
      <c r="EY3" s="270"/>
      <c r="EZ3" s="270"/>
      <c r="FA3" s="270"/>
      <c r="FB3" s="270"/>
      <c r="FC3" s="270"/>
      <c r="FD3" s="270"/>
      <c r="FE3" s="270"/>
      <c r="FF3" s="270"/>
      <c r="FG3" s="270"/>
      <c r="FH3" s="270"/>
      <c r="FI3" s="270"/>
      <c r="FJ3" s="270"/>
      <c r="FK3" s="270"/>
      <c r="FL3" s="270"/>
      <c r="FM3" s="270"/>
      <c r="FN3" s="270"/>
      <c r="FO3" s="270"/>
      <c r="FP3" s="270"/>
      <c r="FQ3" s="270"/>
      <c r="FR3" s="270"/>
      <c r="FS3" s="270"/>
      <c r="FT3" s="270"/>
      <c r="FU3" s="270"/>
      <c r="FV3" s="270"/>
      <c r="FW3" s="270"/>
      <c r="FX3" s="270"/>
      <c r="FY3" s="270"/>
      <c r="FZ3" s="270"/>
      <c r="GA3" s="270"/>
      <c r="GB3" s="270"/>
      <c r="GC3" s="270"/>
      <c r="GD3" s="270"/>
      <c r="GE3" s="270"/>
      <c r="GF3" s="270"/>
      <c r="GG3" s="270"/>
      <c r="GH3" s="270"/>
      <c r="GI3" s="270"/>
      <c r="GJ3" s="270"/>
      <c r="GK3" s="270"/>
      <c r="GL3" s="270"/>
      <c r="GM3" s="270"/>
      <c r="GN3" s="270"/>
      <c r="GO3" s="270"/>
      <c r="GP3" s="270"/>
      <c r="GQ3" s="270"/>
      <c r="GR3" s="270"/>
      <c r="GS3" s="270"/>
      <c r="GT3" s="270"/>
      <c r="GU3" s="270"/>
      <c r="GV3" s="270"/>
      <c r="GW3" s="270"/>
      <c r="GX3" s="270"/>
      <c r="GY3" s="270"/>
      <c r="GZ3" s="270"/>
      <c r="HA3" s="270"/>
      <c r="HB3" s="270"/>
      <c r="HC3" s="270"/>
      <c r="HD3" s="270"/>
      <c r="HE3" s="270"/>
      <c r="HF3" s="270"/>
      <c r="HG3" s="270"/>
      <c r="HH3" s="270"/>
      <c r="HI3" s="270"/>
      <c r="HJ3" s="270"/>
      <c r="HK3" s="270"/>
      <c r="HL3" s="270"/>
      <c r="HM3" s="270"/>
      <c r="HN3" s="270"/>
      <c r="HO3" s="270"/>
      <c r="HP3" s="270"/>
      <c r="HQ3" s="270"/>
      <c r="HR3" s="270"/>
      <c r="HS3" s="270"/>
      <c r="HT3" s="270"/>
      <c r="HU3" s="270"/>
      <c r="HV3" s="270"/>
      <c r="HW3" s="270"/>
      <c r="HX3" s="270"/>
      <c r="HY3" s="270"/>
      <c r="HZ3" s="270"/>
      <c r="IA3" s="270"/>
      <c r="IB3" s="270"/>
      <c r="IC3" s="270"/>
      <c r="ID3" s="270"/>
      <c r="IE3" s="270"/>
      <c r="IF3" s="270"/>
      <c r="IG3" s="270"/>
      <c r="IH3" s="270"/>
      <c r="II3" s="270"/>
      <c r="IJ3" s="270"/>
      <c r="IK3" s="270"/>
      <c r="IL3" s="270"/>
      <c r="IM3" s="270"/>
      <c r="IN3" s="270"/>
      <c r="IO3" s="270"/>
      <c r="IP3" s="270"/>
      <c r="IQ3" s="270"/>
      <c r="IR3" s="270"/>
      <c r="IS3" s="270"/>
      <c r="IT3" s="270"/>
      <c r="IU3" s="270"/>
      <c r="IV3" s="270"/>
    </row>
    <row r="4" spans="1:256" x14ac:dyDescent="0.25">
      <c r="B4" s="146" t="s">
        <v>1</v>
      </c>
      <c r="C4" s="146"/>
      <c r="D4" s="146"/>
      <c r="W4" s="57"/>
      <c r="X4" s="57"/>
      <c r="Y4" s="57"/>
      <c r="Z4" s="57"/>
      <c r="AB4" s="163"/>
      <c r="AC4" s="39"/>
      <c r="AD4" s="166"/>
      <c r="AE4" s="167"/>
      <c r="AF4" s="53"/>
    </row>
    <row r="5" spans="1:256" x14ac:dyDescent="0.25">
      <c r="B5" s="146"/>
      <c r="C5" s="146"/>
      <c r="D5" s="146"/>
      <c r="W5" s="57"/>
      <c r="X5" s="57"/>
      <c r="Y5" s="57"/>
      <c r="Z5" s="57"/>
      <c r="AB5" s="163"/>
      <c r="AC5" s="39"/>
      <c r="AD5" s="166"/>
      <c r="AE5" s="167"/>
      <c r="AF5" s="53"/>
    </row>
    <row r="6" spans="1:256" x14ac:dyDescent="0.25">
      <c r="B6" s="146"/>
      <c r="C6" s="146"/>
      <c r="D6" s="146"/>
    </row>
    <row r="7" spans="1:256" x14ac:dyDescent="0.25">
      <c r="B7" s="147" t="s">
        <v>2</v>
      </c>
      <c r="C7" s="271">
        <v>37108</v>
      </c>
      <c r="D7" s="149"/>
    </row>
    <row r="8" spans="1:256" x14ac:dyDescent="0.25">
      <c r="L8" s="39" t="s">
        <v>3</v>
      </c>
      <c r="V8" s="39" t="s">
        <v>6</v>
      </c>
    </row>
    <row r="9" spans="1:256" x14ac:dyDescent="0.25">
      <c r="D9" s="39" t="s">
        <v>7</v>
      </c>
      <c r="E9" s="39" t="s">
        <v>8</v>
      </c>
      <c r="F9" s="48" t="s">
        <v>9</v>
      </c>
      <c r="G9" s="48"/>
      <c r="I9" s="48"/>
      <c r="J9" s="48"/>
      <c r="K9" s="39" t="s">
        <v>10</v>
      </c>
      <c r="L9" s="39" t="s">
        <v>10</v>
      </c>
      <c r="M9" s="347" t="s">
        <v>483</v>
      </c>
      <c r="N9" s="347"/>
      <c r="O9" s="347" t="s">
        <v>484</v>
      </c>
      <c r="P9" s="347"/>
      <c r="Q9" s="347" t="s">
        <v>13</v>
      </c>
      <c r="R9" s="347"/>
      <c r="S9" s="49" t="s">
        <v>14</v>
      </c>
      <c r="T9" s="50" t="s">
        <v>15</v>
      </c>
      <c r="U9" s="39" t="s">
        <v>16</v>
      </c>
      <c r="V9" s="39" t="s">
        <v>20</v>
      </c>
    </row>
    <row r="10" spans="1:256" s="57" customFormat="1" x14ac:dyDescent="0.25">
      <c r="A10" s="50" t="s">
        <v>22</v>
      </c>
      <c r="B10" s="50" t="s">
        <v>21</v>
      </c>
      <c r="C10" s="50" t="s">
        <v>22</v>
      </c>
      <c r="D10" s="50" t="s">
        <v>23</v>
      </c>
      <c r="E10" s="50" t="s">
        <v>24</v>
      </c>
      <c r="F10" s="50" t="s">
        <v>25</v>
      </c>
      <c r="G10" s="50" t="s">
        <v>26</v>
      </c>
      <c r="H10" s="50" t="s">
        <v>485</v>
      </c>
      <c r="I10" s="50" t="s">
        <v>486</v>
      </c>
      <c r="J10" s="50" t="s">
        <v>487</v>
      </c>
      <c r="K10" s="50" t="s">
        <v>27</v>
      </c>
      <c r="L10" s="50" t="s">
        <v>27</v>
      </c>
      <c r="M10" s="59" t="s">
        <v>111</v>
      </c>
      <c r="N10" s="59" t="s">
        <v>112</v>
      </c>
      <c r="O10" s="59" t="s">
        <v>111</v>
      </c>
      <c r="P10" s="59" t="s">
        <v>112</v>
      </c>
      <c r="Q10" s="59" t="s">
        <v>111</v>
      </c>
      <c r="R10" s="59" t="s">
        <v>112</v>
      </c>
      <c r="S10" s="50" t="s">
        <v>29</v>
      </c>
      <c r="T10" s="50" t="s">
        <v>30</v>
      </c>
      <c r="U10" s="50" t="s">
        <v>31</v>
      </c>
      <c r="V10" s="50" t="s">
        <v>36</v>
      </c>
      <c r="W10" s="38"/>
      <c r="X10" s="38"/>
      <c r="Y10" s="38"/>
      <c r="Z10" s="38"/>
      <c r="AA10" s="39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  <c r="EQ10" s="38"/>
      <c r="ER10" s="38"/>
      <c r="ES10" s="38"/>
      <c r="ET10" s="38"/>
      <c r="EU10" s="38"/>
      <c r="EV10" s="38"/>
      <c r="EW10" s="38"/>
      <c r="EX10" s="38"/>
      <c r="EY10" s="38"/>
      <c r="EZ10" s="38"/>
      <c r="FA10" s="38"/>
      <c r="FB10" s="38"/>
      <c r="FC10" s="38"/>
      <c r="FD10" s="38"/>
      <c r="FE10" s="38"/>
      <c r="FF10" s="38"/>
      <c r="FG10" s="38"/>
      <c r="FH10" s="38"/>
      <c r="FI10" s="38"/>
      <c r="FJ10" s="38"/>
      <c r="FK10" s="38"/>
      <c r="FL10" s="38"/>
      <c r="FM10" s="38"/>
      <c r="FN10" s="38"/>
      <c r="FO10" s="38"/>
      <c r="FP10" s="38"/>
      <c r="FQ10" s="38"/>
      <c r="FR10" s="38"/>
      <c r="FS10" s="38"/>
      <c r="FT10" s="38"/>
      <c r="FU10" s="38"/>
      <c r="FV10" s="38"/>
      <c r="FW10" s="38"/>
      <c r="FX10" s="38"/>
      <c r="FY10" s="38"/>
      <c r="FZ10" s="38"/>
      <c r="GA10" s="38"/>
      <c r="GB10" s="38"/>
      <c r="GC10" s="38"/>
      <c r="GD10" s="38"/>
      <c r="GE10" s="38"/>
      <c r="GF10" s="38"/>
      <c r="GG10" s="38"/>
      <c r="GH10" s="38"/>
      <c r="GI10" s="38"/>
      <c r="GJ10" s="38"/>
      <c r="GK10" s="38"/>
      <c r="GL10" s="38"/>
      <c r="GM10" s="38"/>
      <c r="GN10" s="38"/>
      <c r="GO10" s="38"/>
      <c r="GP10" s="38"/>
      <c r="GQ10" s="38"/>
      <c r="GR10" s="38"/>
      <c r="GS10" s="38"/>
      <c r="GT10" s="38"/>
      <c r="GU10" s="38"/>
      <c r="GV10" s="38"/>
      <c r="GW10" s="38"/>
      <c r="GX10" s="38"/>
      <c r="GY10" s="38"/>
      <c r="GZ10" s="38"/>
      <c r="HA10" s="38"/>
      <c r="HB10" s="38"/>
      <c r="HC10" s="38"/>
      <c r="HD10" s="38"/>
      <c r="HE10" s="38"/>
      <c r="HF10" s="38"/>
      <c r="HG10" s="38"/>
      <c r="HH10" s="38"/>
      <c r="HI10" s="38"/>
      <c r="HJ10" s="38"/>
      <c r="HK10" s="38"/>
      <c r="HL10" s="38"/>
      <c r="HM10" s="38"/>
      <c r="HN10" s="38"/>
      <c r="HO10" s="38"/>
      <c r="HP10" s="38"/>
      <c r="HQ10" s="38"/>
      <c r="HR10" s="38"/>
      <c r="HS10" s="38"/>
      <c r="HT10" s="38"/>
      <c r="HU10" s="38"/>
      <c r="HV10" s="38"/>
      <c r="HW10" s="38"/>
      <c r="HX10" s="38"/>
      <c r="HY10" s="38"/>
      <c r="HZ10" s="38"/>
      <c r="IA10" s="38"/>
      <c r="IB10" s="38"/>
      <c r="IC10" s="38"/>
      <c r="ID10" s="38"/>
      <c r="IE10" s="38"/>
      <c r="IF10" s="38"/>
      <c r="IG10" s="38"/>
      <c r="IH10" s="38"/>
      <c r="II10" s="38"/>
      <c r="IJ10" s="38"/>
      <c r="IK10" s="38"/>
      <c r="IL10" s="38"/>
      <c r="IM10" s="38"/>
      <c r="IN10" s="38"/>
      <c r="IO10" s="38"/>
      <c r="IP10" s="38"/>
      <c r="IQ10" s="38"/>
      <c r="IR10" s="38"/>
      <c r="IS10" s="38"/>
      <c r="IT10" s="38"/>
      <c r="IU10" s="38"/>
      <c r="IV10" s="38"/>
    </row>
    <row r="11" spans="1:256" s="57" customFormat="1" ht="4.95" customHeight="1" x14ac:dyDescent="0.25">
      <c r="A11" s="318" t="s">
        <v>37</v>
      </c>
      <c r="B11" s="319" t="s">
        <v>37</v>
      </c>
      <c r="C11" s="318" t="s">
        <v>37</v>
      </c>
      <c r="D11" s="318" t="s">
        <v>37</v>
      </c>
      <c r="E11" s="318" t="s">
        <v>37</v>
      </c>
      <c r="F11" s="318" t="s">
        <v>37</v>
      </c>
      <c r="G11" s="318" t="s">
        <v>37</v>
      </c>
      <c r="H11" s="318"/>
      <c r="I11" s="318"/>
      <c r="J11" s="318"/>
      <c r="K11" s="318" t="s">
        <v>37</v>
      </c>
      <c r="L11" s="318" t="s">
        <v>37</v>
      </c>
      <c r="M11" s="318" t="s">
        <v>37</v>
      </c>
      <c r="N11" s="318" t="s">
        <v>37</v>
      </c>
      <c r="O11" s="318" t="s">
        <v>37</v>
      </c>
      <c r="P11" s="318" t="s">
        <v>37</v>
      </c>
      <c r="Q11" s="318" t="s">
        <v>37</v>
      </c>
      <c r="R11" s="318" t="s">
        <v>37</v>
      </c>
      <c r="S11" s="318" t="s">
        <v>37</v>
      </c>
      <c r="T11" s="318" t="s">
        <v>37</v>
      </c>
      <c r="U11" s="318" t="s">
        <v>37</v>
      </c>
      <c r="V11" s="318" t="s">
        <v>37</v>
      </c>
      <c r="W11" s="38"/>
      <c r="X11" s="38"/>
      <c r="Y11" s="38"/>
      <c r="Z11" s="38"/>
      <c r="AA11" s="60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38"/>
      <c r="FB11" s="38"/>
      <c r="FC11" s="38"/>
      <c r="FD11" s="38"/>
      <c r="FE11" s="38"/>
      <c r="FF11" s="38"/>
      <c r="FG11" s="38"/>
      <c r="FH11" s="38"/>
      <c r="FI11" s="38"/>
      <c r="FJ11" s="38"/>
      <c r="FK11" s="38"/>
      <c r="FL11" s="38"/>
      <c r="FM11" s="38"/>
      <c r="FN11" s="38"/>
      <c r="FO11" s="38"/>
      <c r="FP11" s="38"/>
      <c r="FQ11" s="38"/>
      <c r="FR11" s="38"/>
      <c r="FS11" s="38"/>
      <c r="FT11" s="38"/>
      <c r="FU11" s="38"/>
      <c r="FV11" s="38"/>
      <c r="FW11" s="38"/>
      <c r="FX11" s="38"/>
      <c r="FY11" s="38"/>
      <c r="FZ11" s="38"/>
      <c r="GA11" s="38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HM11" s="38"/>
      <c r="HN11" s="38"/>
      <c r="HO11" s="38"/>
      <c r="HP11" s="38"/>
      <c r="HQ11" s="38"/>
      <c r="HR11" s="38"/>
      <c r="HS11" s="38"/>
      <c r="HT11" s="38"/>
      <c r="HU11" s="38"/>
      <c r="HV11" s="38"/>
      <c r="HW11" s="38"/>
      <c r="HX11" s="38"/>
      <c r="HY11" s="38"/>
      <c r="HZ11" s="38"/>
      <c r="IA11" s="38"/>
      <c r="IB11" s="38"/>
      <c r="IC11" s="38"/>
      <c r="ID11" s="38"/>
      <c r="IE11" s="38"/>
      <c r="IF11" s="38"/>
      <c r="IG11" s="38"/>
      <c r="IH11" s="38"/>
      <c r="II11" s="38"/>
      <c r="IJ11" s="38"/>
      <c r="IK11" s="38"/>
      <c r="IL11" s="38"/>
      <c r="IM11" s="38"/>
      <c r="IN11" s="38"/>
      <c r="IO11" s="38"/>
      <c r="IP11" s="38"/>
      <c r="IQ11" s="38"/>
      <c r="IR11" s="38"/>
      <c r="IS11" s="38"/>
      <c r="IT11" s="38"/>
      <c r="IU11" s="38"/>
      <c r="IV11" s="38"/>
    </row>
    <row r="12" spans="1:256" s="57" customFormat="1" ht="12.9" customHeight="1" x14ac:dyDescent="0.25">
      <c r="A12" s="284" t="s">
        <v>551</v>
      </c>
      <c r="B12" s="321" t="s">
        <v>552</v>
      </c>
      <c r="C12" s="322">
        <v>515802</v>
      </c>
      <c r="D12" s="323">
        <v>37101</v>
      </c>
      <c r="E12" s="286">
        <v>8.9972008708401816</v>
      </c>
      <c r="F12" s="286">
        <v>10.274581241391566</v>
      </c>
      <c r="G12" s="286">
        <v>6.2758252987959295</v>
      </c>
      <c r="H12" s="286">
        <v>4594.1523299999999</v>
      </c>
      <c r="I12" s="286">
        <v>3692.1523299999999</v>
      </c>
      <c r="J12" s="286">
        <v>9.0028000000000006</v>
      </c>
      <c r="K12" s="286">
        <v>510.30260918825252</v>
      </c>
      <c r="L12" s="286">
        <v>410.11155751543959</v>
      </c>
      <c r="M12" s="284">
        <v>33.170774945848379</v>
      </c>
      <c r="N12" s="284">
        <v>16.525727805755398</v>
      </c>
      <c r="O12" s="284">
        <v>14.469771118110231</v>
      </c>
      <c r="P12" s="284">
        <v>9.7893721073939837</v>
      </c>
      <c r="Q12" s="284">
        <v>10.261679627570867</v>
      </c>
      <c r="R12" s="284">
        <v>6.4763240308717727</v>
      </c>
      <c r="S12" s="285">
        <v>0.14640833485651616</v>
      </c>
      <c r="T12" s="284">
        <v>0.9961301669557675</v>
      </c>
      <c r="U12" s="285">
        <v>6.7901229999999993E-2</v>
      </c>
      <c r="V12" s="286">
        <v>56.717930000000003</v>
      </c>
      <c r="W12" s="38"/>
      <c r="X12" s="38"/>
      <c r="Y12" s="38"/>
      <c r="Z12" s="38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  <c r="FV12" s="39"/>
      <c r="FW12" s="39"/>
      <c r="FX12" s="39"/>
      <c r="FY12" s="39"/>
      <c r="FZ12" s="39"/>
      <c r="GA12" s="39"/>
      <c r="GB12" s="39"/>
      <c r="GC12" s="39"/>
      <c r="GD12" s="39"/>
      <c r="GE12" s="39"/>
      <c r="GF12" s="39"/>
      <c r="GG12" s="39"/>
      <c r="GH12" s="39"/>
      <c r="GI12" s="39"/>
      <c r="GJ12" s="39"/>
      <c r="GK12" s="39"/>
      <c r="GL12" s="39"/>
      <c r="GM12" s="39"/>
      <c r="GN12" s="39"/>
      <c r="GO12" s="39"/>
      <c r="GP12" s="39"/>
      <c r="GQ12" s="39"/>
      <c r="GR12" s="39"/>
      <c r="GS12" s="39"/>
      <c r="GT12" s="39"/>
      <c r="GU12" s="39"/>
      <c r="GV12" s="39"/>
      <c r="GW12" s="39"/>
      <c r="GX12" s="39"/>
      <c r="GY12" s="39"/>
      <c r="GZ12" s="39"/>
      <c r="HA12" s="39"/>
      <c r="HB12" s="39"/>
      <c r="HC12" s="39"/>
      <c r="HD12" s="39"/>
      <c r="HE12" s="39"/>
      <c r="HF12" s="39"/>
      <c r="HG12" s="39"/>
      <c r="HH12" s="39"/>
      <c r="HI12" s="39"/>
      <c r="HJ12" s="39"/>
      <c r="HK12" s="39"/>
      <c r="HL12" s="39"/>
      <c r="HM12" s="39"/>
      <c r="HN12" s="39"/>
      <c r="HO12" s="39"/>
      <c r="HP12" s="39"/>
      <c r="HQ12" s="39"/>
      <c r="HR12" s="39"/>
      <c r="HS12" s="39"/>
      <c r="HT12" s="39"/>
      <c r="HU12" s="39"/>
      <c r="HV12" s="39"/>
      <c r="HW12" s="39"/>
      <c r="HX12" s="39"/>
      <c r="HY12" s="39"/>
      <c r="HZ12" s="39"/>
      <c r="IA12" s="39"/>
      <c r="IB12" s="39"/>
      <c r="IC12" s="39"/>
      <c r="ID12" s="39"/>
      <c r="IE12" s="39"/>
      <c r="IF12" s="39"/>
      <c r="IG12" s="39"/>
      <c r="IH12" s="39"/>
      <c r="II12" s="39"/>
      <c r="IJ12" s="39"/>
      <c r="IK12" s="39"/>
      <c r="IL12" s="39"/>
      <c r="IM12" s="39"/>
      <c r="IN12" s="39"/>
      <c r="IO12" s="39"/>
      <c r="IP12" s="39"/>
      <c r="IQ12" s="39"/>
      <c r="IR12" s="39"/>
      <c r="IS12" s="39"/>
      <c r="IT12" s="39"/>
      <c r="IU12" s="39"/>
      <c r="IV12" s="39"/>
    </row>
    <row r="13" spans="1:256" s="57" customFormat="1" ht="12.9" customHeight="1" x14ac:dyDescent="0.25">
      <c r="A13" s="284" t="s">
        <v>553</v>
      </c>
      <c r="B13" s="321" t="s">
        <v>554</v>
      </c>
      <c r="C13" s="322" t="s">
        <v>555</v>
      </c>
      <c r="D13" s="323">
        <v>37101</v>
      </c>
      <c r="E13" s="286">
        <v>41.360961629072776</v>
      </c>
      <c r="F13" s="286">
        <v>61.111485062227437</v>
      </c>
      <c r="G13" s="286">
        <v>34.452706795951414</v>
      </c>
      <c r="H13" s="286">
        <v>798.54780000000005</v>
      </c>
      <c r="I13" s="286">
        <v>651.84780000000001</v>
      </c>
      <c r="J13" s="286">
        <v>1.129084</v>
      </c>
      <c r="K13" s="286">
        <v>707.25278190108099</v>
      </c>
      <c r="L13" s="286">
        <v>577.3244506166061</v>
      </c>
      <c r="M13" s="284">
        <v>12.438439252336449</v>
      </c>
      <c r="N13" s="284">
        <v>11.972230884557721</v>
      </c>
      <c r="O13" s="284">
        <v>9.0538299319727802</v>
      </c>
      <c r="P13" s="284">
        <v>8.7082639040348884</v>
      </c>
      <c r="Q13" s="284">
        <v>7.3738438914027071</v>
      </c>
      <c r="R13" s="284">
        <v>7.2508097886540526</v>
      </c>
      <c r="S13" s="285">
        <v>0.23050409306333478</v>
      </c>
      <c r="T13" s="284">
        <v>4.4711522956326988</v>
      </c>
      <c r="U13" s="285">
        <v>2.3554600000000002E-2</v>
      </c>
      <c r="V13" s="286">
        <v>17.099524625267666</v>
      </c>
      <c r="W13" s="38"/>
      <c r="X13" s="38"/>
      <c r="Y13" s="38"/>
      <c r="Z13" s="38"/>
      <c r="AA13" s="60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8"/>
      <c r="GM13" s="38"/>
      <c r="GN13" s="38"/>
      <c r="GO13" s="38"/>
      <c r="GP13" s="38"/>
      <c r="GQ13" s="38"/>
      <c r="GR13" s="38"/>
      <c r="GS13" s="38"/>
      <c r="GT13" s="38"/>
      <c r="GU13" s="38"/>
      <c r="GV13" s="38"/>
      <c r="GW13" s="38"/>
      <c r="GX13" s="38"/>
      <c r="GY13" s="38"/>
      <c r="GZ13" s="38"/>
      <c r="HA13" s="38"/>
      <c r="HB13" s="38"/>
      <c r="HC13" s="38"/>
      <c r="HD13" s="38"/>
      <c r="HE13" s="38"/>
      <c r="HF13" s="38"/>
      <c r="HG13" s="38"/>
      <c r="HH13" s="38"/>
      <c r="HI13" s="38"/>
      <c r="HJ13" s="38"/>
      <c r="HK13" s="38"/>
      <c r="HL13" s="38"/>
      <c r="HM13" s="38"/>
      <c r="HN13" s="38"/>
      <c r="HO13" s="38"/>
      <c r="HP13" s="38"/>
      <c r="HQ13" s="38"/>
      <c r="HR13" s="38"/>
      <c r="HS13" s="38"/>
      <c r="HT13" s="38"/>
      <c r="HU13" s="38"/>
      <c r="HV13" s="38"/>
      <c r="HW13" s="38"/>
      <c r="HX13" s="38"/>
      <c r="HY13" s="38"/>
      <c r="HZ13" s="38"/>
      <c r="IA13" s="38"/>
      <c r="IB13" s="38"/>
      <c r="IC13" s="38"/>
      <c r="ID13" s="38"/>
      <c r="IE13" s="38"/>
      <c r="IF13" s="38"/>
      <c r="IG13" s="38"/>
      <c r="IH13" s="38"/>
      <c r="II13" s="38"/>
      <c r="IJ13" s="38"/>
      <c r="IK13" s="38"/>
      <c r="IL13" s="38"/>
      <c r="IM13" s="38"/>
      <c r="IN13" s="38"/>
      <c r="IO13" s="38"/>
      <c r="IP13" s="38"/>
      <c r="IQ13" s="38"/>
      <c r="IR13" s="38"/>
      <c r="IS13" s="38"/>
      <c r="IT13" s="38"/>
      <c r="IU13" s="38"/>
      <c r="IV13" s="38"/>
    </row>
    <row r="14" spans="1:256" s="57" customFormat="1" ht="12.9" customHeight="1" x14ac:dyDescent="0.25">
      <c r="A14" s="284" t="s">
        <v>556</v>
      </c>
      <c r="B14" s="321" t="s">
        <v>557</v>
      </c>
      <c r="C14" s="322" t="s">
        <v>558</v>
      </c>
      <c r="D14" s="323">
        <v>37101</v>
      </c>
      <c r="E14" s="286">
        <v>161.19261277283178</v>
      </c>
      <c r="F14" s="286">
        <v>166.24095284318972</v>
      </c>
      <c r="G14" s="286">
        <v>106.7236804347595</v>
      </c>
      <c r="H14" s="286">
        <v>3471.5851120400002</v>
      </c>
      <c r="I14" s="286">
        <v>3655.9851120400003</v>
      </c>
      <c r="J14" s="286">
        <v>1.129084</v>
      </c>
      <c r="K14" s="286">
        <v>3074.6916190823713</v>
      </c>
      <c r="L14" s="286">
        <v>3238.0098487269329</v>
      </c>
      <c r="M14" s="284">
        <v>34.896498739837426</v>
      </c>
      <c r="N14" s="284">
        <v>22.876851938707532</v>
      </c>
      <c r="O14" s="284">
        <v>15.180439770114948</v>
      </c>
      <c r="P14" s="284">
        <v>11.519005286816505</v>
      </c>
      <c r="Q14" s="284">
        <v>12.223286900835843</v>
      </c>
      <c r="R14" s="284">
        <v>9.2322856364646473</v>
      </c>
      <c r="S14" s="285">
        <v>0.36525521647522596</v>
      </c>
      <c r="T14" s="284">
        <v>3.7172985459256882</v>
      </c>
      <c r="U14" s="285">
        <v>6.3736269999999998E-3</v>
      </c>
      <c r="V14" s="286">
        <v>19.074643472747255</v>
      </c>
      <c r="W14" s="38"/>
      <c r="X14" s="38"/>
      <c r="Y14" s="38"/>
      <c r="Z14" s="38"/>
      <c r="AA14" s="60"/>
      <c r="AB14" s="56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8"/>
      <c r="GM14" s="38"/>
      <c r="GN14" s="38"/>
      <c r="GO14" s="38"/>
      <c r="GP14" s="38"/>
      <c r="GQ14" s="38"/>
      <c r="GR14" s="38"/>
      <c r="GS14" s="38"/>
      <c r="GT14" s="38"/>
      <c r="GU14" s="38"/>
      <c r="GV14" s="38"/>
      <c r="GW14" s="38"/>
      <c r="GX14" s="38"/>
      <c r="GY14" s="38"/>
      <c r="GZ14" s="38"/>
      <c r="HA14" s="38"/>
      <c r="HB14" s="38"/>
      <c r="HC14" s="38"/>
      <c r="HD14" s="38"/>
      <c r="HE14" s="38"/>
      <c r="HF14" s="38"/>
      <c r="HG14" s="38"/>
      <c r="HH14" s="38"/>
      <c r="HI14" s="38"/>
      <c r="HJ14" s="38"/>
      <c r="HK14" s="38"/>
      <c r="HL14" s="38"/>
      <c r="HM14" s="38"/>
      <c r="HN14" s="38"/>
      <c r="HO14" s="38"/>
      <c r="HP14" s="38"/>
      <c r="HQ14" s="38"/>
      <c r="HR14" s="38"/>
      <c r="HS14" s="38"/>
      <c r="HT14" s="38"/>
      <c r="HU14" s="38"/>
      <c r="HV14" s="38"/>
      <c r="HW14" s="38"/>
      <c r="HX14" s="38"/>
      <c r="HY14" s="38"/>
      <c r="HZ14" s="38"/>
      <c r="IA14" s="38"/>
      <c r="IB14" s="38"/>
      <c r="IC14" s="38"/>
      <c r="ID14" s="38"/>
      <c r="IE14" s="38"/>
      <c r="IF14" s="38"/>
      <c r="IG14" s="38"/>
      <c r="IH14" s="38"/>
      <c r="II14" s="38"/>
      <c r="IJ14" s="38"/>
      <c r="IK14" s="38"/>
      <c r="IL14" s="38"/>
      <c r="IM14" s="38"/>
      <c r="IN14" s="38"/>
      <c r="IO14" s="38"/>
      <c r="IP14" s="38"/>
      <c r="IQ14" s="38"/>
      <c r="IR14" s="38"/>
      <c r="IS14" s="38"/>
      <c r="IT14" s="38"/>
      <c r="IU14" s="38"/>
      <c r="IV14" s="38"/>
    </row>
    <row r="15" spans="1:256" s="57" customFormat="1" ht="12.9" customHeight="1" x14ac:dyDescent="0.25">
      <c r="A15" s="284" t="s">
        <v>559</v>
      </c>
      <c r="B15" s="321" t="s">
        <v>560</v>
      </c>
      <c r="C15" s="322" t="s">
        <v>561</v>
      </c>
      <c r="D15" s="323">
        <v>37101</v>
      </c>
      <c r="E15" s="286">
        <v>4.3319856044786063</v>
      </c>
      <c r="F15" s="286">
        <v>5.0984138268094377</v>
      </c>
      <c r="G15" s="286">
        <v>2.7324832274403517</v>
      </c>
      <c r="H15" s="286">
        <v>2352.3240000000001</v>
      </c>
      <c r="I15" s="286">
        <v>4559.6499999999996</v>
      </c>
      <c r="J15" s="286">
        <v>9.0028000000000006</v>
      </c>
      <c r="K15" s="286">
        <v>261.2880437197316</v>
      </c>
      <c r="L15" s="286">
        <v>506.47020926822756</v>
      </c>
      <c r="M15" s="284" t="s">
        <v>169</v>
      </c>
      <c r="N15" s="284">
        <v>37.279302694136256</v>
      </c>
      <c r="O15" s="284">
        <v>16.754444444444474</v>
      </c>
      <c r="P15" s="284">
        <v>7.1455771567436184</v>
      </c>
      <c r="Q15" s="284">
        <v>16.5324510514866</v>
      </c>
      <c r="R15" s="284">
        <v>10.134807735052231</v>
      </c>
      <c r="S15" s="285">
        <v>0.72009768409456643</v>
      </c>
      <c r="T15" s="284">
        <v>2.5378565402300586</v>
      </c>
      <c r="U15" s="285">
        <v>0</v>
      </c>
      <c r="V15" s="286">
        <v>60.316000000000003</v>
      </c>
      <c r="W15" s="38"/>
      <c r="X15" s="38"/>
      <c r="Y15" s="38"/>
      <c r="Z15" s="38"/>
      <c r="AA15" s="60"/>
      <c r="AB15" s="56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8"/>
      <c r="GM15" s="38"/>
      <c r="GN15" s="38"/>
      <c r="GO15" s="38"/>
      <c r="GP15" s="38"/>
      <c r="GQ15" s="38"/>
      <c r="GR15" s="38"/>
      <c r="GS15" s="38"/>
      <c r="GT15" s="38"/>
      <c r="GU15" s="38"/>
      <c r="GV15" s="38"/>
      <c r="GW15" s="38"/>
      <c r="GX15" s="38"/>
      <c r="GY15" s="38"/>
      <c r="GZ15" s="38"/>
      <c r="HA15" s="38"/>
      <c r="HB15" s="38"/>
      <c r="HC15" s="38"/>
      <c r="HD15" s="38"/>
      <c r="HE15" s="38"/>
      <c r="HF15" s="38"/>
      <c r="HG15" s="38"/>
      <c r="HH15" s="38"/>
      <c r="HI15" s="38"/>
      <c r="HJ15" s="38"/>
      <c r="HK15" s="38"/>
      <c r="HL15" s="38"/>
      <c r="HM15" s="38"/>
      <c r="HN15" s="38"/>
      <c r="HO15" s="38"/>
      <c r="HP15" s="38"/>
      <c r="HQ15" s="38"/>
      <c r="HR15" s="38"/>
      <c r="HS15" s="38"/>
      <c r="HT15" s="38"/>
      <c r="HU15" s="38"/>
      <c r="HV15" s="38"/>
      <c r="HW15" s="38"/>
      <c r="HX15" s="38"/>
      <c r="HY15" s="38"/>
      <c r="HZ15" s="38"/>
      <c r="IA15" s="38"/>
      <c r="IB15" s="38"/>
      <c r="IC15" s="38"/>
      <c r="ID15" s="38"/>
      <c r="IE15" s="38"/>
      <c r="IF15" s="38"/>
      <c r="IG15" s="38"/>
      <c r="IH15" s="38"/>
      <c r="II15" s="38"/>
      <c r="IJ15" s="38"/>
      <c r="IK15" s="38"/>
      <c r="IL15" s="38"/>
      <c r="IM15" s="38"/>
      <c r="IN15" s="38"/>
      <c r="IO15" s="38"/>
      <c r="IP15" s="38"/>
      <c r="IQ15" s="38"/>
      <c r="IR15" s="38"/>
      <c r="IS15" s="38"/>
      <c r="IT15" s="38"/>
      <c r="IU15" s="38"/>
      <c r="IV15" s="38"/>
    </row>
    <row r="16" spans="1:256" ht="12.9" customHeight="1" x14ac:dyDescent="0.25">
      <c r="A16" s="275" t="s">
        <v>562</v>
      </c>
      <c r="B16" s="324" t="s">
        <v>563</v>
      </c>
      <c r="C16" s="325" t="s">
        <v>564</v>
      </c>
      <c r="D16" s="273">
        <v>37101</v>
      </c>
      <c r="E16" s="274">
        <v>7.8254184169042773</v>
      </c>
      <c r="F16" s="274">
        <v>9.7907061471770405</v>
      </c>
      <c r="G16" s="274">
        <v>5.645735661510848</v>
      </c>
      <c r="H16" s="274">
        <v>352.6378233750001</v>
      </c>
      <c r="I16" s="274">
        <v>423.14382337500012</v>
      </c>
      <c r="J16" s="274">
        <v>0.69964309999999996</v>
      </c>
      <c r="K16" s="274">
        <v>504.02530000653206</v>
      </c>
      <c r="L16" s="274">
        <v>604.79953761424952</v>
      </c>
      <c r="M16" s="275">
        <v>25.810714285714287</v>
      </c>
      <c r="N16" s="275">
        <v>19.119047619047624</v>
      </c>
      <c r="O16" s="275">
        <v>11.471428571428572</v>
      </c>
      <c r="P16" s="275">
        <v>9.7926829268292686</v>
      </c>
      <c r="Q16" s="275">
        <v>9.9563252558823567</v>
      </c>
      <c r="R16" s="275">
        <v>8.4628764675000028</v>
      </c>
      <c r="S16" s="276">
        <v>0.50561316872427986</v>
      </c>
      <c r="T16" s="275">
        <v>4.6957644563031833</v>
      </c>
      <c r="U16" s="276">
        <v>1.7899539999999999E-2</v>
      </c>
      <c r="V16" s="274">
        <v>64.408734863013706</v>
      </c>
      <c r="AA16" s="60"/>
      <c r="AB16" s="50"/>
    </row>
    <row r="17" spans="1:256" ht="12.9" customHeight="1" x14ac:dyDescent="0.25">
      <c r="A17" s="275" t="s">
        <v>565</v>
      </c>
      <c r="B17" s="324" t="s">
        <v>566</v>
      </c>
      <c r="C17" s="325" t="s">
        <v>567</v>
      </c>
      <c r="D17" s="273">
        <v>37101</v>
      </c>
      <c r="E17" s="274">
        <v>7.442129115386324</v>
      </c>
      <c r="F17" s="274">
        <v>9.830275025547607</v>
      </c>
      <c r="G17" s="274">
        <v>6.0536721908739501</v>
      </c>
      <c r="H17" s="274">
        <v>4040.1</v>
      </c>
      <c r="I17" s="274">
        <v>10880.4</v>
      </c>
      <c r="J17" s="274">
        <v>9.0028000000000006</v>
      </c>
      <c r="K17" s="274">
        <v>448.76038565779533</v>
      </c>
      <c r="L17" s="274">
        <v>1208.5573377171545</v>
      </c>
      <c r="M17" s="275">
        <v>19.517391304347825</v>
      </c>
      <c r="N17" s="275">
        <v>5.6902816901408446</v>
      </c>
      <c r="O17" s="275">
        <v>3.8440532825880109</v>
      </c>
      <c r="P17" s="275">
        <v>2.5187655860349123</v>
      </c>
      <c r="Q17" s="275">
        <v>7.7884037222619895</v>
      </c>
      <c r="R17" s="275">
        <v>5.3413843888070689</v>
      </c>
      <c r="S17" s="276">
        <v>0.54464241046861483</v>
      </c>
      <c r="T17" s="275">
        <v>0.6442718632391401</v>
      </c>
      <c r="U17" s="276">
        <v>0</v>
      </c>
      <c r="V17" s="274">
        <v>60.3</v>
      </c>
      <c r="AA17" s="60"/>
      <c r="AB17" s="56"/>
    </row>
    <row r="18" spans="1:256" ht="12.9" customHeight="1" x14ac:dyDescent="0.25">
      <c r="A18" s="275" t="s">
        <v>568</v>
      </c>
      <c r="B18" s="324" t="s">
        <v>569</v>
      </c>
      <c r="C18" s="325" t="s">
        <v>570</v>
      </c>
      <c r="D18" s="273">
        <v>37101</v>
      </c>
      <c r="E18" s="274">
        <v>58.675882396703877</v>
      </c>
      <c r="F18" s="274">
        <v>67.001230617507929</v>
      </c>
      <c r="G18" s="274">
        <v>49.154892168254165</v>
      </c>
      <c r="H18" s="274">
        <v>874.54293875531505</v>
      </c>
      <c r="I18" s="274">
        <v>1017.9625777686153</v>
      </c>
      <c r="J18" s="274">
        <v>1.129084</v>
      </c>
      <c r="K18" s="274">
        <v>774.55967736263653</v>
      </c>
      <c r="L18" s="274">
        <v>901.58267920598939</v>
      </c>
      <c r="M18" s="275">
        <v>16.760683760683744</v>
      </c>
      <c r="N18" s="275">
        <v>15.120120120120117</v>
      </c>
      <c r="O18" s="275">
        <v>9.6983184965380751</v>
      </c>
      <c r="P18" s="275">
        <v>8.9750445632798552</v>
      </c>
      <c r="Q18" s="275">
        <v>7.4850189541809922</v>
      </c>
      <c r="R18" s="275">
        <v>6.7414740249577179</v>
      </c>
      <c r="S18" s="276">
        <v>0.61106603548015381</v>
      </c>
      <c r="T18" s="275">
        <v>8.620178198331395</v>
      </c>
      <c r="U18" s="276">
        <v>2.0547930000000002E-2</v>
      </c>
      <c r="V18" s="274">
        <v>13.200648132155699</v>
      </c>
      <c r="AA18" s="60"/>
      <c r="AB18" s="56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39"/>
      <c r="FJ18" s="39"/>
      <c r="FK18" s="39"/>
      <c r="FL18" s="39"/>
      <c r="FM18" s="39"/>
      <c r="FN18" s="39"/>
      <c r="FO18" s="39"/>
      <c r="FP18" s="39"/>
      <c r="FQ18" s="39"/>
      <c r="FR18" s="39"/>
      <c r="FS18" s="39"/>
      <c r="FT18" s="39"/>
      <c r="FU18" s="39"/>
      <c r="FV18" s="39"/>
      <c r="FW18" s="39"/>
      <c r="FX18" s="39"/>
      <c r="FY18" s="39"/>
      <c r="FZ18" s="39"/>
      <c r="GA18" s="39"/>
      <c r="GB18" s="39"/>
      <c r="GC18" s="39"/>
      <c r="GD18" s="39"/>
      <c r="GE18" s="39"/>
      <c r="GF18" s="39"/>
      <c r="GG18" s="39"/>
      <c r="GH18" s="39"/>
      <c r="GI18" s="39"/>
      <c r="GJ18" s="39"/>
      <c r="GK18" s="39"/>
      <c r="GL18" s="39"/>
      <c r="GM18" s="39"/>
      <c r="GN18" s="39"/>
      <c r="GO18" s="39"/>
      <c r="GP18" s="39"/>
      <c r="GQ18" s="39"/>
      <c r="GR18" s="39"/>
      <c r="GS18" s="39"/>
      <c r="GT18" s="39"/>
      <c r="GU18" s="39"/>
      <c r="GV18" s="39"/>
      <c r="GW18" s="39"/>
      <c r="GX18" s="39"/>
      <c r="GY18" s="39"/>
      <c r="GZ18" s="39"/>
      <c r="HA18" s="39"/>
      <c r="HB18" s="39"/>
      <c r="HC18" s="39"/>
      <c r="HD18" s="39"/>
      <c r="HE18" s="39"/>
      <c r="HF18" s="39"/>
      <c r="HG18" s="39"/>
      <c r="HH18" s="39"/>
      <c r="HI18" s="39"/>
      <c r="HJ18" s="39"/>
      <c r="HK18" s="39"/>
      <c r="HL18" s="39"/>
      <c r="HM18" s="39"/>
      <c r="HN18" s="39"/>
      <c r="HO18" s="39"/>
      <c r="HP18" s="39"/>
      <c r="HQ18" s="39"/>
      <c r="HR18" s="39"/>
      <c r="HS18" s="39"/>
      <c r="HT18" s="39"/>
      <c r="HU18" s="39"/>
      <c r="HV18" s="39"/>
      <c r="HW18" s="39"/>
      <c r="HX18" s="39"/>
      <c r="HY18" s="39"/>
      <c r="HZ18" s="39"/>
      <c r="IA18" s="39"/>
      <c r="IB18" s="39"/>
      <c r="IC18" s="39"/>
      <c r="ID18" s="39"/>
      <c r="IE18" s="39"/>
      <c r="IF18" s="39"/>
      <c r="IG18" s="39"/>
      <c r="IH18" s="39"/>
      <c r="II18" s="39"/>
      <c r="IJ18" s="39"/>
      <c r="IK18" s="39"/>
      <c r="IL18" s="39"/>
      <c r="IM18" s="39"/>
      <c r="IN18" s="39"/>
      <c r="IO18" s="39"/>
      <c r="IP18" s="39"/>
      <c r="IQ18" s="39"/>
      <c r="IR18" s="39"/>
      <c r="IS18" s="39"/>
      <c r="IT18" s="39"/>
      <c r="IU18" s="39"/>
      <c r="IV18" s="39"/>
    </row>
    <row r="19" spans="1:256" s="57" customFormat="1" ht="12.9" customHeight="1" x14ac:dyDescent="0.25">
      <c r="A19" s="284" t="s">
        <v>571</v>
      </c>
      <c r="B19" s="321" t="s">
        <v>572</v>
      </c>
      <c r="C19" s="322" t="s">
        <v>573</v>
      </c>
      <c r="D19" s="323">
        <v>37101</v>
      </c>
      <c r="E19" s="286">
        <v>49.24345752840356</v>
      </c>
      <c r="F19" s="286">
        <v>81.481974682166538</v>
      </c>
      <c r="G19" s="286">
        <v>44.903629546292017</v>
      </c>
      <c r="H19" s="286">
        <v>663.43233798598442</v>
      </c>
      <c r="I19" s="286">
        <v>867.8323379859844</v>
      </c>
      <c r="J19" s="286">
        <v>1.129084</v>
      </c>
      <c r="K19" s="286">
        <v>587.58457119752336</v>
      </c>
      <c r="L19" s="286">
        <v>768.61627477316517</v>
      </c>
      <c r="M19" s="284">
        <v>31.977202072538812</v>
      </c>
      <c r="N19" s="284">
        <v>11.428888888888892</v>
      </c>
      <c r="O19" s="284">
        <v>6.0387475538160453</v>
      </c>
      <c r="P19" s="284">
        <v>4.1336905559276635</v>
      </c>
      <c r="Q19" s="284">
        <v>6.5794718573615176</v>
      </c>
      <c r="R19" s="284">
        <v>4.6333814094286412</v>
      </c>
      <c r="S19" s="285">
        <v>0.45198222829801776</v>
      </c>
      <c r="T19" s="284">
        <v>2.0687007732646849</v>
      </c>
      <c r="U19" s="285">
        <v>0</v>
      </c>
      <c r="V19" s="286">
        <v>11.93223629471195</v>
      </c>
      <c r="W19" s="38"/>
      <c r="X19" s="38"/>
      <c r="Y19" s="38"/>
      <c r="Z19" s="38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39"/>
      <c r="GM19" s="39"/>
      <c r="GN19" s="39"/>
      <c r="GO19" s="39"/>
      <c r="GP19" s="39"/>
      <c r="GQ19" s="39"/>
      <c r="GR19" s="39"/>
      <c r="GS19" s="39"/>
      <c r="GT19" s="39"/>
      <c r="GU19" s="39"/>
      <c r="GV19" s="39"/>
      <c r="GW19" s="39"/>
      <c r="GX19" s="39"/>
      <c r="GY19" s="39"/>
      <c r="GZ19" s="39"/>
      <c r="HA19" s="39"/>
      <c r="HB19" s="39"/>
      <c r="HC19" s="39"/>
      <c r="HD19" s="39"/>
      <c r="HE19" s="39"/>
      <c r="HF19" s="39"/>
      <c r="HG19" s="39"/>
      <c r="HH19" s="39"/>
      <c r="HI19" s="39"/>
      <c r="HJ19" s="39"/>
      <c r="HK19" s="39"/>
      <c r="HL19" s="39"/>
      <c r="HM19" s="39"/>
      <c r="HN19" s="39"/>
      <c r="HO19" s="39"/>
      <c r="HP19" s="39"/>
      <c r="HQ19" s="39"/>
      <c r="HR19" s="39"/>
      <c r="HS19" s="39"/>
      <c r="HT19" s="39"/>
      <c r="HU19" s="39"/>
      <c r="HV19" s="39"/>
      <c r="HW19" s="39"/>
      <c r="HX19" s="39"/>
      <c r="HY19" s="39"/>
      <c r="HZ19" s="39"/>
      <c r="IA19" s="39"/>
      <c r="IB19" s="39"/>
      <c r="IC19" s="39"/>
      <c r="ID19" s="39"/>
      <c r="IE19" s="39"/>
      <c r="IF19" s="39"/>
      <c r="IG19" s="39"/>
      <c r="IH19" s="39"/>
      <c r="II19" s="39"/>
      <c r="IJ19" s="39"/>
      <c r="IK19" s="39"/>
      <c r="IL19" s="39"/>
      <c r="IM19" s="39"/>
      <c r="IN19" s="39"/>
      <c r="IO19" s="39"/>
      <c r="IP19" s="39"/>
      <c r="IQ19" s="39"/>
      <c r="IR19" s="39"/>
      <c r="IS19" s="39"/>
      <c r="IT19" s="39"/>
      <c r="IU19" s="39"/>
      <c r="IV19" s="39"/>
    </row>
    <row r="20" spans="1:256" s="57" customFormat="1" ht="12.9" customHeight="1" x14ac:dyDescent="0.25">
      <c r="A20" s="284" t="s">
        <v>574</v>
      </c>
      <c r="B20" s="321" t="s">
        <v>575</v>
      </c>
      <c r="C20" s="322" t="s">
        <v>576</v>
      </c>
      <c r="D20" s="323">
        <v>37101</v>
      </c>
      <c r="E20" s="286">
        <v>46.675003808396902</v>
      </c>
      <c r="F20" s="286">
        <v>128.03600086441753</v>
      </c>
      <c r="G20" s="286">
        <v>84.609143340973759</v>
      </c>
      <c r="H20" s="286">
        <v>1480.0648494</v>
      </c>
      <c r="I20" s="286">
        <v>1765.8058493999999</v>
      </c>
      <c r="J20" s="286">
        <v>1.129084</v>
      </c>
      <c r="K20" s="286">
        <v>1310.8545063077681</v>
      </c>
      <c r="L20" s="286">
        <v>1563.9277940348104</v>
      </c>
      <c r="M20" s="284">
        <v>18.217283950617286</v>
      </c>
      <c r="N20" s="284">
        <v>16.03913043478261</v>
      </c>
      <c r="O20" s="284">
        <v>8.2898876404494395</v>
      </c>
      <c r="P20" s="284">
        <v>7.8074074074074078</v>
      </c>
      <c r="Q20" s="284">
        <v>8.1000268321100908</v>
      </c>
      <c r="R20" s="284">
        <v>7.7788803938325985</v>
      </c>
      <c r="S20" s="285">
        <v>0.59420125361718656</v>
      </c>
      <c r="T20" s="284">
        <v>3.7489357779714081</v>
      </c>
      <c r="U20" s="285">
        <v>2.5806450000000002E-2</v>
      </c>
      <c r="V20" s="286">
        <v>28.084721999999999</v>
      </c>
      <c r="W20" s="38"/>
      <c r="X20" s="38"/>
      <c r="Y20" s="38"/>
      <c r="Z20" s="38"/>
      <c r="AA20" s="60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  <c r="GI20" s="39"/>
      <c r="GJ20" s="39"/>
      <c r="GK20" s="39"/>
      <c r="GL20" s="39"/>
      <c r="GM20" s="39"/>
      <c r="GN20" s="39"/>
      <c r="GO20" s="39"/>
      <c r="GP20" s="39"/>
      <c r="GQ20" s="39"/>
      <c r="GR20" s="39"/>
      <c r="GS20" s="39"/>
      <c r="GT20" s="39"/>
      <c r="GU20" s="39"/>
      <c r="GV20" s="39"/>
      <c r="GW20" s="39"/>
      <c r="GX20" s="39"/>
      <c r="GY20" s="39"/>
      <c r="GZ20" s="39"/>
      <c r="HA20" s="39"/>
      <c r="HB20" s="39"/>
      <c r="HC20" s="39"/>
      <c r="HD20" s="39"/>
      <c r="HE20" s="39"/>
      <c r="HF20" s="39"/>
      <c r="HG20" s="39"/>
      <c r="HH20" s="39"/>
      <c r="HI20" s="39"/>
      <c r="HJ20" s="39"/>
      <c r="HK20" s="39"/>
      <c r="HL20" s="39"/>
      <c r="HM20" s="39"/>
      <c r="HN20" s="39"/>
      <c r="HO20" s="39"/>
      <c r="HP20" s="39"/>
      <c r="HQ20" s="39"/>
      <c r="HR20" s="39"/>
      <c r="HS20" s="39"/>
      <c r="HT20" s="39"/>
      <c r="HU20" s="39"/>
      <c r="HV20" s="39"/>
      <c r="HW20" s="39"/>
      <c r="HX20" s="39"/>
      <c r="HY20" s="39"/>
      <c r="HZ20" s="39"/>
      <c r="IA20" s="39"/>
      <c r="IB20" s="39"/>
      <c r="IC20" s="39"/>
      <c r="ID20" s="39"/>
      <c r="IE20" s="39"/>
      <c r="IF20" s="39"/>
      <c r="IG20" s="39"/>
      <c r="IH20" s="39"/>
      <c r="II20" s="39"/>
      <c r="IJ20" s="39"/>
      <c r="IK20" s="39"/>
      <c r="IL20" s="39"/>
      <c r="IM20" s="39"/>
      <c r="IN20" s="39"/>
      <c r="IO20" s="39"/>
      <c r="IP20" s="39"/>
      <c r="IQ20" s="39"/>
      <c r="IR20" s="39"/>
      <c r="IS20" s="39"/>
      <c r="IT20" s="39"/>
      <c r="IU20" s="39"/>
      <c r="IV20" s="39"/>
    </row>
    <row r="21" spans="1:256" s="57" customFormat="1" ht="12.9" customHeight="1" x14ac:dyDescent="0.25">
      <c r="A21" s="284" t="s">
        <v>577</v>
      </c>
      <c r="B21" s="321" t="s">
        <v>578</v>
      </c>
      <c r="C21" s="322" t="s">
        <v>579</v>
      </c>
      <c r="D21" s="323">
        <v>37101</v>
      </c>
      <c r="E21" s="286">
        <v>6.1647487448349398</v>
      </c>
      <c r="F21" s="286">
        <v>12.479489714311104</v>
      </c>
      <c r="G21" s="286">
        <v>5.775980805971475</v>
      </c>
      <c r="H21" s="286">
        <v>5918.1825600000002</v>
      </c>
      <c r="I21" s="286">
        <v>12024.182560000001</v>
      </c>
      <c r="J21" s="286">
        <v>9.0028000000000006</v>
      </c>
      <c r="K21" s="286">
        <v>657.37132447682939</v>
      </c>
      <c r="L21" s="286">
        <v>1335.6047629626339</v>
      </c>
      <c r="M21" s="284">
        <v>10.082082725724016</v>
      </c>
      <c r="N21" s="284">
        <v>6.9954876595744686</v>
      </c>
      <c r="O21" s="284">
        <v>3.6595242146920599</v>
      </c>
      <c r="P21" s="284">
        <v>3.1158168684847847</v>
      </c>
      <c r="Q21" s="284">
        <v>5.2735329853953772</v>
      </c>
      <c r="R21" s="284">
        <v>4.5079978105200018</v>
      </c>
      <c r="S21" s="285">
        <v>0.55337147030185008</v>
      </c>
      <c r="T21" s="284">
        <v>0.81641365153814327</v>
      </c>
      <c r="U21" s="285">
        <v>0</v>
      </c>
      <c r="V21" s="286">
        <v>106.63392</v>
      </c>
      <c r="W21" s="38"/>
      <c r="X21" s="38"/>
      <c r="Y21" s="38"/>
      <c r="Z21" s="38"/>
      <c r="AA21" s="60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  <c r="GI21" s="39"/>
      <c r="GJ21" s="39"/>
      <c r="GK21" s="39"/>
      <c r="GL21" s="39"/>
      <c r="GM21" s="39"/>
      <c r="GN21" s="39"/>
      <c r="GO21" s="39"/>
      <c r="GP21" s="39"/>
      <c r="GQ21" s="39"/>
      <c r="GR21" s="39"/>
      <c r="GS21" s="39"/>
      <c r="GT21" s="39"/>
      <c r="GU21" s="39"/>
      <c r="GV21" s="39"/>
      <c r="GW21" s="39"/>
      <c r="GX21" s="39"/>
      <c r="GY21" s="39"/>
      <c r="GZ21" s="39"/>
      <c r="HA21" s="39"/>
      <c r="HB21" s="39"/>
      <c r="HC21" s="39"/>
      <c r="HD21" s="39"/>
      <c r="HE21" s="39"/>
      <c r="HF21" s="39"/>
      <c r="HG21" s="39"/>
      <c r="HH21" s="39"/>
      <c r="HI21" s="39"/>
      <c r="HJ21" s="39"/>
      <c r="HK21" s="39"/>
      <c r="HL21" s="39"/>
      <c r="HM21" s="39"/>
      <c r="HN21" s="39"/>
      <c r="HO21" s="39"/>
      <c r="HP21" s="39"/>
      <c r="HQ21" s="39"/>
      <c r="HR21" s="39"/>
      <c r="HS21" s="39"/>
      <c r="HT21" s="39"/>
      <c r="HU21" s="39"/>
      <c r="HV21" s="39"/>
      <c r="HW21" s="39"/>
      <c r="HX21" s="39"/>
      <c r="HY21" s="39"/>
      <c r="HZ21" s="39"/>
      <c r="IA21" s="39"/>
      <c r="IB21" s="39"/>
      <c r="IC21" s="39"/>
      <c r="ID21" s="39"/>
      <c r="IE21" s="39"/>
      <c r="IF21" s="39"/>
      <c r="IG21" s="39"/>
      <c r="IH21" s="39"/>
      <c r="II21" s="39"/>
      <c r="IJ21" s="39"/>
      <c r="IK21" s="39"/>
      <c r="IL21" s="39"/>
      <c r="IM21" s="39"/>
      <c r="IN21" s="39"/>
      <c r="IO21" s="39"/>
      <c r="IP21" s="39"/>
      <c r="IQ21" s="39"/>
      <c r="IR21" s="39"/>
      <c r="IS21" s="39"/>
      <c r="IT21" s="39"/>
      <c r="IU21" s="39"/>
      <c r="IV21" s="39"/>
    </row>
    <row r="22" spans="1:256" s="248" customFormat="1" ht="12.9" customHeight="1" x14ac:dyDescent="0.25">
      <c r="A22" s="289" t="s">
        <v>580</v>
      </c>
      <c r="B22" s="326" t="s">
        <v>581</v>
      </c>
      <c r="C22" s="327" t="s">
        <v>582</v>
      </c>
      <c r="D22" s="328">
        <v>37101</v>
      </c>
      <c r="E22" s="291">
        <v>5.6151712361524915</v>
      </c>
      <c r="F22" s="291">
        <v>6.8196870060536687</v>
      </c>
      <c r="G22" s="291">
        <v>4.3132309479593109</v>
      </c>
      <c r="H22" s="291">
        <v>2789.7458200000001</v>
      </c>
      <c r="I22" s="291">
        <v>3366.7458200000001</v>
      </c>
      <c r="J22" s="291">
        <v>1.129084</v>
      </c>
      <c r="K22" s="291">
        <v>2470.8044928455279</v>
      </c>
      <c r="L22" s="291">
        <v>2981.8382157571982</v>
      </c>
      <c r="M22" s="289">
        <v>17.656619113924044</v>
      </c>
      <c r="N22" s="289">
        <v>13.335305066921606</v>
      </c>
      <c r="O22" s="289">
        <v>9.146707606557376</v>
      </c>
      <c r="P22" s="289">
        <v>7.6056320065430763</v>
      </c>
      <c r="Q22" s="289">
        <v>8.476197935548841</v>
      </c>
      <c r="R22" s="289">
        <v>7.1405001484623547</v>
      </c>
      <c r="S22" s="290">
        <v>0.35464044253226795</v>
      </c>
      <c r="T22" s="289">
        <v>2.6569007809523812</v>
      </c>
      <c r="U22" s="290">
        <v>9.7791790000000007E-3</v>
      </c>
      <c r="V22" s="291">
        <v>440.02300000000002</v>
      </c>
      <c r="W22" s="38"/>
      <c r="X22" s="38"/>
      <c r="Y22" s="38"/>
      <c r="Z22" s="38"/>
      <c r="AA22" s="60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9"/>
      <c r="EO22" s="39"/>
      <c r="EP22" s="39"/>
      <c r="EQ22" s="39"/>
      <c r="ER22" s="39"/>
      <c r="ES22" s="39"/>
      <c r="ET22" s="39"/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39"/>
      <c r="FF22" s="39"/>
      <c r="FG22" s="39"/>
      <c r="FH22" s="39"/>
      <c r="FI22" s="39"/>
      <c r="FJ22" s="39"/>
      <c r="FK22" s="39"/>
      <c r="FL22" s="39"/>
      <c r="FM22" s="39"/>
      <c r="FN22" s="39"/>
      <c r="FO22" s="39"/>
      <c r="FP22" s="39"/>
      <c r="FQ22" s="39"/>
      <c r="FR22" s="39"/>
      <c r="FS22" s="39"/>
      <c r="FT22" s="39"/>
      <c r="FU22" s="39"/>
      <c r="FV22" s="39"/>
      <c r="FW22" s="39"/>
      <c r="FX22" s="39"/>
      <c r="FY22" s="39"/>
      <c r="FZ22" s="39"/>
      <c r="GA22" s="39"/>
      <c r="GB22" s="39"/>
      <c r="GC22" s="39"/>
      <c r="GD22" s="39"/>
      <c r="GE22" s="39"/>
      <c r="GF22" s="39"/>
      <c r="GG22" s="39"/>
      <c r="GH22" s="39"/>
      <c r="GI22" s="39"/>
      <c r="GJ22" s="39"/>
      <c r="GK22" s="39"/>
      <c r="GL22" s="39"/>
      <c r="GM22" s="39"/>
      <c r="GN22" s="39"/>
      <c r="GO22" s="39"/>
      <c r="GP22" s="39"/>
      <c r="GQ22" s="39"/>
      <c r="GR22" s="39"/>
      <c r="GS22" s="39"/>
      <c r="GT22" s="39"/>
      <c r="GU22" s="39"/>
      <c r="GV22" s="39"/>
      <c r="GW22" s="39"/>
      <c r="GX22" s="39"/>
      <c r="GY22" s="39"/>
      <c r="GZ22" s="39"/>
      <c r="HA22" s="39"/>
      <c r="HB22" s="39"/>
      <c r="HC22" s="39"/>
      <c r="HD22" s="39"/>
      <c r="HE22" s="39"/>
      <c r="HF22" s="39"/>
      <c r="HG22" s="39"/>
      <c r="HH22" s="39"/>
      <c r="HI22" s="39"/>
      <c r="HJ22" s="39"/>
      <c r="HK22" s="39"/>
      <c r="HL22" s="39"/>
      <c r="HM22" s="39"/>
      <c r="HN22" s="39"/>
      <c r="HO22" s="39"/>
      <c r="HP22" s="39"/>
      <c r="HQ22" s="39"/>
      <c r="HR22" s="39"/>
      <c r="HS22" s="39"/>
      <c r="HT22" s="39"/>
      <c r="HU22" s="39"/>
      <c r="HV22" s="39"/>
      <c r="HW22" s="39"/>
      <c r="HX22" s="39"/>
      <c r="HY22" s="39"/>
      <c r="HZ22" s="39"/>
      <c r="IA22" s="39"/>
      <c r="IB22" s="39"/>
      <c r="IC22" s="39"/>
      <c r="ID22" s="39"/>
      <c r="IE22" s="39"/>
      <c r="IF22" s="39"/>
      <c r="IG22" s="39"/>
      <c r="IH22" s="39"/>
      <c r="II22" s="39"/>
      <c r="IJ22" s="39"/>
      <c r="IK22" s="39"/>
      <c r="IL22" s="39"/>
      <c r="IM22" s="39"/>
      <c r="IN22" s="39"/>
      <c r="IO22" s="39"/>
      <c r="IP22" s="39"/>
      <c r="IQ22" s="39"/>
      <c r="IR22" s="39"/>
      <c r="IS22" s="39"/>
      <c r="IT22" s="39"/>
      <c r="IU22" s="39"/>
      <c r="IV22" s="39"/>
    </row>
    <row r="23" spans="1:256" ht="12.9" customHeight="1" x14ac:dyDescent="0.25">
      <c r="A23" s="275" t="s">
        <v>583</v>
      </c>
      <c r="B23" s="324" t="s">
        <v>584</v>
      </c>
      <c r="C23" s="325" t="s">
        <v>585</v>
      </c>
      <c r="D23" s="273">
        <v>37101</v>
      </c>
      <c r="E23" s="274">
        <v>11.5</v>
      </c>
      <c r="F23" s="274">
        <v>16</v>
      </c>
      <c r="G23" s="274">
        <v>8.375</v>
      </c>
      <c r="H23" s="274">
        <v>1005.8305314864001</v>
      </c>
      <c r="I23" s="274">
        <v>1293.7795314864002</v>
      </c>
      <c r="J23" s="274">
        <v>1</v>
      </c>
      <c r="K23" s="274">
        <v>1005.8305314864001</v>
      </c>
      <c r="L23" s="274">
        <v>1293.7795314864002</v>
      </c>
      <c r="M23" s="275" t="s">
        <v>169</v>
      </c>
      <c r="N23" s="275">
        <v>21.059374999999999</v>
      </c>
      <c r="O23" s="275">
        <v>9.7712434225309437</v>
      </c>
      <c r="P23" s="275">
        <v>7.1028192635217478</v>
      </c>
      <c r="Q23" s="275">
        <v>9.0950136555324477</v>
      </c>
      <c r="R23" s="275">
        <v>7.2964324526040469</v>
      </c>
      <c r="S23" s="276">
        <v>0.30534401839551817</v>
      </c>
      <c r="T23" s="275">
        <v>1.5024752169118187</v>
      </c>
      <c r="U23" s="276">
        <v>0</v>
      </c>
      <c r="V23" s="274">
        <v>87.463524477078266</v>
      </c>
      <c r="W23" s="39"/>
      <c r="X23" s="39"/>
      <c r="Y23" s="39"/>
      <c r="Z23" s="39"/>
      <c r="AA23" s="60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L23" s="39"/>
      <c r="FM23" s="39"/>
      <c r="FN23" s="39"/>
      <c r="FO23" s="39"/>
      <c r="FP23" s="39"/>
      <c r="FQ23" s="39"/>
      <c r="FR23" s="39"/>
      <c r="FS23" s="39"/>
      <c r="FT23" s="39"/>
      <c r="FU23" s="39"/>
      <c r="FV23" s="39"/>
      <c r="FW23" s="39"/>
      <c r="FX23" s="39"/>
      <c r="FY23" s="39"/>
      <c r="FZ23" s="39"/>
      <c r="GA23" s="39"/>
      <c r="GB23" s="39"/>
      <c r="GC23" s="39"/>
      <c r="GD23" s="39"/>
      <c r="GE23" s="39"/>
      <c r="GF23" s="39"/>
      <c r="GG23" s="39"/>
      <c r="GH23" s="39"/>
      <c r="GI23" s="39"/>
      <c r="GJ23" s="39"/>
      <c r="GK23" s="39"/>
      <c r="GL23" s="39"/>
      <c r="GM23" s="39"/>
      <c r="GN23" s="39"/>
      <c r="GO23" s="39"/>
      <c r="GP23" s="39"/>
      <c r="GQ23" s="39"/>
      <c r="GR23" s="39"/>
      <c r="GS23" s="39"/>
      <c r="GT23" s="39"/>
      <c r="GU23" s="39"/>
      <c r="GV23" s="39"/>
      <c r="GW23" s="39"/>
      <c r="GX23" s="39"/>
      <c r="GY23" s="39"/>
      <c r="GZ23" s="39"/>
      <c r="HA23" s="39"/>
      <c r="HB23" s="39"/>
      <c r="HC23" s="39"/>
      <c r="HD23" s="39"/>
      <c r="HE23" s="39"/>
      <c r="HF23" s="39"/>
      <c r="HG23" s="39"/>
      <c r="HH23" s="39"/>
      <c r="HI23" s="39"/>
      <c r="HJ23" s="39"/>
      <c r="HK23" s="39"/>
      <c r="HL23" s="39"/>
      <c r="HM23" s="39"/>
      <c r="HN23" s="39"/>
      <c r="HO23" s="39"/>
      <c r="HP23" s="39"/>
      <c r="HQ23" s="39"/>
      <c r="HR23" s="39"/>
      <c r="HS23" s="39"/>
      <c r="HT23" s="39"/>
      <c r="HU23" s="39"/>
      <c r="HV23" s="39"/>
      <c r="HW23" s="39"/>
      <c r="HX23" s="39"/>
      <c r="HY23" s="39"/>
      <c r="HZ23" s="39"/>
      <c r="IA23" s="39"/>
      <c r="IB23" s="39"/>
      <c r="IC23" s="39"/>
      <c r="ID23" s="39"/>
      <c r="IE23" s="39"/>
      <c r="IF23" s="39"/>
      <c r="IG23" s="39"/>
      <c r="IH23" s="39"/>
      <c r="II23" s="39"/>
      <c r="IJ23" s="39"/>
      <c r="IK23" s="39"/>
      <c r="IL23" s="39"/>
      <c r="IM23" s="39"/>
      <c r="IN23" s="39"/>
      <c r="IO23" s="39"/>
      <c r="IP23" s="39"/>
      <c r="IQ23" s="39"/>
      <c r="IR23" s="39"/>
      <c r="IS23" s="39"/>
      <c r="IT23" s="39"/>
      <c r="IU23" s="39"/>
      <c r="IV23" s="39"/>
    </row>
    <row r="24" spans="1:256" ht="12.9" customHeight="1" x14ac:dyDescent="0.25">
      <c r="A24" s="275"/>
      <c r="B24" s="272"/>
      <c r="C24" s="275"/>
      <c r="D24" s="273"/>
      <c r="E24" s="274"/>
      <c r="F24" s="274"/>
      <c r="G24" s="274"/>
      <c r="H24" s="274"/>
      <c r="I24" s="274"/>
      <c r="J24" s="274"/>
      <c r="K24" s="274"/>
      <c r="L24" s="274"/>
      <c r="M24" s="275"/>
      <c r="N24" s="275"/>
      <c r="O24" s="275"/>
      <c r="P24" s="275"/>
      <c r="Q24" s="275"/>
      <c r="R24" s="275"/>
      <c r="S24" s="276"/>
      <c r="T24" s="275"/>
      <c r="U24" s="276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39"/>
      <c r="GM24" s="39"/>
      <c r="GN24" s="39"/>
      <c r="GO24" s="39"/>
      <c r="GP24" s="39"/>
      <c r="GQ24" s="39"/>
      <c r="GR24" s="39"/>
      <c r="GS24" s="39"/>
      <c r="GT24" s="39"/>
      <c r="GU24" s="39"/>
      <c r="GV24" s="39"/>
      <c r="GW24" s="39"/>
      <c r="GX24" s="39"/>
      <c r="GY24" s="39"/>
      <c r="GZ24" s="39"/>
      <c r="HA24" s="39"/>
      <c r="HB24" s="39"/>
      <c r="HC24" s="39"/>
      <c r="HD24" s="39"/>
      <c r="HE24" s="39"/>
      <c r="HF24" s="39"/>
      <c r="HG24" s="39"/>
      <c r="HH24" s="39"/>
      <c r="HI24" s="39"/>
      <c r="HJ24" s="39"/>
      <c r="HK24" s="39"/>
      <c r="HL24" s="39"/>
      <c r="HM24" s="39"/>
      <c r="HN24" s="39"/>
      <c r="HO24" s="39"/>
      <c r="HP24" s="39"/>
      <c r="HQ24" s="39"/>
      <c r="HR24" s="39"/>
      <c r="HS24" s="39"/>
      <c r="HT24" s="39"/>
      <c r="HU24" s="39"/>
      <c r="HV24" s="39"/>
      <c r="HW24" s="39"/>
      <c r="HX24" s="39"/>
      <c r="HY24" s="39"/>
      <c r="HZ24" s="39"/>
      <c r="IA24" s="39"/>
      <c r="IB24" s="39"/>
      <c r="IC24" s="39"/>
      <c r="ID24" s="39"/>
      <c r="IE24" s="39"/>
      <c r="IF24" s="39"/>
      <c r="IG24" s="39"/>
      <c r="IH24" s="39"/>
      <c r="II24" s="39"/>
      <c r="IJ24" s="39"/>
      <c r="IK24" s="39"/>
      <c r="IL24" s="39"/>
      <c r="IM24" s="39"/>
      <c r="IN24" s="39"/>
      <c r="IO24" s="39"/>
      <c r="IP24" s="39"/>
      <c r="IQ24" s="39"/>
      <c r="IR24" s="39"/>
      <c r="IS24" s="39"/>
      <c r="IT24" s="39"/>
      <c r="IU24" s="39"/>
    </row>
    <row r="25" spans="1:256" ht="12.9" customHeight="1" x14ac:dyDescent="0.25">
      <c r="B25" s="108"/>
      <c r="C25" s="165"/>
      <c r="D25" s="278"/>
      <c r="E25" s="159"/>
      <c r="F25" s="159"/>
      <c r="G25" s="159"/>
      <c r="H25" s="159"/>
      <c r="I25" s="159"/>
      <c r="J25" s="159"/>
      <c r="K25" s="160"/>
      <c r="L25" s="160"/>
      <c r="M25" s="154"/>
      <c r="N25" s="154"/>
      <c r="O25" s="154"/>
      <c r="P25" s="154"/>
      <c r="Q25" s="154"/>
      <c r="R25" s="154"/>
      <c r="S25" s="128"/>
      <c r="T25" s="154"/>
      <c r="U25" s="128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  <c r="GI25" s="39"/>
      <c r="GJ25" s="39"/>
      <c r="GK25" s="39"/>
      <c r="GL25" s="39"/>
      <c r="GM25" s="39"/>
      <c r="GN25" s="39"/>
      <c r="GO25" s="39"/>
      <c r="GP25" s="39"/>
      <c r="GQ25" s="39"/>
      <c r="GR25" s="39"/>
      <c r="GS25" s="39"/>
      <c r="GT25" s="39"/>
      <c r="GU25" s="39"/>
      <c r="GV25" s="39"/>
      <c r="GW25" s="39"/>
      <c r="GX25" s="39"/>
      <c r="GY25" s="39"/>
      <c r="GZ25" s="39"/>
      <c r="HA25" s="39"/>
      <c r="HB25" s="39"/>
      <c r="HC25" s="39"/>
      <c r="HD25" s="39"/>
      <c r="HE25" s="39"/>
      <c r="HF25" s="39"/>
      <c r="HG25" s="39"/>
      <c r="HH25" s="39"/>
      <c r="HI25" s="39"/>
      <c r="HJ25" s="39"/>
      <c r="HK25" s="39"/>
      <c r="HL25" s="39"/>
      <c r="HM25" s="39"/>
      <c r="HN25" s="39"/>
      <c r="HO25" s="39"/>
      <c r="HP25" s="39"/>
      <c r="HQ25" s="39"/>
      <c r="HR25" s="39"/>
      <c r="HS25" s="39"/>
      <c r="HT25" s="39"/>
      <c r="HU25" s="39"/>
      <c r="HV25" s="39"/>
      <c r="HW25" s="39"/>
      <c r="HX25" s="39"/>
      <c r="HY25" s="39"/>
      <c r="HZ25" s="39"/>
      <c r="IA25" s="39"/>
      <c r="IB25" s="39"/>
      <c r="IC25" s="39"/>
      <c r="ID25" s="39"/>
      <c r="IE25" s="39"/>
      <c r="IF25" s="39"/>
      <c r="IG25" s="39"/>
      <c r="IH25" s="39"/>
      <c r="II25" s="39"/>
      <c r="IJ25" s="39"/>
      <c r="IK25" s="39"/>
      <c r="IL25" s="39"/>
      <c r="IM25" s="39"/>
      <c r="IN25" s="39"/>
      <c r="IO25" s="39"/>
      <c r="IP25" s="39"/>
      <c r="IQ25" s="39"/>
      <c r="IR25" s="39"/>
      <c r="IS25" s="39"/>
      <c r="IT25" s="39"/>
      <c r="IU25" s="39"/>
    </row>
    <row r="26" spans="1:256" ht="13.5" customHeight="1" x14ac:dyDescent="0.25">
      <c r="C26" s="52"/>
      <c r="D26" s="52"/>
      <c r="E26" s="52"/>
      <c r="F26" s="52"/>
      <c r="G26" s="52"/>
      <c r="H26" s="52"/>
      <c r="I26" s="52"/>
      <c r="J26" s="52"/>
      <c r="K26" s="52"/>
      <c r="L26" s="63" t="s">
        <v>38</v>
      </c>
      <c r="M26" s="279">
        <v>24.938814908758129</v>
      </c>
      <c r="N26" s="279">
        <v>17.5015564551693</v>
      </c>
      <c r="O26" s="279">
        <v>10.813879146126643</v>
      </c>
      <c r="P26" s="279">
        <v>7.8228002608825866</v>
      </c>
      <c r="Q26" s="279">
        <v>9.7750601576228568</v>
      </c>
      <c r="R26" s="279">
        <v>7.2841679352170177</v>
      </c>
      <c r="S26" s="280">
        <v>0.44694614643258868</v>
      </c>
      <c r="T26" s="279">
        <v>3.4689191049853272</v>
      </c>
      <c r="U26" s="336">
        <v>1.8667293333333331E-2</v>
      </c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  <c r="DN26" s="39"/>
      <c r="DO26" s="39"/>
      <c r="DP26" s="39"/>
      <c r="DQ26" s="39"/>
      <c r="DR26" s="39"/>
      <c r="DS26" s="39"/>
      <c r="DT26" s="39"/>
      <c r="DU26" s="39"/>
      <c r="DV26" s="39"/>
      <c r="DW26" s="39"/>
      <c r="DX26" s="39"/>
      <c r="DY26" s="39"/>
      <c r="DZ26" s="39"/>
      <c r="EA26" s="39"/>
      <c r="EB26" s="39"/>
      <c r="EC26" s="39"/>
      <c r="ED26" s="39"/>
      <c r="EE26" s="39"/>
      <c r="EF26" s="39"/>
      <c r="EG26" s="39"/>
      <c r="EH26" s="39"/>
      <c r="EI26" s="39"/>
      <c r="EJ26" s="39"/>
      <c r="EK26" s="39"/>
      <c r="EL26" s="39"/>
      <c r="EM26" s="39"/>
      <c r="EN26" s="39"/>
      <c r="EO26" s="39"/>
      <c r="EP26" s="39"/>
      <c r="EQ26" s="39"/>
      <c r="ER26" s="39"/>
      <c r="ES26" s="39"/>
      <c r="ET26" s="39"/>
      <c r="EU26" s="39"/>
      <c r="EV26" s="39"/>
      <c r="EW26" s="39"/>
      <c r="EX26" s="39"/>
      <c r="EY26" s="39"/>
      <c r="EZ26" s="39"/>
      <c r="FA26" s="39"/>
      <c r="FB26" s="39"/>
      <c r="FC26" s="39"/>
      <c r="FD26" s="39"/>
      <c r="FE26" s="39"/>
      <c r="FF26" s="39"/>
      <c r="FG26" s="39"/>
      <c r="FH26" s="39"/>
      <c r="FI26" s="39"/>
      <c r="FJ26" s="39"/>
      <c r="FK26" s="39"/>
      <c r="FL26" s="39"/>
      <c r="FM26" s="39"/>
      <c r="FN26" s="39"/>
      <c r="FO26" s="39"/>
      <c r="FP26" s="39"/>
      <c r="FQ26" s="39"/>
      <c r="FR26" s="39"/>
      <c r="FS26" s="39"/>
      <c r="FT26" s="39"/>
      <c r="FU26" s="39"/>
      <c r="FV26" s="39"/>
      <c r="FW26" s="39"/>
      <c r="FX26" s="39"/>
      <c r="FY26" s="39"/>
      <c r="FZ26" s="39"/>
      <c r="GA26" s="39"/>
      <c r="GB26" s="39"/>
      <c r="GC26" s="39"/>
      <c r="GD26" s="39"/>
      <c r="GE26" s="39"/>
      <c r="GF26" s="39"/>
      <c r="GG26" s="39"/>
      <c r="GH26" s="39"/>
      <c r="GI26" s="39"/>
      <c r="GJ26" s="39"/>
      <c r="GK26" s="39"/>
      <c r="GL26" s="39"/>
      <c r="GM26" s="39"/>
      <c r="GN26" s="39"/>
      <c r="GO26" s="39"/>
      <c r="GP26" s="39"/>
      <c r="GQ26" s="39"/>
      <c r="GR26" s="39"/>
      <c r="GS26" s="39"/>
      <c r="GT26" s="39"/>
      <c r="GU26" s="39"/>
      <c r="GV26" s="39"/>
      <c r="GW26" s="39"/>
      <c r="GX26" s="39"/>
      <c r="GY26" s="39"/>
      <c r="GZ26" s="39"/>
      <c r="HA26" s="39"/>
      <c r="HB26" s="39"/>
      <c r="HC26" s="39"/>
      <c r="HD26" s="39"/>
      <c r="HE26" s="39"/>
      <c r="HF26" s="39"/>
      <c r="HG26" s="39"/>
      <c r="HH26" s="39"/>
      <c r="HI26" s="39"/>
      <c r="HJ26" s="39"/>
      <c r="HK26" s="39"/>
      <c r="HL26" s="39"/>
      <c r="HM26" s="39"/>
      <c r="HN26" s="39"/>
      <c r="HO26" s="39"/>
      <c r="HP26" s="39"/>
      <c r="HQ26" s="39"/>
      <c r="HR26" s="39"/>
      <c r="HS26" s="39"/>
      <c r="HT26" s="39"/>
      <c r="HU26" s="39"/>
      <c r="HV26" s="39"/>
      <c r="HW26" s="39"/>
      <c r="HX26" s="39"/>
      <c r="HY26" s="39"/>
      <c r="HZ26" s="39"/>
      <c r="IA26" s="39"/>
      <c r="IB26" s="39"/>
      <c r="IC26" s="39"/>
      <c r="ID26" s="39"/>
      <c r="IE26" s="39"/>
      <c r="IF26" s="39"/>
      <c r="IG26" s="39"/>
      <c r="IH26" s="39"/>
      <c r="II26" s="39"/>
      <c r="IJ26" s="39"/>
      <c r="IK26" s="39"/>
      <c r="IL26" s="39"/>
      <c r="IM26" s="39"/>
      <c r="IN26" s="39"/>
      <c r="IO26" s="39"/>
      <c r="IP26" s="39"/>
      <c r="IQ26" s="39"/>
      <c r="IR26" s="39"/>
      <c r="IS26" s="39"/>
      <c r="IT26" s="39"/>
      <c r="IU26" s="39"/>
    </row>
    <row r="27" spans="1:256" ht="12.9" customHeight="1" x14ac:dyDescent="0.25">
      <c r="C27" s="52"/>
      <c r="D27" s="52"/>
      <c r="E27" s="52"/>
      <c r="F27" s="52"/>
      <c r="G27" s="52"/>
      <c r="H27" s="52"/>
      <c r="I27" s="52"/>
      <c r="J27" s="52"/>
      <c r="K27" s="52"/>
      <c r="L27" s="71" t="s">
        <v>39</v>
      </c>
      <c r="M27" s="284">
        <v>25.810714285714287</v>
      </c>
      <c r="N27" s="284">
        <v>15.822923962937757</v>
      </c>
      <c r="O27" s="284">
        <v>10.584873533983323</v>
      </c>
      <c r="P27" s="284">
        <v>8.8416542336573727</v>
      </c>
      <c r="Q27" s="284">
        <v>8.8723644890721722</v>
      </c>
      <c r="R27" s="284">
        <v>6.9961419068058852</v>
      </c>
      <c r="S27" s="285">
        <v>0.47879769851114884</v>
      </c>
      <c r="T27" s="284">
        <v>3.1275775430778734</v>
      </c>
      <c r="U27" s="337">
        <v>1.0273965000000001E-2</v>
      </c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  <c r="DN27" s="39"/>
      <c r="DO27" s="39"/>
      <c r="DP27" s="39"/>
      <c r="DQ27" s="39"/>
      <c r="DR27" s="39"/>
      <c r="DS27" s="39"/>
      <c r="DT27" s="39"/>
      <c r="DU27" s="39"/>
      <c r="DV27" s="39"/>
      <c r="DW27" s="39"/>
      <c r="DX27" s="39"/>
      <c r="DY27" s="39"/>
      <c r="DZ27" s="39"/>
      <c r="EA27" s="39"/>
      <c r="EB27" s="39"/>
      <c r="EC27" s="39"/>
      <c r="ED27" s="39"/>
      <c r="EE27" s="39"/>
      <c r="EF27" s="39"/>
      <c r="EG27" s="39"/>
      <c r="EH27" s="39"/>
      <c r="EI27" s="39"/>
      <c r="EJ27" s="39"/>
      <c r="EK27" s="39"/>
      <c r="EL27" s="39"/>
      <c r="EM27" s="39"/>
      <c r="EN27" s="39"/>
      <c r="EO27" s="39"/>
      <c r="EP27" s="39"/>
      <c r="EQ27" s="39"/>
      <c r="ER27" s="39"/>
      <c r="ES27" s="39"/>
      <c r="ET27" s="39"/>
      <c r="EU27" s="39"/>
      <c r="EV27" s="39"/>
      <c r="EW27" s="39"/>
      <c r="EX27" s="39"/>
      <c r="EY27" s="39"/>
      <c r="EZ27" s="39"/>
      <c r="FA27" s="39"/>
      <c r="FB27" s="39"/>
      <c r="FC27" s="39"/>
      <c r="FD27" s="39"/>
      <c r="FE27" s="39"/>
      <c r="FF27" s="39"/>
      <c r="FG27" s="39"/>
      <c r="FH27" s="39"/>
      <c r="FI27" s="39"/>
      <c r="FJ27" s="39"/>
      <c r="FK27" s="39"/>
      <c r="FL27" s="39"/>
      <c r="FM27" s="39"/>
      <c r="FN27" s="39"/>
      <c r="FO27" s="39"/>
      <c r="FP27" s="39"/>
      <c r="FQ27" s="39"/>
      <c r="FR27" s="39"/>
      <c r="FS27" s="39"/>
      <c r="FT27" s="39"/>
      <c r="FU27" s="39"/>
      <c r="FV27" s="39"/>
      <c r="FW27" s="39"/>
      <c r="FX27" s="39"/>
      <c r="FY27" s="39"/>
      <c r="FZ27" s="39"/>
      <c r="GA27" s="39"/>
      <c r="GB27" s="39"/>
      <c r="GC27" s="39"/>
      <c r="GD27" s="39"/>
      <c r="GE27" s="39"/>
      <c r="GF27" s="39"/>
      <c r="GG27" s="39"/>
      <c r="GH27" s="39"/>
      <c r="GI27" s="39"/>
      <c r="GJ27" s="39"/>
      <c r="GK27" s="39"/>
      <c r="GL27" s="39"/>
      <c r="GM27" s="39"/>
      <c r="GN27" s="39"/>
      <c r="GO27" s="39"/>
      <c r="GP27" s="39"/>
      <c r="GQ27" s="39"/>
      <c r="GR27" s="39"/>
      <c r="GS27" s="39"/>
      <c r="GT27" s="39"/>
      <c r="GU27" s="39"/>
      <c r="GV27" s="39"/>
      <c r="GW27" s="39"/>
      <c r="GX27" s="39"/>
      <c r="GY27" s="39"/>
      <c r="GZ27" s="39"/>
      <c r="HA27" s="39"/>
      <c r="HB27" s="39"/>
      <c r="HC27" s="39"/>
      <c r="HD27" s="39"/>
      <c r="HE27" s="39"/>
      <c r="HF27" s="39"/>
      <c r="HG27" s="39"/>
      <c r="HH27" s="39"/>
      <c r="HI27" s="39"/>
      <c r="HJ27" s="39"/>
      <c r="HK27" s="39"/>
      <c r="HL27" s="39"/>
      <c r="HM27" s="39"/>
      <c r="HN27" s="39"/>
      <c r="HO27" s="39"/>
      <c r="HP27" s="39"/>
      <c r="HQ27" s="39"/>
      <c r="HR27" s="39"/>
      <c r="HS27" s="39"/>
      <c r="HT27" s="39"/>
      <c r="HU27" s="39"/>
      <c r="HV27" s="39"/>
      <c r="HW27" s="39"/>
      <c r="HX27" s="39"/>
      <c r="HY27" s="39"/>
      <c r="HZ27" s="39"/>
      <c r="IA27" s="39"/>
      <c r="IB27" s="39"/>
      <c r="IC27" s="39"/>
      <c r="ID27" s="39"/>
      <c r="IE27" s="39"/>
      <c r="IF27" s="39"/>
      <c r="IG27" s="39"/>
      <c r="IH27" s="39"/>
      <c r="II27" s="39"/>
      <c r="IJ27" s="39"/>
      <c r="IK27" s="39"/>
      <c r="IL27" s="39"/>
      <c r="IM27" s="39"/>
      <c r="IN27" s="39"/>
      <c r="IO27" s="39"/>
      <c r="IP27" s="39"/>
      <c r="IQ27" s="39"/>
      <c r="IR27" s="39"/>
      <c r="IS27" s="39"/>
      <c r="IT27" s="39"/>
      <c r="IU27" s="39"/>
    </row>
    <row r="28" spans="1:256" ht="12.9" customHeight="1" x14ac:dyDescent="0.25">
      <c r="C28" s="52"/>
      <c r="D28" s="52"/>
      <c r="E28" s="52"/>
      <c r="F28" s="52"/>
      <c r="G28" s="52"/>
      <c r="H28" s="52"/>
      <c r="I28" s="52"/>
      <c r="J28" s="52"/>
      <c r="K28" s="54"/>
      <c r="L28" s="79" t="s">
        <v>25</v>
      </c>
      <c r="M28" s="284">
        <v>34.896498739837426</v>
      </c>
      <c r="N28" s="284">
        <v>37.279302694136256</v>
      </c>
      <c r="O28" s="284">
        <v>16.754444444444474</v>
      </c>
      <c r="P28" s="284">
        <v>11.519005286816505</v>
      </c>
      <c r="Q28" s="284">
        <v>16.5324510514866</v>
      </c>
      <c r="R28" s="284">
        <v>10.134807735052231</v>
      </c>
      <c r="S28" s="285">
        <v>0.72009768409456643</v>
      </c>
      <c r="T28" s="284">
        <v>8.620178198331395</v>
      </c>
      <c r="U28" s="337">
        <v>6.7901229999999993E-2</v>
      </c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  <c r="DM28" s="39"/>
      <c r="DN28" s="39"/>
      <c r="DO28" s="39"/>
      <c r="DP28" s="39"/>
      <c r="DQ28" s="39"/>
      <c r="DR28" s="39"/>
      <c r="DS28" s="39"/>
      <c r="DT28" s="39"/>
      <c r="DU28" s="39"/>
      <c r="DV28" s="39"/>
      <c r="DW28" s="39"/>
      <c r="DX28" s="39"/>
      <c r="DY28" s="39"/>
      <c r="DZ28" s="39"/>
      <c r="EA28" s="39"/>
      <c r="EB28" s="39"/>
      <c r="EC28" s="39"/>
      <c r="ED28" s="39"/>
      <c r="EE28" s="39"/>
      <c r="EF28" s="39"/>
      <c r="EG28" s="39"/>
      <c r="EH28" s="39"/>
      <c r="EI28" s="39"/>
      <c r="EJ28" s="39"/>
      <c r="EK28" s="39"/>
      <c r="EL28" s="39"/>
      <c r="EM28" s="39"/>
      <c r="EN28" s="39"/>
      <c r="EO28" s="39"/>
      <c r="EP28" s="39"/>
      <c r="EQ28" s="39"/>
      <c r="ER28" s="39"/>
      <c r="ES28" s="39"/>
      <c r="ET28" s="39"/>
      <c r="EU28" s="39"/>
      <c r="EV28" s="39"/>
      <c r="EW28" s="39"/>
      <c r="EX28" s="39"/>
      <c r="EY28" s="39"/>
      <c r="EZ28" s="39"/>
      <c r="FA28" s="39"/>
      <c r="FB28" s="39"/>
      <c r="FC28" s="39"/>
      <c r="FD28" s="39"/>
      <c r="FE28" s="39"/>
      <c r="FF28" s="39"/>
      <c r="FG28" s="39"/>
      <c r="FH28" s="39"/>
      <c r="FI28" s="39"/>
      <c r="FJ28" s="39"/>
      <c r="FK28" s="39"/>
      <c r="FL28" s="39"/>
      <c r="FM28" s="39"/>
      <c r="FN28" s="39"/>
      <c r="FO28" s="39"/>
      <c r="FP28" s="39"/>
      <c r="FQ28" s="39"/>
      <c r="FR28" s="39"/>
      <c r="FS28" s="39"/>
      <c r="FT28" s="39"/>
      <c r="FU28" s="39"/>
      <c r="FV28" s="39"/>
      <c r="FW28" s="39"/>
      <c r="FX28" s="39"/>
      <c r="FY28" s="39"/>
      <c r="FZ28" s="39"/>
      <c r="GA28" s="39"/>
      <c r="GB28" s="39"/>
      <c r="GC28" s="39"/>
      <c r="GD28" s="39"/>
      <c r="GE28" s="39"/>
      <c r="GF28" s="39"/>
      <c r="GG28" s="39"/>
      <c r="GH28" s="39"/>
      <c r="GI28" s="39"/>
      <c r="GJ28" s="39"/>
      <c r="GK28" s="39"/>
      <c r="GL28" s="39"/>
      <c r="GM28" s="39"/>
      <c r="GN28" s="39"/>
      <c r="GO28" s="39"/>
      <c r="GP28" s="39"/>
      <c r="GQ28" s="39"/>
      <c r="GR28" s="39"/>
      <c r="GS28" s="39"/>
      <c r="GT28" s="39"/>
      <c r="GU28" s="39"/>
      <c r="GV28" s="39"/>
      <c r="GW28" s="39"/>
      <c r="GX28" s="39"/>
      <c r="GY28" s="39"/>
      <c r="GZ28" s="39"/>
      <c r="HA28" s="39"/>
      <c r="HB28" s="39"/>
      <c r="HC28" s="39"/>
      <c r="HD28" s="39"/>
      <c r="HE28" s="39"/>
      <c r="HF28" s="39"/>
      <c r="HG28" s="39"/>
      <c r="HH28" s="39"/>
      <c r="HI28" s="39"/>
      <c r="HJ28" s="39"/>
      <c r="HK28" s="39"/>
      <c r="HL28" s="39"/>
      <c r="HM28" s="39"/>
      <c r="HN28" s="39"/>
      <c r="HO28" s="39"/>
      <c r="HP28" s="39"/>
      <c r="HQ28" s="39"/>
      <c r="HR28" s="39"/>
      <c r="HS28" s="39"/>
      <c r="HT28" s="39"/>
      <c r="HU28" s="39"/>
      <c r="HV28" s="39"/>
      <c r="HW28" s="39"/>
      <c r="HX28" s="39"/>
      <c r="HY28" s="39"/>
      <c r="HZ28" s="39"/>
      <c r="IA28" s="39"/>
      <c r="IB28" s="39"/>
      <c r="IC28" s="39"/>
      <c r="ID28" s="39"/>
      <c r="IE28" s="39"/>
      <c r="IF28" s="39"/>
      <c r="IG28" s="39"/>
      <c r="IH28" s="39"/>
      <c r="II28" s="39"/>
      <c r="IJ28" s="39"/>
      <c r="IK28" s="39"/>
      <c r="IL28" s="39"/>
      <c r="IM28" s="39"/>
      <c r="IN28" s="39"/>
      <c r="IO28" s="39"/>
      <c r="IP28" s="39"/>
      <c r="IQ28" s="39"/>
      <c r="IR28" s="39"/>
      <c r="IS28" s="39"/>
      <c r="IT28" s="39"/>
      <c r="IU28" s="39"/>
    </row>
    <row r="29" spans="1:256" ht="12.9" customHeight="1" x14ac:dyDescent="0.25">
      <c r="C29" s="52"/>
      <c r="D29" s="52"/>
      <c r="E29" s="52"/>
      <c r="F29" s="52"/>
      <c r="G29" s="52"/>
      <c r="H29" s="52"/>
      <c r="I29" s="52"/>
      <c r="J29" s="52"/>
      <c r="K29" s="52"/>
      <c r="L29" s="80" t="s">
        <v>26</v>
      </c>
      <c r="M29" s="289">
        <v>12.438439252336449</v>
      </c>
      <c r="N29" s="289">
        <v>5.6902816901408446</v>
      </c>
      <c r="O29" s="289">
        <v>3.8440532825880109</v>
      </c>
      <c r="P29" s="289">
        <v>2.5187655860349123</v>
      </c>
      <c r="Q29" s="289">
        <v>6.5794718573615176</v>
      </c>
      <c r="R29" s="289">
        <v>4.6333814094286412</v>
      </c>
      <c r="S29" s="290">
        <v>0.14640833485651616</v>
      </c>
      <c r="T29" s="289">
        <v>0.6442718632391401</v>
      </c>
      <c r="U29" s="338">
        <v>0</v>
      </c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  <c r="DN29" s="39"/>
      <c r="DO29" s="39"/>
      <c r="DP29" s="39"/>
      <c r="DQ29" s="39"/>
      <c r="DR29" s="39"/>
      <c r="DS29" s="39"/>
      <c r="DT29" s="39"/>
      <c r="DU29" s="39"/>
      <c r="DV29" s="39"/>
      <c r="DW29" s="39"/>
      <c r="DX29" s="39"/>
      <c r="DY29" s="39"/>
      <c r="DZ29" s="39"/>
      <c r="EA29" s="39"/>
      <c r="EB29" s="39"/>
      <c r="EC29" s="39"/>
      <c r="ED29" s="39"/>
      <c r="EE29" s="39"/>
      <c r="EF29" s="39"/>
      <c r="EG29" s="39"/>
      <c r="EH29" s="39"/>
      <c r="EI29" s="39"/>
      <c r="EJ29" s="39"/>
      <c r="EK29" s="39"/>
      <c r="EL29" s="39"/>
      <c r="EM29" s="39"/>
      <c r="EN29" s="39"/>
      <c r="EO29" s="39"/>
      <c r="EP29" s="39"/>
      <c r="EQ29" s="39"/>
      <c r="ER29" s="39"/>
      <c r="ES29" s="39"/>
      <c r="ET29" s="39"/>
      <c r="EU29" s="39"/>
      <c r="EV29" s="39"/>
      <c r="EW29" s="39"/>
      <c r="EX29" s="39"/>
      <c r="EY29" s="39"/>
      <c r="EZ29" s="39"/>
      <c r="FA29" s="39"/>
      <c r="FB29" s="39"/>
      <c r="FC29" s="39"/>
      <c r="FD29" s="39"/>
      <c r="FE29" s="39"/>
      <c r="FF29" s="39"/>
      <c r="FG29" s="39"/>
      <c r="FH29" s="39"/>
      <c r="FI29" s="39"/>
      <c r="FJ29" s="39"/>
      <c r="FK29" s="39"/>
      <c r="FL29" s="39"/>
      <c r="FM29" s="39"/>
      <c r="FN29" s="39"/>
      <c r="FO29" s="39"/>
      <c r="FP29" s="39"/>
      <c r="FQ29" s="39"/>
      <c r="FR29" s="39"/>
      <c r="FS29" s="39"/>
      <c r="FT29" s="39"/>
      <c r="FU29" s="39"/>
      <c r="FV29" s="39"/>
      <c r="FW29" s="39"/>
      <c r="FX29" s="39"/>
      <c r="FY29" s="39"/>
      <c r="FZ29" s="39"/>
      <c r="GA29" s="39"/>
      <c r="GB29" s="39"/>
      <c r="GC29" s="39"/>
      <c r="GD29" s="39"/>
      <c r="GE29" s="39"/>
      <c r="GF29" s="39"/>
      <c r="GG29" s="39"/>
      <c r="GH29" s="39"/>
      <c r="GI29" s="39"/>
      <c r="GJ29" s="39"/>
      <c r="GK29" s="39"/>
      <c r="GL29" s="39"/>
      <c r="GM29" s="39"/>
      <c r="GN29" s="39"/>
      <c r="GO29" s="39"/>
      <c r="GP29" s="39"/>
      <c r="GQ29" s="39"/>
      <c r="GR29" s="39"/>
      <c r="GS29" s="39"/>
      <c r="GT29" s="39"/>
      <c r="GU29" s="39"/>
      <c r="GV29" s="39"/>
      <c r="GW29" s="39"/>
      <c r="GX29" s="39"/>
      <c r="GY29" s="39"/>
      <c r="GZ29" s="39"/>
      <c r="HA29" s="39"/>
      <c r="HB29" s="39"/>
      <c r="HC29" s="39"/>
      <c r="HD29" s="39"/>
      <c r="HE29" s="39"/>
      <c r="HF29" s="39"/>
      <c r="HG29" s="39"/>
      <c r="HH29" s="39"/>
      <c r="HI29" s="39"/>
      <c r="HJ29" s="39"/>
      <c r="HK29" s="39"/>
      <c r="HL29" s="39"/>
      <c r="HM29" s="39"/>
      <c r="HN29" s="39"/>
      <c r="HO29" s="39"/>
      <c r="HP29" s="39"/>
      <c r="HQ29" s="39"/>
      <c r="HR29" s="39"/>
      <c r="HS29" s="39"/>
      <c r="HT29" s="39"/>
      <c r="HU29" s="39"/>
      <c r="HV29" s="39"/>
      <c r="HW29" s="39"/>
      <c r="HX29" s="39"/>
      <c r="HY29" s="39"/>
      <c r="HZ29" s="39"/>
      <c r="IA29" s="39"/>
      <c r="IB29" s="39"/>
      <c r="IC29" s="39"/>
      <c r="ID29" s="39"/>
      <c r="IE29" s="39"/>
      <c r="IF29" s="39"/>
      <c r="IG29" s="39"/>
      <c r="IH29" s="39"/>
      <c r="II29" s="39"/>
      <c r="IJ29" s="39"/>
      <c r="IK29" s="39"/>
      <c r="IL29" s="39"/>
      <c r="IM29" s="39"/>
      <c r="IN29" s="39"/>
      <c r="IO29" s="39"/>
      <c r="IP29" s="39"/>
      <c r="IQ29" s="39"/>
      <c r="IR29" s="39"/>
      <c r="IS29" s="39"/>
      <c r="IT29" s="39"/>
      <c r="IU29" s="39"/>
    </row>
    <row r="30" spans="1:256" ht="12.9" customHeight="1" x14ac:dyDescent="0.25"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  <c r="DS30" s="39"/>
      <c r="DT30" s="39"/>
      <c r="DU30" s="39"/>
      <c r="DV30" s="39"/>
      <c r="DW30" s="39"/>
      <c r="DX30" s="39"/>
      <c r="DY30" s="39"/>
      <c r="DZ30" s="39"/>
      <c r="EA30" s="39"/>
      <c r="EB30" s="39"/>
      <c r="EC30" s="39"/>
      <c r="ED30" s="39"/>
      <c r="EE30" s="39"/>
      <c r="EF30" s="39"/>
      <c r="EG30" s="39"/>
      <c r="EH30" s="39"/>
      <c r="EI30" s="39"/>
      <c r="EJ30" s="39"/>
      <c r="EK30" s="39"/>
      <c r="EL30" s="39"/>
      <c r="EM30" s="39"/>
      <c r="EN30" s="39"/>
      <c r="EO30" s="39"/>
      <c r="EP30" s="39"/>
      <c r="EQ30" s="39"/>
      <c r="ER30" s="39"/>
      <c r="ES30" s="39"/>
      <c r="ET30" s="39"/>
      <c r="EU30" s="39"/>
      <c r="EV30" s="39"/>
      <c r="EW30" s="39"/>
      <c r="EX30" s="39"/>
      <c r="EY30" s="39"/>
      <c r="EZ30" s="39"/>
      <c r="FA30" s="39"/>
      <c r="FB30" s="39"/>
      <c r="FC30" s="39"/>
      <c r="FD30" s="39"/>
      <c r="FE30" s="39"/>
      <c r="FF30" s="39"/>
      <c r="FG30" s="39"/>
      <c r="FH30" s="39"/>
      <c r="FI30" s="39"/>
      <c r="FJ30" s="39"/>
      <c r="FK30" s="39"/>
      <c r="FL30" s="39"/>
      <c r="FM30" s="39"/>
      <c r="FN30" s="39"/>
      <c r="FO30" s="39"/>
      <c r="FP30" s="39"/>
      <c r="FQ30" s="39"/>
      <c r="FR30" s="39"/>
      <c r="FS30" s="39"/>
      <c r="FT30" s="39"/>
      <c r="FU30" s="39"/>
      <c r="FV30" s="39"/>
      <c r="FW30" s="39"/>
      <c r="FX30" s="39"/>
      <c r="FY30" s="39"/>
      <c r="FZ30" s="39"/>
      <c r="GA30" s="39"/>
      <c r="GB30" s="39"/>
      <c r="GC30" s="39"/>
      <c r="GD30" s="39"/>
      <c r="GE30" s="39"/>
      <c r="GF30" s="39"/>
      <c r="GG30" s="39"/>
      <c r="GH30" s="39"/>
      <c r="GI30" s="39"/>
      <c r="GJ30" s="39"/>
      <c r="GK30" s="39"/>
      <c r="GL30" s="39"/>
      <c r="GM30" s="39"/>
      <c r="GN30" s="39"/>
      <c r="GO30" s="39"/>
      <c r="GP30" s="39"/>
      <c r="GQ30" s="39"/>
      <c r="GR30" s="39"/>
      <c r="GS30" s="39"/>
      <c r="GT30" s="39"/>
      <c r="GU30" s="39"/>
      <c r="GV30" s="39"/>
      <c r="GW30" s="39"/>
      <c r="GX30" s="39"/>
      <c r="GY30" s="39"/>
      <c r="GZ30" s="39"/>
      <c r="HA30" s="39"/>
      <c r="HB30" s="39"/>
      <c r="HC30" s="39"/>
      <c r="HD30" s="39"/>
      <c r="HE30" s="39"/>
      <c r="HF30" s="39"/>
      <c r="HG30" s="39"/>
      <c r="HH30" s="39"/>
      <c r="HI30" s="39"/>
      <c r="HJ30" s="39"/>
      <c r="HK30" s="39"/>
      <c r="HL30" s="39"/>
      <c r="HM30" s="39"/>
      <c r="HN30" s="39"/>
      <c r="HO30" s="39"/>
      <c r="HP30" s="39"/>
      <c r="HQ30" s="39"/>
      <c r="HR30" s="39"/>
      <c r="HS30" s="39"/>
      <c r="HT30" s="39"/>
      <c r="HU30" s="39"/>
      <c r="HV30" s="39"/>
      <c r="HW30" s="39"/>
      <c r="HX30" s="39"/>
      <c r="HY30" s="39"/>
      <c r="HZ30" s="39"/>
      <c r="IA30" s="39"/>
      <c r="IB30" s="39"/>
      <c r="IC30" s="39"/>
      <c r="ID30" s="39"/>
      <c r="IE30" s="39"/>
      <c r="IF30" s="39"/>
      <c r="IG30" s="39"/>
      <c r="IH30" s="39"/>
      <c r="II30" s="39"/>
      <c r="IJ30" s="39"/>
      <c r="IK30" s="39"/>
      <c r="IL30" s="39"/>
      <c r="IM30" s="39"/>
      <c r="IN30" s="39"/>
      <c r="IO30" s="39"/>
      <c r="IP30" s="39"/>
      <c r="IQ30" s="39"/>
      <c r="IR30" s="39"/>
      <c r="IS30" s="39"/>
      <c r="IT30" s="39"/>
      <c r="IU30" s="39"/>
    </row>
    <row r="31" spans="1:256" s="270" customFormat="1" ht="12.9" hidden="1" customHeight="1" outlineLevel="1" x14ac:dyDescent="0.25">
      <c r="C31" s="294"/>
      <c r="D31" s="294"/>
      <c r="E31" s="294" t="s">
        <v>496</v>
      </c>
      <c r="F31" s="294" t="s">
        <v>497</v>
      </c>
      <c r="G31" s="294" t="s">
        <v>498</v>
      </c>
      <c r="H31" s="294"/>
      <c r="I31" s="294"/>
      <c r="J31" s="294"/>
      <c r="K31" s="294" t="s">
        <v>432</v>
      </c>
      <c r="L31" s="294" t="s">
        <v>433</v>
      </c>
      <c r="M31" s="294" t="s">
        <v>499</v>
      </c>
      <c r="N31" s="294" t="s">
        <v>500</v>
      </c>
      <c r="O31" s="294"/>
      <c r="P31" s="294"/>
      <c r="Q31" s="294" t="s">
        <v>381</v>
      </c>
      <c r="R31" s="294" t="s">
        <v>363</v>
      </c>
      <c r="S31" s="294" t="s">
        <v>501</v>
      </c>
      <c r="T31" s="294"/>
      <c r="U31" s="294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39"/>
      <c r="EQ31" s="39"/>
      <c r="ER31" s="39"/>
      <c r="ES31" s="39"/>
      <c r="ET31" s="39"/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39"/>
      <c r="FF31" s="39"/>
      <c r="FG31" s="39"/>
      <c r="FH31" s="39"/>
      <c r="FI31" s="39"/>
      <c r="FJ31" s="39"/>
      <c r="FK31" s="39"/>
      <c r="FL31" s="39"/>
      <c r="FM31" s="39"/>
      <c r="FN31" s="39"/>
      <c r="FO31" s="39"/>
      <c r="FP31" s="39"/>
      <c r="FQ31" s="39"/>
      <c r="FR31" s="39"/>
      <c r="FS31" s="39"/>
      <c r="FT31" s="39"/>
      <c r="FU31" s="39"/>
      <c r="FV31" s="39"/>
      <c r="FW31" s="39"/>
      <c r="FX31" s="39"/>
      <c r="FY31" s="39"/>
      <c r="FZ31" s="39"/>
      <c r="GA31" s="39"/>
      <c r="GB31" s="39"/>
      <c r="GC31" s="39"/>
      <c r="GD31" s="39"/>
      <c r="GE31" s="39"/>
      <c r="GF31" s="39"/>
      <c r="GG31" s="39"/>
      <c r="GH31" s="39"/>
      <c r="GI31" s="39"/>
      <c r="GJ31" s="39"/>
      <c r="GK31" s="39"/>
      <c r="GL31" s="39"/>
      <c r="GM31" s="39"/>
      <c r="GN31" s="39"/>
      <c r="GO31" s="39"/>
      <c r="GP31" s="39"/>
      <c r="GQ31" s="39"/>
      <c r="GR31" s="39"/>
      <c r="GS31" s="39"/>
      <c r="GT31" s="39"/>
      <c r="GU31" s="39"/>
      <c r="GV31" s="39"/>
      <c r="GW31" s="39"/>
      <c r="GX31" s="39"/>
      <c r="GY31" s="39"/>
      <c r="GZ31" s="39"/>
      <c r="HA31" s="39"/>
      <c r="HB31" s="39"/>
      <c r="HC31" s="39"/>
      <c r="HD31" s="39"/>
      <c r="HE31" s="39"/>
      <c r="HF31" s="39"/>
      <c r="HG31" s="39"/>
      <c r="HH31" s="39"/>
      <c r="HI31" s="39"/>
      <c r="HJ31" s="39"/>
      <c r="HK31" s="39"/>
      <c r="HL31" s="39"/>
      <c r="HM31" s="39"/>
      <c r="HN31" s="39"/>
      <c r="HO31" s="39"/>
      <c r="HP31" s="39"/>
      <c r="HQ31" s="39"/>
      <c r="HR31" s="39"/>
      <c r="HS31" s="39"/>
      <c r="HT31" s="39"/>
      <c r="HU31" s="39"/>
      <c r="HV31" s="39"/>
      <c r="HW31" s="39"/>
      <c r="HX31" s="39"/>
      <c r="HY31" s="39"/>
      <c r="HZ31" s="39"/>
      <c r="IA31" s="39"/>
      <c r="IB31" s="39"/>
      <c r="IC31" s="39"/>
      <c r="ID31" s="39"/>
      <c r="IE31" s="39"/>
      <c r="IF31" s="39"/>
      <c r="IG31" s="39"/>
      <c r="IH31" s="39"/>
      <c r="II31" s="39"/>
      <c r="IJ31" s="39"/>
      <c r="IK31" s="39"/>
      <c r="IL31" s="39"/>
      <c r="IM31" s="39"/>
      <c r="IN31" s="39"/>
      <c r="IO31" s="39"/>
      <c r="IP31" s="39"/>
      <c r="IQ31" s="39"/>
      <c r="IR31" s="39"/>
      <c r="IS31" s="39"/>
      <c r="IT31" s="39"/>
      <c r="IU31" s="39"/>
    </row>
    <row r="32" spans="1:256" ht="12.9" customHeight="1" collapsed="1" x14ac:dyDescent="0.25">
      <c r="C32" s="52"/>
      <c r="D32" s="52"/>
      <c r="E32" s="52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9"/>
      <c r="EO32" s="39"/>
      <c r="EP32" s="39"/>
      <c r="EQ32" s="39"/>
      <c r="ER32" s="39"/>
      <c r="ES32" s="39"/>
      <c r="ET32" s="39"/>
      <c r="EU32" s="39"/>
      <c r="EV32" s="39"/>
      <c r="EW32" s="39"/>
      <c r="EX32" s="39"/>
      <c r="EY32" s="39"/>
      <c r="EZ32" s="39"/>
      <c r="FA32" s="39"/>
      <c r="FB32" s="39"/>
      <c r="FC32" s="39"/>
      <c r="FD32" s="39"/>
      <c r="FE32" s="39"/>
      <c r="FF32" s="39"/>
      <c r="FG32" s="39"/>
      <c r="FH32" s="39"/>
      <c r="FI32" s="39"/>
      <c r="FJ32" s="39"/>
      <c r="FK32" s="39"/>
      <c r="FL32" s="39"/>
      <c r="FM32" s="39"/>
      <c r="FN32" s="39"/>
      <c r="FO32" s="39"/>
      <c r="FP32" s="39"/>
      <c r="FQ32" s="39"/>
      <c r="FR32" s="39"/>
      <c r="FS32" s="39"/>
      <c r="FT32" s="39"/>
      <c r="FU32" s="39"/>
      <c r="FV32" s="39"/>
      <c r="FW32" s="39"/>
      <c r="FX32" s="39"/>
      <c r="FY32" s="39"/>
      <c r="FZ32" s="39"/>
      <c r="GA32" s="39"/>
      <c r="GB32" s="39"/>
      <c r="GC32" s="39"/>
      <c r="GD32" s="39"/>
      <c r="GE32" s="39"/>
      <c r="GF32" s="39"/>
      <c r="GG32" s="39"/>
      <c r="GH32" s="39"/>
      <c r="GI32" s="39"/>
      <c r="GJ32" s="39"/>
      <c r="GK32" s="39"/>
      <c r="GL32" s="39"/>
      <c r="GM32" s="39"/>
      <c r="GN32" s="39"/>
      <c r="GO32" s="39"/>
      <c r="GP32" s="39"/>
      <c r="GQ32" s="39"/>
      <c r="GR32" s="39"/>
      <c r="GS32" s="39"/>
      <c r="GT32" s="39"/>
      <c r="GU32" s="39"/>
      <c r="GV32" s="39"/>
      <c r="GW32" s="39"/>
      <c r="GX32" s="39"/>
      <c r="GY32" s="39"/>
      <c r="GZ32" s="39"/>
      <c r="HA32" s="39"/>
      <c r="HB32" s="39"/>
      <c r="HC32" s="39"/>
      <c r="HD32" s="39"/>
      <c r="HE32" s="39"/>
      <c r="HF32" s="39"/>
      <c r="HG32" s="39"/>
      <c r="HH32" s="39"/>
      <c r="HI32" s="39"/>
      <c r="HJ32" s="39"/>
      <c r="HK32" s="39"/>
      <c r="HL32" s="39"/>
      <c r="HM32" s="39"/>
      <c r="HN32" s="39"/>
      <c r="HO32" s="39"/>
      <c r="HP32" s="39"/>
      <c r="HQ32" s="39"/>
      <c r="HR32" s="39"/>
      <c r="HS32" s="39"/>
      <c r="HT32" s="39"/>
      <c r="HU32" s="39"/>
      <c r="HV32" s="39"/>
      <c r="HW32" s="39"/>
      <c r="HX32" s="39"/>
      <c r="HY32" s="39"/>
      <c r="HZ32" s="39"/>
      <c r="IA32" s="39"/>
      <c r="IB32" s="39"/>
      <c r="IC32" s="39"/>
      <c r="ID32" s="39"/>
      <c r="IE32" s="39"/>
      <c r="IF32" s="39"/>
      <c r="IG32" s="39"/>
      <c r="IH32" s="39"/>
      <c r="II32" s="39"/>
      <c r="IJ32" s="39"/>
      <c r="IK32" s="39"/>
      <c r="IL32" s="39"/>
      <c r="IM32" s="39"/>
      <c r="IN32" s="39"/>
      <c r="IO32" s="39"/>
      <c r="IP32" s="39"/>
      <c r="IQ32" s="39"/>
      <c r="IR32" s="39"/>
      <c r="IS32" s="39"/>
      <c r="IT32" s="39"/>
      <c r="IU32" s="39"/>
    </row>
    <row r="33" spans="2:256" ht="12.9" customHeight="1" x14ac:dyDescent="0.25">
      <c r="B33" s="57"/>
      <c r="C33" s="49" t="s">
        <v>141</v>
      </c>
      <c r="D33" s="49"/>
      <c r="E33" s="49" t="s">
        <v>41</v>
      </c>
      <c r="F33" s="49"/>
      <c r="G33" s="49"/>
      <c r="H33" s="49"/>
      <c r="I33" s="49"/>
      <c r="J33" s="49"/>
      <c r="K33" s="49" t="s">
        <v>42</v>
      </c>
      <c r="L33" s="49"/>
      <c r="M33" s="49" t="s">
        <v>43</v>
      </c>
      <c r="N33" s="49"/>
      <c r="P33" s="57"/>
      <c r="Q33" s="49"/>
      <c r="R33" s="49"/>
      <c r="S33" s="49"/>
      <c r="T33" s="49"/>
      <c r="U33" s="57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  <c r="DS33" s="39"/>
      <c r="DT33" s="39"/>
      <c r="DU33" s="39"/>
      <c r="DV33" s="39"/>
      <c r="DW33" s="39"/>
      <c r="DX33" s="39"/>
      <c r="DY33" s="39"/>
      <c r="DZ33" s="39"/>
      <c r="EA33" s="39"/>
      <c r="EB33" s="39"/>
      <c r="EC33" s="39"/>
      <c r="ED33" s="39"/>
      <c r="EE33" s="39"/>
      <c r="EF33" s="39"/>
      <c r="EG33" s="39"/>
      <c r="EH33" s="39"/>
      <c r="EI33" s="39"/>
      <c r="EJ33" s="39"/>
      <c r="EK33" s="39"/>
      <c r="EL33" s="39"/>
      <c r="EM33" s="39"/>
      <c r="EN33" s="39"/>
      <c r="EO33" s="39"/>
      <c r="EP33" s="39"/>
      <c r="EQ33" s="39"/>
      <c r="ER33" s="39"/>
      <c r="ES33" s="39"/>
      <c r="ET33" s="39"/>
      <c r="EU33" s="39"/>
      <c r="EV33" s="39"/>
      <c r="EW33" s="39"/>
      <c r="EX33" s="39"/>
      <c r="EY33" s="39"/>
      <c r="EZ33" s="39"/>
      <c r="FA33" s="39"/>
      <c r="FB33" s="39"/>
      <c r="FC33" s="39"/>
      <c r="FD33" s="39"/>
      <c r="FE33" s="39"/>
      <c r="FF33" s="39"/>
      <c r="FG33" s="39"/>
      <c r="FH33" s="39"/>
      <c r="FI33" s="39"/>
      <c r="FJ33" s="39"/>
      <c r="FK33" s="39"/>
      <c r="FL33" s="39"/>
      <c r="FM33" s="39"/>
      <c r="FN33" s="39"/>
      <c r="FO33" s="39"/>
      <c r="FP33" s="39"/>
      <c r="FQ33" s="39"/>
      <c r="FR33" s="39"/>
      <c r="FS33" s="39"/>
      <c r="FT33" s="39"/>
      <c r="FU33" s="39"/>
      <c r="FV33" s="39"/>
      <c r="FW33" s="39"/>
      <c r="FX33" s="39"/>
      <c r="FY33" s="39"/>
      <c r="FZ33" s="39"/>
      <c r="GA33" s="39"/>
      <c r="GB33" s="39"/>
      <c r="GC33" s="39"/>
      <c r="GD33" s="39"/>
      <c r="GE33" s="39"/>
      <c r="GF33" s="39"/>
      <c r="GG33" s="39"/>
      <c r="GH33" s="39"/>
      <c r="GI33" s="39"/>
      <c r="GJ33" s="39"/>
      <c r="GK33" s="39"/>
      <c r="GL33" s="39"/>
      <c r="GM33" s="39"/>
      <c r="GN33" s="39"/>
      <c r="GO33" s="39"/>
      <c r="GP33" s="39"/>
      <c r="GQ33" s="39"/>
      <c r="GR33" s="39"/>
      <c r="GS33" s="39"/>
      <c r="GT33" s="39"/>
      <c r="GU33" s="39"/>
      <c r="GV33" s="39"/>
      <c r="GW33" s="39"/>
      <c r="GX33" s="39"/>
      <c r="GY33" s="39"/>
      <c r="GZ33" s="39"/>
      <c r="HA33" s="39"/>
      <c r="HB33" s="39"/>
      <c r="HC33" s="39"/>
      <c r="HD33" s="39"/>
      <c r="HE33" s="39"/>
      <c r="HF33" s="39"/>
      <c r="HG33" s="39"/>
      <c r="HH33" s="39"/>
      <c r="HI33" s="39"/>
      <c r="HJ33" s="39"/>
      <c r="HK33" s="39"/>
      <c r="HL33" s="39"/>
      <c r="HM33" s="39"/>
      <c r="HN33" s="39"/>
      <c r="HO33" s="39"/>
      <c r="HP33" s="39"/>
      <c r="HQ33" s="39"/>
      <c r="HR33" s="39"/>
      <c r="HS33" s="39"/>
      <c r="HT33" s="39"/>
      <c r="HU33" s="39"/>
      <c r="HV33" s="39"/>
      <c r="HW33" s="39"/>
      <c r="HX33" s="39"/>
      <c r="HY33" s="39"/>
      <c r="HZ33" s="39"/>
      <c r="IA33" s="39"/>
      <c r="IB33" s="39"/>
      <c r="IC33" s="39"/>
      <c r="ID33" s="39"/>
      <c r="IE33" s="39"/>
      <c r="IF33" s="39"/>
      <c r="IG33" s="39"/>
      <c r="IH33" s="39"/>
      <c r="II33" s="39"/>
      <c r="IJ33" s="39"/>
      <c r="IK33" s="39"/>
      <c r="IL33" s="39"/>
      <c r="IM33" s="39"/>
      <c r="IN33" s="39"/>
      <c r="IO33" s="39"/>
      <c r="IP33" s="39"/>
      <c r="IQ33" s="39"/>
      <c r="IR33" s="39"/>
      <c r="IS33" s="39"/>
      <c r="IT33" s="39"/>
      <c r="IU33" s="39"/>
    </row>
    <row r="34" spans="2:256" ht="12.9" customHeight="1" x14ac:dyDescent="0.25">
      <c r="B34" s="57"/>
      <c r="C34" s="150" t="s">
        <v>37</v>
      </c>
      <c r="D34" s="58"/>
      <c r="E34" s="150" t="s">
        <v>37</v>
      </c>
      <c r="F34" s="58"/>
      <c r="G34" s="58"/>
      <c r="H34" s="58"/>
      <c r="I34" s="58"/>
      <c r="J34" s="58"/>
      <c r="K34" s="150" t="s">
        <v>37</v>
      </c>
      <c r="L34" s="58"/>
      <c r="M34" s="150" t="s">
        <v>37</v>
      </c>
      <c r="N34" s="58"/>
      <c r="P34" s="57"/>
      <c r="Q34" s="49"/>
      <c r="R34" s="49"/>
      <c r="S34" s="49"/>
      <c r="T34" s="49"/>
      <c r="U34" s="57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39"/>
      <c r="EN34" s="39"/>
      <c r="EO34" s="39"/>
      <c r="EP34" s="39"/>
      <c r="EQ34" s="39"/>
      <c r="ER34" s="39"/>
      <c r="ES34" s="39"/>
      <c r="ET34" s="39"/>
      <c r="EU34" s="39"/>
      <c r="EV34" s="39"/>
      <c r="EW34" s="39"/>
      <c r="EX34" s="39"/>
      <c r="EY34" s="39"/>
      <c r="EZ34" s="39"/>
      <c r="FA34" s="39"/>
      <c r="FB34" s="39"/>
      <c r="FC34" s="39"/>
      <c r="FD34" s="39"/>
      <c r="FE34" s="39"/>
      <c r="FF34" s="39"/>
      <c r="FG34" s="39"/>
      <c r="FH34" s="39"/>
      <c r="FI34" s="39"/>
      <c r="FJ34" s="39"/>
      <c r="FK34" s="39"/>
      <c r="FL34" s="39"/>
      <c r="FM34" s="39"/>
      <c r="FN34" s="39"/>
      <c r="FO34" s="39"/>
      <c r="FP34" s="39"/>
      <c r="FQ34" s="39"/>
      <c r="FR34" s="39"/>
      <c r="FS34" s="39"/>
      <c r="FT34" s="39"/>
      <c r="FU34" s="39"/>
      <c r="FV34" s="39"/>
      <c r="FW34" s="39"/>
      <c r="FX34" s="39"/>
      <c r="FY34" s="39"/>
      <c r="FZ34" s="39"/>
      <c r="GA34" s="39"/>
      <c r="GB34" s="39"/>
      <c r="GC34" s="39"/>
      <c r="GD34" s="39"/>
      <c r="GE34" s="39"/>
      <c r="GF34" s="39"/>
      <c r="GG34" s="39"/>
      <c r="GH34" s="39"/>
      <c r="GI34" s="39"/>
      <c r="GJ34" s="39"/>
      <c r="GK34" s="39"/>
      <c r="GL34" s="39"/>
      <c r="GM34" s="39"/>
      <c r="GN34" s="39"/>
      <c r="GO34" s="39"/>
      <c r="GP34" s="39"/>
      <c r="GQ34" s="39"/>
      <c r="GR34" s="39"/>
      <c r="GS34" s="39"/>
      <c r="GT34" s="39"/>
      <c r="GU34" s="39"/>
      <c r="GV34" s="39"/>
      <c r="GW34" s="39"/>
      <c r="GX34" s="39"/>
      <c r="GY34" s="39"/>
      <c r="GZ34" s="39"/>
      <c r="HA34" s="39"/>
      <c r="HB34" s="39"/>
      <c r="HC34" s="39"/>
      <c r="HD34" s="39"/>
      <c r="HE34" s="39"/>
      <c r="HF34" s="39"/>
      <c r="HG34" s="39"/>
      <c r="HH34" s="39"/>
      <c r="HI34" s="39"/>
      <c r="HJ34" s="39"/>
      <c r="HK34" s="39"/>
      <c r="HL34" s="39"/>
      <c r="HM34" s="39"/>
      <c r="HN34" s="39"/>
      <c r="HO34" s="39"/>
      <c r="HP34" s="39"/>
      <c r="HQ34" s="39"/>
      <c r="HR34" s="39"/>
      <c r="HS34" s="39"/>
      <c r="HT34" s="39"/>
      <c r="HU34" s="39"/>
      <c r="HV34" s="39"/>
      <c r="HW34" s="39"/>
      <c r="HX34" s="39"/>
      <c r="HY34" s="39"/>
      <c r="HZ34" s="39"/>
      <c r="IA34" s="39"/>
      <c r="IB34" s="39"/>
      <c r="IC34" s="39"/>
      <c r="ID34" s="39"/>
      <c r="IE34" s="39"/>
      <c r="IF34" s="39"/>
      <c r="IG34" s="39"/>
      <c r="IH34" s="39"/>
      <c r="II34" s="39"/>
      <c r="IJ34" s="39"/>
      <c r="IK34" s="39"/>
      <c r="IL34" s="39"/>
      <c r="IM34" s="39"/>
      <c r="IN34" s="39"/>
      <c r="IO34" s="39"/>
      <c r="IP34" s="39"/>
      <c r="IQ34" s="39"/>
      <c r="IR34" s="39"/>
      <c r="IS34" s="39"/>
      <c r="IT34" s="39"/>
      <c r="IU34" s="39"/>
    </row>
    <row r="35" spans="2:256" ht="12.9" customHeight="1" x14ac:dyDescent="0.25">
      <c r="C35" s="39"/>
      <c r="D35" s="39"/>
      <c r="E35" s="50" t="s">
        <v>46</v>
      </c>
      <c r="F35" s="50" t="s">
        <v>47</v>
      </c>
      <c r="G35" s="50" t="s">
        <v>7</v>
      </c>
      <c r="H35" s="50"/>
      <c r="I35" s="50"/>
      <c r="J35" s="50"/>
      <c r="K35" s="51"/>
      <c r="P35" s="57"/>
      <c r="Q35" s="49"/>
      <c r="R35" s="49"/>
      <c r="S35" s="49"/>
      <c r="T35" s="49"/>
      <c r="U35" s="57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/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  <c r="ER35" s="39"/>
      <c r="ES35" s="39"/>
      <c r="ET35" s="39"/>
      <c r="EU35" s="39"/>
      <c r="EV35" s="39"/>
      <c r="EW35" s="39"/>
      <c r="EX35" s="39"/>
      <c r="EY35" s="39"/>
      <c r="EZ35" s="39"/>
      <c r="FA35" s="39"/>
      <c r="FB35" s="39"/>
      <c r="FC35" s="39"/>
      <c r="FD35" s="39"/>
      <c r="FE35" s="39"/>
      <c r="FF35" s="39"/>
      <c r="FG35" s="39"/>
      <c r="FH35" s="39"/>
      <c r="FI35" s="39"/>
      <c r="FJ35" s="39"/>
      <c r="FK35" s="39"/>
      <c r="FL35" s="39"/>
      <c r="FM35" s="39"/>
      <c r="FN35" s="39"/>
      <c r="FO35" s="39"/>
      <c r="FP35" s="39"/>
      <c r="FQ35" s="39"/>
      <c r="FR35" s="39"/>
      <c r="FS35" s="39"/>
      <c r="FT35" s="39"/>
      <c r="FU35" s="39"/>
      <c r="FV35" s="39"/>
      <c r="FW35" s="39"/>
      <c r="FX35" s="39"/>
      <c r="FY35" s="39"/>
      <c r="FZ35" s="39"/>
      <c r="GA35" s="39"/>
      <c r="GB35" s="39"/>
      <c r="GC35" s="39"/>
      <c r="GD35" s="39"/>
      <c r="GE35" s="39"/>
      <c r="GF35" s="39"/>
      <c r="GG35" s="39"/>
      <c r="GH35" s="39"/>
      <c r="GI35" s="39"/>
      <c r="GJ35" s="39"/>
      <c r="GK35" s="39"/>
      <c r="GL35" s="39"/>
      <c r="GM35" s="39"/>
      <c r="GN35" s="39"/>
      <c r="GO35" s="39"/>
      <c r="GP35" s="39"/>
      <c r="GQ35" s="39"/>
      <c r="GR35" s="39"/>
      <c r="GS35" s="39"/>
      <c r="GT35" s="39"/>
      <c r="GU35" s="39"/>
      <c r="GV35" s="39"/>
      <c r="GW35" s="39"/>
      <c r="GX35" s="39"/>
      <c r="GY35" s="39"/>
      <c r="GZ35" s="39"/>
      <c r="HA35" s="39"/>
      <c r="HB35" s="39"/>
      <c r="HC35" s="39"/>
      <c r="HD35" s="39"/>
      <c r="HE35" s="39"/>
      <c r="HF35" s="39"/>
      <c r="HG35" s="39"/>
      <c r="HH35" s="39"/>
      <c r="HI35" s="39"/>
      <c r="HJ35" s="39"/>
      <c r="HK35" s="39"/>
      <c r="HL35" s="39"/>
      <c r="HM35" s="39"/>
      <c r="HN35" s="39"/>
      <c r="HO35" s="39"/>
      <c r="HP35" s="39"/>
      <c r="HQ35" s="39"/>
      <c r="HR35" s="39"/>
      <c r="HS35" s="39"/>
      <c r="HT35" s="39"/>
      <c r="HU35" s="39"/>
      <c r="HV35" s="39"/>
      <c r="HW35" s="39"/>
      <c r="HX35" s="39"/>
      <c r="HY35" s="39"/>
      <c r="HZ35" s="39"/>
      <c r="IA35" s="39"/>
      <c r="IB35" s="39"/>
      <c r="IC35" s="39"/>
      <c r="ID35" s="39"/>
      <c r="IE35" s="39"/>
      <c r="IF35" s="39"/>
      <c r="IG35" s="39"/>
      <c r="IH35" s="39"/>
      <c r="II35" s="39"/>
      <c r="IJ35" s="39"/>
      <c r="IK35" s="39"/>
      <c r="IL35" s="39"/>
      <c r="IM35" s="39"/>
      <c r="IN35" s="39"/>
      <c r="IO35" s="39"/>
      <c r="IP35" s="39"/>
      <c r="IQ35" s="39"/>
      <c r="IR35" s="39"/>
      <c r="IS35" s="39"/>
      <c r="IT35" s="39"/>
      <c r="IU35" s="39"/>
    </row>
    <row r="36" spans="2:256" ht="12.9" customHeight="1" x14ac:dyDescent="0.25">
      <c r="B36" s="39" t="s">
        <v>21</v>
      </c>
      <c r="C36" s="39" t="s">
        <v>57</v>
      </c>
      <c r="D36" s="39" t="s">
        <v>58</v>
      </c>
      <c r="E36" s="39" t="s">
        <v>59</v>
      </c>
      <c r="F36" s="39" t="s">
        <v>60</v>
      </c>
      <c r="G36" s="39" t="s">
        <v>61</v>
      </c>
      <c r="H36" s="39"/>
      <c r="I36" s="39"/>
      <c r="J36" s="39"/>
      <c r="K36" s="39" t="s">
        <v>62</v>
      </c>
      <c r="L36" s="39" t="s">
        <v>7</v>
      </c>
      <c r="M36" s="39" t="s">
        <v>63</v>
      </c>
      <c r="N36" s="39" t="s">
        <v>64</v>
      </c>
      <c r="P36" s="57"/>
      <c r="Q36" s="49"/>
      <c r="R36" s="49"/>
      <c r="S36" s="49"/>
      <c r="T36" s="49"/>
      <c r="U36" s="57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  <c r="DS36" s="39"/>
      <c r="DT36" s="39"/>
      <c r="DU36" s="39"/>
      <c r="DV36" s="39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39"/>
      <c r="EN36" s="39"/>
      <c r="EO36" s="39"/>
      <c r="EP36" s="39"/>
      <c r="EQ36" s="39"/>
      <c r="ER36" s="39"/>
      <c r="ES36" s="39"/>
      <c r="ET36" s="39"/>
      <c r="EU36" s="39"/>
      <c r="EV36" s="39"/>
      <c r="EW36" s="39"/>
      <c r="EX36" s="39"/>
      <c r="EY36" s="39"/>
      <c r="EZ36" s="39"/>
      <c r="FA36" s="39"/>
      <c r="FB36" s="39"/>
      <c r="FC36" s="39"/>
      <c r="FD36" s="39"/>
      <c r="FE36" s="39"/>
      <c r="FF36" s="39"/>
      <c r="FG36" s="39"/>
      <c r="FH36" s="39"/>
      <c r="FI36" s="39"/>
      <c r="FJ36" s="39"/>
      <c r="FK36" s="39"/>
      <c r="FL36" s="39"/>
      <c r="FM36" s="39"/>
      <c r="FN36" s="39"/>
      <c r="FO36" s="39"/>
      <c r="FP36" s="39"/>
      <c r="FQ36" s="39"/>
      <c r="FR36" s="39"/>
      <c r="FS36" s="39"/>
      <c r="FT36" s="39"/>
      <c r="FU36" s="39"/>
      <c r="FV36" s="39"/>
      <c r="FW36" s="39"/>
      <c r="FX36" s="39"/>
      <c r="FY36" s="39"/>
      <c r="FZ36" s="39"/>
      <c r="GA36" s="39"/>
      <c r="GB36" s="39"/>
      <c r="GC36" s="39"/>
      <c r="GD36" s="39"/>
      <c r="GE36" s="39"/>
      <c r="GF36" s="39"/>
      <c r="GG36" s="39"/>
      <c r="GH36" s="39"/>
      <c r="GI36" s="39"/>
      <c r="GJ36" s="39"/>
      <c r="GK36" s="39"/>
      <c r="GL36" s="39"/>
      <c r="GM36" s="39"/>
      <c r="GN36" s="39"/>
      <c r="GO36" s="39"/>
      <c r="GP36" s="39"/>
      <c r="GQ36" s="39"/>
      <c r="GR36" s="39"/>
      <c r="GS36" s="39"/>
      <c r="GT36" s="39"/>
      <c r="GU36" s="39"/>
      <c r="GV36" s="39"/>
      <c r="GW36" s="39"/>
      <c r="GX36" s="39"/>
      <c r="GY36" s="39"/>
      <c r="GZ36" s="39"/>
      <c r="HA36" s="39"/>
      <c r="HB36" s="39"/>
      <c r="HC36" s="39"/>
      <c r="HD36" s="39"/>
      <c r="HE36" s="39"/>
      <c r="HF36" s="39"/>
      <c r="HG36" s="39"/>
      <c r="HH36" s="39"/>
      <c r="HI36" s="39"/>
      <c r="HJ36" s="39"/>
      <c r="HK36" s="39"/>
      <c r="HL36" s="39"/>
      <c r="HM36" s="39"/>
      <c r="HN36" s="39"/>
      <c r="HO36" s="39"/>
      <c r="HP36" s="39"/>
      <c r="HQ36" s="39"/>
      <c r="HR36" s="39"/>
      <c r="HS36" s="39"/>
      <c r="HT36" s="39"/>
      <c r="HU36" s="39"/>
      <c r="HV36" s="39"/>
      <c r="HW36" s="39"/>
      <c r="HX36" s="39"/>
      <c r="HY36" s="39"/>
      <c r="HZ36" s="39"/>
      <c r="IA36" s="39"/>
      <c r="IB36" s="39"/>
      <c r="IC36" s="39"/>
      <c r="ID36" s="39"/>
      <c r="IE36" s="39"/>
      <c r="IF36" s="39"/>
      <c r="IG36" s="39"/>
      <c r="IH36" s="39"/>
      <c r="II36" s="39"/>
      <c r="IJ36" s="39"/>
      <c r="IK36" s="39"/>
      <c r="IL36" s="39"/>
      <c r="IM36" s="39"/>
      <c r="IN36" s="39"/>
      <c r="IO36" s="39"/>
      <c r="IP36" s="39"/>
      <c r="IQ36" s="39"/>
      <c r="IR36" s="39"/>
      <c r="IS36" s="39"/>
      <c r="IT36" s="39"/>
      <c r="IU36" s="39"/>
    </row>
    <row r="37" spans="2:256" ht="12.9" customHeight="1" x14ac:dyDescent="0.25">
      <c r="B37" s="150" t="s">
        <v>37</v>
      </c>
      <c r="C37" s="150" t="s">
        <v>37</v>
      </c>
      <c r="D37" s="150" t="s">
        <v>37</v>
      </c>
      <c r="E37" s="150" t="s">
        <v>37</v>
      </c>
      <c r="F37" s="150" t="s">
        <v>37</v>
      </c>
      <c r="G37" s="150" t="s">
        <v>37</v>
      </c>
      <c r="H37" s="150"/>
      <c r="I37" s="150"/>
      <c r="J37" s="150"/>
      <c r="K37" s="150" t="s">
        <v>37</v>
      </c>
      <c r="L37" s="150" t="s">
        <v>37</v>
      </c>
      <c r="M37" s="150" t="s">
        <v>37</v>
      </c>
      <c r="N37" s="150" t="s">
        <v>37</v>
      </c>
      <c r="P37" s="57"/>
      <c r="Q37" s="49"/>
      <c r="R37" s="49"/>
      <c r="S37" s="49"/>
      <c r="T37" s="49"/>
      <c r="U37" s="57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  <c r="DS37" s="39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39"/>
      <c r="EO37" s="39"/>
      <c r="EP37" s="39"/>
      <c r="EQ37" s="39"/>
      <c r="ER37" s="39"/>
      <c r="ES37" s="39"/>
      <c r="ET37" s="39"/>
      <c r="EU37" s="39"/>
      <c r="EV37" s="39"/>
      <c r="EW37" s="39"/>
      <c r="EX37" s="39"/>
      <c r="EY37" s="39"/>
      <c r="EZ37" s="39"/>
      <c r="FA37" s="39"/>
      <c r="FB37" s="39"/>
      <c r="FC37" s="39"/>
      <c r="FD37" s="39"/>
      <c r="FE37" s="39"/>
      <c r="FF37" s="39"/>
      <c r="FG37" s="39"/>
      <c r="FH37" s="39"/>
      <c r="FI37" s="39"/>
      <c r="FJ37" s="39"/>
      <c r="FK37" s="39"/>
      <c r="FL37" s="39"/>
      <c r="FM37" s="39"/>
      <c r="FN37" s="39"/>
      <c r="FO37" s="39"/>
      <c r="FP37" s="39"/>
      <c r="FQ37" s="39"/>
      <c r="FR37" s="39"/>
      <c r="FS37" s="39"/>
      <c r="FT37" s="39"/>
      <c r="FU37" s="39"/>
      <c r="FV37" s="39"/>
      <c r="FW37" s="39"/>
      <c r="FX37" s="39"/>
      <c r="FY37" s="39"/>
      <c r="FZ37" s="39"/>
      <c r="GA37" s="39"/>
      <c r="GB37" s="39"/>
      <c r="GC37" s="39"/>
      <c r="GD37" s="39"/>
      <c r="GE37" s="39"/>
      <c r="GF37" s="39"/>
      <c r="GG37" s="39"/>
      <c r="GH37" s="39"/>
      <c r="GI37" s="39"/>
      <c r="GJ37" s="39"/>
      <c r="GK37" s="39"/>
      <c r="GL37" s="39"/>
      <c r="GM37" s="39"/>
      <c r="GN37" s="39"/>
      <c r="GO37" s="39"/>
      <c r="GP37" s="39"/>
      <c r="GQ37" s="39"/>
      <c r="GR37" s="39"/>
      <c r="GS37" s="39"/>
      <c r="GT37" s="39"/>
      <c r="GU37" s="39"/>
      <c r="GV37" s="39"/>
      <c r="GW37" s="39"/>
      <c r="GX37" s="39"/>
      <c r="GY37" s="39"/>
      <c r="GZ37" s="39"/>
      <c r="HA37" s="39"/>
      <c r="HB37" s="39"/>
      <c r="HC37" s="39"/>
      <c r="HD37" s="39"/>
      <c r="HE37" s="39"/>
      <c r="HF37" s="39"/>
      <c r="HG37" s="39"/>
      <c r="HH37" s="39"/>
      <c r="HI37" s="39"/>
      <c r="HJ37" s="39"/>
      <c r="HK37" s="39"/>
      <c r="HL37" s="39"/>
      <c r="HM37" s="39"/>
      <c r="HN37" s="39"/>
      <c r="HO37" s="39"/>
      <c r="HP37" s="39"/>
      <c r="HQ37" s="39"/>
      <c r="HR37" s="39"/>
      <c r="HS37" s="39"/>
      <c r="HT37" s="39"/>
      <c r="HU37" s="39"/>
      <c r="HV37" s="39"/>
      <c r="HW37" s="39"/>
      <c r="HX37" s="39"/>
      <c r="HY37" s="39"/>
      <c r="HZ37" s="39"/>
      <c r="IA37" s="39"/>
      <c r="IB37" s="39"/>
      <c r="IC37" s="39"/>
      <c r="ID37" s="39"/>
      <c r="IE37" s="39"/>
      <c r="IF37" s="39"/>
      <c r="IG37" s="39"/>
      <c r="IH37" s="39"/>
      <c r="II37" s="39"/>
      <c r="IJ37" s="39"/>
      <c r="IK37" s="39"/>
      <c r="IL37" s="39"/>
      <c r="IM37" s="39"/>
      <c r="IN37" s="39"/>
      <c r="IO37" s="39"/>
      <c r="IP37" s="39"/>
      <c r="IQ37" s="39"/>
      <c r="IR37" s="39"/>
      <c r="IS37" s="39"/>
      <c r="IT37" s="39"/>
      <c r="IU37" s="39"/>
      <c r="IV37" s="39"/>
    </row>
    <row r="38" spans="2:256" ht="12.9" customHeight="1" x14ac:dyDescent="0.25">
      <c r="B38" s="300" t="s">
        <v>552</v>
      </c>
      <c r="C38" s="38" t="s">
        <v>586</v>
      </c>
      <c r="D38" s="53" t="s">
        <v>587</v>
      </c>
      <c r="E38" s="274" t="s">
        <v>588</v>
      </c>
      <c r="F38" s="274" t="s">
        <v>269</v>
      </c>
      <c r="G38" s="301">
        <v>37090</v>
      </c>
      <c r="H38" s="274" t="e">
        <v>#REF!</v>
      </c>
      <c r="I38" s="274" t="e">
        <v>#REF!</v>
      </c>
      <c r="J38" s="274" t="e">
        <v>#REF!</v>
      </c>
      <c r="K38" s="274" t="s">
        <v>230</v>
      </c>
      <c r="L38" s="330">
        <v>37041</v>
      </c>
      <c r="M38" s="276">
        <v>0.42105263157894735</v>
      </c>
      <c r="N38" s="276">
        <v>0.08</v>
      </c>
      <c r="O38" s="39"/>
      <c r="P38" s="50"/>
      <c r="Q38" s="49"/>
      <c r="R38" s="49"/>
      <c r="S38" s="49"/>
      <c r="T38" s="49"/>
      <c r="U38" s="57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  <c r="EK38" s="39"/>
      <c r="EL38" s="39"/>
      <c r="EM38" s="39"/>
      <c r="EN38" s="39"/>
      <c r="EO38" s="39"/>
      <c r="EP38" s="39"/>
      <c r="EQ38" s="39"/>
      <c r="ER38" s="39"/>
      <c r="ES38" s="39"/>
      <c r="ET38" s="39"/>
      <c r="EU38" s="39"/>
      <c r="EV38" s="39"/>
      <c r="EW38" s="39"/>
      <c r="EX38" s="39"/>
      <c r="EY38" s="39"/>
      <c r="EZ38" s="39"/>
      <c r="FA38" s="39"/>
      <c r="FB38" s="39"/>
      <c r="FC38" s="39"/>
      <c r="FD38" s="39"/>
      <c r="FE38" s="39"/>
      <c r="FF38" s="39"/>
      <c r="FG38" s="39"/>
      <c r="FH38" s="39"/>
      <c r="FI38" s="39"/>
      <c r="FJ38" s="39"/>
      <c r="FK38" s="39"/>
      <c r="FL38" s="39"/>
      <c r="FM38" s="39"/>
      <c r="FN38" s="39"/>
      <c r="FO38" s="39"/>
      <c r="FP38" s="39"/>
      <c r="FQ38" s="39"/>
      <c r="FR38" s="39"/>
      <c r="FS38" s="39"/>
      <c r="FT38" s="39"/>
      <c r="FU38" s="39"/>
      <c r="FV38" s="39"/>
      <c r="FW38" s="39"/>
      <c r="FX38" s="39"/>
      <c r="FY38" s="39"/>
      <c r="FZ38" s="39"/>
      <c r="GA38" s="39"/>
      <c r="GB38" s="39"/>
      <c r="GC38" s="39"/>
      <c r="GD38" s="39"/>
      <c r="GE38" s="39"/>
      <c r="GF38" s="39"/>
      <c r="GG38" s="39"/>
      <c r="GH38" s="39"/>
      <c r="GI38" s="39"/>
      <c r="GJ38" s="39"/>
      <c r="GK38" s="39"/>
      <c r="GL38" s="39"/>
      <c r="GM38" s="39"/>
      <c r="GN38" s="39"/>
      <c r="GO38" s="39"/>
      <c r="GP38" s="39"/>
      <c r="GQ38" s="39"/>
      <c r="GR38" s="39"/>
      <c r="GS38" s="39"/>
      <c r="GT38" s="39"/>
      <c r="GU38" s="39"/>
      <c r="GV38" s="39"/>
      <c r="GW38" s="39"/>
      <c r="GX38" s="39"/>
      <c r="GY38" s="39"/>
      <c r="GZ38" s="39"/>
      <c r="HA38" s="39"/>
      <c r="HB38" s="39"/>
      <c r="HC38" s="39"/>
      <c r="HD38" s="39"/>
      <c r="HE38" s="39"/>
      <c r="HF38" s="39"/>
      <c r="HG38" s="39"/>
      <c r="HH38" s="39"/>
      <c r="HI38" s="39"/>
      <c r="HJ38" s="39"/>
      <c r="HK38" s="39"/>
      <c r="HL38" s="39"/>
      <c r="HM38" s="39"/>
      <c r="HN38" s="39"/>
      <c r="HO38" s="39"/>
      <c r="HP38" s="39"/>
      <c r="HQ38" s="39"/>
      <c r="HR38" s="39"/>
      <c r="HS38" s="39"/>
      <c r="HT38" s="39"/>
      <c r="HU38" s="39"/>
      <c r="HV38" s="39"/>
      <c r="HW38" s="39"/>
      <c r="HX38" s="39"/>
      <c r="HY38" s="39"/>
      <c r="HZ38" s="39"/>
      <c r="IA38" s="39"/>
      <c r="IB38" s="39"/>
      <c r="IC38" s="39"/>
      <c r="ID38" s="39"/>
      <c r="IE38" s="39"/>
      <c r="IF38" s="39"/>
      <c r="IG38" s="39"/>
      <c r="IH38" s="39"/>
      <c r="II38" s="39"/>
      <c r="IJ38" s="39"/>
      <c r="IK38" s="39"/>
      <c r="IL38" s="39"/>
      <c r="IM38" s="39"/>
      <c r="IN38" s="39"/>
      <c r="IO38" s="39"/>
      <c r="IP38" s="39"/>
      <c r="IQ38" s="39"/>
      <c r="IR38" s="39"/>
      <c r="IS38" s="39"/>
      <c r="IT38" s="39"/>
      <c r="IU38" s="39"/>
      <c r="IV38" s="39"/>
    </row>
    <row r="39" spans="2:256" ht="12.9" customHeight="1" x14ac:dyDescent="0.25">
      <c r="B39" s="300" t="s">
        <v>554</v>
      </c>
      <c r="C39" s="38" t="s">
        <v>586</v>
      </c>
      <c r="D39" s="53" t="s">
        <v>587</v>
      </c>
      <c r="E39" s="274" t="s">
        <v>589</v>
      </c>
      <c r="F39" s="274" t="s">
        <v>230</v>
      </c>
      <c r="G39" s="301">
        <v>36958</v>
      </c>
      <c r="H39" s="274" t="e">
        <v>#REF!</v>
      </c>
      <c r="I39" s="274" t="e">
        <v>#REF!</v>
      </c>
      <c r="J39" s="274" t="e">
        <v>#REF!</v>
      </c>
      <c r="K39" s="274" t="s">
        <v>230</v>
      </c>
      <c r="L39" s="330">
        <v>37041</v>
      </c>
      <c r="M39" s="276">
        <v>-0.16755793226381457</v>
      </c>
      <c r="N39" s="276">
        <v>-2.7083333333333275E-2</v>
      </c>
      <c r="O39" s="39"/>
      <c r="P39" s="331"/>
      <c r="Q39" s="49"/>
      <c r="R39" s="49"/>
      <c r="S39" s="49"/>
      <c r="T39" s="49"/>
      <c r="U39" s="57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  <c r="DN39" s="39"/>
      <c r="DO39" s="39"/>
      <c r="DP39" s="39"/>
      <c r="DQ39" s="39"/>
      <c r="DR39" s="39"/>
      <c r="DS39" s="39"/>
      <c r="DT39" s="39"/>
      <c r="DU39" s="39"/>
      <c r="DV39" s="39"/>
      <c r="DW39" s="39"/>
      <c r="DX39" s="39"/>
      <c r="DY39" s="39"/>
      <c r="DZ39" s="39"/>
      <c r="EA39" s="39"/>
      <c r="EB39" s="39"/>
      <c r="EC39" s="39"/>
      <c r="ED39" s="39"/>
      <c r="EE39" s="39"/>
      <c r="EF39" s="39"/>
      <c r="EG39" s="39"/>
      <c r="EH39" s="39"/>
      <c r="EI39" s="39"/>
      <c r="EJ39" s="39"/>
      <c r="EK39" s="39"/>
      <c r="EL39" s="39"/>
      <c r="EM39" s="39"/>
      <c r="EN39" s="39"/>
      <c r="EO39" s="39"/>
      <c r="EP39" s="39"/>
      <c r="EQ39" s="39"/>
      <c r="ER39" s="39"/>
      <c r="ES39" s="39"/>
      <c r="ET39" s="39"/>
      <c r="EU39" s="39"/>
      <c r="EV39" s="39"/>
      <c r="EW39" s="39"/>
      <c r="EX39" s="39"/>
      <c r="EY39" s="39"/>
      <c r="EZ39" s="39"/>
      <c r="FA39" s="39"/>
      <c r="FB39" s="39"/>
      <c r="FC39" s="39"/>
      <c r="FD39" s="39"/>
      <c r="FE39" s="39"/>
      <c r="FF39" s="39"/>
      <c r="FG39" s="39"/>
      <c r="FH39" s="39"/>
      <c r="FI39" s="39"/>
      <c r="FJ39" s="39"/>
      <c r="FK39" s="39"/>
      <c r="FL39" s="39"/>
      <c r="FM39" s="39"/>
      <c r="FN39" s="39"/>
      <c r="FO39" s="39"/>
      <c r="FP39" s="39"/>
      <c r="FQ39" s="39"/>
      <c r="FR39" s="39"/>
      <c r="FS39" s="39"/>
      <c r="FT39" s="39"/>
      <c r="FU39" s="39"/>
      <c r="FV39" s="39"/>
      <c r="FW39" s="39"/>
      <c r="FX39" s="39"/>
      <c r="FY39" s="39"/>
      <c r="FZ39" s="39"/>
      <c r="GA39" s="39"/>
      <c r="GB39" s="39"/>
      <c r="GC39" s="39"/>
      <c r="GD39" s="39"/>
      <c r="GE39" s="39"/>
      <c r="GF39" s="39"/>
      <c r="GG39" s="39"/>
      <c r="GH39" s="39"/>
      <c r="GI39" s="39"/>
      <c r="GJ39" s="39"/>
      <c r="GK39" s="39"/>
      <c r="GL39" s="39"/>
      <c r="GM39" s="39"/>
      <c r="GN39" s="39"/>
      <c r="GO39" s="39"/>
      <c r="GP39" s="39"/>
      <c r="GQ39" s="39"/>
      <c r="GR39" s="39"/>
      <c r="GS39" s="39"/>
      <c r="GT39" s="39"/>
      <c r="GU39" s="39"/>
      <c r="GV39" s="39"/>
      <c r="GW39" s="39"/>
      <c r="GX39" s="39"/>
      <c r="GY39" s="39"/>
      <c r="GZ39" s="39"/>
      <c r="HA39" s="39"/>
      <c r="HB39" s="39"/>
      <c r="HC39" s="39"/>
      <c r="HD39" s="39"/>
      <c r="HE39" s="39"/>
      <c r="HF39" s="39"/>
      <c r="HG39" s="39"/>
      <c r="HH39" s="39"/>
      <c r="HI39" s="39"/>
      <c r="HJ39" s="39"/>
      <c r="HK39" s="39"/>
      <c r="HL39" s="39"/>
      <c r="HM39" s="39"/>
      <c r="HN39" s="39"/>
      <c r="HO39" s="39"/>
      <c r="HP39" s="39"/>
      <c r="HQ39" s="39"/>
      <c r="HR39" s="39"/>
      <c r="HS39" s="39"/>
      <c r="HT39" s="39"/>
      <c r="HU39" s="39"/>
      <c r="HV39" s="39"/>
      <c r="HW39" s="39"/>
      <c r="HX39" s="39"/>
      <c r="HY39" s="39"/>
      <c r="HZ39" s="39"/>
      <c r="IA39" s="39"/>
      <c r="IB39" s="39"/>
      <c r="IC39" s="39"/>
      <c r="ID39" s="39"/>
      <c r="IE39" s="39"/>
      <c r="IF39" s="39"/>
      <c r="IG39" s="39"/>
      <c r="IH39" s="39"/>
      <c r="II39" s="39"/>
      <c r="IJ39" s="39"/>
      <c r="IK39" s="39"/>
      <c r="IL39" s="39"/>
      <c r="IM39" s="39"/>
      <c r="IN39" s="39"/>
      <c r="IO39" s="39"/>
      <c r="IP39" s="39"/>
      <c r="IQ39" s="39"/>
      <c r="IR39" s="39"/>
      <c r="IS39" s="39"/>
      <c r="IT39" s="39"/>
      <c r="IU39" s="39"/>
      <c r="IV39" s="39"/>
    </row>
    <row r="40" spans="2:256" s="39" customFormat="1" ht="12.9" customHeight="1" x14ac:dyDescent="0.25">
      <c r="B40" s="300" t="s">
        <v>557</v>
      </c>
      <c r="C40" s="38" t="s">
        <v>586</v>
      </c>
      <c r="D40" s="53" t="s">
        <v>587</v>
      </c>
      <c r="E40" s="274" t="s">
        <v>588</v>
      </c>
      <c r="F40" s="274" t="s">
        <v>230</v>
      </c>
      <c r="G40" s="301">
        <v>37027</v>
      </c>
      <c r="H40" s="274" t="e">
        <v>#REF!</v>
      </c>
      <c r="I40" s="274" t="e">
        <v>#REF!</v>
      </c>
      <c r="J40" s="274" t="e">
        <v>#REF!</v>
      </c>
      <c r="K40" s="274" t="s">
        <v>590</v>
      </c>
      <c r="L40" s="330">
        <v>37032</v>
      </c>
      <c r="M40" s="276">
        <v>0.46774193548387094</v>
      </c>
      <c r="N40" s="276">
        <v>-6.5502183406114462E-3</v>
      </c>
      <c r="P40" s="50"/>
      <c r="Q40" s="49"/>
      <c r="R40" s="49"/>
      <c r="S40" s="49"/>
      <c r="T40" s="49"/>
      <c r="U40" s="57"/>
      <c r="V40" s="38"/>
      <c r="W40" s="38"/>
      <c r="X40" s="38"/>
      <c r="Y40" s="38"/>
      <c r="Z40" s="38"/>
      <c r="AA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8"/>
      <c r="GM40" s="38"/>
      <c r="GN40" s="38"/>
      <c r="GO40" s="38"/>
      <c r="GP40" s="38"/>
      <c r="GQ40" s="38"/>
      <c r="GR40" s="38"/>
      <c r="GS40" s="38"/>
      <c r="GT40" s="38"/>
      <c r="GU40" s="38"/>
      <c r="GV40" s="38"/>
      <c r="GW40" s="38"/>
      <c r="GX40" s="38"/>
      <c r="GY40" s="38"/>
      <c r="GZ40" s="38"/>
      <c r="HA40" s="38"/>
      <c r="HB40" s="38"/>
      <c r="HC40" s="38"/>
      <c r="HD40" s="38"/>
      <c r="HE40" s="38"/>
      <c r="HF40" s="38"/>
      <c r="HG40" s="38"/>
      <c r="HH40" s="38"/>
      <c r="HI40" s="38"/>
      <c r="HJ40" s="38"/>
      <c r="HK40" s="38"/>
      <c r="HL40" s="38"/>
      <c r="HM40" s="38"/>
      <c r="HN40" s="38"/>
      <c r="HO40" s="38"/>
      <c r="HP40" s="38"/>
      <c r="HQ40" s="38"/>
      <c r="HR40" s="38"/>
      <c r="HS40" s="38"/>
      <c r="HT40" s="38"/>
      <c r="HU40" s="38"/>
      <c r="HV40" s="38"/>
      <c r="HW40" s="38"/>
      <c r="HX40" s="38"/>
      <c r="HY40" s="38"/>
      <c r="HZ40" s="38"/>
      <c r="IA40" s="38"/>
      <c r="IB40" s="38"/>
      <c r="IC40" s="38"/>
      <c r="ID40" s="38"/>
      <c r="IE40" s="38"/>
      <c r="IF40" s="38"/>
      <c r="IG40" s="38"/>
      <c r="IH40" s="38"/>
      <c r="II40" s="38"/>
      <c r="IJ40" s="38"/>
      <c r="IK40" s="38"/>
      <c r="IL40" s="38"/>
      <c r="IM40" s="38"/>
      <c r="IN40" s="38"/>
      <c r="IO40" s="38"/>
      <c r="IP40" s="38"/>
      <c r="IQ40" s="38"/>
      <c r="IR40" s="38"/>
      <c r="IS40" s="38"/>
      <c r="IT40" s="38"/>
      <c r="IU40" s="38"/>
      <c r="IV40" s="38"/>
    </row>
    <row r="41" spans="2:256" ht="12.9" customHeight="1" x14ac:dyDescent="0.25">
      <c r="B41" s="300" t="s">
        <v>560</v>
      </c>
      <c r="C41" s="38" t="s">
        <v>586</v>
      </c>
      <c r="D41" s="53" t="s">
        <v>587</v>
      </c>
      <c r="E41" s="274" t="s">
        <v>588</v>
      </c>
      <c r="F41" s="274" t="s">
        <v>269</v>
      </c>
      <c r="G41" s="301">
        <v>37098</v>
      </c>
      <c r="H41" s="274" t="e">
        <v>#REF!</v>
      </c>
      <c r="I41" s="274" t="e">
        <v>#REF!</v>
      </c>
      <c r="J41" s="274" t="e">
        <v>#REF!</v>
      </c>
      <c r="K41" s="274" t="s">
        <v>230</v>
      </c>
      <c r="L41" s="330">
        <v>37041</v>
      </c>
      <c r="M41" s="276">
        <v>-0.11363636363636363</v>
      </c>
      <c r="N41" s="276">
        <v>5.1546391752576217E-3</v>
      </c>
      <c r="O41" s="39"/>
      <c r="P41" s="331"/>
      <c r="Q41" s="49"/>
      <c r="R41" s="49"/>
      <c r="S41" s="49"/>
      <c r="T41" s="49"/>
      <c r="U41" s="57"/>
    </row>
    <row r="42" spans="2:256" ht="12.75" customHeight="1" x14ac:dyDescent="0.25">
      <c r="B42" s="300" t="s">
        <v>563</v>
      </c>
      <c r="C42" s="38" t="s">
        <v>586</v>
      </c>
      <c r="D42" s="53" t="s">
        <v>587</v>
      </c>
      <c r="E42" s="274" t="s">
        <v>589</v>
      </c>
      <c r="F42" s="274" t="s">
        <v>230</v>
      </c>
      <c r="G42" s="301">
        <v>37049</v>
      </c>
      <c r="H42" s="274" t="e">
        <v>#REF!</v>
      </c>
      <c r="I42" s="274" t="e">
        <v>#REF!</v>
      </c>
      <c r="J42" s="274" t="e">
        <v>#REF!</v>
      </c>
      <c r="K42" s="274" t="s">
        <v>230</v>
      </c>
      <c r="L42" s="330">
        <v>37041</v>
      </c>
      <c r="M42" s="276">
        <v>0.13471502590673581</v>
      </c>
      <c r="N42" s="276">
        <v>2.336448598130841E-2</v>
      </c>
      <c r="O42" s="39"/>
      <c r="P42" s="331"/>
      <c r="Q42" s="285"/>
      <c r="R42" s="284"/>
      <c r="S42" s="332"/>
      <c r="T42" s="285"/>
      <c r="U42" s="176"/>
    </row>
    <row r="43" spans="2:256" x14ac:dyDescent="0.25">
      <c r="B43" s="300" t="s">
        <v>566</v>
      </c>
      <c r="C43" s="38" t="s">
        <v>586</v>
      </c>
      <c r="D43" s="53" t="s">
        <v>587</v>
      </c>
      <c r="E43" s="274" t="s">
        <v>589</v>
      </c>
      <c r="F43" s="274" t="s">
        <v>230</v>
      </c>
      <c r="G43" s="301">
        <v>37027</v>
      </c>
      <c r="H43" s="274" t="e">
        <v>#REF!</v>
      </c>
      <c r="I43" s="274" t="e">
        <v>#REF!</v>
      </c>
      <c r="J43" s="274" t="e">
        <v>#REF!</v>
      </c>
      <c r="K43" s="274" t="s">
        <v>230</v>
      </c>
      <c r="L43" s="330">
        <v>37041</v>
      </c>
      <c r="M43" s="276">
        <v>-5.6338028169014086E-2</v>
      </c>
      <c r="N43" s="276">
        <v>-5.6338028169014086E-2</v>
      </c>
      <c r="O43" s="39"/>
      <c r="P43" s="331"/>
      <c r="Q43" s="285"/>
      <c r="R43" s="284"/>
      <c r="S43" s="332"/>
      <c r="T43" s="285"/>
      <c r="U43" s="176"/>
    </row>
    <row r="44" spans="2:256" ht="12" customHeight="1" x14ac:dyDescent="0.25">
      <c r="B44" s="300" t="s">
        <v>569</v>
      </c>
      <c r="C44" s="38" t="s">
        <v>586</v>
      </c>
      <c r="D44" s="53" t="s">
        <v>587</v>
      </c>
      <c r="E44" s="274" t="s">
        <v>589</v>
      </c>
      <c r="F44" s="274" t="s">
        <v>230</v>
      </c>
      <c r="G44" s="301">
        <v>37015</v>
      </c>
      <c r="H44" s="274" t="e">
        <v>#REF!</v>
      </c>
      <c r="I44" s="274" t="e">
        <v>#REF!</v>
      </c>
      <c r="J44" s="274" t="e">
        <v>#REF!</v>
      </c>
      <c r="K44" s="274" t="s">
        <v>230</v>
      </c>
      <c r="L44" s="330">
        <v>37041</v>
      </c>
      <c r="M44" s="276">
        <v>-0.4771662933962828</v>
      </c>
      <c r="N44" s="276">
        <v>-1.1194029850746268E-2</v>
      </c>
      <c r="O44" s="39"/>
      <c r="P44" s="331"/>
      <c r="Q44" s="285"/>
      <c r="R44" s="284"/>
      <c r="S44" s="332"/>
      <c r="T44" s="285"/>
      <c r="U44" s="176"/>
    </row>
    <row r="45" spans="2:256" x14ac:dyDescent="0.25">
      <c r="B45" s="300" t="s">
        <v>572</v>
      </c>
      <c r="C45" s="38" t="s">
        <v>586</v>
      </c>
      <c r="D45" s="53" t="s">
        <v>587</v>
      </c>
      <c r="E45" s="274" t="s">
        <v>589</v>
      </c>
      <c r="F45" s="274" t="s">
        <v>230</v>
      </c>
      <c r="G45" s="301">
        <v>37067</v>
      </c>
      <c r="H45" s="274" t="e">
        <v>#REF!</v>
      </c>
      <c r="I45" s="274" t="e">
        <v>#REF!</v>
      </c>
      <c r="J45" s="274" t="e">
        <v>#REF!</v>
      </c>
      <c r="K45" s="274" t="s">
        <v>529</v>
      </c>
      <c r="L45" s="330">
        <v>36957</v>
      </c>
      <c r="M45" s="276">
        <v>-0.26745723494058909</v>
      </c>
      <c r="N45" s="276">
        <v>5.4250129981401642E-3</v>
      </c>
      <c r="O45" s="39"/>
      <c r="P45" s="331"/>
      <c r="Q45" s="285"/>
      <c r="R45" s="284"/>
      <c r="S45" s="332"/>
      <c r="T45" s="285"/>
      <c r="U45" s="176"/>
    </row>
    <row r="46" spans="2:256" s="39" customFormat="1" ht="12.9" customHeight="1" x14ac:dyDescent="0.25">
      <c r="B46" s="300" t="s">
        <v>575</v>
      </c>
      <c r="C46" s="38" t="s">
        <v>586</v>
      </c>
      <c r="D46" s="53" t="s">
        <v>587</v>
      </c>
      <c r="E46" s="274" t="s">
        <v>588</v>
      </c>
      <c r="F46" s="274" t="s">
        <v>148</v>
      </c>
      <c r="G46" s="301">
        <v>37098</v>
      </c>
      <c r="H46" s="274" t="e">
        <v>#REF!</v>
      </c>
      <c r="I46" s="274" t="e">
        <v>#REF!</v>
      </c>
      <c r="J46" s="274" t="e">
        <v>#REF!</v>
      </c>
      <c r="K46" s="274" t="s">
        <v>230</v>
      </c>
      <c r="L46" s="330">
        <v>37041</v>
      </c>
      <c r="M46" s="276">
        <v>2.3300925790901404E-2</v>
      </c>
      <c r="N46" s="276">
        <v>-8.4667182345346363E-3</v>
      </c>
      <c r="P46" s="331"/>
      <c r="Q46" s="333"/>
      <c r="R46" s="334"/>
      <c r="S46" s="335"/>
      <c r="T46" s="308"/>
      <c r="U46" s="176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  <c r="EU46" s="38"/>
      <c r="EV46" s="38"/>
      <c r="EW46" s="38"/>
      <c r="EX46" s="38"/>
      <c r="EY46" s="38"/>
      <c r="EZ46" s="38"/>
      <c r="FA46" s="38"/>
      <c r="FB46" s="38"/>
      <c r="FC46" s="38"/>
      <c r="FD46" s="38"/>
      <c r="FE46" s="38"/>
      <c r="FF46" s="38"/>
      <c r="FG46" s="38"/>
      <c r="FH46" s="38"/>
      <c r="FI46" s="38"/>
      <c r="FJ46" s="38"/>
      <c r="FK46" s="38"/>
      <c r="FL46" s="38"/>
      <c r="FM46" s="38"/>
      <c r="FN46" s="38"/>
      <c r="FO46" s="38"/>
      <c r="FP46" s="38"/>
      <c r="FQ46" s="38"/>
      <c r="FR46" s="38"/>
      <c r="FS46" s="38"/>
      <c r="FT46" s="38"/>
      <c r="FU46" s="38"/>
      <c r="FV46" s="38"/>
      <c r="FW46" s="38"/>
      <c r="FX46" s="38"/>
      <c r="FY46" s="38"/>
      <c r="FZ46" s="38"/>
      <c r="GA46" s="38"/>
      <c r="GB46" s="38"/>
      <c r="GC46" s="38"/>
      <c r="GD46" s="38"/>
      <c r="GE46" s="38"/>
      <c r="GF46" s="38"/>
      <c r="GG46" s="38"/>
      <c r="GH46" s="38"/>
      <c r="GI46" s="38"/>
      <c r="GJ46" s="38"/>
      <c r="GK46" s="38"/>
      <c r="GL46" s="38"/>
      <c r="GM46" s="38"/>
      <c r="GN46" s="38"/>
      <c r="GO46" s="38"/>
      <c r="GP46" s="38"/>
      <c r="GQ46" s="38"/>
      <c r="GR46" s="38"/>
      <c r="GS46" s="38"/>
      <c r="GT46" s="38"/>
      <c r="GU46" s="38"/>
      <c r="GV46" s="38"/>
      <c r="GW46" s="38"/>
      <c r="GX46" s="38"/>
      <c r="GY46" s="38"/>
      <c r="GZ46" s="38"/>
      <c r="HA46" s="38"/>
      <c r="HB46" s="38"/>
      <c r="HC46" s="38"/>
      <c r="HD46" s="38"/>
      <c r="HE46" s="38"/>
      <c r="HF46" s="38"/>
      <c r="HG46" s="38"/>
      <c r="HH46" s="38"/>
      <c r="HI46" s="38"/>
      <c r="HJ46" s="38"/>
      <c r="HK46" s="38"/>
      <c r="HL46" s="38"/>
      <c r="HM46" s="38"/>
      <c r="HN46" s="38"/>
      <c r="HO46" s="38"/>
      <c r="HP46" s="38"/>
      <c r="HQ46" s="38"/>
      <c r="HR46" s="38"/>
      <c r="HS46" s="38"/>
      <c r="HT46" s="38"/>
      <c r="HU46" s="38"/>
      <c r="HV46" s="38"/>
      <c r="HW46" s="38"/>
      <c r="HX46" s="38"/>
      <c r="HY46" s="38"/>
      <c r="HZ46" s="38"/>
      <c r="IA46" s="38"/>
      <c r="IB46" s="38"/>
      <c r="IC46" s="38"/>
      <c r="ID46" s="38"/>
      <c r="IE46" s="38"/>
      <c r="IF46" s="38"/>
      <c r="IG46" s="38"/>
      <c r="IH46" s="38"/>
      <c r="II46" s="38"/>
      <c r="IJ46" s="38"/>
      <c r="IK46" s="38"/>
      <c r="IL46" s="38"/>
      <c r="IM46" s="38"/>
      <c r="IN46" s="38"/>
      <c r="IO46" s="38"/>
      <c r="IP46" s="38"/>
      <c r="IQ46" s="38"/>
      <c r="IR46" s="38"/>
      <c r="IS46" s="38"/>
      <c r="IT46" s="38"/>
      <c r="IU46" s="38"/>
      <c r="IV46" s="38"/>
    </row>
    <row r="47" spans="2:256" s="39" customFormat="1" ht="12.9" customHeight="1" x14ac:dyDescent="0.25">
      <c r="B47" s="300" t="s">
        <v>578</v>
      </c>
      <c r="C47" s="38" t="s">
        <v>586</v>
      </c>
      <c r="D47" s="53" t="s">
        <v>587</v>
      </c>
      <c r="E47" s="274" t="s">
        <v>591</v>
      </c>
      <c r="F47" s="274" t="s">
        <v>269</v>
      </c>
      <c r="G47" s="301">
        <v>37098</v>
      </c>
      <c r="H47" s="274" t="e">
        <v>#REF!</v>
      </c>
      <c r="I47" s="274" t="e">
        <v>#REF!</v>
      </c>
      <c r="J47" s="274" t="e">
        <v>#REF!</v>
      </c>
      <c r="K47" s="274" t="s">
        <v>533</v>
      </c>
      <c r="L47" s="330">
        <v>36958</v>
      </c>
      <c r="M47" s="276">
        <v>-0.45661049487803995</v>
      </c>
      <c r="N47" s="276">
        <v>-8.9285714285714281E-3</v>
      </c>
      <c r="P47" s="308"/>
      <c r="Q47" s="284"/>
      <c r="R47" s="284"/>
      <c r="S47" s="284"/>
      <c r="T47" s="284"/>
      <c r="U47" s="176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  <c r="EQ47" s="38"/>
      <c r="ER47" s="38"/>
      <c r="ES47" s="38"/>
      <c r="ET47" s="38"/>
      <c r="EU47" s="38"/>
      <c r="EV47" s="38"/>
      <c r="EW47" s="38"/>
      <c r="EX47" s="38"/>
      <c r="EY47" s="38"/>
      <c r="EZ47" s="38"/>
      <c r="FA47" s="38"/>
      <c r="FB47" s="38"/>
      <c r="FC47" s="38"/>
      <c r="FD47" s="38"/>
      <c r="FE47" s="38"/>
      <c r="FF47" s="38"/>
      <c r="FG47" s="38"/>
      <c r="FH47" s="38"/>
      <c r="FI47" s="38"/>
      <c r="FJ47" s="38"/>
      <c r="FK47" s="38"/>
      <c r="FL47" s="38"/>
      <c r="FM47" s="38"/>
      <c r="FN47" s="38"/>
      <c r="FO47" s="38"/>
      <c r="FP47" s="38"/>
      <c r="FQ47" s="38"/>
      <c r="FR47" s="38"/>
      <c r="FS47" s="38"/>
      <c r="FT47" s="38"/>
      <c r="FU47" s="38"/>
      <c r="FV47" s="38"/>
      <c r="FW47" s="38"/>
      <c r="FX47" s="38"/>
      <c r="FY47" s="38"/>
      <c r="FZ47" s="38"/>
      <c r="GA47" s="38"/>
      <c r="GB47" s="38"/>
      <c r="GC47" s="38"/>
      <c r="GD47" s="38"/>
      <c r="GE47" s="38"/>
      <c r="GF47" s="38"/>
      <c r="GG47" s="38"/>
      <c r="GH47" s="38"/>
      <c r="GI47" s="38"/>
      <c r="GJ47" s="38"/>
      <c r="GK47" s="38"/>
      <c r="GL47" s="38"/>
      <c r="GM47" s="38"/>
      <c r="GN47" s="38"/>
      <c r="GO47" s="38"/>
      <c r="GP47" s="38"/>
      <c r="GQ47" s="38"/>
      <c r="GR47" s="38"/>
      <c r="GS47" s="38"/>
      <c r="GT47" s="38"/>
      <c r="GU47" s="38"/>
      <c r="GV47" s="38"/>
      <c r="GW47" s="38"/>
      <c r="GX47" s="38"/>
      <c r="GY47" s="38"/>
      <c r="GZ47" s="38"/>
      <c r="HA47" s="38"/>
      <c r="HB47" s="38"/>
      <c r="HC47" s="38"/>
      <c r="HD47" s="38"/>
      <c r="HE47" s="38"/>
      <c r="HF47" s="38"/>
      <c r="HG47" s="38"/>
      <c r="HH47" s="38"/>
      <c r="HI47" s="38"/>
      <c r="HJ47" s="38"/>
      <c r="HK47" s="38"/>
      <c r="HL47" s="38"/>
      <c r="HM47" s="38"/>
      <c r="HN47" s="38"/>
      <c r="HO47" s="38"/>
      <c r="HP47" s="38"/>
      <c r="HQ47" s="38"/>
      <c r="HR47" s="38"/>
      <c r="HS47" s="38"/>
      <c r="HT47" s="38"/>
      <c r="HU47" s="38"/>
      <c r="HV47" s="38"/>
      <c r="HW47" s="38"/>
      <c r="HX47" s="38"/>
      <c r="HY47" s="38"/>
      <c r="HZ47" s="38"/>
      <c r="IA47" s="38"/>
      <c r="IB47" s="38"/>
      <c r="IC47" s="38"/>
      <c r="ID47" s="38"/>
      <c r="IE47" s="38"/>
      <c r="IF47" s="38"/>
      <c r="IG47" s="38"/>
      <c r="IH47" s="38"/>
      <c r="II47" s="38"/>
      <c r="IJ47" s="38"/>
      <c r="IK47" s="38"/>
      <c r="IL47" s="38"/>
      <c r="IM47" s="38"/>
      <c r="IN47" s="38"/>
      <c r="IO47" s="38"/>
      <c r="IP47" s="38"/>
      <c r="IQ47" s="38"/>
      <c r="IR47" s="38"/>
      <c r="IS47" s="38"/>
      <c r="IT47" s="38"/>
      <c r="IU47" s="38"/>
      <c r="IV47" s="38"/>
    </row>
    <row r="48" spans="2:256" s="39" customFormat="1" ht="12.9" customHeight="1" x14ac:dyDescent="0.25">
      <c r="B48" s="300" t="s">
        <v>581</v>
      </c>
      <c r="C48" s="38" t="s">
        <v>586</v>
      </c>
      <c r="D48" s="53" t="s">
        <v>587</v>
      </c>
      <c r="E48" s="274" t="s">
        <v>588</v>
      </c>
      <c r="F48" s="274" t="s">
        <v>148</v>
      </c>
      <c r="G48" s="301">
        <v>37019</v>
      </c>
      <c r="H48" s="274" t="e">
        <v>#REF!</v>
      </c>
      <c r="I48" s="274" t="e">
        <v>#REF!</v>
      </c>
      <c r="J48" s="274" t="e">
        <v>#REF!</v>
      </c>
      <c r="K48" s="274" t="s">
        <v>230</v>
      </c>
      <c r="L48" s="330">
        <v>37041</v>
      </c>
      <c r="M48" s="276">
        <v>5.6666666666666483E-2</v>
      </c>
      <c r="N48" s="276">
        <v>1.5797870027297581E-3</v>
      </c>
      <c r="P48" s="308"/>
      <c r="Q48" s="284"/>
      <c r="R48" s="284"/>
      <c r="S48" s="284"/>
      <c r="T48" s="284"/>
      <c r="U48" s="176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  <c r="EQ48" s="38"/>
      <c r="ER48" s="38"/>
      <c r="ES48" s="38"/>
      <c r="ET48" s="38"/>
      <c r="EU48" s="38"/>
      <c r="EV48" s="38"/>
      <c r="EW48" s="38"/>
      <c r="EX48" s="38"/>
      <c r="EY48" s="38"/>
      <c r="EZ48" s="38"/>
      <c r="FA48" s="38"/>
      <c r="FB48" s="38"/>
      <c r="FC48" s="38"/>
      <c r="FD48" s="38"/>
      <c r="FE48" s="38"/>
      <c r="FF48" s="38"/>
      <c r="FG48" s="38"/>
      <c r="FH48" s="38"/>
      <c r="FI48" s="38"/>
      <c r="FJ48" s="38"/>
      <c r="FK48" s="38"/>
      <c r="FL48" s="38"/>
      <c r="FM48" s="38"/>
      <c r="FN48" s="38"/>
      <c r="FO48" s="38"/>
      <c r="FP48" s="38"/>
      <c r="FQ48" s="38"/>
      <c r="FR48" s="38"/>
      <c r="FS48" s="38"/>
      <c r="FT48" s="38"/>
      <c r="FU48" s="38"/>
      <c r="FV48" s="38"/>
      <c r="FW48" s="38"/>
      <c r="FX48" s="38"/>
      <c r="FY48" s="38"/>
      <c r="FZ48" s="38"/>
      <c r="GA48" s="38"/>
      <c r="GB48" s="38"/>
      <c r="GC48" s="38"/>
      <c r="GD48" s="38"/>
      <c r="GE48" s="38"/>
      <c r="GF48" s="38"/>
      <c r="GG48" s="38"/>
      <c r="GH48" s="38"/>
      <c r="GI48" s="38"/>
      <c r="GJ48" s="38"/>
      <c r="GK48" s="38"/>
      <c r="GL48" s="38"/>
      <c r="GM48" s="38"/>
      <c r="GN48" s="38"/>
      <c r="GO48" s="38"/>
      <c r="GP48" s="38"/>
      <c r="GQ48" s="38"/>
      <c r="GR48" s="38"/>
      <c r="GS48" s="38"/>
      <c r="GT48" s="38"/>
      <c r="GU48" s="38"/>
      <c r="GV48" s="38"/>
      <c r="GW48" s="38"/>
      <c r="GX48" s="38"/>
      <c r="GY48" s="38"/>
      <c r="GZ48" s="38"/>
      <c r="HA48" s="38"/>
      <c r="HB48" s="38"/>
      <c r="HC48" s="38"/>
      <c r="HD48" s="38"/>
      <c r="HE48" s="38"/>
      <c r="HF48" s="38"/>
      <c r="HG48" s="38"/>
      <c r="HH48" s="38"/>
      <c r="HI48" s="38"/>
      <c r="HJ48" s="38"/>
      <c r="HK48" s="38"/>
      <c r="HL48" s="38"/>
      <c r="HM48" s="38"/>
      <c r="HN48" s="38"/>
      <c r="HO48" s="38"/>
      <c r="HP48" s="38"/>
      <c r="HQ48" s="38"/>
      <c r="HR48" s="38"/>
      <c r="HS48" s="38"/>
      <c r="HT48" s="38"/>
      <c r="HU48" s="38"/>
      <c r="HV48" s="38"/>
      <c r="HW48" s="38"/>
      <c r="HX48" s="38"/>
      <c r="HY48" s="38"/>
      <c r="HZ48" s="38"/>
      <c r="IA48" s="38"/>
      <c r="IB48" s="38"/>
      <c r="IC48" s="38"/>
      <c r="ID48" s="38"/>
      <c r="IE48" s="38"/>
      <c r="IF48" s="38"/>
      <c r="IG48" s="38"/>
      <c r="IH48" s="38"/>
      <c r="II48" s="38"/>
      <c r="IJ48" s="38"/>
      <c r="IK48" s="38"/>
      <c r="IL48" s="38"/>
      <c r="IM48" s="38"/>
      <c r="IN48" s="38"/>
      <c r="IO48" s="38"/>
      <c r="IP48" s="38"/>
      <c r="IQ48" s="38"/>
      <c r="IR48" s="38"/>
      <c r="IS48" s="38"/>
      <c r="IT48" s="38"/>
      <c r="IU48" s="38"/>
      <c r="IV48" s="38"/>
    </row>
    <row r="49" spans="2:256" s="39" customFormat="1" ht="12.9" customHeight="1" x14ac:dyDescent="0.25">
      <c r="B49" s="300" t="s">
        <v>584</v>
      </c>
      <c r="C49" s="38" t="s">
        <v>586</v>
      </c>
      <c r="D49" s="53" t="s">
        <v>587</v>
      </c>
      <c r="E49" s="274" t="s">
        <v>589</v>
      </c>
      <c r="F49" s="274" t="s">
        <v>230</v>
      </c>
      <c r="G49" s="301">
        <v>37074</v>
      </c>
      <c r="H49" s="274" t="e">
        <v>#REF!</v>
      </c>
      <c r="I49" s="274" t="e">
        <v>#REF!</v>
      </c>
      <c r="J49" s="274" t="e">
        <v>#REF!</v>
      </c>
      <c r="K49" s="274" t="s">
        <v>230</v>
      </c>
      <c r="L49" s="330">
        <v>37041</v>
      </c>
      <c r="M49" s="276">
        <v>-5.4054054054054057E-3</v>
      </c>
      <c r="N49" s="276">
        <v>2.1314387211367691E-2</v>
      </c>
      <c r="P49" s="320"/>
      <c r="Q49" s="284"/>
      <c r="R49" s="284"/>
      <c r="S49" s="284"/>
      <c r="T49" s="284"/>
      <c r="U49" s="176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  <c r="EQ49" s="38"/>
      <c r="ER49" s="38"/>
      <c r="ES49" s="38"/>
      <c r="ET49" s="38"/>
      <c r="EU49" s="38"/>
      <c r="EV49" s="38"/>
      <c r="EW49" s="38"/>
      <c r="EX49" s="38"/>
      <c r="EY49" s="38"/>
      <c r="EZ49" s="38"/>
      <c r="FA49" s="38"/>
      <c r="FB49" s="38"/>
      <c r="FC49" s="38"/>
      <c r="FD49" s="38"/>
      <c r="FE49" s="38"/>
      <c r="FF49" s="38"/>
      <c r="FG49" s="38"/>
      <c r="FH49" s="38"/>
      <c r="FI49" s="38"/>
      <c r="FJ49" s="38"/>
      <c r="FK49" s="38"/>
      <c r="FL49" s="38"/>
      <c r="FM49" s="38"/>
      <c r="FN49" s="38"/>
      <c r="FO49" s="38"/>
      <c r="FP49" s="38"/>
      <c r="FQ49" s="38"/>
      <c r="FR49" s="38"/>
      <c r="FS49" s="38"/>
      <c r="FT49" s="38"/>
      <c r="FU49" s="38"/>
      <c r="FV49" s="38"/>
      <c r="FW49" s="38"/>
      <c r="FX49" s="38"/>
      <c r="FY49" s="38"/>
      <c r="FZ49" s="38"/>
      <c r="GA49" s="38"/>
      <c r="GB49" s="38"/>
      <c r="GC49" s="38"/>
      <c r="GD49" s="38"/>
      <c r="GE49" s="38"/>
      <c r="GF49" s="38"/>
      <c r="GG49" s="38"/>
      <c r="GH49" s="38"/>
      <c r="GI49" s="38"/>
      <c r="GJ49" s="38"/>
      <c r="GK49" s="38"/>
      <c r="GL49" s="38"/>
      <c r="GM49" s="38"/>
      <c r="GN49" s="38"/>
      <c r="GO49" s="38"/>
      <c r="GP49" s="38"/>
      <c r="GQ49" s="38"/>
      <c r="GR49" s="38"/>
      <c r="GS49" s="38"/>
      <c r="GT49" s="38"/>
      <c r="GU49" s="38"/>
      <c r="GV49" s="38"/>
      <c r="GW49" s="38"/>
      <c r="GX49" s="38"/>
      <c r="GY49" s="38"/>
      <c r="GZ49" s="38"/>
      <c r="HA49" s="38"/>
      <c r="HB49" s="38"/>
      <c r="HC49" s="38"/>
      <c r="HD49" s="38"/>
      <c r="HE49" s="38"/>
      <c r="HF49" s="38"/>
      <c r="HG49" s="38"/>
      <c r="HH49" s="38"/>
      <c r="HI49" s="38"/>
      <c r="HJ49" s="38"/>
      <c r="HK49" s="38"/>
      <c r="HL49" s="38"/>
      <c r="HM49" s="38"/>
      <c r="HN49" s="38"/>
      <c r="HO49" s="38"/>
      <c r="HP49" s="38"/>
      <c r="HQ49" s="38"/>
      <c r="HR49" s="38"/>
      <c r="HS49" s="38"/>
      <c r="HT49" s="38"/>
      <c r="HU49" s="38"/>
      <c r="HV49" s="38"/>
      <c r="HW49" s="38"/>
      <c r="HX49" s="38"/>
      <c r="HY49" s="38"/>
      <c r="HZ49" s="38"/>
      <c r="IA49" s="38"/>
      <c r="IB49" s="38"/>
      <c r="IC49" s="38"/>
      <c r="ID49" s="38"/>
      <c r="IE49" s="38"/>
      <c r="IF49" s="38"/>
      <c r="IG49" s="38"/>
      <c r="IH49" s="38"/>
      <c r="II49" s="38"/>
      <c r="IJ49" s="38"/>
      <c r="IK49" s="38"/>
      <c r="IL49" s="38"/>
      <c r="IM49" s="38"/>
      <c r="IN49" s="38"/>
      <c r="IO49" s="38"/>
      <c r="IP49" s="38"/>
      <c r="IQ49" s="38"/>
      <c r="IR49" s="38"/>
      <c r="IS49" s="38"/>
      <c r="IT49" s="38"/>
      <c r="IU49" s="38"/>
      <c r="IV49" s="38"/>
    </row>
    <row r="50" spans="2:256" s="39" customFormat="1" ht="12.9" customHeight="1" x14ac:dyDescent="0.25">
      <c r="C50" s="175"/>
      <c r="D50" s="175"/>
      <c r="E50" s="175"/>
      <c r="P50" s="308"/>
      <c r="Q50" s="284"/>
      <c r="R50" s="284"/>
      <c r="S50" s="284"/>
      <c r="T50" s="284"/>
      <c r="U50" s="176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  <c r="EQ50" s="38"/>
      <c r="ER50" s="38"/>
      <c r="ES50" s="38"/>
      <c r="ET50" s="38"/>
      <c r="EU50" s="38"/>
      <c r="EV50" s="38"/>
      <c r="EW50" s="38"/>
      <c r="EX50" s="38"/>
      <c r="EY50" s="38"/>
      <c r="EZ50" s="38"/>
      <c r="FA50" s="38"/>
      <c r="FB50" s="38"/>
      <c r="FC50" s="38"/>
      <c r="FD50" s="38"/>
      <c r="FE50" s="38"/>
      <c r="FF50" s="38"/>
      <c r="FG50" s="38"/>
      <c r="FH50" s="38"/>
      <c r="FI50" s="38"/>
      <c r="FJ50" s="38"/>
      <c r="FK50" s="38"/>
      <c r="FL50" s="38"/>
      <c r="FM50" s="38"/>
      <c r="FN50" s="38"/>
      <c r="FO50" s="38"/>
      <c r="FP50" s="38"/>
      <c r="FQ50" s="38"/>
      <c r="FR50" s="38"/>
      <c r="FS50" s="38"/>
      <c r="FT50" s="38"/>
      <c r="FU50" s="38"/>
      <c r="FV50" s="38"/>
      <c r="FW50" s="38"/>
      <c r="FX50" s="38"/>
      <c r="FY50" s="38"/>
      <c r="FZ50" s="38"/>
      <c r="GA50" s="38"/>
      <c r="GB50" s="38"/>
      <c r="GC50" s="38"/>
      <c r="GD50" s="38"/>
      <c r="GE50" s="38"/>
      <c r="GF50" s="38"/>
      <c r="GG50" s="38"/>
      <c r="GH50" s="38"/>
      <c r="GI50" s="38"/>
      <c r="GJ50" s="38"/>
      <c r="GK50" s="38"/>
      <c r="GL50" s="38"/>
      <c r="GM50" s="38"/>
      <c r="GN50" s="38"/>
      <c r="GO50" s="38"/>
      <c r="GP50" s="38"/>
      <c r="GQ50" s="38"/>
      <c r="GR50" s="38"/>
      <c r="GS50" s="38"/>
      <c r="GT50" s="38"/>
      <c r="GU50" s="38"/>
      <c r="GV50" s="38"/>
      <c r="GW50" s="38"/>
      <c r="GX50" s="38"/>
      <c r="GY50" s="38"/>
      <c r="GZ50" s="38"/>
      <c r="HA50" s="38"/>
      <c r="HB50" s="38"/>
      <c r="HC50" s="38"/>
      <c r="HD50" s="38"/>
      <c r="HE50" s="38"/>
      <c r="HF50" s="38"/>
      <c r="HG50" s="38"/>
      <c r="HH50" s="38"/>
      <c r="HI50" s="38"/>
      <c r="HJ50" s="38"/>
      <c r="HK50" s="38"/>
      <c r="HL50" s="38"/>
      <c r="HM50" s="38"/>
      <c r="HN50" s="38"/>
      <c r="HO50" s="38"/>
      <c r="HP50" s="38"/>
      <c r="HQ50" s="38"/>
      <c r="HR50" s="38"/>
      <c r="HS50" s="38"/>
      <c r="HT50" s="38"/>
      <c r="HU50" s="38"/>
      <c r="HV50" s="38"/>
      <c r="HW50" s="38"/>
      <c r="HX50" s="38"/>
      <c r="HY50" s="38"/>
      <c r="HZ50" s="38"/>
      <c r="IA50" s="38"/>
      <c r="IB50" s="38"/>
      <c r="IC50" s="38"/>
      <c r="ID50" s="38"/>
      <c r="IE50" s="38"/>
      <c r="IF50" s="38"/>
      <c r="IG50" s="38"/>
      <c r="IH50" s="38"/>
      <c r="II50" s="38"/>
      <c r="IJ50" s="38"/>
      <c r="IK50" s="38"/>
      <c r="IL50" s="38"/>
      <c r="IM50" s="38"/>
      <c r="IN50" s="38"/>
      <c r="IO50" s="38"/>
      <c r="IP50" s="38"/>
      <c r="IQ50" s="38"/>
      <c r="IR50" s="38"/>
      <c r="IS50" s="38"/>
      <c r="IT50" s="38"/>
      <c r="IU50" s="38"/>
      <c r="IV50" s="38"/>
    </row>
    <row r="51" spans="2:256" s="39" customFormat="1" ht="12.9" customHeight="1" x14ac:dyDescent="0.25">
      <c r="B51" s="30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  <c r="EQ51" s="38"/>
      <c r="ER51" s="38"/>
      <c r="ES51" s="38"/>
      <c r="ET51" s="38"/>
      <c r="EU51" s="38"/>
      <c r="EV51" s="38"/>
      <c r="EW51" s="38"/>
      <c r="EX51" s="38"/>
      <c r="EY51" s="38"/>
      <c r="EZ51" s="38"/>
      <c r="FA51" s="38"/>
      <c r="FB51" s="38"/>
      <c r="FC51" s="38"/>
      <c r="FD51" s="38"/>
      <c r="FE51" s="38"/>
      <c r="FF51" s="38"/>
      <c r="FG51" s="38"/>
      <c r="FH51" s="38"/>
      <c r="FI51" s="38"/>
      <c r="FJ51" s="38"/>
      <c r="FK51" s="38"/>
      <c r="FL51" s="38"/>
      <c r="FM51" s="38"/>
      <c r="FN51" s="38"/>
      <c r="FO51" s="38"/>
      <c r="FP51" s="38"/>
      <c r="FQ51" s="38"/>
      <c r="FR51" s="38"/>
      <c r="FS51" s="38"/>
      <c r="FT51" s="38"/>
      <c r="FU51" s="38"/>
      <c r="FV51" s="38"/>
      <c r="FW51" s="38"/>
      <c r="FX51" s="38"/>
      <c r="FY51" s="38"/>
      <c r="FZ51" s="38"/>
      <c r="GA51" s="38"/>
      <c r="GB51" s="38"/>
      <c r="GC51" s="38"/>
      <c r="GD51" s="38"/>
      <c r="GE51" s="38"/>
      <c r="GF51" s="38"/>
      <c r="GG51" s="38"/>
      <c r="GH51" s="38"/>
      <c r="GI51" s="38"/>
      <c r="GJ51" s="38"/>
      <c r="GK51" s="38"/>
      <c r="GL51" s="38"/>
      <c r="GM51" s="38"/>
      <c r="GN51" s="38"/>
      <c r="GO51" s="38"/>
      <c r="GP51" s="38"/>
      <c r="GQ51" s="38"/>
      <c r="GR51" s="38"/>
      <c r="GS51" s="38"/>
      <c r="GT51" s="38"/>
      <c r="GU51" s="38"/>
      <c r="GV51" s="38"/>
      <c r="GW51" s="38"/>
      <c r="GX51" s="38"/>
      <c r="GY51" s="38"/>
      <c r="GZ51" s="38"/>
      <c r="HA51" s="38"/>
      <c r="HB51" s="38"/>
      <c r="HC51" s="38"/>
      <c r="HD51" s="38"/>
      <c r="HE51" s="38"/>
      <c r="HF51" s="38"/>
      <c r="HG51" s="38"/>
      <c r="HH51" s="38"/>
      <c r="HI51" s="38"/>
      <c r="HJ51" s="38"/>
      <c r="HK51" s="38"/>
      <c r="HL51" s="38"/>
      <c r="HM51" s="38"/>
      <c r="HN51" s="38"/>
      <c r="HO51" s="38"/>
      <c r="HP51" s="38"/>
      <c r="HQ51" s="38"/>
      <c r="HR51" s="38"/>
      <c r="HS51" s="38"/>
      <c r="HT51" s="38"/>
      <c r="HU51" s="38"/>
      <c r="HV51" s="38"/>
      <c r="HW51" s="38"/>
      <c r="HX51" s="38"/>
      <c r="HY51" s="38"/>
      <c r="HZ51" s="38"/>
      <c r="IA51" s="38"/>
      <c r="IB51" s="38"/>
      <c r="IC51" s="38"/>
      <c r="ID51" s="38"/>
      <c r="IE51" s="38"/>
      <c r="IF51" s="38"/>
      <c r="IG51" s="38"/>
      <c r="IH51" s="38"/>
      <c r="II51" s="38"/>
      <c r="IJ51" s="38"/>
      <c r="IK51" s="38"/>
      <c r="IL51" s="38"/>
      <c r="IM51" s="38"/>
      <c r="IN51" s="38"/>
      <c r="IO51" s="38"/>
      <c r="IP51" s="38"/>
      <c r="IQ51" s="38"/>
      <c r="IR51" s="38"/>
      <c r="IS51" s="38"/>
      <c r="IT51" s="38"/>
      <c r="IU51" s="38"/>
      <c r="IV51" s="38"/>
    </row>
    <row r="52" spans="2:256" s="39" customFormat="1" ht="12.9" customHeight="1" x14ac:dyDescent="0.25">
      <c r="B52" s="55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  <c r="EU52" s="38"/>
      <c r="EV52" s="38"/>
      <c r="EW52" s="38"/>
      <c r="EX52" s="38"/>
      <c r="EY52" s="38"/>
      <c r="EZ52" s="38"/>
      <c r="FA52" s="38"/>
      <c r="FB52" s="38"/>
      <c r="FC52" s="38"/>
      <c r="FD52" s="38"/>
      <c r="FE52" s="38"/>
      <c r="FF52" s="38"/>
      <c r="FG52" s="38"/>
      <c r="FH52" s="38"/>
      <c r="FI52" s="38"/>
      <c r="FJ52" s="38"/>
      <c r="FK52" s="38"/>
      <c r="FL52" s="38"/>
      <c r="FM52" s="38"/>
      <c r="FN52" s="38"/>
      <c r="FO52" s="38"/>
      <c r="FP52" s="38"/>
      <c r="FQ52" s="38"/>
      <c r="FR52" s="38"/>
      <c r="FS52" s="38"/>
      <c r="FT52" s="38"/>
      <c r="FU52" s="38"/>
      <c r="FV52" s="38"/>
      <c r="FW52" s="38"/>
      <c r="FX52" s="38"/>
      <c r="FY52" s="38"/>
      <c r="FZ52" s="38"/>
      <c r="GA52" s="38"/>
      <c r="GB52" s="38"/>
      <c r="GC52" s="38"/>
      <c r="GD52" s="38"/>
      <c r="GE52" s="38"/>
      <c r="GF52" s="38"/>
      <c r="GG52" s="38"/>
      <c r="GH52" s="38"/>
      <c r="GI52" s="38"/>
      <c r="GJ52" s="38"/>
      <c r="GK52" s="38"/>
      <c r="GL52" s="38"/>
      <c r="GM52" s="38"/>
      <c r="GN52" s="38"/>
      <c r="GO52" s="38"/>
      <c r="GP52" s="38"/>
      <c r="GQ52" s="38"/>
      <c r="GR52" s="38"/>
      <c r="GS52" s="38"/>
      <c r="GT52" s="38"/>
      <c r="GU52" s="38"/>
      <c r="GV52" s="38"/>
      <c r="GW52" s="38"/>
      <c r="GX52" s="38"/>
      <c r="GY52" s="38"/>
      <c r="GZ52" s="38"/>
      <c r="HA52" s="38"/>
      <c r="HB52" s="38"/>
      <c r="HC52" s="38"/>
      <c r="HD52" s="38"/>
      <c r="HE52" s="38"/>
      <c r="HF52" s="38"/>
      <c r="HG52" s="38"/>
      <c r="HH52" s="38"/>
      <c r="HI52" s="38"/>
      <c r="HJ52" s="38"/>
      <c r="HK52" s="38"/>
      <c r="HL52" s="38"/>
      <c r="HM52" s="38"/>
      <c r="HN52" s="38"/>
      <c r="HO52" s="38"/>
      <c r="HP52" s="38"/>
      <c r="HQ52" s="38"/>
      <c r="HR52" s="38"/>
      <c r="HS52" s="38"/>
      <c r="HT52" s="38"/>
      <c r="HU52" s="38"/>
      <c r="HV52" s="38"/>
      <c r="HW52" s="38"/>
      <c r="HX52" s="38"/>
      <c r="HY52" s="38"/>
      <c r="HZ52" s="38"/>
      <c r="IA52" s="38"/>
      <c r="IB52" s="38"/>
      <c r="IC52" s="38"/>
      <c r="ID52" s="38"/>
      <c r="IE52" s="38"/>
      <c r="IF52" s="38"/>
      <c r="IG52" s="38"/>
      <c r="IH52" s="38"/>
      <c r="II52" s="38"/>
      <c r="IJ52" s="38"/>
      <c r="IK52" s="38"/>
      <c r="IL52" s="38"/>
      <c r="IM52" s="38"/>
      <c r="IN52" s="38"/>
      <c r="IO52" s="38"/>
      <c r="IP52" s="38"/>
      <c r="IQ52" s="38"/>
      <c r="IR52" s="38"/>
      <c r="IS52" s="38"/>
      <c r="IT52" s="38"/>
      <c r="IU52" s="38"/>
      <c r="IV52" s="38"/>
    </row>
    <row r="53" spans="2:256" s="39" customFormat="1" ht="12.9" customHeight="1" x14ac:dyDescent="0.25">
      <c r="B53" s="55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  <c r="EQ53" s="38"/>
      <c r="ER53" s="38"/>
      <c r="ES53" s="38"/>
      <c r="ET53" s="38"/>
      <c r="EU53" s="38"/>
      <c r="EV53" s="38"/>
      <c r="EW53" s="38"/>
      <c r="EX53" s="38"/>
      <c r="EY53" s="38"/>
      <c r="EZ53" s="38"/>
      <c r="FA53" s="38"/>
      <c r="FB53" s="38"/>
      <c r="FC53" s="38"/>
      <c r="FD53" s="38"/>
      <c r="FE53" s="38"/>
      <c r="FF53" s="38"/>
      <c r="FG53" s="38"/>
      <c r="FH53" s="38"/>
      <c r="FI53" s="38"/>
      <c r="FJ53" s="38"/>
      <c r="FK53" s="38"/>
      <c r="FL53" s="38"/>
      <c r="FM53" s="38"/>
      <c r="FN53" s="38"/>
      <c r="FO53" s="38"/>
      <c r="FP53" s="38"/>
      <c r="FQ53" s="38"/>
      <c r="FR53" s="38"/>
      <c r="FS53" s="38"/>
      <c r="FT53" s="38"/>
      <c r="FU53" s="38"/>
      <c r="FV53" s="38"/>
      <c r="FW53" s="38"/>
      <c r="FX53" s="38"/>
      <c r="FY53" s="38"/>
      <c r="FZ53" s="38"/>
      <c r="GA53" s="38"/>
      <c r="GB53" s="38"/>
      <c r="GC53" s="38"/>
      <c r="GD53" s="38"/>
      <c r="GE53" s="38"/>
      <c r="GF53" s="38"/>
      <c r="GG53" s="38"/>
      <c r="GH53" s="38"/>
      <c r="GI53" s="38"/>
      <c r="GJ53" s="38"/>
      <c r="GK53" s="38"/>
      <c r="GL53" s="38"/>
      <c r="GM53" s="38"/>
      <c r="GN53" s="38"/>
      <c r="GO53" s="38"/>
      <c r="GP53" s="38"/>
      <c r="GQ53" s="38"/>
      <c r="GR53" s="38"/>
      <c r="GS53" s="38"/>
      <c r="GT53" s="38"/>
      <c r="GU53" s="38"/>
      <c r="GV53" s="38"/>
      <c r="GW53" s="38"/>
      <c r="GX53" s="38"/>
      <c r="GY53" s="38"/>
      <c r="GZ53" s="38"/>
      <c r="HA53" s="38"/>
      <c r="HB53" s="38"/>
      <c r="HC53" s="38"/>
      <c r="HD53" s="38"/>
      <c r="HE53" s="38"/>
      <c r="HF53" s="38"/>
      <c r="HG53" s="38"/>
      <c r="HH53" s="38"/>
      <c r="HI53" s="38"/>
      <c r="HJ53" s="38"/>
      <c r="HK53" s="38"/>
      <c r="HL53" s="38"/>
      <c r="HM53" s="38"/>
      <c r="HN53" s="38"/>
      <c r="HO53" s="38"/>
      <c r="HP53" s="38"/>
      <c r="HQ53" s="38"/>
      <c r="HR53" s="38"/>
      <c r="HS53" s="38"/>
      <c r="HT53" s="38"/>
      <c r="HU53" s="38"/>
      <c r="HV53" s="38"/>
      <c r="HW53" s="38"/>
      <c r="HX53" s="38"/>
      <c r="HY53" s="38"/>
      <c r="HZ53" s="38"/>
      <c r="IA53" s="38"/>
      <c r="IB53" s="38"/>
      <c r="IC53" s="38"/>
      <c r="ID53" s="38"/>
      <c r="IE53" s="38"/>
      <c r="IF53" s="38"/>
      <c r="IG53" s="38"/>
      <c r="IH53" s="38"/>
      <c r="II53" s="38"/>
      <c r="IJ53" s="38"/>
      <c r="IK53" s="38"/>
      <c r="IL53" s="38"/>
      <c r="IM53" s="38"/>
      <c r="IN53" s="38"/>
      <c r="IO53" s="38"/>
      <c r="IP53" s="38"/>
      <c r="IQ53" s="38"/>
      <c r="IR53" s="38"/>
      <c r="IS53" s="38"/>
      <c r="IT53" s="38"/>
      <c r="IU53" s="38"/>
      <c r="IV53" s="38"/>
    </row>
    <row r="54" spans="2:256" s="39" customFormat="1" ht="12.9" customHeight="1" x14ac:dyDescent="0.25">
      <c r="B54" s="55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  <c r="EQ54" s="38"/>
      <c r="ER54" s="38"/>
      <c r="ES54" s="38"/>
      <c r="ET54" s="38"/>
      <c r="EU54" s="38"/>
      <c r="EV54" s="38"/>
      <c r="EW54" s="38"/>
      <c r="EX54" s="38"/>
      <c r="EY54" s="38"/>
      <c r="EZ54" s="38"/>
      <c r="FA54" s="38"/>
      <c r="FB54" s="38"/>
      <c r="FC54" s="38"/>
      <c r="FD54" s="38"/>
      <c r="FE54" s="38"/>
      <c r="FF54" s="38"/>
      <c r="FG54" s="38"/>
      <c r="FH54" s="38"/>
      <c r="FI54" s="38"/>
      <c r="FJ54" s="38"/>
      <c r="FK54" s="38"/>
      <c r="FL54" s="38"/>
      <c r="FM54" s="38"/>
      <c r="FN54" s="38"/>
      <c r="FO54" s="38"/>
      <c r="FP54" s="38"/>
      <c r="FQ54" s="38"/>
      <c r="FR54" s="38"/>
      <c r="FS54" s="38"/>
      <c r="FT54" s="38"/>
      <c r="FU54" s="38"/>
      <c r="FV54" s="38"/>
      <c r="FW54" s="38"/>
      <c r="FX54" s="38"/>
      <c r="FY54" s="38"/>
      <c r="FZ54" s="38"/>
      <c r="GA54" s="38"/>
      <c r="GB54" s="38"/>
      <c r="GC54" s="38"/>
      <c r="GD54" s="38"/>
      <c r="GE54" s="38"/>
      <c r="GF54" s="38"/>
      <c r="GG54" s="38"/>
      <c r="GH54" s="38"/>
      <c r="GI54" s="38"/>
      <c r="GJ54" s="38"/>
      <c r="GK54" s="38"/>
      <c r="GL54" s="38"/>
      <c r="GM54" s="38"/>
      <c r="GN54" s="38"/>
      <c r="GO54" s="38"/>
      <c r="GP54" s="38"/>
      <c r="GQ54" s="38"/>
      <c r="GR54" s="38"/>
      <c r="GS54" s="38"/>
      <c r="GT54" s="38"/>
      <c r="GU54" s="38"/>
      <c r="GV54" s="38"/>
      <c r="GW54" s="38"/>
      <c r="GX54" s="38"/>
      <c r="GY54" s="38"/>
      <c r="GZ54" s="38"/>
      <c r="HA54" s="38"/>
      <c r="HB54" s="38"/>
      <c r="HC54" s="38"/>
      <c r="HD54" s="38"/>
      <c r="HE54" s="38"/>
      <c r="HF54" s="38"/>
      <c r="HG54" s="38"/>
      <c r="HH54" s="38"/>
      <c r="HI54" s="38"/>
      <c r="HJ54" s="38"/>
      <c r="HK54" s="38"/>
      <c r="HL54" s="38"/>
      <c r="HM54" s="38"/>
      <c r="HN54" s="38"/>
      <c r="HO54" s="38"/>
      <c r="HP54" s="38"/>
      <c r="HQ54" s="38"/>
      <c r="HR54" s="38"/>
      <c r="HS54" s="38"/>
      <c r="HT54" s="38"/>
      <c r="HU54" s="38"/>
      <c r="HV54" s="38"/>
      <c r="HW54" s="38"/>
      <c r="HX54" s="38"/>
      <c r="HY54" s="38"/>
      <c r="HZ54" s="38"/>
      <c r="IA54" s="38"/>
      <c r="IB54" s="38"/>
      <c r="IC54" s="38"/>
      <c r="ID54" s="38"/>
      <c r="IE54" s="38"/>
      <c r="IF54" s="38"/>
      <c r="IG54" s="38"/>
      <c r="IH54" s="38"/>
      <c r="II54" s="38"/>
      <c r="IJ54" s="38"/>
      <c r="IK54" s="38"/>
      <c r="IL54" s="38"/>
      <c r="IM54" s="38"/>
      <c r="IN54" s="38"/>
      <c r="IO54" s="38"/>
      <c r="IP54" s="38"/>
      <c r="IQ54" s="38"/>
      <c r="IR54" s="38"/>
      <c r="IS54" s="38"/>
      <c r="IT54" s="38"/>
      <c r="IU54" s="38"/>
      <c r="IV54" s="38"/>
    </row>
    <row r="55" spans="2:256" s="39" customFormat="1" ht="12.9" customHeight="1" x14ac:dyDescent="0.25">
      <c r="B55" s="55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  <c r="EQ55" s="38"/>
      <c r="ER55" s="38"/>
      <c r="ES55" s="38"/>
      <c r="ET55" s="38"/>
      <c r="EU55" s="38"/>
      <c r="EV55" s="38"/>
      <c r="EW55" s="38"/>
      <c r="EX55" s="38"/>
      <c r="EY55" s="38"/>
      <c r="EZ55" s="38"/>
      <c r="FA55" s="38"/>
      <c r="FB55" s="38"/>
      <c r="FC55" s="38"/>
      <c r="FD55" s="38"/>
      <c r="FE55" s="38"/>
      <c r="FF55" s="38"/>
      <c r="FG55" s="38"/>
      <c r="FH55" s="38"/>
      <c r="FI55" s="38"/>
      <c r="FJ55" s="38"/>
      <c r="FK55" s="38"/>
      <c r="FL55" s="38"/>
      <c r="FM55" s="38"/>
      <c r="FN55" s="38"/>
      <c r="FO55" s="38"/>
      <c r="FP55" s="38"/>
      <c r="FQ55" s="38"/>
      <c r="FR55" s="38"/>
      <c r="FS55" s="38"/>
      <c r="FT55" s="38"/>
      <c r="FU55" s="38"/>
      <c r="FV55" s="38"/>
      <c r="FW55" s="38"/>
      <c r="FX55" s="38"/>
      <c r="FY55" s="38"/>
      <c r="FZ55" s="38"/>
      <c r="GA55" s="38"/>
      <c r="GB55" s="38"/>
      <c r="GC55" s="38"/>
      <c r="GD55" s="38"/>
      <c r="GE55" s="38"/>
      <c r="GF55" s="38"/>
      <c r="GG55" s="38"/>
      <c r="GH55" s="38"/>
      <c r="GI55" s="38"/>
      <c r="GJ55" s="38"/>
      <c r="GK55" s="38"/>
      <c r="GL55" s="38"/>
      <c r="GM55" s="38"/>
      <c r="GN55" s="38"/>
      <c r="GO55" s="38"/>
      <c r="GP55" s="38"/>
      <c r="GQ55" s="38"/>
      <c r="GR55" s="38"/>
      <c r="GS55" s="38"/>
      <c r="GT55" s="38"/>
      <c r="GU55" s="38"/>
      <c r="GV55" s="38"/>
      <c r="GW55" s="38"/>
      <c r="GX55" s="38"/>
      <c r="GY55" s="38"/>
      <c r="GZ55" s="38"/>
      <c r="HA55" s="38"/>
      <c r="HB55" s="38"/>
      <c r="HC55" s="38"/>
      <c r="HD55" s="38"/>
      <c r="HE55" s="38"/>
      <c r="HF55" s="38"/>
      <c r="HG55" s="38"/>
      <c r="HH55" s="38"/>
      <c r="HI55" s="38"/>
      <c r="HJ55" s="38"/>
      <c r="HK55" s="38"/>
      <c r="HL55" s="38"/>
      <c r="HM55" s="38"/>
      <c r="HN55" s="38"/>
      <c r="HO55" s="38"/>
      <c r="HP55" s="38"/>
      <c r="HQ55" s="38"/>
      <c r="HR55" s="38"/>
      <c r="HS55" s="38"/>
      <c r="HT55" s="38"/>
      <c r="HU55" s="38"/>
      <c r="HV55" s="38"/>
      <c r="HW55" s="38"/>
      <c r="HX55" s="38"/>
      <c r="HY55" s="38"/>
      <c r="HZ55" s="38"/>
      <c r="IA55" s="38"/>
      <c r="IB55" s="38"/>
      <c r="IC55" s="38"/>
      <c r="ID55" s="38"/>
      <c r="IE55" s="38"/>
      <c r="IF55" s="38"/>
      <c r="IG55" s="38"/>
      <c r="IH55" s="38"/>
      <c r="II55" s="38"/>
      <c r="IJ55" s="38"/>
      <c r="IK55" s="38"/>
      <c r="IL55" s="38"/>
      <c r="IM55" s="38"/>
      <c r="IN55" s="38"/>
      <c r="IO55" s="38"/>
      <c r="IP55" s="38"/>
      <c r="IQ55" s="38"/>
      <c r="IR55" s="38"/>
      <c r="IS55" s="38"/>
      <c r="IT55" s="38"/>
      <c r="IU55" s="38"/>
      <c r="IV55" s="38"/>
    </row>
    <row r="56" spans="2:256" s="39" customFormat="1" ht="12.9" customHeight="1" x14ac:dyDescent="0.25">
      <c r="B56" s="55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  <c r="EQ56" s="38"/>
      <c r="ER56" s="38"/>
      <c r="ES56" s="38"/>
      <c r="ET56" s="38"/>
      <c r="EU56" s="38"/>
      <c r="EV56" s="38"/>
      <c r="EW56" s="38"/>
      <c r="EX56" s="38"/>
      <c r="EY56" s="38"/>
      <c r="EZ56" s="38"/>
      <c r="FA56" s="38"/>
      <c r="FB56" s="38"/>
      <c r="FC56" s="38"/>
      <c r="FD56" s="38"/>
      <c r="FE56" s="38"/>
      <c r="FF56" s="38"/>
      <c r="FG56" s="38"/>
      <c r="FH56" s="38"/>
      <c r="FI56" s="38"/>
      <c r="FJ56" s="38"/>
      <c r="FK56" s="38"/>
      <c r="FL56" s="38"/>
      <c r="FM56" s="38"/>
      <c r="FN56" s="38"/>
      <c r="FO56" s="38"/>
      <c r="FP56" s="38"/>
      <c r="FQ56" s="38"/>
      <c r="FR56" s="38"/>
      <c r="FS56" s="38"/>
      <c r="FT56" s="38"/>
      <c r="FU56" s="38"/>
      <c r="FV56" s="38"/>
      <c r="FW56" s="38"/>
      <c r="FX56" s="38"/>
      <c r="FY56" s="38"/>
      <c r="FZ56" s="38"/>
      <c r="GA56" s="38"/>
      <c r="GB56" s="38"/>
      <c r="GC56" s="38"/>
      <c r="GD56" s="38"/>
      <c r="GE56" s="38"/>
      <c r="GF56" s="38"/>
      <c r="GG56" s="38"/>
      <c r="GH56" s="38"/>
      <c r="GI56" s="38"/>
      <c r="GJ56" s="38"/>
      <c r="GK56" s="38"/>
      <c r="GL56" s="38"/>
      <c r="GM56" s="38"/>
      <c r="GN56" s="38"/>
      <c r="GO56" s="38"/>
      <c r="GP56" s="38"/>
      <c r="GQ56" s="38"/>
      <c r="GR56" s="38"/>
      <c r="GS56" s="38"/>
      <c r="GT56" s="38"/>
      <c r="GU56" s="38"/>
      <c r="GV56" s="38"/>
      <c r="GW56" s="38"/>
      <c r="GX56" s="38"/>
      <c r="GY56" s="38"/>
      <c r="GZ56" s="38"/>
      <c r="HA56" s="38"/>
      <c r="HB56" s="38"/>
      <c r="HC56" s="38"/>
      <c r="HD56" s="38"/>
      <c r="HE56" s="38"/>
      <c r="HF56" s="38"/>
      <c r="HG56" s="38"/>
      <c r="HH56" s="38"/>
      <c r="HI56" s="38"/>
      <c r="HJ56" s="38"/>
      <c r="HK56" s="38"/>
      <c r="HL56" s="38"/>
      <c r="HM56" s="38"/>
      <c r="HN56" s="38"/>
      <c r="HO56" s="38"/>
      <c r="HP56" s="38"/>
      <c r="HQ56" s="38"/>
      <c r="HR56" s="38"/>
      <c r="HS56" s="38"/>
      <c r="HT56" s="38"/>
      <c r="HU56" s="38"/>
      <c r="HV56" s="38"/>
      <c r="HW56" s="38"/>
      <c r="HX56" s="38"/>
      <c r="HY56" s="38"/>
      <c r="HZ56" s="38"/>
      <c r="IA56" s="38"/>
      <c r="IB56" s="38"/>
      <c r="IC56" s="38"/>
      <c r="ID56" s="38"/>
      <c r="IE56" s="38"/>
      <c r="IF56" s="38"/>
      <c r="IG56" s="38"/>
      <c r="IH56" s="38"/>
      <c r="II56" s="38"/>
      <c r="IJ56" s="38"/>
      <c r="IK56" s="38"/>
      <c r="IL56" s="38"/>
      <c r="IM56" s="38"/>
      <c r="IN56" s="38"/>
      <c r="IO56" s="38"/>
      <c r="IP56" s="38"/>
      <c r="IQ56" s="38"/>
      <c r="IR56" s="38"/>
      <c r="IS56" s="38"/>
      <c r="IT56" s="38"/>
      <c r="IU56" s="38"/>
      <c r="IV56" s="38"/>
    </row>
    <row r="57" spans="2:256" s="39" customFormat="1" ht="12.9" customHeight="1" x14ac:dyDescent="0.25">
      <c r="B57" s="55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  <c r="FB57" s="38"/>
      <c r="FC57" s="38"/>
      <c r="FD57" s="38"/>
      <c r="FE57" s="38"/>
      <c r="FF57" s="38"/>
      <c r="FG57" s="38"/>
      <c r="FH57" s="38"/>
      <c r="FI57" s="38"/>
      <c r="FJ57" s="38"/>
      <c r="FK57" s="38"/>
      <c r="FL57" s="38"/>
      <c r="FM57" s="38"/>
      <c r="FN57" s="38"/>
      <c r="FO57" s="38"/>
      <c r="FP57" s="38"/>
      <c r="FQ57" s="38"/>
      <c r="FR57" s="38"/>
      <c r="FS57" s="38"/>
      <c r="FT57" s="38"/>
      <c r="FU57" s="38"/>
      <c r="FV57" s="38"/>
      <c r="FW57" s="38"/>
      <c r="FX57" s="38"/>
      <c r="FY57" s="38"/>
      <c r="FZ57" s="38"/>
      <c r="GA57" s="38"/>
      <c r="GB57" s="38"/>
      <c r="GC57" s="38"/>
      <c r="GD57" s="38"/>
      <c r="GE57" s="38"/>
      <c r="GF57" s="38"/>
      <c r="GG57" s="38"/>
      <c r="GH57" s="38"/>
      <c r="GI57" s="38"/>
      <c r="GJ57" s="38"/>
      <c r="GK57" s="38"/>
      <c r="GL57" s="38"/>
      <c r="GM57" s="38"/>
      <c r="GN57" s="38"/>
      <c r="GO57" s="38"/>
      <c r="GP57" s="38"/>
      <c r="GQ57" s="38"/>
      <c r="GR57" s="38"/>
      <c r="GS57" s="38"/>
      <c r="GT57" s="38"/>
      <c r="GU57" s="38"/>
      <c r="GV57" s="38"/>
      <c r="GW57" s="38"/>
      <c r="GX57" s="38"/>
      <c r="GY57" s="38"/>
      <c r="GZ57" s="38"/>
      <c r="HA57" s="38"/>
      <c r="HB57" s="38"/>
      <c r="HC57" s="38"/>
      <c r="HD57" s="38"/>
      <c r="HE57" s="38"/>
      <c r="HF57" s="38"/>
      <c r="HG57" s="38"/>
      <c r="HH57" s="38"/>
      <c r="HI57" s="38"/>
      <c r="HJ57" s="38"/>
      <c r="HK57" s="38"/>
      <c r="HL57" s="38"/>
      <c r="HM57" s="38"/>
      <c r="HN57" s="38"/>
      <c r="HO57" s="38"/>
      <c r="HP57" s="38"/>
      <c r="HQ57" s="38"/>
      <c r="HR57" s="38"/>
      <c r="HS57" s="38"/>
      <c r="HT57" s="38"/>
      <c r="HU57" s="38"/>
      <c r="HV57" s="38"/>
      <c r="HW57" s="38"/>
      <c r="HX57" s="38"/>
      <c r="HY57" s="38"/>
      <c r="HZ57" s="38"/>
      <c r="IA57" s="38"/>
      <c r="IB57" s="38"/>
      <c r="IC57" s="38"/>
      <c r="ID57" s="38"/>
      <c r="IE57" s="38"/>
      <c r="IF57" s="38"/>
      <c r="IG57" s="38"/>
      <c r="IH57" s="38"/>
      <c r="II57" s="38"/>
      <c r="IJ57" s="38"/>
      <c r="IK57" s="38"/>
      <c r="IL57" s="38"/>
      <c r="IM57" s="38"/>
      <c r="IN57" s="38"/>
      <c r="IO57" s="38"/>
      <c r="IP57" s="38"/>
      <c r="IQ57" s="38"/>
      <c r="IR57" s="38"/>
      <c r="IS57" s="38"/>
      <c r="IT57" s="38"/>
      <c r="IU57" s="38"/>
      <c r="IV57" s="38"/>
    </row>
    <row r="58" spans="2:256" s="39" customFormat="1" ht="12.9" customHeight="1" x14ac:dyDescent="0.25"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  <c r="EQ58" s="38"/>
      <c r="ER58" s="38"/>
      <c r="ES58" s="38"/>
      <c r="ET58" s="38"/>
      <c r="EU58" s="38"/>
      <c r="EV58" s="38"/>
      <c r="EW58" s="38"/>
      <c r="EX58" s="38"/>
      <c r="EY58" s="38"/>
      <c r="EZ58" s="38"/>
      <c r="FA58" s="38"/>
      <c r="FB58" s="38"/>
      <c r="FC58" s="38"/>
      <c r="FD58" s="38"/>
      <c r="FE58" s="38"/>
      <c r="FF58" s="38"/>
      <c r="FG58" s="38"/>
      <c r="FH58" s="38"/>
      <c r="FI58" s="38"/>
      <c r="FJ58" s="38"/>
      <c r="FK58" s="38"/>
      <c r="FL58" s="38"/>
      <c r="FM58" s="38"/>
      <c r="FN58" s="38"/>
      <c r="FO58" s="38"/>
      <c r="FP58" s="38"/>
      <c r="FQ58" s="38"/>
      <c r="FR58" s="38"/>
      <c r="FS58" s="38"/>
      <c r="FT58" s="38"/>
      <c r="FU58" s="38"/>
      <c r="FV58" s="38"/>
      <c r="FW58" s="38"/>
      <c r="FX58" s="38"/>
      <c r="FY58" s="38"/>
      <c r="FZ58" s="38"/>
      <c r="GA58" s="38"/>
      <c r="GB58" s="38"/>
      <c r="GC58" s="38"/>
      <c r="GD58" s="38"/>
      <c r="GE58" s="38"/>
      <c r="GF58" s="38"/>
      <c r="GG58" s="38"/>
      <c r="GH58" s="38"/>
      <c r="GI58" s="38"/>
      <c r="GJ58" s="38"/>
      <c r="GK58" s="38"/>
      <c r="GL58" s="38"/>
      <c r="GM58" s="38"/>
      <c r="GN58" s="38"/>
      <c r="GO58" s="38"/>
      <c r="GP58" s="38"/>
      <c r="GQ58" s="38"/>
      <c r="GR58" s="38"/>
      <c r="GS58" s="38"/>
      <c r="GT58" s="38"/>
      <c r="GU58" s="38"/>
      <c r="GV58" s="38"/>
      <c r="GW58" s="38"/>
      <c r="GX58" s="38"/>
      <c r="GY58" s="38"/>
      <c r="GZ58" s="38"/>
      <c r="HA58" s="38"/>
      <c r="HB58" s="38"/>
      <c r="HC58" s="38"/>
      <c r="HD58" s="38"/>
      <c r="HE58" s="38"/>
      <c r="HF58" s="38"/>
      <c r="HG58" s="38"/>
      <c r="HH58" s="38"/>
      <c r="HI58" s="38"/>
      <c r="HJ58" s="38"/>
      <c r="HK58" s="38"/>
      <c r="HL58" s="38"/>
      <c r="HM58" s="38"/>
      <c r="HN58" s="38"/>
      <c r="HO58" s="38"/>
      <c r="HP58" s="38"/>
      <c r="HQ58" s="38"/>
      <c r="HR58" s="38"/>
      <c r="HS58" s="38"/>
      <c r="HT58" s="38"/>
      <c r="HU58" s="38"/>
      <c r="HV58" s="38"/>
      <c r="HW58" s="38"/>
      <c r="HX58" s="38"/>
      <c r="HY58" s="38"/>
      <c r="HZ58" s="38"/>
      <c r="IA58" s="38"/>
      <c r="IB58" s="38"/>
      <c r="IC58" s="38"/>
      <c r="ID58" s="38"/>
      <c r="IE58" s="38"/>
      <c r="IF58" s="38"/>
      <c r="IG58" s="38"/>
      <c r="IH58" s="38"/>
      <c r="II58" s="38"/>
      <c r="IJ58" s="38"/>
      <c r="IK58" s="38"/>
      <c r="IL58" s="38"/>
      <c r="IM58" s="38"/>
      <c r="IN58" s="38"/>
      <c r="IO58" s="38"/>
      <c r="IP58" s="38"/>
      <c r="IQ58" s="38"/>
      <c r="IR58" s="38"/>
      <c r="IS58" s="38"/>
      <c r="IT58" s="38"/>
      <c r="IU58" s="38"/>
      <c r="IV58" s="38"/>
    </row>
    <row r="59" spans="2:256" s="39" customFormat="1" ht="12.9" customHeight="1" x14ac:dyDescent="0.25"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  <c r="EU59" s="38"/>
      <c r="EV59" s="38"/>
      <c r="EW59" s="38"/>
      <c r="EX59" s="38"/>
      <c r="EY59" s="38"/>
      <c r="EZ59" s="38"/>
      <c r="FA59" s="38"/>
      <c r="FB59" s="38"/>
      <c r="FC59" s="38"/>
      <c r="FD59" s="38"/>
      <c r="FE59" s="38"/>
      <c r="FF59" s="38"/>
      <c r="FG59" s="38"/>
      <c r="FH59" s="38"/>
      <c r="FI59" s="38"/>
      <c r="FJ59" s="38"/>
      <c r="FK59" s="38"/>
      <c r="FL59" s="38"/>
      <c r="FM59" s="38"/>
      <c r="FN59" s="38"/>
      <c r="FO59" s="38"/>
      <c r="FP59" s="38"/>
      <c r="FQ59" s="38"/>
      <c r="FR59" s="38"/>
      <c r="FS59" s="38"/>
      <c r="FT59" s="38"/>
      <c r="FU59" s="38"/>
      <c r="FV59" s="38"/>
      <c r="FW59" s="38"/>
      <c r="FX59" s="38"/>
      <c r="FY59" s="38"/>
      <c r="FZ59" s="38"/>
      <c r="GA59" s="38"/>
      <c r="GB59" s="38"/>
      <c r="GC59" s="38"/>
      <c r="GD59" s="38"/>
      <c r="GE59" s="38"/>
      <c r="GF59" s="38"/>
      <c r="GG59" s="38"/>
      <c r="GH59" s="38"/>
      <c r="GI59" s="38"/>
      <c r="GJ59" s="38"/>
      <c r="GK59" s="38"/>
      <c r="GL59" s="38"/>
      <c r="GM59" s="38"/>
      <c r="GN59" s="38"/>
      <c r="GO59" s="38"/>
      <c r="GP59" s="38"/>
      <c r="GQ59" s="38"/>
      <c r="GR59" s="38"/>
      <c r="GS59" s="38"/>
      <c r="GT59" s="38"/>
      <c r="GU59" s="38"/>
      <c r="GV59" s="38"/>
      <c r="GW59" s="38"/>
      <c r="GX59" s="38"/>
      <c r="GY59" s="38"/>
      <c r="GZ59" s="38"/>
      <c r="HA59" s="38"/>
      <c r="HB59" s="38"/>
      <c r="HC59" s="38"/>
      <c r="HD59" s="38"/>
      <c r="HE59" s="38"/>
      <c r="HF59" s="38"/>
      <c r="HG59" s="38"/>
      <c r="HH59" s="38"/>
      <c r="HI59" s="38"/>
      <c r="HJ59" s="38"/>
      <c r="HK59" s="38"/>
      <c r="HL59" s="38"/>
      <c r="HM59" s="38"/>
      <c r="HN59" s="38"/>
      <c r="HO59" s="38"/>
      <c r="HP59" s="38"/>
      <c r="HQ59" s="38"/>
      <c r="HR59" s="38"/>
      <c r="HS59" s="38"/>
      <c r="HT59" s="38"/>
      <c r="HU59" s="38"/>
      <c r="HV59" s="38"/>
      <c r="HW59" s="38"/>
      <c r="HX59" s="38"/>
      <c r="HY59" s="38"/>
      <c r="HZ59" s="38"/>
      <c r="IA59" s="38"/>
      <c r="IB59" s="38"/>
      <c r="IC59" s="38"/>
      <c r="ID59" s="38"/>
      <c r="IE59" s="38"/>
      <c r="IF59" s="38"/>
      <c r="IG59" s="38"/>
      <c r="IH59" s="38"/>
      <c r="II59" s="38"/>
      <c r="IJ59" s="38"/>
      <c r="IK59" s="38"/>
      <c r="IL59" s="38"/>
      <c r="IM59" s="38"/>
      <c r="IN59" s="38"/>
      <c r="IO59" s="38"/>
      <c r="IP59" s="38"/>
      <c r="IQ59" s="38"/>
      <c r="IR59" s="38"/>
      <c r="IS59" s="38"/>
      <c r="IT59" s="38"/>
      <c r="IU59" s="38"/>
      <c r="IV59" s="38"/>
    </row>
    <row r="60" spans="2:256" s="39" customFormat="1" ht="12.9" customHeight="1" x14ac:dyDescent="0.25"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8"/>
      <c r="EC60" s="38"/>
      <c r="ED60" s="38"/>
      <c r="EE60" s="38"/>
      <c r="EF60" s="38"/>
      <c r="EG60" s="38"/>
      <c r="EH60" s="38"/>
      <c r="EI60" s="38"/>
      <c r="EJ60" s="38"/>
      <c r="EK60" s="38"/>
      <c r="EL60" s="38"/>
      <c r="EM60" s="38"/>
      <c r="EN60" s="38"/>
      <c r="EO60" s="38"/>
      <c r="EP60" s="38"/>
      <c r="EQ60" s="38"/>
      <c r="ER60" s="38"/>
      <c r="ES60" s="38"/>
      <c r="ET60" s="38"/>
      <c r="EU60" s="38"/>
      <c r="EV60" s="38"/>
      <c r="EW60" s="38"/>
      <c r="EX60" s="38"/>
      <c r="EY60" s="38"/>
      <c r="EZ60" s="38"/>
      <c r="FA60" s="38"/>
      <c r="FB60" s="38"/>
      <c r="FC60" s="38"/>
      <c r="FD60" s="38"/>
      <c r="FE60" s="38"/>
      <c r="FF60" s="38"/>
      <c r="FG60" s="38"/>
      <c r="FH60" s="38"/>
      <c r="FI60" s="38"/>
      <c r="FJ60" s="38"/>
      <c r="FK60" s="38"/>
      <c r="FL60" s="38"/>
      <c r="FM60" s="38"/>
      <c r="FN60" s="38"/>
      <c r="FO60" s="38"/>
      <c r="FP60" s="38"/>
      <c r="FQ60" s="38"/>
      <c r="FR60" s="38"/>
      <c r="FS60" s="38"/>
      <c r="FT60" s="38"/>
      <c r="FU60" s="38"/>
      <c r="FV60" s="38"/>
      <c r="FW60" s="38"/>
      <c r="FX60" s="38"/>
      <c r="FY60" s="38"/>
      <c r="FZ60" s="38"/>
      <c r="GA60" s="38"/>
      <c r="GB60" s="38"/>
      <c r="GC60" s="38"/>
      <c r="GD60" s="38"/>
      <c r="GE60" s="38"/>
      <c r="GF60" s="38"/>
      <c r="GG60" s="38"/>
      <c r="GH60" s="38"/>
      <c r="GI60" s="38"/>
      <c r="GJ60" s="38"/>
      <c r="GK60" s="38"/>
      <c r="GL60" s="38"/>
      <c r="GM60" s="38"/>
      <c r="GN60" s="38"/>
      <c r="GO60" s="38"/>
      <c r="GP60" s="38"/>
      <c r="GQ60" s="38"/>
      <c r="GR60" s="38"/>
      <c r="GS60" s="38"/>
      <c r="GT60" s="38"/>
      <c r="GU60" s="38"/>
      <c r="GV60" s="38"/>
      <c r="GW60" s="38"/>
      <c r="GX60" s="38"/>
      <c r="GY60" s="38"/>
      <c r="GZ60" s="38"/>
      <c r="HA60" s="38"/>
      <c r="HB60" s="38"/>
      <c r="HC60" s="38"/>
      <c r="HD60" s="38"/>
      <c r="HE60" s="38"/>
      <c r="HF60" s="38"/>
      <c r="HG60" s="38"/>
      <c r="HH60" s="38"/>
      <c r="HI60" s="38"/>
      <c r="HJ60" s="38"/>
      <c r="HK60" s="38"/>
      <c r="HL60" s="38"/>
      <c r="HM60" s="38"/>
      <c r="HN60" s="38"/>
      <c r="HO60" s="38"/>
      <c r="HP60" s="38"/>
      <c r="HQ60" s="38"/>
      <c r="HR60" s="38"/>
      <c r="HS60" s="38"/>
      <c r="HT60" s="38"/>
      <c r="HU60" s="38"/>
      <c r="HV60" s="38"/>
      <c r="HW60" s="38"/>
      <c r="HX60" s="38"/>
      <c r="HY60" s="38"/>
      <c r="HZ60" s="38"/>
      <c r="IA60" s="38"/>
      <c r="IB60" s="38"/>
      <c r="IC60" s="38"/>
      <c r="ID60" s="38"/>
      <c r="IE60" s="38"/>
      <c r="IF60" s="38"/>
      <c r="IG60" s="38"/>
      <c r="IH60" s="38"/>
      <c r="II60" s="38"/>
      <c r="IJ60" s="38"/>
      <c r="IK60" s="38"/>
      <c r="IL60" s="38"/>
      <c r="IM60" s="38"/>
      <c r="IN60" s="38"/>
      <c r="IO60" s="38"/>
      <c r="IP60" s="38"/>
      <c r="IQ60" s="38"/>
      <c r="IR60" s="38"/>
      <c r="IS60" s="38"/>
      <c r="IT60" s="38"/>
      <c r="IU60" s="38"/>
      <c r="IV60" s="38"/>
    </row>
    <row r="61" spans="2:256" s="39" customFormat="1" ht="12.9" customHeight="1" x14ac:dyDescent="0.25"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  <c r="DT61" s="38"/>
      <c r="DU61" s="38"/>
      <c r="DV61" s="38"/>
      <c r="DW61" s="38"/>
      <c r="DX61" s="38"/>
      <c r="DY61" s="38"/>
      <c r="DZ61" s="38"/>
      <c r="EA61" s="38"/>
      <c r="EB61" s="38"/>
      <c r="EC61" s="38"/>
      <c r="ED61" s="38"/>
      <c r="EE61" s="38"/>
      <c r="EF61" s="38"/>
      <c r="EG61" s="38"/>
      <c r="EH61" s="38"/>
      <c r="EI61" s="38"/>
      <c r="EJ61" s="38"/>
      <c r="EK61" s="38"/>
      <c r="EL61" s="38"/>
      <c r="EM61" s="38"/>
      <c r="EN61" s="38"/>
      <c r="EO61" s="38"/>
      <c r="EP61" s="38"/>
      <c r="EQ61" s="38"/>
      <c r="ER61" s="38"/>
      <c r="ES61" s="38"/>
      <c r="ET61" s="38"/>
      <c r="EU61" s="38"/>
      <c r="EV61" s="38"/>
      <c r="EW61" s="38"/>
      <c r="EX61" s="38"/>
      <c r="EY61" s="38"/>
      <c r="EZ61" s="38"/>
      <c r="FA61" s="38"/>
      <c r="FB61" s="38"/>
      <c r="FC61" s="38"/>
      <c r="FD61" s="38"/>
      <c r="FE61" s="38"/>
      <c r="FF61" s="38"/>
      <c r="FG61" s="38"/>
      <c r="FH61" s="38"/>
      <c r="FI61" s="38"/>
      <c r="FJ61" s="38"/>
      <c r="FK61" s="38"/>
      <c r="FL61" s="38"/>
      <c r="FM61" s="38"/>
      <c r="FN61" s="38"/>
      <c r="FO61" s="38"/>
      <c r="FP61" s="38"/>
      <c r="FQ61" s="38"/>
      <c r="FR61" s="38"/>
      <c r="FS61" s="38"/>
      <c r="FT61" s="38"/>
      <c r="FU61" s="38"/>
      <c r="FV61" s="38"/>
      <c r="FW61" s="38"/>
      <c r="FX61" s="38"/>
      <c r="FY61" s="38"/>
      <c r="FZ61" s="38"/>
      <c r="GA61" s="38"/>
      <c r="GB61" s="38"/>
      <c r="GC61" s="38"/>
      <c r="GD61" s="38"/>
      <c r="GE61" s="38"/>
      <c r="GF61" s="38"/>
      <c r="GG61" s="38"/>
      <c r="GH61" s="38"/>
      <c r="GI61" s="38"/>
      <c r="GJ61" s="38"/>
      <c r="GK61" s="38"/>
      <c r="GL61" s="38"/>
      <c r="GM61" s="38"/>
      <c r="GN61" s="38"/>
      <c r="GO61" s="38"/>
      <c r="GP61" s="38"/>
      <c r="GQ61" s="38"/>
      <c r="GR61" s="38"/>
      <c r="GS61" s="38"/>
      <c r="GT61" s="38"/>
      <c r="GU61" s="38"/>
      <c r="GV61" s="38"/>
      <c r="GW61" s="38"/>
      <c r="GX61" s="38"/>
      <c r="GY61" s="38"/>
      <c r="GZ61" s="38"/>
      <c r="HA61" s="38"/>
      <c r="HB61" s="38"/>
      <c r="HC61" s="38"/>
      <c r="HD61" s="38"/>
      <c r="HE61" s="38"/>
      <c r="HF61" s="38"/>
      <c r="HG61" s="38"/>
      <c r="HH61" s="38"/>
      <c r="HI61" s="38"/>
      <c r="HJ61" s="38"/>
      <c r="HK61" s="38"/>
      <c r="HL61" s="38"/>
      <c r="HM61" s="38"/>
      <c r="HN61" s="38"/>
      <c r="HO61" s="38"/>
      <c r="HP61" s="38"/>
      <c r="HQ61" s="38"/>
      <c r="HR61" s="38"/>
      <c r="HS61" s="38"/>
      <c r="HT61" s="38"/>
      <c r="HU61" s="38"/>
      <c r="HV61" s="38"/>
      <c r="HW61" s="38"/>
      <c r="HX61" s="38"/>
      <c r="HY61" s="38"/>
      <c r="HZ61" s="38"/>
      <c r="IA61" s="38"/>
      <c r="IB61" s="38"/>
      <c r="IC61" s="38"/>
      <c r="ID61" s="38"/>
      <c r="IE61" s="38"/>
      <c r="IF61" s="38"/>
      <c r="IG61" s="38"/>
      <c r="IH61" s="38"/>
      <c r="II61" s="38"/>
      <c r="IJ61" s="38"/>
      <c r="IK61" s="38"/>
      <c r="IL61" s="38"/>
      <c r="IM61" s="38"/>
      <c r="IN61" s="38"/>
      <c r="IO61" s="38"/>
      <c r="IP61" s="38"/>
      <c r="IQ61" s="38"/>
      <c r="IR61" s="38"/>
      <c r="IS61" s="38"/>
      <c r="IT61" s="38"/>
      <c r="IU61" s="38"/>
      <c r="IV61" s="38"/>
    </row>
    <row r="62" spans="2:256" s="39" customFormat="1" ht="12.9" customHeight="1" x14ac:dyDescent="0.25"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X62" s="38"/>
      <c r="DY62" s="38"/>
      <c r="DZ62" s="38"/>
      <c r="EA62" s="38"/>
      <c r="EB62" s="38"/>
      <c r="EC62" s="38"/>
      <c r="ED62" s="38"/>
      <c r="EE62" s="38"/>
      <c r="EF62" s="38"/>
      <c r="EG62" s="38"/>
      <c r="EH62" s="38"/>
      <c r="EI62" s="38"/>
      <c r="EJ62" s="38"/>
      <c r="EK62" s="38"/>
      <c r="EL62" s="38"/>
      <c r="EM62" s="38"/>
      <c r="EN62" s="38"/>
      <c r="EO62" s="38"/>
      <c r="EP62" s="38"/>
      <c r="EQ62" s="38"/>
      <c r="ER62" s="38"/>
      <c r="ES62" s="38"/>
      <c r="ET62" s="38"/>
      <c r="EU62" s="38"/>
      <c r="EV62" s="38"/>
      <c r="EW62" s="38"/>
      <c r="EX62" s="38"/>
      <c r="EY62" s="38"/>
      <c r="EZ62" s="38"/>
      <c r="FA62" s="38"/>
      <c r="FB62" s="38"/>
      <c r="FC62" s="38"/>
      <c r="FD62" s="38"/>
      <c r="FE62" s="38"/>
      <c r="FF62" s="38"/>
      <c r="FG62" s="38"/>
      <c r="FH62" s="38"/>
      <c r="FI62" s="38"/>
      <c r="FJ62" s="38"/>
      <c r="FK62" s="38"/>
      <c r="FL62" s="38"/>
      <c r="FM62" s="38"/>
      <c r="FN62" s="38"/>
      <c r="FO62" s="38"/>
      <c r="FP62" s="38"/>
      <c r="FQ62" s="38"/>
      <c r="FR62" s="38"/>
      <c r="FS62" s="38"/>
      <c r="FT62" s="38"/>
      <c r="FU62" s="38"/>
      <c r="FV62" s="38"/>
      <c r="FW62" s="38"/>
      <c r="FX62" s="38"/>
      <c r="FY62" s="38"/>
      <c r="FZ62" s="38"/>
      <c r="GA62" s="38"/>
      <c r="GB62" s="38"/>
      <c r="GC62" s="38"/>
      <c r="GD62" s="38"/>
      <c r="GE62" s="38"/>
      <c r="GF62" s="38"/>
      <c r="GG62" s="38"/>
      <c r="GH62" s="38"/>
      <c r="GI62" s="38"/>
      <c r="GJ62" s="38"/>
      <c r="GK62" s="38"/>
      <c r="GL62" s="38"/>
      <c r="GM62" s="38"/>
      <c r="GN62" s="38"/>
      <c r="GO62" s="38"/>
      <c r="GP62" s="38"/>
      <c r="GQ62" s="38"/>
      <c r="GR62" s="38"/>
      <c r="GS62" s="38"/>
      <c r="GT62" s="38"/>
      <c r="GU62" s="38"/>
      <c r="GV62" s="38"/>
      <c r="GW62" s="38"/>
      <c r="GX62" s="38"/>
      <c r="GY62" s="38"/>
      <c r="GZ62" s="38"/>
      <c r="HA62" s="38"/>
      <c r="HB62" s="38"/>
      <c r="HC62" s="38"/>
      <c r="HD62" s="38"/>
      <c r="HE62" s="38"/>
      <c r="HF62" s="38"/>
      <c r="HG62" s="38"/>
      <c r="HH62" s="38"/>
      <c r="HI62" s="38"/>
      <c r="HJ62" s="38"/>
      <c r="HK62" s="38"/>
      <c r="HL62" s="38"/>
      <c r="HM62" s="38"/>
      <c r="HN62" s="38"/>
      <c r="HO62" s="38"/>
      <c r="HP62" s="38"/>
      <c r="HQ62" s="38"/>
      <c r="HR62" s="38"/>
      <c r="HS62" s="38"/>
      <c r="HT62" s="38"/>
      <c r="HU62" s="38"/>
      <c r="HV62" s="38"/>
      <c r="HW62" s="38"/>
      <c r="HX62" s="38"/>
      <c r="HY62" s="38"/>
      <c r="HZ62" s="38"/>
      <c r="IA62" s="38"/>
      <c r="IB62" s="38"/>
      <c r="IC62" s="38"/>
      <c r="ID62" s="38"/>
      <c r="IE62" s="38"/>
      <c r="IF62" s="38"/>
      <c r="IG62" s="38"/>
      <c r="IH62" s="38"/>
      <c r="II62" s="38"/>
      <c r="IJ62" s="38"/>
      <c r="IK62" s="38"/>
      <c r="IL62" s="38"/>
      <c r="IM62" s="38"/>
      <c r="IN62" s="38"/>
      <c r="IO62" s="38"/>
      <c r="IP62" s="38"/>
      <c r="IQ62" s="38"/>
      <c r="IR62" s="38"/>
      <c r="IS62" s="38"/>
      <c r="IT62" s="38"/>
      <c r="IU62" s="38"/>
      <c r="IV62" s="38"/>
    </row>
    <row r="63" spans="2:256" s="39" customFormat="1" ht="12.9" customHeight="1" x14ac:dyDescent="0.25"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  <c r="DS63" s="38"/>
      <c r="DT63" s="38"/>
      <c r="DU63" s="38"/>
      <c r="DV63" s="38"/>
      <c r="DW63" s="38"/>
      <c r="DX63" s="38"/>
      <c r="DY63" s="38"/>
      <c r="DZ63" s="38"/>
      <c r="EA63" s="38"/>
      <c r="EB63" s="38"/>
      <c r="EC63" s="38"/>
      <c r="ED63" s="38"/>
      <c r="EE63" s="38"/>
      <c r="EF63" s="38"/>
      <c r="EG63" s="38"/>
      <c r="EH63" s="38"/>
      <c r="EI63" s="38"/>
      <c r="EJ63" s="38"/>
      <c r="EK63" s="38"/>
      <c r="EL63" s="38"/>
      <c r="EM63" s="38"/>
      <c r="EN63" s="38"/>
      <c r="EO63" s="38"/>
      <c r="EP63" s="38"/>
      <c r="EQ63" s="38"/>
      <c r="ER63" s="38"/>
      <c r="ES63" s="38"/>
      <c r="ET63" s="38"/>
      <c r="EU63" s="38"/>
      <c r="EV63" s="38"/>
      <c r="EW63" s="38"/>
      <c r="EX63" s="38"/>
      <c r="EY63" s="38"/>
      <c r="EZ63" s="38"/>
      <c r="FA63" s="38"/>
      <c r="FB63" s="38"/>
      <c r="FC63" s="38"/>
      <c r="FD63" s="38"/>
      <c r="FE63" s="38"/>
      <c r="FF63" s="38"/>
      <c r="FG63" s="38"/>
      <c r="FH63" s="38"/>
      <c r="FI63" s="38"/>
      <c r="FJ63" s="38"/>
      <c r="FK63" s="38"/>
      <c r="FL63" s="38"/>
      <c r="FM63" s="38"/>
      <c r="FN63" s="38"/>
      <c r="FO63" s="38"/>
      <c r="FP63" s="38"/>
      <c r="FQ63" s="38"/>
      <c r="FR63" s="38"/>
      <c r="FS63" s="38"/>
      <c r="FT63" s="38"/>
      <c r="FU63" s="38"/>
      <c r="FV63" s="38"/>
      <c r="FW63" s="38"/>
      <c r="FX63" s="38"/>
      <c r="FY63" s="38"/>
      <c r="FZ63" s="38"/>
      <c r="GA63" s="38"/>
      <c r="GB63" s="38"/>
      <c r="GC63" s="38"/>
      <c r="GD63" s="38"/>
      <c r="GE63" s="38"/>
      <c r="GF63" s="38"/>
      <c r="GG63" s="38"/>
      <c r="GH63" s="38"/>
      <c r="GI63" s="38"/>
      <c r="GJ63" s="38"/>
      <c r="GK63" s="38"/>
      <c r="GL63" s="38"/>
      <c r="GM63" s="38"/>
      <c r="GN63" s="38"/>
      <c r="GO63" s="38"/>
      <c r="GP63" s="38"/>
      <c r="GQ63" s="38"/>
      <c r="GR63" s="38"/>
      <c r="GS63" s="38"/>
      <c r="GT63" s="38"/>
      <c r="GU63" s="38"/>
      <c r="GV63" s="38"/>
      <c r="GW63" s="38"/>
      <c r="GX63" s="38"/>
      <c r="GY63" s="38"/>
      <c r="GZ63" s="38"/>
      <c r="HA63" s="38"/>
      <c r="HB63" s="38"/>
      <c r="HC63" s="38"/>
      <c r="HD63" s="38"/>
      <c r="HE63" s="38"/>
      <c r="HF63" s="38"/>
      <c r="HG63" s="38"/>
      <c r="HH63" s="38"/>
      <c r="HI63" s="38"/>
      <c r="HJ63" s="38"/>
      <c r="HK63" s="38"/>
      <c r="HL63" s="38"/>
      <c r="HM63" s="38"/>
      <c r="HN63" s="38"/>
      <c r="HO63" s="38"/>
      <c r="HP63" s="38"/>
      <c r="HQ63" s="38"/>
      <c r="HR63" s="38"/>
      <c r="HS63" s="38"/>
      <c r="HT63" s="38"/>
      <c r="HU63" s="38"/>
      <c r="HV63" s="38"/>
      <c r="HW63" s="38"/>
      <c r="HX63" s="38"/>
      <c r="HY63" s="38"/>
      <c r="HZ63" s="38"/>
      <c r="IA63" s="38"/>
      <c r="IB63" s="38"/>
      <c r="IC63" s="38"/>
      <c r="ID63" s="38"/>
      <c r="IE63" s="38"/>
      <c r="IF63" s="38"/>
      <c r="IG63" s="38"/>
      <c r="IH63" s="38"/>
      <c r="II63" s="38"/>
      <c r="IJ63" s="38"/>
      <c r="IK63" s="38"/>
      <c r="IL63" s="38"/>
      <c r="IM63" s="38"/>
      <c r="IN63" s="38"/>
      <c r="IO63" s="38"/>
      <c r="IP63" s="38"/>
      <c r="IQ63" s="38"/>
      <c r="IR63" s="38"/>
      <c r="IS63" s="38"/>
      <c r="IT63" s="38"/>
      <c r="IU63" s="38"/>
      <c r="IV63" s="38"/>
    </row>
    <row r="64" spans="2:256" s="39" customFormat="1" ht="12.9" customHeight="1" x14ac:dyDescent="0.25"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8"/>
      <c r="DP64" s="38"/>
      <c r="DQ64" s="38"/>
      <c r="DR64" s="38"/>
      <c r="DS64" s="38"/>
      <c r="DT64" s="38"/>
      <c r="DU64" s="38"/>
      <c r="DV64" s="38"/>
      <c r="DW64" s="38"/>
      <c r="DX64" s="38"/>
      <c r="DY64" s="38"/>
      <c r="DZ64" s="38"/>
      <c r="EA64" s="38"/>
      <c r="EB64" s="38"/>
      <c r="EC64" s="38"/>
      <c r="ED64" s="38"/>
      <c r="EE64" s="38"/>
      <c r="EF64" s="38"/>
      <c r="EG64" s="38"/>
      <c r="EH64" s="38"/>
      <c r="EI64" s="38"/>
      <c r="EJ64" s="38"/>
      <c r="EK64" s="38"/>
      <c r="EL64" s="38"/>
      <c r="EM64" s="38"/>
      <c r="EN64" s="38"/>
      <c r="EO64" s="38"/>
      <c r="EP64" s="38"/>
      <c r="EQ64" s="38"/>
      <c r="ER64" s="38"/>
      <c r="ES64" s="38"/>
      <c r="ET64" s="38"/>
      <c r="EU64" s="38"/>
      <c r="EV64" s="38"/>
      <c r="EW64" s="38"/>
      <c r="EX64" s="38"/>
      <c r="EY64" s="38"/>
      <c r="EZ64" s="38"/>
      <c r="FA64" s="38"/>
      <c r="FB64" s="38"/>
      <c r="FC64" s="38"/>
      <c r="FD64" s="38"/>
      <c r="FE64" s="38"/>
      <c r="FF64" s="38"/>
      <c r="FG64" s="38"/>
      <c r="FH64" s="38"/>
      <c r="FI64" s="38"/>
      <c r="FJ64" s="38"/>
      <c r="FK64" s="38"/>
      <c r="FL64" s="38"/>
      <c r="FM64" s="38"/>
      <c r="FN64" s="38"/>
      <c r="FO64" s="38"/>
      <c r="FP64" s="38"/>
      <c r="FQ64" s="38"/>
      <c r="FR64" s="38"/>
      <c r="FS64" s="38"/>
      <c r="FT64" s="38"/>
      <c r="FU64" s="38"/>
      <c r="FV64" s="38"/>
      <c r="FW64" s="38"/>
      <c r="FX64" s="38"/>
      <c r="FY64" s="38"/>
      <c r="FZ64" s="38"/>
      <c r="GA64" s="38"/>
      <c r="GB64" s="38"/>
      <c r="GC64" s="38"/>
      <c r="GD64" s="38"/>
      <c r="GE64" s="38"/>
      <c r="GF64" s="38"/>
      <c r="GG64" s="38"/>
      <c r="GH64" s="38"/>
      <c r="GI64" s="38"/>
      <c r="GJ64" s="38"/>
      <c r="GK64" s="38"/>
      <c r="GL64" s="38"/>
      <c r="GM64" s="38"/>
      <c r="GN64" s="38"/>
      <c r="GO64" s="38"/>
      <c r="GP64" s="38"/>
      <c r="GQ64" s="38"/>
      <c r="GR64" s="38"/>
      <c r="GS64" s="38"/>
      <c r="GT64" s="38"/>
      <c r="GU64" s="38"/>
      <c r="GV64" s="38"/>
      <c r="GW64" s="38"/>
      <c r="GX64" s="38"/>
      <c r="GY64" s="38"/>
      <c r="GZ64" s="38"/>
      <c r="HA64" s="38"/>
      <c r="HB64" s="38"/>
      <c r="HC64" s="38"/>
      <c r="HD64" s="38"/>
      <c r="HE64" s="38"/>
      <c r="HF64" s="38"/>
      <c r="HG64" s="38"/>
      <c r="HH64" s="38"/>
      <c r="HI64" s="38"/>
      <c r="HJ64" s="38"/>
      <c r="HK64" s="38"/>
      <c r="HL64" s="38"/>
      <c r="HM64" s="38"/>
      <c r="HN64" s="38"/>
      <c r="HO64" s="38"/>
      <c r="HP64" s="38"/>
      <c r="HQ64" s="38"/>
      <c r="HR64" s="38"/>
      <c r="HS64" s="38"/>
      <c r="HT64" s="38"/>
      <c r="HU64" s="38"/>
      <c r="HV64" s="38"/>
      <c r="HW64" s="38"/>
      <c r="HX64" s="38"/>
      <c r="HY64" s="38"/>
      <c r="HZ64" s="38"/>
      <c r="IA64" s="38"/>
      <c r="IB64" s="38"/>
      <c r="IC64" s="38"/>
      <c r="ID64" s="38"/>
      <c r="IE64" s="38"/>
      <c r="IF64" s="38"/>
      <c r="IG64" s="38"/>
      <c r="IH64" s="38"/>
      <c r="II64" s="38"/>
      <c r="IJ64" s="38"/>
      <c r="IK64" s="38"/>
      <c r="IL64" s="38"/>
      <c r="IM64" s="38"/>
      <c r="IN64" s="38"/>
      <c r="IO64" s="38"/>
      <c r="IP64" s="38"/>
      <c r="IQ64" s="38"/>
      <c r="IR64" s="38"/>
      <c r="IS64" s="38"/>
      <c r="IT64" s="38"/>
      <c r="IU64" s="38"/>
      <c r="IV64" s="38"/>
    </row>
    <row r="65" spans="2:256" s="39" customFormat="1" ht="12.9" customHeight="1" x14ac:dyDescent="0.25"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  <c r="DS65" s="38"/>
      <c r="DT65" s="38"/>
      <c r="DU65" s="38"/>
      <c r="DV65" s="38"/>
      <c r="DW65" s="38"/>
      <c r="DX65" s="38"/>
      <c r="DY65" s="38"/>
      <c r="DZ65" s="38"/>
      <c r="EA65" s="38"/>
      <c r="EB65" s="38"/>
      <c r="EC65" s="38"/>
      <c r="ED65" s="38"/>
      <c r="EE65" s="38"/>
      <c r="EF65" s="38"/>
      <c r="EG65" s="38"/>
      <c r="EH65" s="38"/>
      <c r="EI65" s="38"/>
      <c r="EJ65" s="38"/>
      <c r="EK65" s="38"/>
      <c r="EL65" s="38"/>
      <c r="EM65" s="38"/>
      <c r="EN65" s="38"/>
      <c r="EO65" s="38"/>
      <c r="EP65" s="38"/>
      <c r="EQ65" s="38"/>
      <c r="ER65" s="38"/>
      <c r="ES65" s="38"/>
      <c r="ET65" s="38"/>
      <c r="EU65" s="38"/>
      <c r="EV65" s="38"/>
      <c r="EW65" s="38"/>
      <c r="EX65" s="38"/>
      <c r="EY65" s="38"/>
      <c r="EZ65" s="38"/>
      <c r="FA65" s="38"/>
      <c r="FB65" s="38"/>
      <c r="FC65" s="38"/>
      <c r="FD65" s="38"/>
      <c r="FE65" s="38"/>
      <c r="FF65" s="38"/>
      <c r="FG65" s="38"/>
      <c r="FH65" s="38"/>
      <c r="FI65" s="38"/>
      <c r="FJ65" s="38"/>
      <c r="FK65" s="38"/>
      <c r="FL65" s="38"/>
      <c r="FM65" s="38"/>
      <c r="FN65" s="38"/>
      <c r="FO65" s="38"/>
      <c r="FP65" s="38"/>
      <c r="FQ65" s="38"/>
      <c r="FR65" s="38"/>
      <c r="FS65" s="38"/>
      <c r="FT65" s="38"/>
      <c r="FU65" s="38"/>
      <c r="FV65" s="38"/>
      <c r="FW65" s="38"/>
      <c r="FX65" s="38"/>
      <c r="FY65" s="38"/>
      <c r="FZ65" s="38"/>
      <c r="GA65" s="38"/>
      <c r="GB65" s="38"/>
      <c r="GC65" s="38"/>
      <c r="GD65" s="38"/>
      <c r="GE65" s="38"/>
      <c r="GF65" s="38"/>
      <c r="GG65" s="38"/>
      <c r="GH65" s="38"/>
      <c r="GI65" s="38"/>
      <c r="GJ65" s="38"/>
      <c r="GK65" s="38"/>
      <c r="GL65" s="38"/>
      <c r="GM65" s="38"/>
      <c r="GN65" s="38"/>
      <c r="GO65" s="38"/>
      <c r="GP65" s="38"/>
      <c r="GQ65" s="38"/>
      <c r="GR65" s="38"/>
      <c r="GS65" s="38"/>
      <c r="GT65" s="38"/>
      <c r="GU65" s="38"/>
      <c r="GV65" s="38"/>
      <c r="GW65" s="38"/>
      <c r="GX65" s="38"/>
      <c r="GY65" s="38"/>
      <c r="GZ65" s="38"/>
      <c r="HA65" s="38"/>
      <c r="HB65" s="38"/>
      <c r="HC65" s="38"/>
      <c r="HD65" s="38"/>
      <c r="HE65" s="38"/>
      <c r="HF65" s="38"/>
      <c r="HG65" s="38"/>
      <c r="HH65" s="38"/>
      <c r="HI65" s="38"/>
      <c r="HJ65" s="38"/>
      <c r="HK65" s="38"/>
      <c r="HL65" s="38"/>
      <c r="HM65" s="38"/>
      <c r="HN65" s="38"/>
      <c r="HO65" s="38"/>
      <c r="HP65" s="38"/>
      <c r="HQ65" s="38"/>
      <c r="HR65" s="38"/>
      <c r="HS65" s="38"/>
      <c r="HT65" s="38"/>
      <c r="HU65" s="38"/>
      <c r="HV65" s="38"/>
      <c r="HW65" s="38"/>
      <c r="HX65" s="38"/>
      <c r="HY65" s="38"/>
      <c r="HZ65" s="38"/>
      <c r="IA65" s="38"/>
      <c r="IB65" s="38"/>
      <c r="IC65" s="38"/>
      <c r="ID65" s="38"/>
      <c r="IE65" s="38"/>
      <c r="IF65" s="38"/>
      <c r="IG65" s="38"/>
      <c r="IH65" s="38"/>
      <c r="II65" s="38"/>
      <c r="IJ65" s="38"/>
      <c r="IK65" s="38"/>
      <c r="IL65" s="38"/>
      <c r="IM65" s="38"/>
      <c r="IN65" s="38"/>
      <c r="IO65" s="38"/>
      <c r="IP65" s="38"/>
      <c r="IQ65" s="38"/>
      <c r="IR65" s="38"/>
      <c r="IS65" s="38"/>
      <c r="IT65" s="38"/>
      <c r="IU65" s="38"/>
      <c r="IV65" s="38"/>
    </row>
    <row r="66" spans="2:256" s="39" customFormat="1" ht="12.9" customHeight="1" x14ac:dyDescent="0.25"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  <c r="DT66" s="38"/>
      <c r="DU66" s="38"/>
      <c r="DV66" s="38"/>
      <c r="DW66" s="38"/>
      <c r="DX66" s="38"/>
      <c r="DY66" s="38"/>
      <c r="DZ66" s="38"/>
      <c r="EA66" s="38"/>
      <c r="EB66" s="38"/>
      <c r="EC66" s="38"/>
      <c r="ED66" s="38"/>
      <c r="EE66" s="38"/>
      <c r="EF66" s="38"/>
      <c r="EG66" s="38"/>
      <c r="EH66" s="38"/>
      <c r="EI66" s="38"/>
      <c r="EJ66" s="38"/>
      <c r="EK66" s="38"/>
      <c r="EL66" s="38"/>
      <c r="EM66" s="38"/>
      <c r="EN66" s="38"/>
      <c r="EO66" s="38"/>
      <c r="EP66" s="38"/>
      <c r="EQ66" s="38"/>
      <c r="ER66" s="38"/>
      <c r="ES66" s="38"/>
      <c r="ET66" s="38"/>
      <c r="EU66" s="38"/>
      <c r="EV66" s="38"/>
      <c r="EW66" s="38"/>
      <c r="EX66" s="38"/>
      <c r="EY66" s="38"/>
      <c r="EZ66" s="38"/>
      <c r="FA66" s="38"/>
      <c r="FB66" s="38"/>
      <c r="FC66" s="38"/>
      <c r="FD66" s="38"/>
      <c r="FE66" s="38"/>
      <c r="FF66" s="38"/>
      <c r="FG66" s="38"/>
      <c r="FH66" s="38"/>
      <c r="FI66" s="38"/>
      <c r="FJ66" s="38"/>
      <c r="FK66" s="38"/>
      <c r="FL66" s="38"/>
      <c r="FM66" s="38"/>
      <c r="FN66" s="38"/>
      <c r="FO66" s="38"/>
      <c r="FP66" s="38"/>
      <c r="FQ66" s="38"/>
      <c r="FR66" s="38"/>
      <c r="FS66" s="38"/>
      <c r="FT66" s="38"/>
      <c r="FU66" s="38"/>
      <c r="FV66" s="38"/>
      <c r="FW66" s="38"/>
      <c r="FX66" s="38"/>
      <c r="FY66" s="38"/>
      <c r="FZ66" s="38"/>
      <c r="GA66" s="38"/>
      <c r="GB66" s="38"/>
      <c r="GC66" s="38"/>
      <c r="GD66" s="38"/>
      <c r="GE66" s="38"/>
      <c r="GF66" s="38"/>
      <c r="GG66" s="38"/>
      <c r="GH66" s="38"/>
      <c r="GI66" s="38"/>
      <c r="GJ66" s="38"/>
      <c r="GK66" s="38"/>
      <c r="GL66" s="38"/>
      <c r="GM66" s="38"/>
      <c r="GN66" s="38"/>
      <c r="GO66" s="38"/>
      <c r="GP66" s="38"/>
      <c r="GQ66" s="38"/>
      <c r="GR66" s="38"/>
      <c r="GS66" s="38"/>
      <c r="GT66" s="38"/>
      <c r="GU66" s="38"/>
      <c r="GV66" s="38"/>
      <c r="GW66" s="38"/>
      <c r="GX66" s="38"/>
      <c r="GY66" s="38"/>
      <c r="GZ66" s="38"/>
      <c r="HA66" s="38"/>
      <c r="HB66" s="38"/>
      <c r="HC66" s="38"/>
      <c r="HD66" s="38"/>
      <c r="HE66" s="38"/>
      <c r="HF66" s="38"/>
      <c r="HG66" s="38"/>
      <c r="HH66" s="38"/>
      <c r="HI66" s="38"/>
      <c r="HJ66" s="38"/>
      <c r="HK66" s="38"/>
      <c r="HL66" s="38"/>
      <c r="HM66" s="38"/>
      <c r="HN66" s="38"/>
      <c r="HO66" s="38"/>
      <c r="HP66" s="38"/>
      <c r="HQ66" s="38"/>
      <c r="HR66" s="38"/>
      <c r="HS66" s="38"/>
      <c r="HT66" s="38"/>
      <c r="HU66" s="38"/>
      <c r="HV66" s="38"/>
      <c r="HW66" s="38"/>
      <c r="HX66" s="38"/>
      <c r="HY66" s="38"/>
      <c r="HZ66" s="38"/>
      <c r="IA66" s="38"/>
      <c r="IB66" s="38"/>
      <c r="IC66" s="38"/>
      <c r="ID66" s="38"/>
      <c r="IE66" s="38"/>
      <c r="IF66" s="38"/>
      <c r="IG66" s="38"/>
      <c r="IH66" s="38"/>
      <c r="II66" s="38"/>
      <c r="IJ66" s="38"/>
      <c r="IK66" s="38"/>
      <c r="IL66" s="38"/>
      <c r="IM66" s="38"/>
      <c r="IN66" s="38"/>
      <c r="IO66" s="38"/>
      <c r="IP66" s="38"/>
      <c r="IQ66" s="38"/>
      <c r="IR66" s="38"/>
      <c r="IS66" s="38"/>
      <c r="IT66" s="38"/>
      <c r="IU66" s="38"/>
      <c r="IV66" s="38"/>
    </row>
    <row r="67" spans="2:256" s="39" customFormat="1" ht="12.9" customHeight="1" x14ac:dyDescent="0.25"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  <c r="DS67" s="38"/>
      <c r="DT67" s="38"/>
      <c r="DU67" s="38"/>
      <c r="DV67" s="38"/>
      <c r="DW67" s="38"/>
      <c r="DX67" s="38"/>
      <c r="DY67" s="38"/>
      <c r="DZ67" s="38"/>
      <c r="EA67" s="38"/>
      <c r="EB67" s="38"/>
      <c r="EC67" s="38"/>
      <c r="ED67" s="38"/>
      <c r="EE67" s="38"/>
      <c r="EF67" s="38"/>
      <c r="EG67" s="38"/>
      <c r="EH67" s="38"/>
      <c r="EI67" s="38"/>
      <c r="EJ67" s="38"/>
      <c r="EK67" s="38"/>
      <c r="EL67" s="38"/>
      <c r="EM67" s="38"/>
      <c r="EN67" s="38"/>
      <c r="EO67" s="38"/>
      <c r="EP67" s="38"/>
      <c r="EQ67" s="38"/>
      <c r="ER67" s="38"/>
      <c r="ES67" s="38"/>
      <c r="ET67" s="38"/>
      <c r="EU67" s="38"/>
      <c r="EV67" s="38"/>
      <c r="EW67" s="38"/>
      <c r="EX67" s="38"/>
      <c r="EY67" s="38"/>
      <c r="EZ67" s="38"/>
      <c r="FA67" s="38"/>
      <c r="FB67" s="38"/>
      <c r="FC67" s="38"/>
      <c r="FD67" s="38"/>
      <c r="FE67" s="38"/>
      <c r="FF67" s="38"/>
      <c r="FG67" s="38"/>
      <c r="FH67" s="38"/>
      <c r="FI67" s="38"/>
      <c r="FJ67" s="38"/>
      <c r="FK67" s="38"/>
      <c r="FL67" s="38"/>
      <c r="FM67" s="38"/>
      <c r="FN67" s="38"/>
      <c r="FO67" s="38"/>
      <c r="FP67" s="38"/>
      <c r="FQ67" s="38"/>
      <c r="FR67" s="38"/>
      <c r="FS67" s="38"/>
      <c r="FT67" s="38"/>
      <c r="FU67" s="38"/>
      <c r="FV67" s="38"/>
      <c r="FW67" s="38"/>
      <c r="FX67" s="38"/>
      <c r="FY67" s="38"/>
      <c r="FZ67" s="38"/>
      <c r="GA67" s="38"/>
      <c r="GB67" s="38"/>
      <c r="GC67" s="38"/>
      <c r="GD67" s="38"/>
      <c r="GE67" s="38"/>
      <c r="GF67" s="38"/>
      <c r="GG67" s="38"/>
      <c r="GH67" s="38"/>
      <c r="GI67" s="38"/>
      <c r="GJ67" s="38"/>
      <c r="GK67" s="38"/>
      <c r="GL67" s="38"/>
      <c r="GM67" s="38"/>
      <c r="GN67" s="38"/>
      <c r="GO67" s="38"/>
      <c r="GP67" s="38"/>
      <c r="GQ67" s="38"/>
      <c r="GR67" s="38"/>
      <c r="GS67" s="38"/>
      <c r="GT67" s="38"/>
      <c r="GU67" s="38"/>
      <c r="GV67" s="38"/>
      <c r="GW67" s="38"/>
      <c r="GX67" s="38"/>
      <c r="GY67" s="38"/>
      <c r="GZ67" s="38"/>
      <c r="HA67" s="38"/>
      <c r="HB67" s="38"/>
      <c r="HC67" s="38"/>
      <c r="HD67" s="38"/>
      <c r="HE67" s="38"/>
      <c r="HF67" s="38"/>
      <c r="HG67" s="38"/>
      <c r="HH67" s="38"/>
      <c r="HI67" s="38"/>
      <c r="HJ67" s="38"/>
      <c r="HK67" s="38"/>
      <c r="HL67" s="38"/>
      <c r="HM67" s="38"/>
      <c r="HN67" s="38"/>
      <c r="HO67" s="38"/>
      <c r="HP67" s="38"/>
      <c r="HQ67" s="38"/>
      <c r="HR67" s="38"/>
      <c r="HS67" s="38"/>
      <c r="HT67" s="38"/>
      <c r="HU67" s="38"/>
      <c r="HV67" s="38"/>
      <c r="HW67" s="38"/>
      <c r="HX67" s="38"/>
      <c r="HY67" s="38"/>
      <c r="HZ67" s="38"/>
      <c r="IA67" s="38"/>
      <c r="IB67" s="38"/>
      <c r="IC67" s="38"/>
      <c r="ID67" s="38"/>
      <c r="IE67" s="38"/>
      <c r="IF67" s="38"/>
      <c r="IG67" s="38"/>
      <c r="IH67" s="38"/>
      <c r="II67" s="38"/>
      <c r="IJ67" s="38"/>
      <c r="IK67" s="38"/>
      <c r="IL67" s="38"/>
      <c r="IM67" s="38"/>
      <c r="IN67" s="38"/>
      <c r="IO67" s="38"/>
      <c r="IP67" s="38"/>
      <c r="IQ67" s="38"/>
      <c r="IR67" s="38"/>
      <c r="IS67" s="38"/>
      <c r="IT67" s="38"/>
      <c r="IU67" s="38"/>
      <c r="IV67" s="38"/>
    </row>
    <row r="68" spans="2:256" ht="12.9" customHeight="1" x14ac:dyDescent="0.25"/>
    <row r="69" spans="2:256" ht="12.9" customHeight="1" x14ac:dyDescent="0.25"/>
    <row r="70" spans="2:256" ht="12.9" customHeight="1" x14ac:dyDescent="0.25"/>
    <row r="71" spans="2:256" ht="12.9" customHeight="1" x14ac:dyDescent="0.25"/>
    <row r="72" spans="2:256" ht="12.9" customHeight="1" x14ac:dyDescent="0.25"/>
    <row r="73" spans="2:256" ht="12.9" customHeight="1" x14ac:dyDescent="0.25"/>
    <row r="74" spans="2:256" ht="12.9" customHeight="1" x14ac:dyDescent="0.25"/>
    <row r="75" spans="2:256" ht="12.9" customHeight="1" x14ac:dyDescent="0.25"/>
    <row r="76" spans="2:256" ht="12.9" customHeight="1" x14ac:dyDescent="0.25"/>
    <row r="77" spans="2:256" ht="12.9" customHeight="1" x14ac:dyDescent="0.25"/>
    <row r="78" spans="2:256" ht="12.9" customHeight="1" x14ac:dyDescent="0.25"/>
    <row r="79" spans="2:256" ht="12.9" customHeight="1" x14ac:dyDescent="0.25"/>
    <row r="80" spans="2:256" ht="12.9" customHeight="1" x14ac:dyDescent="0.25"/>
    <row r="81" ht="12.9" customHeight="1" x14ac:dyDescent="0.25"/>
    <row r="82" ht="12.9" customHeight="1" x14ac:dyDescent="0.25"/>
    <row r="83" ht="12.9" customHeight="1" x14ac:dyDescent="0.25"/>
    <row r="84" ht="12.9" customHeight="1" x14ac:dyDescent="0.25"/>
    <row r="85" ht="12.9" customHeight="1" x14ac:dyDescent="0.25"/>
    <row r="86" ht="12.9" customHeight="1" x14ac:dyDescent="0.25"/>
    <row r="87" ht="12.9" customHeight="1" x14ac:dyDescent="0.25"/>
    <row r="88" ht="12.9" customHeight="1" x14ac:dyDescent="0.25"/>
    <row r="89" ht="12.9" customHeight="1" x14ac:dyDescent="0.25"/>
    <row r="90" ht="12.9" customHeight="1" x14ac:dyDescent="0.25"/>
    <row r="91" ht="12.9" customHeight="1" x14ac:dyDescent="0.25"/>
    <row r="92" ht="12.9" customHeight="1" x14ac:dyDescent="0.25"/>
    <row r="93" ht="12.9" customHeight="1" x14ac:dyDescent="0.25"/>
    <row r="94" ht="12.9" customHeight="1" x14ac:dyDescent="0.25"/>
    <row r="95" ht="12.9" customHeight="1" x14ac:dyDescent="0.25"/>
    <row r="96" ht="12.9" customHeight="1" x14ac:dyDescent="0.25"/>
    <row r="97" ht="12.9" customHeight="1" x14ac:dyDescent="0.25"/>
    <row r="98" ht="12.9" customHeight="1" x14ac:dyDescent="0.25"/>
    <row r="99" ht="12.9" customHeight="1" x14ac:dyDescent="0.25"/>
    <row r="100" ht="12.9" customHeight="1" x14ac:dyDescent="0.25"/>
    <row r="101" ht="12.9" customHeight="1" x14ac:dyDescent="0.25"/>
    <row r="102" ht="12.9" customHeight="1" x14ac:dyDescent="0.25"/>
    <row r="103" ht="12.9" customHeight="1" x14ac:dyDescent="0.25"/>
    <row r="104" ht="12.9" customHeight="1" x14ac:dyDescent="0.25"/>
    <row r="105" ht="12.9" customHeight="1" x14ac:dyDescent="0.25"/>
    <row r="106" ht="12.9" customHeight="1" x14ac:dyDescent="0.25"/>
    <row r="107" ht="12.9" customHeight="1" x14ac:dyDescent="0.25"/>
    <row r="108" ht="12.9" customHeight="1" x14ac:dyDescent="0.25"/>
  </sheetData>
  <mergeCells count="3">
    <mergeCell ref="M9:N9"/>
    <mergeCell ref="O9:P9"/>
    <mergeCell ref="Q9:R9"/>
  </mergeCells>
  <phoneticPr fontId="0" type="noConversion"/>
  <pageMargins left="0" right="0.75" top="0" bottom="0" header="0.5" footer="0.5"/>
  <pageSetup scale="41" orientation="landscape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29"/>
  <sheetViews>
    <sheetView zoomScale="50" workbookViewId="0"/>
  </sheetViews>
  <sheetFormatPr defaultColWidth="9.109375" defaultRowHeight="13.2" outlineLevelCol="1" x14ac:dyDescent="0.25"/>
  <cols>
    <col min="1" max="1" width="29.6640625" style="1" customWidth="1"/>
    <col min="2" max="2" width="12.88671875" style="1" customWidth="1"/>
    <col min="3" max="3" width="14.44140625" style="1" bestFit="1" customWidth="1"/>
    <col min="4" max="4" width="13.5546875" style="1" bestFit="1" customWidth="1"/>
    <col min="5" max="5" width="14.44140625" style="1" bestFit="1" customWidth="1"/>
    <col min="6" max="6" width="10.6640625" style="1" customWidth="1"/>
    <col min="7" max="7" width="11.6640625" style="1" customWidth="1"/>
    <col min="8" max="8" width="10.6640625" style="1" customWidth="1"/>
    <col min="9" max="9" width="8.6640625" style="1" hidden="1" customWidth="1" outlineLevel="1"/>
    <col min="10" max="10" width="8.6640625" style="1" customWidth="1" collapsed="1"/>
    <col min="11" max="11" width="8.6640625" style="1" customWidth="1"/>
    <col min="12" max="12" width="8.6640625" style="1" hidden="1" customWidth="1" outlineLevel="1"/>
    <col min="13" max="13" width="8.6640625" style="1" customWidth="1" collapsed="1"/>
    <col min="14" max="14" width="8.6640625" style="1" customWidth="1"/>
    <col min="15" max="15" width="8.6640625" style="1" hidden="1" customWidth="1" outlineLevel="1"/>
    <col min="16" max="16" width="8.6640625" style="1" customWidth="1" collapsed="1"/>
    <col min="17" max="17" width="8.6640625" style="1" customWidth="1"/>
    <col min="18" max="25" width="9.6640625" style="1" customWidth="1"/>
    <col min="26" max="26" width="10.6640625" style="1" customWidth="1"/>
    <col min="27" max="27" width="9.109375" style="1"/>
    <col min="28" max="30" width="10.6640625" style="1" customWidth="1"/>
    <col min="31" max="31" width="15.6640625" style="1" customWidth="1"/>
    <col min="32" max="16384" width="9.109375" style="1"/>
  </cols>
  <sheetData>
    <row r="1" spans="1:32" ht="17.399999999999999" x14ac:dyDescent="0.3">
      <c r="A1" s="3" t="s">
        <v>177</v>
      </c>
      <c r="B1" s="3"/>
      <c r="C1" s="3"/>
    </row>
    <row r="2" spans="1:32" ht="15" customHeight="1" x14ac:dyDescent="0.3">
      <c r="A2" s="44" t="s">
        <v>0</v>
      </c>
      <c r="B2" s="44"/>
      <c r="C2" s="44"/>
      <c r="AF2" s="4"/>
    </row>
    <row r="3" spans="1:32" x14ac:dyDescent="0.25">
      <c r="A3" s="5" t="s">
        <v>1</v>
      </c>
      <c r="B3" s="5"/>
      <c r="C3" s="5"/>
      <c r="AF3" s="4"/>
    </row>
    <row r="4" spans="1:32" x14ac:dyDescent="0.25">
      <c r="A4" s="5"/>
      <c r="B4" s="5"/>
      <c r="C4" s="5"/>
      <c r="AF4" s="4"/>
    </row>
    <row r="5" spans="1:32" x14ac:dyDescent="0.25">
      <c r="A5" s="5"/>
      <c r="B5" s="5"/>
      <c r="C5" s="5"/>
      <c r="AF5" s="4"/>
    </row>
    <row r="6" spans="1:32" x14ac:dyDescent="0.25">
      <c r="A6" s="6" t="s">
        <v>2</v>
      </c>
      <c r="B6" s="109">
        <v>37106</v>
      </c>
      <c r="C6" s="46"/>
    </row>
    <row r="7" spans="1:32" x14ac:dyDescent="0.25">
      <c r="D7" s="38"/>
      <c r="E7" s="38"/>
      <c r="F7" s="38"/>
      <c r="G7" s="38"/>
      <c r="H7" s="39" t="s">
        <v>3</v>
      </c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47" t="s">
        <v>4</v>
      </c>
      <c r="V7" s="47"/>
      <c r="W7" s="47"/>
      <c r="X7" s="47" t="s">
        <v>5</v>
      </c>
      <c r="Y7" s="47"/>
      <c r="Z7" s="39" t="s">
        <v>6</v>
      </c>
    </row>
    <row r="8" spans="1:32" x14ac:dyDescent="0.25">
      <c r="A8" s="38"/>
      <c r="B8" s="38"/>
      <c r="C8" s="39" t="s">
        <v>7</v>
      </c>
      <c r="D8" s="39" t="s">
        <v>8</v>
      </c>
      <c r="E8" s="48" t="s">
        <v>9</v>
      </c>
      <c r="F8" s="48"/>
      <c r="G8" s="39" t="s">
        <v>10</v>
      </c>
      <c r="H8" s="39" t="s">
        <v>10</v>
      </c>
      <c r="I8" s="347" t="s">
        <v>11</v>
      </c>
      <c r="J8" s="347"/>
      <c r="K8" s="347"/>
      <c r="L8" s="347" t="s">
        <v>12</v>
      </c>
      <c r="M8" s="347"/>
      <c r="N8" s="347"/>
      <c r="O8" s="347" t="s">
        <v>13</v>
      </c>
      <c r="P8" s="347"/>
      <c r="Q8" s="347"/>
      <c r="R8" s="49" t="s">
        <v>14</v>
      </c>
      <c r="S8" s="50" t="s">
        <v>15</v>
      </c>
      <c r="T8" s="39" t="s">
        <v>16</v>
      </c>
      <c r="U8" s="39" t="s">
        <v>17</v>
      </c>
      <c r="V8" s="39"/>
      <c r="W8" s="51" t="s">
        <v>18</v>
      </c>
      <c r="X8" s="39" t="s">
        <v>17</v>
      </c>
      <c r="Y8" s="39" t="s">
        <v>19</v>
      </c>
      <c r="Z8" s="39" t="s">
        <v>20</v>
      </c>
      <c r="AA8" s="50"/>
    </row>
    <row r="9" spans="1:32" x14ac:dyDescent="0.25">
      <c r="A9" s="39" t="s">
        <v>21</v>
      </c>
      <c r="B9" s="39" t="s">
        <v>22</v>
      </c>
      <c r="C9" s="39" t="s">
        <v>23</v>
      </c>
      <c r="D9" s="39" t="s">
        <v>24</v>
      </c>
      <c r="E9" s="39" t="s">
        <v>25</v>
      </c>
      <c r="F9" s="39" t="s">
        <v>26</v>
      </c>
      <c r="G9" s="39" t="s">
        <v>27</v>
      </c>
      <c r="H9" s="39" t="s">
        <v>27</v>
      </c>
      <c r="I9" s="39" t="s">
        <v>28</v>
      </c>
      <c r="J9" s="51" t="s">
        <v>111</v>
      </c>
      <c r="K9" s="51" t="s">
        <v>112</v>
      </c>
      <c r="L9" s="39" t="s">
        <v>28</v>
      </c>
      <c r="M9" s="51" t="s">
        <v>111</v>
      </c>
      <c r="N9" s="51" t="s">
        <v>112</v>
      </c>
      <c r="O9" s="39" t="s">
        <v>28</v>
      </c>
      <c r="P9" s="51" t="s">
        <v>111</v>
      </c>
      <c r="Q9" s="51" t="s">
        <v>112</v>
      </c>
      <c r="R9" s="39" t="s">
        <v>29</v>
      </c>
      <c r="S9" s="39" t="s">
        <v>30</v>
      </c>
      <c r="T9" s="39" t="s">
        <v>31</v>
      </c>
      <c r="U9" s="39" t="s">
        <v>32</v>
      </c>
      <c r="V9" s="39" t="s">
        <v>33</v>
      </c>
      <c r="W9" s="39" t="s">
        <v>34</v>
      </c>
      <c r="X9" s="39" t="s">
        <v>35</v>
      </c>
      <c r="Y9" s="39" t="s">
        <v>5</v>
      </c>
      <c r="Z9" s="39" t="s">
        <v>36</v>
      </c>
      <c r="AA9" s="50"/>
    </row>
    <row r="10" spans="1:32" ht="4.95" customHeight="1" x14ac:dyDescent="0.25">
      <c r="A10" s="8" t="s">
        <v>37</v>
      </c>
      <c r="B10" s="8" t="s">
        <v>37</v>
      </c>
      <c r="C10" s="8" t="s">
        <v>37</v>
      </c>
      <c r="D10" s="8" t="s">
        <v>37</v>
      </c>
      <c r="E10" s="8" t="s">
        <v>37</v>
      </c>
      <c r="F10" s="8" t="s">
        <v>37</v>
      </c>
      <c r="G10" s="8" t="s">
        <v>37</v>
      </c>
      <c r="H10" s="8" t="s">
        <v>37</v>
      </c>
      <c r="I10" s="8" t="s">
        <v>37</v>
      </c>
      <c r="J10" s="8" t="s">
        <v>37</v>
      </c>
      <c r="K10" s="8" t="s">
        <v>37</v>
      </c>
      <c r="L10" s="8" t="s">
        <v>37</v>
      </c>
      <c r="M10" s="8" t="s">
        <v>37</v>
      </c>
      <c r="N10" s="8" t="s">
        <v>37</v>
      </c>
      <c r="O10" s="8" t="s">
        <v>37</v>
      </c>
      <c r="P10" s="8" t="s">
        <v>37</v>
      </c>
      <c r="Q10" s="8" t="s">
        <v>37</v>
      </c>
      <c r="R10" s="8" t="s">
        <v>37</v>
      </c>
      <c r="S10" s="8" t="s">
        <v>37</v>
      </c>
      <c r="T10" s="8" t="s">
        <v>37</v>
      </c>
      <c r="U10" s="8" t="s">
        <v>37</v>
      </c>
      <c r="V10" s="8" t="s">
        <v>37</v>
      </c>
      <c r="W10" s="8" t="s">
        <v>37</v>
      </c>
      <c r="X10" s="8" t="s">
        <v>37</v>
      </c>
      <c r="Y10" s="8" t="s">
        <v>37</v>
      </c>
      <c r="Z10" s="8" t="s">
        <v>37</v>
      </c>
      <c r="AA10" s="9"/>
    </row>
    <row r="11" spans="1:32" ht="12.9" customHeight="1" x14ac:dyDescent="0.25">
      <c r="A11" s="38" t="s">
        <v>178</v>
      </c>
      <c r="B11" s="2" t="s">
        <v>179</v>
      </c>
      <c r="C11" s="10">
        <v>37106</v>
      </c>
      <c r="D11" s="11">
        <v>79.5</v>
      </c>
      <c r="E11" s="11">
        <v>81.599999999999994</v>
      </c>
      <c r="F11" s="11">
        <v>52.875</v>
      </c>
      <c r="G11" s="12">
        <v>2995.5485645499298</v>
      </c>
      <c r="H11" s="12">
        <v>2505.3485645499295</v>
      </c>
      <c r="I11" s="13">
        <v>14.325913747249791</v>
      </c>
      <c r="J11" s="13">
        <v>34.328828628420318</v>
      </c>
      <c r="K11" s="13">
        <v>23.023612456681178</v>
      </c>
      <c r="L11" s="13" t="e">
        <v>#DIV/0!</v>
      </c>
      <c r="M11" s="13">
        <v>14.980127331908637</v>
      </c>
      <c r="N11" s="13">
        <v>11.592902481542586</v>
      </c>
      <c r="O11" s="13">
        <v>15.667095002876207</v>
      </c>
      <c r="P11" s="13">
        <v>9.4291642901325083</v>
      </c>
      <c r="Q11" s="13">
        <v>7.1433062804034124</v>
      </c>
      <c r="R11" s="14">
        <v>7.7940379403794044E-2</v>
      </c>
      <c r="S11" s="13">
        <v>3.521688883787832</v>
      </c>
      <c r="T11" s="14">
        <v>5.2163000000000001E-3</v>
      </c>
      <c r="U11" s="15">
        <v>0</v>
      </c>
      <c r="V11" s="14" t="s">
        <v>156</v>
      </c>
      <c r="W11" s="11" t="s">
        <v>156</v>
      </c>
      <c r="X11" s="12" t="s">
        <v>156</v>
      </c>
      <c r="Y11" s="13" t="s">
        <v>156</v>
      </c>
      <c r="Z11" s="17">
        <v>37.679856157860755</v>
      </c>
    </row>
    <row r="12" spans="1:32" ht="12.9" customHeight="1" x14ac:dyDescent="0.25">
      <c r="A12" s="38" t="s">
        <v>181</v>
      </c>
      <c r="B12" s="2" t="s">
        <v>182</v>
      </c>
      <c r="C12" s="18">
        <v>37106</v>
      </c>
      <c r="D12" s="19">
        <v>9.9700000000000006</v>
      </c>
      <c r="E12" s="19">
        <v>17.7</v>
      </c>
      <c r="F12" s="19">
        <v>9.1875</v>
      </c>
      <c r="G12" s="16">
        <v>936.08843889000002</v>
      </c>
      <c r="H12" s="16">
        <v>1149.32443889</v>
      </c>
      <c r="I12" s="20" t="s">
        <v>169</v>
      </c>
      <c r="J12" s="20">
        <v>32.489650349650368</v>
      </c>
      <c r="K12" s="20">
        <v>15.702750000000002</v>
      </c>
      <c r="L12" s="20">
        <v>49.101428911861625</v>
      </c>
      <c r="M12" s="20">
        <v>11.077777777777778</v>
      </c>
      <c r="N12" s="20">
        <v>7.4402985074626864</v>
      </c>
      <c r="O12" s="20">
        <v>19.325896296013376</v>
      </c>
      <c r="P12" s="20">
        <v>9.8654458273819756</v>
      </c>
      <c r="Q12" s="20">
        <v>6.6550343884771284</v>
      </c>
      <c r="R12" s="21">
        <v>0.37185129082385504</v>
      </c>
      <c r="S12" s="20">
        <v>2.4325105473930941</v>
      </c>
      <c r="T12" s="21">
        <v>0</v>
      </c>
      <c r="U12" s="22">
        <v>0</v>
      </c>
      <c r="V12" s="21" t="s">
        <v>156</v>
      </c>
      <c r="W12" s="19" t="s">
        <v>156</v>
      </c>
      <c r="X12" s="16" t="s">
        <v>156</v>
      </c>
      <c r="Y12" s="20" t="s">
        <v>156</v>
      </c>
      <c r="Z12" s="23">
        <v>93.890515435305915</v>
      </c>
      <c r="AA12" s="24"/>
    </row>
    <row r="13" spans="1:32" ht="11.25" customHeight="1" x14ac:dyDescent="0.25">
      <c r="A13" s="108" t="s">
        <v>183</v>
      </c>
      <c r="B13" s="2" t="s">
        <v>184</v>
      </c>
      <c r="C13" s="42">
        <v>37106</v>
      </c>
      <c r="D13" s="19">
        <v>10.83</v>
      </c>
      <c r="E13" s="19">
        <v>16.850000000000001</v>
      </c>
      <c r="F13" s="19">
        <v>7.3125</v>
      </c>
      <c r="G13" s="16">
        <v>662.79735060000007</v>
      </c>
      <c r="H13" s="16">
        <v>975.46735060000015</v>
      </c>
      <c r="I13" s="20" t="s">
        <v>169</v>
      </c>
      <c r="J13" s="20">
        <v>27.120124999999945</v>
      </c>
      <c r="K13" s="20">
        <v>8.3126819923371755</v>
      </c>
      <c r="L13" s="20">
        <v>9.4873347744632763</v>
      </c>
      <c r="M13" s="20">
        <v>7.648448883666271</v>
      </c>
      <c r="N13" s="20">
        <v>4.6063906581741012</v>
      </c>
      <c r="O13" s="20">
        <v>10.688211162355689</v>
      </c>
      <c r="P13" s="20">
        <v>7.7912727683706056</v>
      </c>
      <c r="Q13" s="20">
        <v>4.8386277311507966</v>
      </c>
      <c r="R13" s="21">
        <v>0.32069321161621289</v>
      </c>
      <c r="S13" s="20">
        <v>0.84634396664666156</v>
      </c>
      <c r="T13" s="21">
        <v>0</v>
      </c>
      <c r="U13" s="22">
        <v>0</v>
      </c>
      <c r="V13" s="21" t="s">
        <v>156</v>
      </c>
      <c r="W13" s="19" t="s">
        <v>156</v>
      </c>
      <c r="X13" s="16" t="s">
        <v>156</v>
      </c>
      <c r="Y13" s="20" t="s">
        <v>156</v>
      </c>
      <c r="Z13" s="23">
        <v>61.200124709141278</v>
      </c>
      <c r="AA13" s="24"/>
    </row>
    <row r="14" spans="1:32" ht="12.9" customHeight="1" x14ac:dyDescent="0.25">
      <c r="A14" s="38" t="s">
        <v>185</v>
      </c>
      <c r="B14" s="2" t="s">
        <v>186</v>
      </c>
      <c r="C14" s="18">
        <v>37106</v>
      </c>
      <c r="D14" s="19">
        <v>9.57</v>
      </c>
      <c r="E14" s="19">
        <v>19.25</v>
      </c>
      <c r="F14" s="19">
        <v>7.85</v>
      </c>
      <c r="G14" s="16">
        <v>979.47023559000002</v>
      </c>
      <c r="H14" s="16">
        <v>3118.1042355899999</v>
      </c>
      <c r="I14" s="20">
        <v>29.339942748996066</v>
      </c>
      <c r="J14" s="20">
        <v>17.530733452593928</v>
      </c>
      <c r="K14" s="20">
        <v>9.1414925373134288</v>
      </c>
      <c r="L14" s="20">
        <v>3.2874397572605365</v>
      </c>
      <c r="M14" s="20">
        <v>2.6005434782608696</v>
      </c>
      <c r="N14" s="20">
        <v>2.107929515418502</v>
      </c>
      <c r="O14" s="20">
        <v>2.4545050384412996</v>
      </c>
      <c r="P14" s="20">
        <v>6.2027138165705189</v>
      </c>
      <c r="Q14" s="20">
        <v>5.0858004168814217</v>
      </c>
      <c r="R14" s="21">
        <v>0.60793528993742263</v>
      </c>
      <c r="S14" s="20">
        <v>0.66817535554558061</v>
      </c>
      <c r="T14" s="21">
        <v>0</v>
      </c>
      <c r="U14" s="22">
        <v>0</v>
      </c>
      <c r="V14" s="21" t="s">
        <v>156</v>
      </c>
      <c r="W14" s="19" t="s">
        <v>156</v>
      </c>
      <c r="X14" s="16" t="s">
        <v>156</v>
      </c>
      <c r="Y14" s="20" t="s">
        <v>156</v>
      </c>
      <c r="Z14" s="23">
        <v>102.347987</v>
      </c>
      <c r="AA14" s="24"/>
    </row>
    <row r="15" spans="1:32" ht="12.9" customHeight="1" x14ac:dyDescent="0.25">
      <c r="A15" s="108" t="s">
        <v>187</v>
      </c>
      <c r="B15" s="41" t="s">
        <v>188</v>
      </c>
      <c r="C15" s="42">
        <v>37106</v>
      </c>
      <c r="D15" s="19">
        <v>45.92</v>
      </c>
      <c r="E15" s="19">
        <v>54.5</v>
      </c>
      <c r="F15" s="19">
        <v>38.875</v>
      </c>
      <c r="G15" s="16">
        <v>950.98012284325091</v>
      </c>
      <c r="H15" s="16">
        <v>1142.1225228432509</v>
      </c>
      <c r="I15" s="20" t="s">
        <v>169</v>
      </c>
      <c r="J15" s="20">
        <v>14.877684732996018</v>
      </c>
      <c r="K15" s="20">
        <v>10.877837127656662</v>
      </c>
      <c r="L15" s="20">
        <v>13.228638471957789</v>
      </c>
      <c r="M15" s="20">
        <v>8.1898375481762802</v>
      </c>
      <c r="N15" s="20">
        <v>6.6894695647881317</v>
      </c>
      <c r="O15" s="20">
        <v>9.6115879447676011</v>
      </c>
      <c r="P15" s="20">
        <v>8.0225710056268724</v>
      </c>
      <c r="Q15" s="20">
        <v>6.41302936320404</v>
      </c>
      <c r="R15" s="21">
        <v>0.40078667309169308</v>
      </c>
      <c r="S15" s="20">
        <v>1.721069008605979</v>
      </c>
      <c r="T15" s="21">
        <v>0</v>
      </c>
      <c r="U15" s="22">
        <v>0</v>
      </c>
      <c r="V15" s="21" t="s">
        <v>156</v>
      </c>
      <c r="W15" s="19" t="s">
        <v>156</v>
      </c>
      <c r="X15" s="16" t="s">
        <v>156</v>
      </c>
      <c r="Y15" s="20" t="s">
        <v>156</v>
      </c>
      <c r="Z15" s="23">
        <v>20.709497448677066</v>
      </c>
      <c r="AA15" s="24"/>
    </row>
    <row r="16" spans="1:32" ht="12.9" customHeight="1" x14ac:dyDescent="0.25">
      <c r="A16" s="108" t="s">
        <v>189</v>
      </c>
      <c r="B16" s="41" t="s">
        <v>190</v>
      </c>
      <c r="C16" s="42">
        <v>37106</v>
      </c>
      <c r="D16" s="19">
        <v>34.130000000000003</v>
      </c>
      <c r="E16" s="19">
        <v>52.95</v>
      </c>
      <c r="F16" s="19">
        <v>31.76</v>
      </c>
      <c r="G16" s="16">
        <v>2066.33876753</v>
      </c>
      <c r="H16" s="16">
        <v>2019.18576753</v>
      </c>
      <c r="I16" s="20">
        <v>29.197911235107888</v>
      </c>
      <c r="J16" s="20">
        <v>11.725132691519478</v>
      </c>
      <c r="K16" s="20">
        <v>9.3978981970759516</v>
      </c>
      <c r="L16" s="20">
        <v>13.242841918963009</v>
      </c>
      <c r="M16" s="20">
        <v>6.0650582875374033</v>
      </c>
      <c r="N16" s="20">
        <v>6.3657971390889516</v>
      </c>
      <c r="O16" s="20">
        <v>12.763529022261475</v>
      </c>
      <c r="P16" s="20">
        <v>6.3600498989547187</v>
      </c>
      <c r="Q16" s="20">
        <v>5.1747748976883301</v>
      </c>
      <c r="R16" s="21">
        <v>0</v>
      </c>
      <c r="S16" s="20">
        <v>1.7536014796493373</v>
      </c>
      <c r="T16" s="21">
        <v>1.8121410000000001E-2</v>
      </c>
      <c r="U16" s="22">
        <v>0</v>
      </c>
      <c r="V16" s="21" t="s">
        <v>156</v>
      </c>
      <c r="W16" s="19" t="s">
        <v>156</v>
      </c>
      <c r="X16" s="16" t="s">
        <v>156</v>
      </c>
      <c r="Y16" s="20" t="s">
        <v>156</v>
      </c>
      <c r="Z16" s="23">
        <v>60.543180999999997</v>
      </c>
      <c r="AA16" s="24"/>
    </row>
    <row r="17" spans="1:31" ht="12.9" customHeight="1" x14ac:dyDescent="0.25">
      <c r="A17" s="38" t="s">
        <v>191</v>
      </c>
      <c r="B17" s="2" t="s">
        <v>192</v>
      </c>
      <c r="C17" s="18">
        <v>37106</v>
      </c>
      <c r="D17" s="19">
        <v>9.4</v>
      </c>
      <c r="E17" s="19">
        <v>19.375</v>
      </c>
      <c r="F17" s="19">
        <v>9.1</v>
      </c>
      <c r="G17" s="16">
        <v>348.18901282000002</v>
      </c>
      <c r="H17" s="16">
        <v>648.97001281999997</v>
      </c>
      <c r="I17" s="20" t="s">
        <v>169</v>
      </c>
      <c r="J17" s="20">
        <v>10.976582278481006</v>
      </c>
      <c r="K17" s="20">
        <v>4.9410256410256412</v>
      </c>
      <c r="L17" s="20" t="s">
        <v>169</v>
      </c>
      <c r="M17" s="20">
        <v>4.253393665158371</v>
      </c>
      <c r="N17" s="20">
        <v>2.8313253012048194</v>
      </c>
      <c r="O17" s="20">
        <v>5.1153864988907998</v>
      </c>
      <c r="P17" s="20">
        <v>5.5137639152081555</v>
      </c>
      <c r="Q17" s="20">
        <v>3.8242192859163229</v>
      </c>
      <c r="R17" s="21">
        <v>0.51972936083540888</v>
      </c>
      <c r="S17" s="20">
        <v>1.1794261643728894</v>
      </c>
      <c r="T17" s="21">
        <v>0</v>
      </c>
      <c r="U17" s="22">
        <v>0</v>
      </c>
      <c r="V17" s="21" t="s">
        <v>156</v>
      </c>
      <c r="W17" s="19" t="s">
        <v>156</v>
      </c>
      <c r="X17" s="16" t="s">
        <v>156</v>
      </c>
      <c r="Y17" s="20" t="s">
        <v>156</v>
      </c>
      <c r="Z17" s="23">
        <v>37.041384342553194</v>
      </c>
      <c r="AA17" s="24"/>
    </row>
    <row r="18" spans="1:31" ht="12.9" customHeight="1" x14ac:dyDescent="0.25">
      <c r="A18" s="108" t="s">
        <v>193</v>
      </c>
      <c r="B18" s="41" t="s">
        <v>194</v>
      </c>
      <c r="C18" s="42">
        <v>37106</v>
      </c>
      <c r="D18" s="19">
        <v>16.29</v>
      </c>
      <c r="E18" s="19">
        <v>39.799999999999997</v>
      </c>
      <c r="F18" s="19">
        <v>13</v>
      </c>
      <c r="G18" s="16">
        <v>538.37384386681777</v>
      </c>
      <c r="H18" s="16">
        <v>577.07584386681776</v>
      </c>
      <c r="I18" s="20">
        <v>35.709990484972238</v>
      </c>
      <c r="J18" s="20">
        <v>17.472233587308203</v>
      </c>
      <c r="K18" s="20">
        <v>11.040733935321281</v>
      </c>
      <c r="L18" s="20">
        <v>6.4460124324184092</v>
      </c>
      <c r="M18" s="20">
        <v>5.1276218335528529</v>
      </c>
      <c r="N18" s="20">
        <v>4.4741702833801353</v>
      </c>
      <c r="O18" s="20">
        <v>5.0096666313083817</v>
      </c>
      <c r="P18" s="20">
        <v>4.6875576231180567</v>
      </c>
      <c r="Q18" s="20">
        <v>3.7649213115263058</v>
      </c>
      <c r="R18" s="21">
        <v>0.21696784132547908</v>
      </c>
      <c r="S18" s="20">
        <v>1.10448574267518</v>
      </c>
      <c r="T18" s="21">
        <v>0</v>
      </c>
      <c r="U18" s="22">
        <v>0</v>
      </c>
      <c r="V18" s="21" t="s">
        <v>156</v>
      </c>
      <c r="W18" s="19" t="s">
        <v>156</v>
      </c>
      <c r="X18" s="16" t="s">
        <v>156</v>
      </c>
      <c r="Y18" s="20" t="s">
        <v>156</v>
      </c>
      <c r="Z18" s="23">
        <v>33.049345848177886</v>
      </c>
      <c r="AA18" s="24"/>
    </row>
    <row r="19" spans="1:31" ht="12.9" customHeight="1" x14ac:dyDescent="0.25">
      <c r="A19" s="40"/>
      <c r="B19" s="41"/>
      <c r="C19" s="42"/>
      <c r="D19" s="19"/>
      <c r="E19" s="19"/>
      <c r="F19" s="19"/>
      <c r="G19" s="16"/>
      <c r="H19" s="16"/>
      <c r="I19" s="20"/>
      <c r="J19" s="20"/>
      <c r="K19" s="20"/>
      <c r="L19" s="20"/>
      <c r="M19" s="20"/>
      <c r="N19" s="20"/>
      <c r="O19" s="20"/>
      <c r="P19" s="20"/>
      <c r="Q19" s="20"/>
      <c r="R19" s="21"/>
      <c r="S19" s="20"/>
      <c r="T19" s="21"/>
      <c r="U19" s="22"/>
      <c r="V19" s="21"/>
      <c r="W19" s="19"/>
      <c r="X19" s="16"/>
      <c r="Y19" s="20"/>
      <c r="Z19" s="23"/>
      <c r="AA19" s="24"/>
      <c r="AB19" s="2"/>
      <c r="AC19" s="25"/>
      <c r="AD19" s="26"/>
    </row>
    <row r="20" spans="1:31" ht="12.9" customHeight="1" x14ac:dyDescent="0.25">
      <c r="B20" s="2"/>
      <c r="C20" s="18"/>
      <c r="D20" s="19"/>
      <c r="E20" s="19"/>
      <c r="F20" s="19"/>
      <c r="G20" s="16"/>
      <c r="H20" s="16"/>
      <c r="I20" s="20"/>
      <c r="J20" s="20"/>
      <c r="K20" s="20"/>
      <c r="L20" s="20"/>
      <c r="M20" s="20"/>
      <c r="N20" s="20"/>
      <c r="O20" s="20"/>
      <c r="P20" s="20"/>
      <c r="Q20" s="20"/>
      <c r="R20" s="21"/>
      <c r="S20" s="20"/>
      <c r="T20" s="21"/>
      <c r="U20" s="22"/>
      <c r="V20" s="21"/>
      <c r="W20" s="19"/>
      <c r="X20" s="28"/>
      <c r="Y20" s="20"/>
      <c r="Z20" s="23"/>
      <c r="AA20" s="24"/>
      <c r="AB20" s="2"/>
      <c r="AC20" s="25"/>
      <c r="AD20" s="26"/>
    </row>
    <row r="21" spans="1:31" ht="12.9" customHeight="1" x14ac:dyDescent="0.25">
      <c r="B21" s="29"/>
      <c r="C21" s="29"/>
      <c r="D21" s="29"/>
      <c r="E21" s="29"/>
      <c r="F21" s="29"/>
      <c r="G21" s="52"/>
      <c r="H21" s="53" t="s">
        <v>38</v>
      </c>
      <c r="I21" s="29"/>
      <c r="J21" s="20">
        <v>20.815121340121159</v>
      </c>
      <c r="K21" s="20">
        <v>11.554753985926416</v>
      </c>
      <c r="L21" s="20" t="e">
        <v>#DIV/0!</v>
      </c>
      <c r="M21" s="20">
        <v>7.4928511007548071</v>
      </c>
      <c r="N21" s="20">
        <v>5.7635354313824889</v>
      </c>
      <c r="O21" s="20">
        <v>10.079484699614353</v>
      </c>
      <c r="P21" s="20">
        <v>7.2340673931704256</v>
      </c>
      <c r="Q21" s="20">
        <v>5.36246420940597</v>
      </c>
      <c r="R21" s="21">
        <v>0.3144880058792332</v>
      </c>
      <c r="S21" s="20">
        <v>1.6534126435845693</v>
      </c>
      <c r="T21" s="21">
        <v>2.9172137500000001E-3</v>
      </c>
      <c r="U21" s="22"/>
      <c r="V21" s="21" t="s">
        <v>156</v>
      </c>
      <c r="W21" s="21" t="s">
        <v>156</v>
      </c>
      <c r="X21" s="16"/>
      <c r="Y21" s="21" t="s">
        <v>156</v>
      </c>
      <c r="Z21" s="29"/>
      <c r="AA21" s="24"/>
      <c r="AB21" s="2"/>
      <c r="AC21" s="25"/>
      <c r="AD21" s="26"/>
    </row>
    <row r="22" spans="1:31" ht="12.9" customHeight="1" x14ac:dyDescent="0.25">
      <c r="B22" s="29"/>
      <c r="C22" s="29"/>
      <c r="D22" s="29"/>
      <c r="E22" s="29"/>
      <c r="F22" s="29"/>
      <c r="G22" s="52"/>
      <c r="H22" s="53" t="s">
        <v>39</v>
      </c>
      <c r="I22" s="29"/>
      <c r="J22" s="20">
        <v>17.501483519951066</v>
      </c>
      <c r="K22" s="20">
        <v>10.137867662366308</v>
      </c>
      <c r="L22" s="20" t="e">
        <v>#DIV/0!</v>
      </c>
      <c r="M22" s="20">
        <v>6.8567535856018367</v>
      </c>
      <c r="N22" s="20">
        <v>5.4860938986315269</v>
      </c>
      <c r="O22" s="20">
        <v>10.149899553561646</v>
      </c>
      <c r="P22" s="20">
        <v>7.0756613336626621</v>
      </c>
      <c r="Q22" s="20">
        <v>5.1302876572848763</v>
      </c>
      <c r="R22" s="21">
        <v>0.34627225122003397</v>
      </c>
      <c r="S22" s="20">
        <v>1.4502475864894342</v>
      </c>
      <c r="T22" s="21">
        <v>0</v>
      </c>
      <c r="U22" s="22"/>
      <c r="V22" s="21" t="s">
        <v>156</v>
      </c>
      <c r="W22" s="21" t="s">
        <v>156</v>
      </c>
      <c r="X22" s="16"/>
      <c r="Y22" s="21" t="s">
        <v>156</v>
      </c>
      <c r="Z22" s="29"/>
      <c r="AA22" s="24"/>
      <c r="AB22" s="2"/>
      <c r="AC22" s="25"/>
      <c r="AD22" s="26"/>
    </row>
    <row r="23" spans="1:31" ht="12.9" customHeight="1" x14ac:dyDescent="0.25">
      <c r="B23" s="29"/>
      <c r="C23" s="29"/>
      <c r="D23" s="29"/>
      <c r="E23" s="29"/>
      <c r="F23" s="29"/>
      <c r="G23" s="54"/>
      <c r="H23" s="55" t="s">
        <v>25</v>
      </c>
      <c r="I23" s="29"/>
      <c r="J23" s="20">
        <v>34.328828628420318</v>
      </c>
      <c r="K23" s="20">
        <v>23.023612456681178</v>
      </c>
      <c r="L23" s="20" t="e">
        <v>#DIV/0!</v>
      </c>
      <c r="M23" s="20">
        <v>14.980127331908637</v>
      </c>
      <c r="N23" s="20">
        <v>11.592902481542586</v>
      </c>
      <c r="O23" s="20">
        <v>19.325896296013376</v>
      </c>
      <c r="P23" s="20">
        <v>9.8654458273819756</v>
      </c>
      <c r="Q23" s="20">
        <v>7.1433062804034124</v>
      </c>
      <c r="R23" s="21">
        <v>0.60793528993742263</v>
      </c>
      <c r="S23" s="20">
        <v>3.521688883787832</v>
      </c>
      <c r="T23" s="21">
        <v>1.8121410000000001E-2</v>
      </c>
      <c r="U23" s="22"/>
      <c r="V23" s="21" t="s">
        <v>156</v>
      </c>
      <c r="W23" s="21" t="s">
        <v>156</v>
      </c>
      <c r="X23" s="16"/>
      <c r="Y23" s="21" t="s">
        <v>156</v>
      </c>
      <c r="Z23" s="29"/>
      <c r="AA23" s="24"/>
      <c r="AB23" s="2"/>
      <c r="AC23" s="25"/>
      <c r="AD23" s="26"/>
    </row>
    <row r="24" spans="1:31" ht="12.9" customHeight="1" x14ac:dyDescent="0.25">
      <c r="B24" s="29"/>
      <c r="C24" s="29"/>
      <c r="D24" s="29"/>
      <c r="E24" s="29"/>
      <c r="F24" s="29"/>
      <c r="G24" s="52"/>
      <c r="H24" s="53" t="s">
        <v>26</v>
      </c>
      <c r="I24" s="29"/>
      <c r="J24" s="20">
        <v>10.976582278481006</v>
      </c>
      <c r="K24" s="20">
        <v>4.9410256410256412</v>
      </c>
      <c r="L24" s="20" t="e">
        <v>#DIV/0!</v>
      </c>
      <c r="M24" s="20">
        <v>2.6005434782608696</v>
      </c>
      <c r="N24" s="20">
        <v>2.107929515418502</v>
      </c>
      <c r="O24" s="20">
        <v>2.4545050384412996</v>
      </c>
      <c r="P24" s="20">
        <v>4.6875576231180567</v>
      </c>
      <c r="Q24" s="20">
        <v>3.7649213115263058</v>
      </c>
      <c r="R24" s="21">
        <v>0</v>
      </c>
      <c r="S24" s="20">
        <v>0.66817535554558061</v>
      </c>
      <c r="T24" s="21">
        <v>0</v>
      </c>
      <c r="U24" s="22"/>
      <c r="V24" s="21" t="s">
        <v>156</v>
      </c>
      <c r="W24" s="21" t="s">
        <v>156</v>
      </c>
      <c r="X24" s="16"/>
      <c r="Y24" s="21" t="s">
        <v>156</v>
      </c>
      <c r="Z24" s="29"/>
      <c r="AA24" s="24"/>
      <c r="AB24" s="2"/>
      <c r="AC24" s="25"/>
      <c r="AD24" s="26"/>
    </row>
    <row r="25" spans="1:31" ht="12.9" customHeight="1" x14ac:dyDescent="0.25"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4"/>
      <c r="AB25" s="2"/>
      <c r="AC25" s="25"/>
      <c r="AD25" s="26"/>
    </row>
    <row r="26" spans="1:31" ht="12.9" customHeight="1" x14ac:dyDescent="0.25">
      <c r="B26" s="29"/>
      <c r="C26" s="29"/>
      <c r="D26" s="29"/>
      <c r="U26" s="49" t="s">
        <v>95</v>
      </c>
      <c r="V26" s="49"/>
      <c r="W26" s="49"/>
      <c r="X26" s="49"/>
      <c r="Y26" s="49"/>
      <c r="AA26" s="24"/>
      <c r="AB26" s="2"/>
      <c r="AC26" s="25"/>
      <c r="AD26" s="26"/>
      <c r="AE26" s="27"/>
    </row>
    <row r="27" spans="1:31" ht="12.9" customHeight="1" x14ac:dyDescent="0.25">
      <c r="A27" s="57"/>
      <c r="B27" s="49" t="s">
        <v>40</v>
      </c>
      <c r="C27" s="49"/>
      <c r="D27" s="49" t="s">
        <v>41</v>
      </c>
      <c r="E27" s="49"/>
      <c r="F27" s="49"/>
      <c r="G27" s="49" t="s">
        <v>42</v>
      </c>
      <c r="H27" s="49"/>
      <c r="J27" s="49" t="s">
        <v>43</v>
      </c>
      <c r="K27" s="49"/>
      <c r="P27" s="49" t="s">
        <v>44</v>
      </c>
      <c r="Q27" s="49"/>
      <c r="R27" s="49"/>
      <c r="S27" s="49"/>
      <c r="U27" s="49" t="s">
        <v>45</v>
      </c>
      <c r="V27" s="49"/>
      <c r="W27" s="49"/>
      <c r="X27" s="49"/>
      <c r="Y27" s="49"/>
      <c r="AA27" s="24"/>
      <c r="AB27" s="2"/>
      <c r="AC27" s="25"/>
      <c r="AD27" s="26"/>
      <c r="AE27" s="27"/>
    </row>
    <row r="28" spans="1:31" ht="4.5" customHeight="1" x14ac:dyDescent="0.25">
      <c r="A28" s="57"/>
      <c r="B28" s="8" t="s">
        <v>37</v>
      </c>
      <c r="C28" s="58"/>
      <c r="D28" s="8" t="s">
        <v>37</v>
      </c>
      <c r="E28" s="58"/>
      <c r="F28" s="58"/>
      <c r="G28" s="8" t="s">
        <v>37</v>
      </c>
      <c r="H28" s="58"/>
      <c r="J28" s="8" t="s">
        <v>37</v>
      </c>
      <c r="K28" s="58"/>
      <c r="P28" s="8" t="s">
        <v>37</v>
      </c>
      <c r="Q28" s="58"/>
      <c r="R28" s="58"/>
      <c r="S28" s="58"/>
      <c r="U28" s="8" t="s">
        <v>37</v>
      </c>
      <c r="V28" s="58"/>
      <c r="W28" s="58"/>
      <c r="X28" s="58"/>
      <c r="Y28" s="58"/>
      <c r="AC28" s="25"/>
      <c r="AD28" s="26"/>
      <c r="AE28" s="27"/>
    </row>
    <row r="29" spans="1:31" ht="12.9" customHeight="1" x14ac:dyDescent="0.25">
      <c r="A29" s="38"/>
      <c r="B29" s="2"/>
      <c r="C29" s="2"/>
      <c r="D29" s="50" t="s">
        <v>46</v>
      </c>
      <c r="E29" s="50" t="s">
        <v>47</v>
      </c>
      <c r="F29" s="50" t="s">
        <v>7</v>
      </c>
      <c r="G29" s="7" t="s">
        <v>48</v>
      </c>
      <c r="P29" s="50" t="s">
        <v>49</v>
      </c>
      <c r="Q29" s="50"/>
      <c r="R29" s="50" t="s">
        <v>50</v>
      </c>
      <c r="S29" s="50" t="s">
        <v>51</v>
      </c>
      <c r="U29" s="50" t="s">
        <v>52</v>
      </c>
      <c r="V29" s="50" t="s">
        <v>53</v>
      </c>
      <c r="W29" s="59" t="s">
        <v>54</v>
      </c>
      <c r="X29" s="50" t="s">
        <v>55</v>
      </c>
      <c r="Y29" s="50" t="s">
        <v>56</v>
      </c>
      <c r="AC29" s="25"/>
      <c r="AD29" s="26"/>
      <c r="AE29" s="27"/>
    </row>
    <row r="30" spans="1:31" ht="12.9" customHeight="1" x14ac:dyDescent="0.25">
      <c r="A30" s="39" t="s">
        <v>21</v>
      </c>
      <c r="B30" s="2" t="s">
        <v>57</v>
      </c>
      <c r="C30" s="2" t="s">
        <v>58</v>
      </c>
      <c r="D30" s="39" t="s">
        <v>59</v>
      </c>
      <c r="E30" s="39" t="s">
        <v>60</v>
      </c>
      <c r="F30" s="39" t="s">
        <v>61</v>
      </c>
      <c r="G30" s="2" t="s">
        <v>62</v>
      </c>
      <c r="H30" s="2" t="s">
        <v>7</v>
      </c>
      <c r="J30" s="39" t="s">
        <v>63</v>
      </c>
      <c r="K30" s="39" t="s">
        <v>64</v>
      </c>
      <c r="P30" s="39" t="s">
        <v>65</v>
      </c>
      <c r="Q30" s="39" t="s">
        <v>66</v>
      </c>
      <c r="R30" s="51" t="s">
        <v>67</v>
      </c>
      <c r="S30" s="39" t="s">
        <v>68</v>
      </c>
      <c r="U30" s="39" t="s">
        <v>69</v>
      </c>
      <c r="V30" s="51" t="s">
        <v>70</v>
      </c>
      <c r="W30" s="39" t="s">
        <v>71</v>
      </c>
      <c r="X30" s="51" t="s">
        <v>72</v>
      </c>
      <c r="Y30" s="39" t="s">
        <v>73</v>
      </c>
      <c r="AC30" s="25"/>
      <c r="AD30" s="26"/>
      <c r="AE30" s="27"/>
    </row>
    <row r="31" spans="1:31" ht="3.75" customHeight="1" x14ac:dyDescent="0.25">
      <c r="A31" s="8" t="s">
        <v>37</v>
      </c>
      <c r="B31" s="8" t="s">
        <v>37</v>
      </c>
      <c r="C31" s="8" t="s">
        <v>37</v>
      </c>
      <c r="D31" s="8" t="s">
        <v>37</v>
      </c>
      <c r="E31" s="8" t="s">
        <v>37</v>
      </c>
      <c r="F31" s="8" t="s">
        <v>37</v>
      </c>
      <c r="G31" s="8" t="s">
        <v>37</v>
      </c>
      <c r="H31" s="8" t="s">
        <v>37</v>
      </c>
      <c r="J31" s="8" t="s">
        <v>37</v>
      </c>
      <c r="K31" s="8" t="s">
        <v>37</v>
      </c>
      <c r="P31" s="8" t="s">
        <v>37</v>
      </c>
      <c r="Q31" s="8" t="s">
        <v>37</v>
      </c>
      <c r="R31" s="8" t="s">
        <v>37</v>
      </c>
      <c r="S31" s="8" t="s">
        <v>37</v>
      </c>
      <c r="U31" s="8" t="s">
        <v>37</v>
      </c>
      <c r="V31" s="8" t="s">
        <v>37</v>
      </c>
      <c r="W31" s="8" t="s">
        <v>37</v>
      </c>
      <c r="X31" s="8" t="s">
        <v>37</v>
      </c>
      <c r="Y31" s="8" t="s">
        <v>37</v>
      </c>
      <c r="AC31" s="25"/>
      <c r="AD31" s="26"/>
      <c r="AE31" s="27"/>
    </row>
    <row r="32" spans="1:31" ht="12.9" customHeight="1" x14ac:dyDescent="0.25">
      <c r="A32" s="1" t="s">
        <v>178</v>
      </c>
      <c r="B32" s="1" t="s">
        <v>195</v>
      </c>
      <c r="C32" s="27" t="s">
        <v>196</v>
      </c>
      <c r="D32" s="27" t="s">
        <v>97</v>
      </c>
      <c r="E32" s="10" t="s">
        <v>148</v>
      </c>
      <c r="F32" s="10">
        <v>37040</v>
      </c>
      <c r="G32" s="2" t="s">
        <v>197</v>
      </c>
      <c r="H32" s="10">
        <v>37040</v>
      </c>
      <c r="I32" s="2"/>
      <c r="J32" s="14">
        <v>0.39473684210526316</v>
      </c>
      <c r="K32" s="14">
        <v>0.26441351888667991</v>
      </c>
      <c r="L32" s="2"/>
      <c r="M32" s="2"/>
      <c r="N32" s="2"/>
      <c r="O32" s="2"/>
      <c r="P32" s="14" t="s">
        <v>156</v>
      </c>
      <c r="Q32" s="13" t="s">
        <v>156</v>
      </c>
      <c r="R32" s="21" t="s">
        <v>156</v>
      </c>
      <c r="S32" s="27" t="s">
        <v>156</v>
      </c>
      <c r="T32" s="2"/>
      <c r="U32" s="15">
        <v>0</v>
      </c>
      <c r="V32" s="15">
        <v>0</v>
      </c>
      <c r="W32" s="17">
        <v>0</v>
      </c>
      <c r="X32" s="15">
        <v>0</v>
      </c>
      <c r="Y32" s="15">
        <v>0</v>
      </c>
      <c r="Z32" s="2"/>
      <c r="AA32" s="24"/>
      <c r="AB32" s="2"/>
      <c r="AC32" s="25"/>
      <c r="AD32" s="26"/>
      <c r="AE32" s="27"/>
    </row>
    <row r="33" spans="1:32" ht="12.9" customHeight="1" x14ac:dyDescent="0.25">
      <c r="A33" s="38" t="s">
        <v>181</v>
      </c>
      <c r="B33" s="1" t="s">
        <v>195</v>
      </c>
      <c r="C33" s="27" t="s">
        <v>196</v>
      </c>
      <c r="D33" s="27" t="s">
        <v>97</v>
      </c>
      <c r="E33" s="10" t="s">
        <v>148</v>
      </c>
      <c r="F33" s="10">
        <v>37040</v>
      </c>
      <c r="G33" s="2" t="s">
        <v>198</v>
      </c>
      <c r="H33" s="10">
        <v>37040</v>
      </c>
      <c r="I33" s="2"/>
      <c r="J33" s="14">
        <v>-8.8457142857142804E-2</v>
      </c>
      <c r="K33" s="14">
        <v>-0.2715981735159817</v>
      </c>
      <c r="L33" s="2"/>
      <c r="M33" s="2"/>
      <c r="N33" s="32"/>
      <c r="O33" s="2"/>
      <c r="P33" s="14" t="s">
        <v>156</v>
      </c>
      <c r="Q33" s="13" t="s">
        <v>156</v>
      </c>
      <c r="R33" s="21" t="s">
        <v>156</v>
      </c>
      <c r="S33" s="27" t="s">
        <v>156</v>
      </c>
      <c r="T33" s="33"/>
      <c r="U33" s="15">
        <v>0</v>
      </c>
      <c r="V33" s="15">
        <v>0</v>
      </c>
      <c r="W33" s="17">
        <v>0</v>
      </c>
      <c r="X33" s="15">
        <v>0</v>
      </c>
      <c r="Y33" s="15">
        <v>0</v>
      </c>
      <c r="Z33" s="60"/>
      <c r="AA33" s="24"/>
      <c r="AB33" s="2"/>
      <c r="AC33" s="25"/>
      <c r="AD33" s="26"/>
      <c r="AE33" s="27"/>
    </row>
    <row r="34" spans="1:32" ht="12.9" customHeight="1" x14ac:dyDescent="0.25">
      <c r="A34" s="38" t="s">
        <v>183</v>
      </c>
      <c r="B34" s="1" t="s">
        <v>195</v>
      </c>
      <c r="C34" s="27" t="s">
        <v>196</v>
      </c>
      <c r="D34" s="27" t="s">
        <v>147</v>
      </c>
      <c r="E34" s="10" t="s">
        <v>199</v>
      </c>
      <c r="F34" s="10">
        <v>37020</v>
      </c>
      <c r="G34" s="2" t="s">
        <v>200</v>
      </c>
      <c r="H34" s="10">
        <v>37040</v>
      </c>
      <c r="I34" s="2"/>
      <c r="J34" s="14">
        <v>0.44400000000000001</v>
      </c>
      <c r="K34" s="14">
        <v>7.4418604651162856E-3</v>
      </c>
      <c r="L34" s="2"/>
      <c r="M34" s="2"/>
      <c r="N34" s="2"/>
      <c r="O34" s="2"/>
      <c r="P34" s="2" t="s">
        <v>156</v>
      </c>
      <c r="Q34" s="13" t="s">
        <v>156</v>
      </c>
      <c r="R34" s="21" t="s">
        <v>156</v>
      </c>
      <c r="S34" s="27" t="s">
        <v>156</v>
      </c>
      <c r="T34" s="33"/>
      <c r="U34" s="15">
        <v>0</v>
      </c>
      <c r="V34" s="15">
        <v>0</v>
      </c>
      <c r="W34" s="17">
        <v>0</v>
      </c>
      <c r="X34" s="15">
        <v>0</v>
      </c>
      <c r="Y34" s="15">
        <v>0</v>
      </c>
      <c r="Z34" s="2"/>
      <c r="AA34" s="24"/>
      <c r="AB34" s="2"/>
      <c r="AC34" s="25"/>
      <c r="AD34" s="26"/>
      <c r="AE34" s="27"/>
    </row>
    <row r="35" spans="1:32" ht="12.9" customHeight="1" x14ac:dyDescent="0.25">
      <c r="A35" s="38" t="s">
        <v>185</v>
      </c>
      <c r="B35" s="1" t="s">
        <v>195</v>
      </c>
      <c r="C35" s="27" t="s">
        <v>196</v>
      </c>
      <c r="D35" s="27" t="s">
        <v>147</v>
      </c>
      <c r="E35" s="10" t="s">
        <v>199</v>
      </c>
      <c r="F35" s="10">
        <v>37013</v>
      </c>
      <c r="G35" s="2" t="s">
        <v>201</v>
      </c>
      <c r="H35" s="10">
        <v>37040</v>
      </c>
      <c r="I35" s="2"/>
      <c r="J35" s="14">
        <v>-0.4391208791208791</v>
      </c>
      <c r="K35" s="14">
        <v>-0.28112676056338026</v>
      </c>
      <c r="L35" s="2"/>
      <c r="M35" s="2"/>
      <c r="N35" s="32"/>
      <c r="O35" s="2"/>
      <c r="P35" s="14" t="s">
        <v>156</v>
      </c>
      <c r="Q35" s="13" t="s">
        <v>156</v>
      </c>
      <c r="R35" s="21" t="s">
        <v>156</v>
      </c>
      <c r="S35" s="27" t="s">
        <v>156</v>
      </c>
      <c r="T35" s="33"/>
      <c r="U35" s="15">
        <v>0</v>
      </c>
      <c r="V35" s="15">
        <v>0</v>
      </c>
      <c r="W35" s="17">
        <v>0</v>
      </c>
      <c r="X35" s="15">
        <v>0</v>
      </c>
      <c r="Y35" s="15">
        <v>0</v>
      </c>
      <c r="Z35" s="60"/>
    </row>
    <row r="36" spans="1:32" ht="12.9" customHeight="1" x14ac:dyDescent="0.25">
      <c r="A36" s="38" t="s">
        <v>187</v>
      </c>
      <c r="B36" s="1" t="s">
        <v>195</v>
      </c>
      <c r="C36" s="27" t="s">
        <v>196</v>
      </c>
      <c r="D36" s="27" t="s">
        <v>97</v>
      </c>
      <c r="E36" s="10" t="s">
        <v>148</v>
      </c>
      <c r="F36" s="10">
        <v>37081</v>
      </c>
      <c r="G36" s="2" t="s">
        <v>202</v>
      </c>
      <c r="H36" s="10">
        <v>37040</v>
      </c>
      <c r="I36" s="2"/>
      <c r="J36" s="14">
        <v>0.14264385692068435</v>
      </c>
      <c r="K36" s="14">
        <v>-0.12741092636579568</v>
      </c>
      <c r="L36" s="2"/>
      <c r="M36" s="2"/>
      <c r="N36" s="32"/>
      <c r="O36" s="2"/>
      <c r="P36" s="14" t="s">
        <v>156</v>
      </c>
      <c r="Q36" s="13" t="s">
        <v>156</v>
      </c>
      <c r="R36" s="21" t="s">
        <v>156</v>
      </c>
      <c r="S36" s="27" t="s">
        <v>156</v>
      </c>
      <c r="T36" s="33"/>
      <c r="U36" s="15">
        <v>0</v>
      </c>
      <c r="V36" s="15">
        <v>0</v>
      </c>
      <c r="W36" s="17">
        <v>0</v>
      </c>
      <c r="X36" s="15">
        <v>0</v>
      </c>
      <c r="Y36" s="15">
        <v>0</v>
      </c>
      <c r="Z36" s="60"/>
    </row>
    <row r="37" spans="1:32" ht="12.9" customHeight="1" x14ac:dyDescent="0.25">
      <c r="A37" s="38" t="s">
        <v>189</v>
      </c>
      <c r="B37" s="1" t="s">
        <v>195</v>
      </c>
      <c r="C37" s="27" t="s">
        <v>196</v>
      </c>
      <c r="D37" s="27" t="s">
        <v>97</v>
      </c>
      <c r="E37" s="10" t="s">
        <v>148</v>
      </c>
      <c r="F37" s="10">
        <v>37040</v>
      </c>
      <c r="G37" s="2" t="s">
        <v>198</v>
      </c>
      <c r="H37" s="10">
        <v>37040</v>
      </c>
      <c r="I37" s="2"/>
      <c r="J37" s="14">
        <v>4.8138195777351324E-2</v>
      </c>
      <c r="K37" s="14">
        <v>-0.23087323943661966</v>
      </c>
      <c r="L37" s="2"/>
      <c r="M37" s="2"/>
      <c r="N37" s="32"/>
      <c r="O37" s="2"/>
      <c r="P37" s="14" t="s">
        <v>156</v>
      </c>
      <c r="Q37" s="13" t="s">
        <v>156</v>
      </c>
      <c r="R37" s="21" t="s">
        <v>156</v>
      </c>
      <c r="S37" s="27" t="s">
        <v>156</v>
      </c>
      <c r="T37" s="33"/>
      <c r="U37" s="15">
        <v>0</v>
      </c>
      <c r="V37" s="15">
        <v>0</v>
      </c>
      <c r="W37" s="17">
        <v>0</v>
      </c>
      <c r="X37" s="15">
        <v>0</v>
      </c>
      <c r="Y37" s="15">
        <v>0</v>
      </c>
      <c r="Z37" s="60"/>
    </row>
    <row r="38" spans="1:32" ht="12.9" customHeight="1" x14ac:dyDescent="0.25">
      <c r="A38" s="38" t="s">
        <v>191</v>
      </c>
      <c r="B38" s="1" t="s">
        <v>195</v>
      </c>
      <c r="C38" s="27" t="s">
        <v>196</v>
      </c>
      <c r="D38" s="27" t="s">
        <v>165</v>
      </c>
      <c r="E38" s="10" t="s">
        <v>144</v>
      </c>
      <c r="F38" s="10">
        <v>37050</v>
      </c>
      <c r="G38" s="2" t="s">
        <v>203</v>
      </c>
      <c r="H38" s="10">
        <v>37040</v>
      </c>
      <c r="I38" s="2"/>
      <c r="J38" s="14">
        <v>-4.8101265822784775E-2</v>
      </c>
      <c r="K38" s="14">
        <v>-0.39109311740890684</v>
      </c>
      <c r="L38" s="2"/>
      <c r="M38" s="2"/>
      <c r="N38" s="32"/>
      <c r="O38" s="2"/>
      <c r="P38" s="14" t="s">
        <v>156</v>
      </c>
      <c r="Q38" s="13" t="s">
        <v>156</v>
      </c>
      <c r="R38" s="21" t="s">
        <v>156</v>
      </c>
      <c r="S38" s="27" t="s">
        <v>156</v>
      </c>
      <c r="T38" s="33"/>
      <c r="U38" s="15">
        <v>0</v>
      </c>
      <c r="V38" s="15">
        <v>0</v>
      </c>
      <c r="W38" s="17">
        <v>0</v>
      </c>
      <c r="X38" s="15">
        <v>0</v>
      </c>
      <c r="Y38" s="15">
        <v>0</v>
      </c>
      <c r="Z38" s="60"/>
    </row>
    <row r="39" spans="1:32" ht="12.9" customHeight="1" x14ac:dyDescent="0.25">
      <c r="A39" s="38" t="s">
        <v>193</v>
      </c>
      <c r="B39" s="1" t="s">
        <v>195</v>
      </c>
      <c r="C39" s="27" t="s">
        <v>196</v>
      </c>
      <c r="D39" s="27" t="s">
        <v>165</v>
      </c>
      <c r="E39" s="10" t="s">
        <v>144</v>
      </c>
      <c r="F39" s="10">
        <v>37028</v>
      </c>
      <c r="G39" s="2" t="s">
        <v>204</v>
      </c>
      <c r="H39" s="10">
        <v>37040</v>
      </c>
      <c r="I39" s="2"/>
      <c r="J39" s="14">
        <v>-0.27800554016620505</v>
      </c>
      <c r="K39" s="14">
        <v>-0.49566563467492269</v>
      </c>
      <c r="L39" s="2"/>
      <c r="M39" s="2"/>
      <c r="N39" s="32"/>
      <c r="O39" s="2"/>
      <c r="P39" s="14" t="s">
        <v>156</v>
      </c>
      <c r="Q39" s="13" t="s">
        <v>156</v>
      </c>
      <c r="R39" s="21" t="s">
        <v>156</v>
      </c>
      <c r="S39" s="27" t="s">
        <v>156</v>
      </c>
      <c r="T39" s="33"/>
      <c r="U39" s="15">
        <v>0</v>
      </c>
      <c r="V39" s="15">
        <v>0</v>
      </c>
      <c r="W39" s="17">
        <v>0</v>
      </c>
      <c r="X39" s="15">
        <v>0</v>
      </c>
      <c r="Y39" s="15">
        <v>0</v>
      </c>
      <c r="Z39" s="60"/>
    </row>
    <row r="40" spans="1:32" x14ac:dyDescent="0.25">
      <c r="C40" s="27"/>
      <c r="D40" s="27"/>
      <c r="E40" s="27"/>
      <c r="F40" s="10"/>
      <c r="G40" s="2"/>
      <c r="H40" s="10"/>
      <c r="I40" s="2"/>
      <c r="J40" s="14"/>
      <c r="K40" s="14"/>
      <c r="L40" s="2"/>
      <c r="M40" s="2"/>
      <c r="N40" s="2"/>
      <c r="O40" s="2"/>
      <c r="P40" s="2"/>
      <c r="Q40" s="2"/>
      <c r="R40" s="2"/>
      <c r="S40" s="2"/>
      <c r="T40" s="33"/>
      <c r="U40" s="2"/>
      <c r="V40" s="2"/>
      <c r="W40" s="2"/>
      <c r="X40" s="2"/>
      <c r="Y40" s="2"/>
      <c r="Z40" s="2"/>
      <c r="AA40" s="56"/>
    </row>
    <row r="41" spans="1:32" s="2" customFormat="1" ht="12.9" customHeight="1" x14ac:dyDescent="0.25">
      <c r="A41" s="1"/>
      <c r="B41" s="1"/>
      <c r="C41" s="27"/>
      <c r="D41" s="27"/>
      <c r="E41" s="27"/>
      <c r="H41" s="10"/>
      <c r="J41" s="14"/>
      <c r="K41" s="14"/>
      <c r="T41" s="33"/>
      <c r="Z41" s="1"/>
      <c r="AA41" s="31"/>
      <c r="AB41" s="1"/>
      <c r="AC41" s="1"/>
      <c r="AD41" s="1"/>
      <c r="AE41" s="1"/>
      <c r="AF41" s="1"/>
    </row>
    <row r="42" spans="1:32" s="2" customFormat="1" ht="12.9" customHeight="1" x14ac:dyDescent="0.25">
      <c r="B42" s="35"/>
      <c r="C42" s="35"/>
      <c r="E42" s="35"/>
      <c r="N42" s="53" t="s">
        <v>38</v>
      </c>
      <c r="P42" s="21" t="s">
        <v>156</v>
      </c>
      <c r="Q42" s="21" t="s">
        <v>156</v>
      </c>
      <c r="R42" s="21" t="s">
        <v>156</v>
      </c>
      <c r="S42" s="27"/>
      <c r="T42" s="33"/>
      <c r="U42" s="15"/>
      <c r="V42" s="15"/>
      <c r="W42" s="17"/>
      <c r="X42" s="15"/>
      <c r="Y42" s="15"/>
      <c r="AA42" s="34"/>
    </row>
    <row r="43" spans="1:32" s="2" customFormat="1" ht="12.9" customHeight="1" x14ac:dyDescent="0.25">
      <c r="B43" s="35"/>
      <c r="C43" s="35"/>
      <c r="D43" s="35"/>
      <c r="N43" s="53" t="s">
        <v>39</v>
      </c>
      <c r="P43" s="21" t="s">
        <v>156</v>
      </c>
      <c r="Q43" s="21" t="s">
        <v>156</v>
      </c>
      <c r="R43" s="21" t="s">
        <v>156</v>
      </c>
      <c r="S43" s="27"/>
      <c r="T43" s="33"/>
      <c r="U43" s="15"/>
      <c r="V43" s="15"/>
      <c r="W43" s="17"/>
      <c r="X43" s="15"/>
      <c r="Y43" s="15"/>
      <c r="AA43" s="34"/>
    </row>
    <row r="44" spans="1:32" s="2" customFormat="1" ht="12.9" customHeight="1" x14ac:dyDescent="0.25">
      <c r="B44" s="35"/>
      <c r="C44" s="35"/>
      <c r="D44" s="35"/>
      <c r="N44" s="55" t="s">
        <v>25</v>
      </c>
      <c r="P44" s="21" t="s">
        <v>156</v>
      </c>
      <c r="Q44" s="21" t="s">
        <v>156</v>
      </c>
      <c r="R44" s="21" t="s">
        <v>156</v>
      </c>
      <c r="S44" s="27"/>
      <c r="T44" s="33"/>
      <c r="U44" s="15"/>
      <c r="V44" s="15"/>
      <c r="W44" s="17"/>
      <c r="X44" s="15"/>
      <c r="Y44" s="15"/>
      <c r="AA44" s="34"/>
    </row>
    <row r="45" spans="1:32" s="2" customFormat="1" ht="12.9" customHeight="1" x14ac:dyDescent="0.25">
      <c r="B45" s="35"/>
      <c r="C45" s="35"/>
      <c r="D45" s="35"/>
      <c r="N45" s="53" t="s">
        <v>26</v>
      </c>
      <c r="P45" s="21" t="s">
        <v>156</v>
      </c>
      <c r="Q45" s="21" t="s">
        <v>156</v>
      </c>
      <c r="R45" s="21" t="s">
        <v>156</v>
      </c>
      <c r="S45" s="27"/>
      <c r="T45" s="33"/>
      <c r="U45" s="15"/>
      <c r="V45" s="15"/>
      <c r="W45" s="17"/>
      <c r="X45" s="15"/>
      <c r="Y45" s="15"/>
      <c r="AA45" s="34"/>
    </row>
    <row r="46" spans="1:32" s="2" customFormat="1" ht="12.9" customHeight="1" x14ac:dyDescent="0.25">
      <c r="A46" s="36" t="s">
        <v>74</v>
      </c>
      <c r="Z46" s="60"/>
      <c r="AA46" s="30"/>
    </row>
    <row r="47" spans="1:32" s="2" customFormat="1" ht="12.9" customHeight="1" x14ac:dyDescent="0.25">
      <c r="A47" s="9"/>
      <c r="Z47" s="60"/>
      <c r="AA47" s="34"/>
    </row>
    <row r="48" spans="1:32" x14ac:dyDescent="0.25">
      <c r="A48" s="9"/>
      <c r="B48" s="2"/>
      <c r="C48" s="2"/>
      <c r="D48" s="2"/>
      <c r="E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60"/>
    </row>
    <row r="49" spans="1:26" s="2" customFormat="1" ht="12.9" customHeight="1" x14ac:dyDescent="0.25">
      <c r="A49" s="9"/>
      <c r="Z49" s="60"/>
    </row>
    <row r="50" spans="1:26" s="2" customFormat="1" ht="12.9" customHeight="1" x14ac:dyDescent="0.25">
      <c r="A50" s="9"/>
    </row>
    <row r="51" spans="1:26" s="2" customFormat="1" ht="12.9" customHeight="1" x14ac:dyDescent="0.25">
      <c r="A51" s="9"/>
    </row>
    <row r="52" spans="1:26" s="2" customFormat="1" ht="12.9" customHeight="1" x14ac:dyDescent="0.25">
      <c r="A52" s="9"/>
    </row>
    <row r="53" spans="1:26" s="2" customFormat="1" ht="12.9" customHeight="1" x14ac:dyDescent="0.25"/>
    <row r="54" spans="1:26" s="2" customFormat="1" ht="12.9" customHeight="1" x14ac:dyDescent="0.25"/>
    <row r="55" spans="1:26" s="2" customFormat="1" ht="12.9" customHeight="1" x14ac:dyDescent="0.25"/>
    <row r="56" spans="1:26" s="2" customFormat="1" ht="12.9" customHeight="1" x14ac:dyDescent="0.25"/>
    <row r="57" spans="1:26" s="2" customFormat="1" ht="12.9" customHeight="1" x14ac:dyDescent="0.25"/>
    <row r="58" spans="1:26" s="2" customFormat="1" ht="12.9" customHeight="1" x14ac:dyDescent="0.25"/>
    <row r="59" spans="1:26" s="2" customFormat="1" ht="12.9" customHeight="1" x14ac:dyDescent="0.25"/>
    <row r="60" spans="1:26" s="2" customFormat="1" ht="12.9" customHeight="1" x14ac:dyDescent="0.25"/>
    <row r="61" spans="1:26" s="2" customFormat="1" ht="12.9" customHeight="1" x14ac:dyDescent="0.25"/>
    <row r="62" spans="1:26" s="2" customFormat="1" ht="12.9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26" s="2" customFormat="1" ht="12.9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26" s="2" customFormat="1" ht="12.9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25" s="2" customFormat="1" ht="12.9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25" s="2" customFormat="1" ht="12.9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25" s="2" customFormat="1" ht="12.9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25" s="2" customFormat="1" ht="12.9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25" s="2" customFormat="1" ht="12.9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25" s="2" customFormat="1" ht="12.9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5" s="2" customFormat="1" ht="12.9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s="2" customFormat="1" ht="12.9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5" s="2" customFormat="1" ht="12.9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5" s="2" customFormat="1" ht="12.9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5" s="2" customFormat="1" ht="12.9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5" s="2" customFormat="1" ht="12.9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5" s="2" customFormat="1" ht="12.9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5" s="2" customFormat="1" ht="12.9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5" s="2" customFormat="1" ht="12.9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5" s="2" customFormat="1" ht="12.9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s="2" customFormat="1" ht="12.9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s="2" customFormat="1" ht="12.9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s="2" customFormat="1" ht="12.9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s="2" customFormat="1" ht="12.9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s="2" customFormat="1" ht="12.9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s="2" customFormat="1" ht="12.9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s="2" customFormat="1" ht="12.9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s="2" customFormat="1" ht="12.9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2.9" customHeight="1" x14ac:dyDescent="0.25"/>
    <row r="90" spans="1:20" ht="12.9" customHeight="1" x14ac:dyDescent="0.25"/>
    <row r="91" spans="1:20" ht="12.9" customHeight="1" x14ac:dyDescent="0.25"/>
    <row r="92" spans="1:20" ht="12.9" customHeight="1" x14ac:dyDescent="0.25"/>
    <row r="93" spans="1:20" ht="12.9" customHeight="1" x14ac:dyDescent="0.25"/>
    <row r="94" spans="1:20" ht="12.9" customHeight="1" x14ac:dyDescent="0.25"/>
    <row r="95" spans="1:20" ht="12.9" customHeight="1" x14ac:dyDescent="0.25"/>
    <row r="96" spans="1:20" ht="12.9" customHeight="1" x14ac:dyDescent="0.25"/>
    <row r="97" ht="12.9" customHeight="1" x14ac:dyDescent="0.25"/>
    <row r="98" ht="12.9" customHeight="1" x14ac:dyDescent="0.25"/>
    <row r="99" ht="12.9" customHeight="1" x14ac:dyDescent="0.25"/>
    <row r="100" ht="12.9" customHeight="1" x14ac:dyDescent="0.25"/>
    <row r="101" ht="12.9" customHeight="1" x14ac:dyDescent="0.25"/>
    <row r="102" ht="12.9" customHeight="1" x14ac:dyDescent="0.25"/>
    <row r="103" ht="12.9" customHeight="1" x14ac:dyDescent="0.25"/>
    <row r="104" ht="12.9" customHeight="1" x14ac:dyDescent="0.25"/>
    <row r="105" ht="12.9" customHeight="1" x14ac:dyDescent="0.25"/>
    <row r="106" ht="12.9" customHeight="1" x14ac:dyDescent="0.25"/>
    <row r="107" ht="12.9" customHeight="1" x14ac:dyDescent="0.25"/>
    <row r="108" ht="12.9" customHeight="1" x14ac:dyDescent="0.25"/>
    <row r="109" ht="12.9" customHeight="1" x14ac:dyDescent="0.25"/>
    <row r="110" ht="12.9" customHeight="1" x14ac:dyDescent="0.25"/>
    <row r="111" ht="12.9" customHeight="1" x14ac:dyDescent="0.25"/>
    <row r="112" ht="12.9" customHeight="1" x14ac:dyDescent="0.25"/>
    <row r="113" ht="12.9" customHeight="1" x14ac:dyDescent="0.25"/>
    <row r="114" ht="12.9" customHeight="1" x14ac:dyDescent="0.25"/>
    <row r="115" ht="12.9" customHeight="1" x14ac:dyDescent="0.25"/>
    <row r="116" ht="12.9" customHeight="1" x14ac:dyDescent="0.25"/>
    <row r="117" ht="12.9" customHeight="1" x14ac:dyDescent="0.25"/>
    <row r="118" ht="12.9" customHeight="1" x14ac:dyDescent="0.25"/>
    <row r="119" ht="12.9" customHeight="1" x14ac:dyDescent="0.25"/>
    <row r="120" ht="12.9" customHeight="1" x14ac:dyDescent="0.25"/>
    <row r="121" ht="12.9" customHeight="1" x14ac:dyDescent="0.25"/>
    <row r="122" ht="12.9" customHeight="1" x14ac:dyDescent="0.25"/>
    <row r="123" ht="12.9" customHeight="1" x14ac:dyDescent="0.25"/>
    <row r="124" ht="12.9" customHeight="1" x14ac:dyDescent="0.25"/>
    <row r="125" ht="12.9" customHeight="1" x14ac:dyDescent="0.25"/>
    <row r="126" ht="12.9" customHeight="1" x14ac:dyDescent="0.25"/>
    <row r="127" ht="12.9" customHeight="1" x14ac:dyDescent="0.25"/>
    <row r="128" ht="12.9" customHeight="1" x14ac:dyDescent="0.25"/>
    <row r="129" ht="12.9" customHeight="1" x14ac:dyDescent="0.25"/>
  </sheetData>
  <mergeCells count="3">
    <mergeCell ref="I8:K8"/>
    <mergeCell ref="L8:N8"/>
    <mergeCell ref="O8:Q8"/>
  </mergeCells>
  <phoneticPr fontId="0" type="noConversion"/>
  <pageMargins left="0" right="0" top="0" bottom="0" header="0.5" footer="0.5"/>
  <pageSetup scale="53" orientation="landscape" verticalDpi="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45"/>
  <sheetViews>
    <sheetView zoomScale="50" workbookViewId="0">
      <selection activeCell="B6" sqref="B6"/>
    </sheetView>
  </sheetViews>
  <sheetFormatPr defaultColWidth="9.109375" defaultRowHeight="13.2" outlineLevelCol="1" x14ac:dyDescent="0.25"/>
  <cols>
    <col min="1" max="1" width="29.6640625" style="38" customWidth="1"/>
    <col min="2" max="2" width="12.88671875" style="38" customWidth="1"/>
    <col min="3" max="3" width="12.6640625" style="38" customWidth="1"/>
    <col min="4" max="4" width="10.6640625" style="38" customWidth="1"/>
    <col min="5" max="5" width="11.6640625" style="38" customWidth="1"/>
    <col min="6" max="6" width="10.6640625" style="38" customWidth="1"/>
    <col min="7" max="7" width="11.6640625" style="38" customWidth="1"/>
    <col min="8" max="8" width="10.6640625" style="38" customWidth="1"/>
    <col min="9" max="9" width="8.6640625" style="38" hidden="1" customWidth="1" outlineLevel="1"/>
    <col min="10" max="10" width="8.6640625" style="38" customWidth="1" collapsed="1"/>
    <col min="11" max="11" width="8.6640625" style="38" customWidth="1"/>
    <col min="12" max="12" width="8.6640625" style="38" hidden="1" customWidth="1" outlineLevel="1"/>
    <col min="13" max="13" width="8.6640625" style="38" customWidth="1" collapsed="1"/>
    <col min="14" max="14" width="8.6640625" style="38" customWidth="1"/>
    <col min="15" max="15" width="8.6640625" style="38" hidden="1" customWidth="1" outlineLevel="1"/>
    <col min="16" max="16" width="9.6640625" style="38" customWidth="1" collapsed="1"/>
    <col min="17" max="17" width="8.6640625" style="38" customWidth="1"/>
    <col min="18" max="25" width="9.6640625" style="38" customWidth="1"/>
    <col min="26" max="26" width="10.6640625" style="38" customWidth="1"/>
    <col min="27" max="27" width="9.109375" style="38"/>
    <col min="28" max="30" width="10.6640625" style="38" customWidth="1"/>
    <col min="31" max="31" width="15.6640625" style="38" customWidth="1"/>
    <col min="32" max="16384" width="9.109375" style="38"/>
  </cols>
  <sheetData>
    <row r="1" spans="1:33" ht="17.399999999999999" x14ac:dyDescent="0.3">
      <c r="A1" s="145" t="s">
        <v>321</v>
      </c>
      <c r="B1" s="145"/>
      <c r="C1" s="145"/>
    </row>
    <row r="2" spans="1:33" ht="15" customHeight="1" x14ac:dyDescent="0.3">
      <c r="A2" s="44" t="s">
        <v>0</v>
      </c>
      <c r="B2" s="44"/>
      <c r="C2" s="44"/>
      <c r="AG2" s="57"/>
    </row>
    <row r="3" spans="1:33" x14ac:dyDescent="0.25">
      <c r="A3" s="146" t="s">
        <v>1</v>
      </c>
      <c r="B3" s="146"/>
      <c r="C3" s="146"/>
      <c r="AG3" s="57"/>
    </row>
    <row r="4" spans="1:33" x14ac:dyDescent="0.25">
      <c r="A4" s="146"/>
      <c r="B4" s="146"/>
      <c r="C4" s="146"/>
      <c r="AG4" s="57"/>
    </row>
    <row r="5" spans="1:33" x14ac:dyDescent="0.25">
      <c r="A5" s="146"/>
      <c r="B5" s="146"/>
      <c r="C5" s="146"/>
      <c r="AG5" s="57"/>
    </row>
    <row r="6" spans="1:33" x14ac:dyDescent="0.25">
      <c r="A6" s="147" t="s">
        <v>2</v>
      </c>
      <c r="B6" s="148">
        <v>37106</v>
      </c>
      <c r="C6" s="149"/>
    </row>
    <row r="7" spans="1:33" x14ac:dyDescent="0.25">
      <c r="H7" s="39" t="s">
        <v>3</v>
      </c>
      <c r="U7" s="47" t="s">
        <v>4</v>
      </c>
      <c r="V7" s="47"/>
      <c r="W7" s="47"/>
      <c r="X7" s="47" t="s">
        <v>5</v>
      </c>
      <c r="Y7" s="47"/>
      <c r="Z7" s="39" t="s">
        <v>6</v>
      </c>
    </row>
    <row r="8" spans="1:33" x14ac:dyDescent="0.25">
      <c r="C8" s="39" t="s">
        <v>7</v>
      </c>
      <c r="D8" s="39" t="s">
        <v>8</v>
      </c>
      <c r="E8" s="48" t="s">
        <v>9</v>
      </c>
      <c r="F8" s="48"/>
      <c r="G8" s="39" t="s">
        <v>10</v>
      </c>
      <c r="H8" s="39" t="s">
        <v>10</v>
      </c>
      <c r="I8" s="347" t="s">
        <v>11</v>
      </c>
      <c r="J8" s="347"/>
      <c r="K8" s="347"/>
      <c r="L8" s="347" t="s">
        <v>12</v>
      </c>
      <c r="M8" s="347"/>
      <c r="N8" s="347"/>
      <c r="O8" s="347" t="s">
        <v>13</v>
      </c>
      <c r="P8" s="347"/>
      <c r="Q8" s="347"/>
      <c r="R8" s="49" t="s">
        <v>14</v>
      </c>
      <c r="S8" s="50" t="s">
        <v>15</v>
      </c>
      <c r="T8" s="39" t="s">
        <v>16</v>
      </c>
      <c r="U8" s="39" t="s">
        <v>17</v>
      </c>
      <c r="V8" s="39"/>
      <c r="W8" s="51" t="s">
        <v>18</v>
      </c>
      <c r="X8" s="39" t="s">
        <v>17</v>
      </c>
      <c r="Y8" s="39" t="s">
        <v>19</v>
      </c>
      <c r="Z8" s="39" t="s">
        <v>20</v>
      </c>
      <c r="AA8" s="50"/>
    </row>
    <row r="9" spans="1:33" x14ac:dyDescent="0.25">
      <c r="A9" s="39" t="s">
        <v>21</v>
      </c>
      <c r="B9" s="39" t="s">
        <v>22</v>
      </c>
      <c r="C9" s="39" t="s">
        <v>23</v>
      </c>
      <c r="D9" s="39" t="s">
        <v>24</v>
      </c>
      <c r="E9" s="39" t="s">
        <v>25</v>
      </c>
      <c r="F9" s="39" t="s">
        <v>26</v>
      </c>
      <c r="G9" s="39" t="s">
        <v>27</v>
      </c>
      <c r="H9" s="39" t="s">
        <v>27</v>
      </c>
      <c r="I9" s="39" t="s">
        <v>28</v>
      </c>
      <c r="J9" s="51" t="str">
        <f>TEXT([1]output!$AK$16-365,"YYYY")&amp;"E"</f>
        <v>2001E</v>
      </c>
      <c r="K9" s="51" t="str">
        <f>TEXT([1]output!$AK$16,"YYYY")&amp;"E"</f>
        <v>2002E</v>
      </c>
      <c r="L9" s="39" t="s">
        <v>28</v>
      </c>
      <c r="M9" s="51" t="str">
        <f>TEXT([1]output!$AK$16-365,"YYYY")&amp;"E"</f>
        <v>2001E</v>
      </c>
      <c r="N9" s="51" t="str">
        <f>TEXT([1]output!$AK$16,"YYYY")&amp;"E"</f>
        <v>2002E</v>
      </c>
      <c r="O9" s="39" t="s">
        <v>28</v>
      </c>
      <c r="P9" s="51" t="str">
        <f>TEXT([1]output!$AK$16-365,"YYYY")&amp;"E"</f>
        <v>2001E</v>
      </c>
      <c r="Q9" s="51" t="str">
        <f>TEXT([1]output!$AK$16,"YYYY")&amp;"E"</f>
        <v>2002E</v>
      </c>
      <c r="R9" s="39" t="s">
        <v>29</v>
      </c>
      <c r="S9" s="39" t="s">
        <v>30</v>
      </c>
      <c r="T9" s="39" t="s">
        <v>31</v>
      </c>
      <c r="U9" s="39" t="s">
        <v>32</v>
      </c>
      <c r="V9" s="39" t="s">
        <v>33</v>
      </c>
      <c r="W9" s="39" t="s">
        <v>34</v>
      </c>
      <c r="X9" s="39" t="s">
        <v>35</v>
      </c>
      <c r="Y9" s="39" t="s">
        <v>5</v>
      </c>
      <c r="Z9" s="39" t="s">
        <v>36</v>
      </c>
      <c r="AA9" s="50"/>
    </row>
    <row r="10" spans="1:33" ht="4.95" customHeight="1" thickBot="1" x14ac:dyDescent="0.3">
      <c r="A10" s="150" t="s">
        <v>37</v>
      </c>
      <c r="B10" s="150" t="s">
        <v>37</v>
      </c>
      <c r="C10" s="150" t="s">
        <v>37</v>
      </c>
      <c r="D10" s="150" t="s">
        <v>37</v>
      </c>
      <c r="E10" s="150" t="s">
        <v>37</v>
      </c>
      <c r="F10" s="150" t="s">
        <v>37</v>
      </c>
      <c r="G10" s="150" t="s">
        <v>37</v>
      </c>
      <c r="H10" s="150" t="s">
        <v>37</v>
      </c>
      <c r="I10" s="150" t="s">
        <v>37</v>
      </c>
      <c r="J10" s="150" t="s">
        <v>37</v>
      </c>
      <c r="K10" s="150" t="s">
        <v>37</v>
      </c>
      <c r="L10" s="150" t="s">
        <v>37</v>
      </c>
      <c r="M10" s="150" t="s">
        <v>37</v>
      </c>
      <c r="N10" s="150" t="s">
        <v>37</v>
      </c>
      <c r="O10" s="150" t="s">
        <v>37</v>
      </c>
      <c r="P10" s="150" t="s">
        <v>37</v>
      </c>
      <c r="Q10" s="150" t="s">
        <v>37</v>
      </c>
      <c r="R10" s="150" t="s">
        <v>37</v>
      </c>
      <c r="S10" s="150" t="s">
        <v>37</v>
      </c>
      <c r="T10" s="150" t="s">
        <v>37</v>
      </c>
      <c r="U10" s="150" t="s">
        <v>37</v>
      </c>
      <c r="V10" s="150" t="s">
        <v>37</v>
      </c>
      <c r="W10" s="150" t="s">
        <v>37</v>
      </c>
      <c r="X10" s="150" t="s">
        <v>37</v>
      </c>
      <c r="Y10" s="150" t="s">
        <v>37</v>
      </c>
      <c r="Z10" s="150" t="s">
        <v>37</v>
      </c>
      <c r="AA10" s="55"/>
    </row>
    <row r="11" spans="1:33" ht="12.9" customHeight="1" x14ac:dyDescent="0.25">
      <c r="A11" s="38" t="s">
        <v>322</v>
      </c>
      <c r="B11" s="39" t="s">
        <v>323</v>
      </c>
      <c r="C11" s="126">
        <v>37106</v>
      </c>
      <c r="D11" s="151">
        <v>8.629071999999999</v>
      </c>
      <c r="E11" s="151">
        <v>10.351573999999999</v>
      </c>
      <c r="F11" s="151">
        <v>6.2389029999999996</v>
      </c>
      <c r="G11" s="152">
        <v>79.859775815851989</v>
      </c>
      <c r="H11" s="152">
        <v>81.854576230351995</v>
      </c>
      <c r="I11" s="153">
        <v>9.6535048510608963</v>
      </c>
      <c r="J11" s="154" t="s">
        <v>156</v>
      </c>
      <c r="K11" s="154" t="s">
        <v>156</v>
      </c>
      <c r="L11" s="153" t="s">
        <v>169</v>
      </c>
      <c r="M11" s="154" t="s">
        <v>156</v>
      </c>
      <c r="N11" s="154" t="s">
        <v>156</v>
      </c>
      <c r="O11" s="153">
        <v>4.5178782020180792</v>
      </c>
      <c r="P11" s="154" t="s">
        <v>156</v>
      </c>
      <c r="Q11" s="154" t="s">
        <v>156</v>
      </c>
      <c r="R11" s="155">
        <v>4.2483836935645301E-2</v>
      </c>
      <c r="S11" s="153">
        <v>1.1280744680385346</v>
      </c>
      <c r="T11" s="154" t="s">
        <v>156</v>
      </c>
      <c r="U11" s="156">
        <v>0</v>
      </c>
      <c r="V11" s="155" t="s">
        <v>156</v>
      </c>
      <c r="W11" s="151" t="s">
        <v>156</v>
      </c>
      <c r="X11" s="152">
        <v>0</v>
      </c>
      <c r="Y11" s="153" t="s">
        <v>156</v>
      </c>
      <c r="Z11" s="157">
        <v>9.2547351344214075</v>
      </c>
      <c r="AE11" s="158" t="s">
        <v>180</v>
      </c>
    </row>
    <row r="12" spans="1:33" ht="12.9" customHeight="1" thickBot="1" x14ac:dyDescent="0.3">
      <c r="A12" s="38" t="s">
        <v>324</v>
      </c>
      <c r="B12" s="39" t="s">
        <v>325</v>
      </c>
      <c r="C12" s="126">
        <v>37106</v>
      </c>
      <c r="D12" s="159">
        <v>8.8895730000000004</v>
      </c>
      <c r="E12" s="159">
        <v>12.916600000000001</v>
      </c>
      <c r="F12" s="159">
        <v>8.1121639999999999</v>
      </c>
      <c r="G12" s="160">
        <v>654.39532002398391</v>
      </c>
      <c r="H12" s="160">
        <v>662.31355356998392</v>
      </c>
      <c r="I12" s="154">
        <v>9.5752118840288016</v>
      </c>
      <c r="J12" s="154">
        <v>8.5440145589199012</v>
      </c>
      <c r="K12" s="154">
        <v>7.3417496531290336</v>
      </c>
      <c r="L12" s="154">
        <v>8.0277995388206893</v>
      </c>
      <c r="M12" s="154">
        <v>6.3880978958238899</v>
      </c>
      <c r="N12" s="154">
        <v>5.5830795841285417</v>
      </c>
      <c r="O12" s="154">
        <v>5.339281697741785</v>
      </c>
      <c r="P12" s="154">
        <v>4.3056178356962702</v>
      </c>
      <c r="Q12" s="154">
        <v>3.8089398231889868</v>
      </c>
      <c r="R12" s="128">
        <v>3.7182689500462877E-2</v>
      </c>
      <c r="S12" s="154">
        <v>1.6959837243073315</v>
      </c>
      <c r="T12" s="128">
        <v>1.4652E-2</v>
      </c>
      <c r="U12" s="161">
        <v>0</v>
      </c>
      <c r="V12" s="128" t="s">
        <v>156</v>
      </c>
      <c r="W12" s="159" t="s">
        <v>156</v>
      </c>
      <c r="X12" s="160">
        <v>0</v>
      </c>
      <c r="Y12" s="154" t="s">
        <v>156</v>
      </c>
      <c r="Z12" s="162">
        <v>73.613807999999992</v>
      </c>
      <c r="AA12" s="163"/>
      <c r="AE12" s="164">
        <v>50</v>
      </c>
    </row>
    <row r="13" spans="1:33" ht="12.9" customHeight="1" x14ac:dyDescent="0.25">
      <c r="A13" s="38" t="s">
        <v>326</v>
      </c>
      <c r="B13" s="39" t="s">
        <v>327</v>
      </c>
      <c r="C13" s="126">
        <v>37106</v>
      </c>
      <c r="D13" s="159">
        <v>3.02</v>
      </c>
      <c r="E13" s="159">
        <v>6.98</v>
      </c>
      <c r="F13" s="159">
        <v>2.75</v>
      </c>
      <c r="G13" s="160">
        <v>546.38070302000006</v>
      </c>
      <c r="H13" s="160">
        <v>747.54370302000007</v>
      </c>
      <c r="I13" s="154" t="s">
        <v>169</v>
      </c>
      <c r="J13" s="154">
        <v>7.8672680098988668</v>
      </c>
      <c r="K13" s="154">
        <v>5.5809176699888026</v>
      </c>
      <c r="L13" s="154">
        <v>9.5336761963755361</v>
      </c>
      <c r="M13" s="154">
        <v>4.868564622322979</v>
      </c>
      <c r="N13" s="154">
        <v>3.7243699737096994</v>
      </c>
      <c r="O13" s="154">
        <v>6.9786660751280438</v>
      </c>
      <c r="P13" s="154">
        <v>4.1507146197667968</v>
      </c>
      <c r="Q13" s="154">
        <v>3.1905407725992321</v>
      </c>
      <c r="R13" s="128">
        <v>0.57045413708949233</v>
      </c>
      <c r="S13" s="154">
        <v>2.8930768250219745</v>
      </c>
      <c r="T13" s="128">
        <v>0</v>
      </c>
      <c r="U13" s="161">
        <v>0</v>
      </c>
      <c r="V13" s="128" t="s">
        <v>156</v>
      </c>
      <c r="W13" s="159" t="s">
        <v>156</v>
      </c>
      <c r="X13" s="160">
        <v>0</v>
      </c>
      <c r="Y13" s="154" t="s">
        <v>156</v>
      </c>
      <c r="Z13" s="162">
        <v>180.92076258940398</v>
      </c>
      <c r="AA13" s="163"/>
    </row>
    <row r="14" spans="1:33" ht="12.9" customHeight="1" x14ac:dyDescent="0.25">
      <c r="A14" s="38" t="s">
        <v>328</v>
      </c>
      <c r="B14" s="39" t="s">
        <v>329</v>
      </c>
      <c r="C14" s="126">
        <v>37106</v>
      </c>
      <c r="D14" s="159">
        <v>30.02</v>
      </c>
      <c r="E14" s="159">
        <v>58.73</v>
      </c>
      <c r="F14" s="159">
        <v>28.1</v>
      </c>
      <c r="G14" s="160">
        <v>1636.9024819150002</v>
      </c>
      <c r="H14" s="160">
        <v>1540.2614819150001</v>
      </c>
      <c r="I14" s="154">
        <v>15.813191150219764</v>
      </c>
      <c r="J14" s="154">
        <v>10.301223016069946</v>
      </c>
      <c r="K14" s="154">
        <v>9.9383154152261213</v>
      </c>
      <c r="L14" s="154">
        <v>6.1495149292031064</v>
      </c>
      <c r="M14" s="154">
        <v>5.4972526102318575</v>
      </c>
      <c r="N14" s="154">
        <v>5.3150771093572198</v>
      </c>
      <c r="O14" s="154">
        <v>5.373729471967617</v>
      </c>
      <c r="P14" s="154">
        <v>4.4471881751549702</v>
      </c>
      <c r="Q14" s="154">
        <v>4.2028126284402978</v>
      </c>
      <c r="R14" s="128">
        <v>4.7247055799717837E-2</v>
      </c>
      <c r="S14" s="154">
        <v>1.6234811631393273</v>
      </c>
      <c r="T14" s="128">
        <v>1.008742E-2</v>
      </c>
      <c r="U14" s="161">
        <v>50.054803666666665</v>
      </c>
      <c r="V14" s="128">
        <v>0.87403532651954396</v>
      </c>
      <c r="W14" s="159">
        <v>6.5614624175904535</v>
      </c>
      <c r="X14" s="160">
        <v>488.07099999999986</v>
      </c>
      <c r="Y14" s="154">
        <v>0.71514113010200542</v>
      </c>
      <c r="Z14" s="162">
        <v>54.527064687375088</v>
      </c>
      <c r="AA14" s="163"/>
    </row>
    <row r="15" spans="1:33" ht="12.9" customHeight="1" x14ac:dyDescent="0.25">
      <c r="A15" s="38" t="s">
        <v>330</v>
      </c>
      <c r="B15" s="39" t="s">
        <v>331</v>
      </c>
      <c r="C15" s="126">
        <v>37106</v>
      </c>
      <c r="D15" s="159">
        <v>27.7</v>
      </c>
      <c r="E15" s="159">
        <v>63.12</v>
      </c>
      <c r="F15" s="159">
        <v>27.12</v>
      </c>
      <c r="G15" s="160">
        <v>4200.8325291000001</v>
      </c>
      <c r="H15" s="160">
        <v>5374.3935290999998</v>
      </c>
      <c r="I15" s="154">
        <v>20.932886168097639</v>
      </c>
      <c r="J15" s="154">
        <v>11.495941206143348</v>
      </c>
      <c r="K15" s="154">
        <v>12.311161716513013</v>
      </c>
      <c r="L15" s="154">
        <v>9.3704370645562101</v>
      </c>
      <c r="M15" s="154">
        <v>8.00578034682081</v>
      </c>
      <c r="N15" s="154">
        <v>8.1952662721893521</v>
      </c>
      <c r="O15" s="154">
        <v>34.275043771828805</v>
      </c>
      <c r="P15" s="154">
        <v>6.901662402049543</v>
      </c>
      <c r="Q15" s="154">
        <v>7.3101108937703998</v>
      </c>
      <c r="R15" s="128">
        <v>0.47067822215066668</v>
      </c>
      <c r="S15" s="154">
        <v>2.1954243510540392</v>
      </c>
      <c r="T15" s="128">
        <v>0</v>
      </c>
      <c r="U15" s="161">
        <v>0</v>
      </c>
      <c r="V15" s="128" t="s">
        <v>156</v>
      </c>
      <c r="W15" s="159" t="s">
        <v>156</v>
      </c>
      <c r="X15" s="160">
        <v>0</v>
      </c>
      <c r="Y15" s="154" t="s">
        <v>156</v>
      </c>
      <c r="Z15" s="162">
        <v>151.65460393862816</v>
      </c>
      <c r="AA15" s="163"/>
    </row>
    <row r="16" spans="1:33" ht="12.9" customHeight="1" x14ac:dyDescent="0.25">
      <c r="A16" s="38" t="s">
        <v>332</v>
      </c>
      <c r="B16" s="39" t="s">
        <v>333</v>
      </c>
      <c r="C16" s="126">
        <v>37106</v>
      </c>
      <c r="D16" s="159">
        <v>27.352530000000002</v>
      </c>
      <c r="E16" s="159">
        <v>46.434600000000003</v>
      </c>
      <c r="F16" s="159">
        <v>25.492860000000004</v>
      </c>
      <c r="G16" s="160">
        <v>1458.0493367143877</v>
      </c>
      <c r="H16" s="160">
        <v>1908.4068081993876</v>
      </c>
      <c r="I16" s="154">
        <v>13.462593482604769</v>
      </c>
      <c r="J16" s="154">
        <v>10.572213189007078</v>
      </c>
      <c r="K16" s="154">
        <v>7.8358198642118868</v>
      </c>
      <c r="L16" s="154">
        <v>13.462593482604769</v>
      </c>
      <c r="M16" s="154">
        <v>4.609755490848551</v>
      </c>
      <c r="N16" s="154">
        <v>3.8365714930570731</v>
      </c>
      <c r="O16" s="154">
        <v>5.0137273638509825</v>
      </c>
      <c r="P16" s="154">
        <v>4.71348164333547</v>
      </c>
      <c r="Q16" s="154">
        <v>3.8921125483618844</v>
      </c>
      <c r="R16" s="128">
        <v>0.35672891781153981</v>
      </c>
      <c r="S16" s="154">
        <v>1.1167648743485854</v>
      </c>
      <c r="T16" s="128">
        <v>0</v>
      </c>
      <c r="U16" s="161">
        <v>0</v>
      </c>
      <c r="V16" s="128" t="s">
        <v>156</v>
      </c>
      <c r="W16" s="159" t="s">
        <v>156</v>
      </c>
      <c r="X16" s="160">
        <v>0</v>
      </c>
      <c r="Y16" s="154" t="s">
        <v>156</v>
      </c>
      <c r="Z16" s="162">
        <v>53.305830821294684</v>
      </c>
      <c r="AA16" s="163"/>
    </row>
    <row r="17" spans="1:31" ht="12.9" customHeight="1" x14ac:dyDescent="0.25">
      <c r="A17" s="108" t="s">
        <v>334</v>
      </c>
      <c r="B17" s="165" t="s">
        <v>335</v>
      </c>
      <c r="C17" s="126">
        <v>37106</v>
      </c>
      <c r="D17" s="159">
        <v>4.95</v>
      </c>
      <c r="E17" s="159">
        <v>7.53</v>
      </c>
      <c r="F17" s="159">
        <v>3.9375</v>
      </c>
      <c r="G17" s="160">
        <v>457.03848106300001</v>
      </c>
      <c r="H17" s="160">
        <v>999.41248106300009</v>
      </c>
      <c r="I17" s="154" t="s">
        <v>169</v>
      </c>
      <c r="J17" s="154">
        <v>49.17151607963244</v>
      </c>
      <c r="K17" s="154">
        <v>33.163366336633764</v>
      </c>
      <c r="L17" s="154">
        <v>5.8506774381285336</v>
      </c>
      <c r="M17" s="154">
        <v>4.057377049180328</v>
      </c>
      <c r="N17" s="154">
        <v>3.7786259541984752</v>
      </c>
      <c r="O17" s="154">
        <v>3.3536724468960957</v>
      </c>
      <c r="P17" s="154">
        <v>5.3303420414571061</v>
      </c>
      <c r="Q17" s="154">
        <v>5.1436566189552257</v>
      </c>
      <c r="R17" s="128">
        <v>0.59760445916937743</v>
      </c>
      <c r="S17" s="154">
        <v>1.1382367558824702</v>
      </c>
      <c r="T17" s="128">
        <v>0</v>
      </c>
      <c r="U17" s="161">
        <v>0</v>
      </c>
      <c r="V17" s="128" t="s">
        <v>156</v>
      </c>
      <c r="W17" s="159" t="s">
        <v>156</v>
      </c>
      <c r="X17" s="160">
        <v>0</v>
      </c>
      <c r="Y17" s="154" t="s">
        <v>156</v>
      </c>
      <c r="Z17" s="162">
        <v>92.331006275353531</v>
      </c>
      <c r="AA17" s="163"/>
    </row>
    <row r="18" spans="1:31" ht="12.9" customHeight="1" x14ac:dyDescent="0.25">
      <c r="A18" s="108" t="s">
        <v>336</v>
      </c>
      <c r="B18" s="165" t="s">
        <v>337</v>
      </c>
      <c r="C18" s="126">
        <v>37106</v>
      </c>
      <c r="D18" s="159">
        <v>15.93</v>
      </c>
      <c r="E18" s="159">
        <v>41.375</v>
      </c>
      <c r="F18" s="159">
        <v>14.05</v>
      </c>
      <c r="G18" s="160">
        <v>1231.08515928</v>
      </c>
      <c r="H18" s="160">
        <v>1251.88215928</v>
      </c>
      <c r="I18" s="154">
        <v>16.938984443699148</v>
      </c>
      <c r="J18" s="154">
        <v>7.287952046109516</v>
      </c>
      <c r="K18" s="154">
        <v>6.6099283143724437</v>
      </c>
      <c r="L18" s="154">
        <v>7.3544766938208905</v>
      </c>
      <c r="M18" s="154">
        <v>4.8715596330275241</v>
      </c>
      <c r="N18" s="154">
        <v>4.4249999999999998</v>
      </c>
      <c r="O18" s="154">
        <v>6.453310614358803</v>
      </c>
      <c r="P18" s="154">
        <v>3.3285885649561302</v>
      </c>
      <c r="Q18" s="154">
        <v>3.1541500611740987</v>
      </c>
      <c r="R18" s="128">
        <v>0.13853212758250347</v>
      </c>
      <c r="S18" s="154">
        <v>2.2704029996016466</v>
      </c>
      <c r="T18" s="128">
        <v>0</v>
      </c>
      <c r="U18" s="161">
        <v>0</v>
      </c>
      <c r="V18" s="128" t="s">
        <v>156</v>
      </c>
      <c r="W18" s="159" t="s">
        <v>156</v>
      </c>
      <c r="X18" s="160">
        <v>0</v>
      </c>
      <c r="Y18" s="154" t="s">
        <v>156</v>
      </c>
      <c r="Z18" s="162">
        <v>77.280926508474579</v>
      </c>
      <c r="AA18" s="163"/>
      <c r="AB18" s="39"/>
      <c r="AC18" s="166"/>
      <c r="AD18" s="167"/>
      <c r="AE18" s="53"/>
    </row>
    <row r="19" spans="1:31" ht="12.9" customHeight="1" x14ac:dyDescent="0.25">
      <c r="A19" s="108" t="s">
        <v>338</v>
      </c>
      <c r="B19" s="165" t="s">
        <v>339</v>
      </c>
      <c r="C19" s="126">
        <v>37106</v>
      </c>
      <c r="D19" s="159">
        <v>12.75</v>
      </c>
      <c r="E19" s="159">
        <v>23</v>
      </c>
      <c r="F19" s="159">
        <v>11.28</v>
      </c>
      <c r="G19" s="160">
        <v>461.84962024999993</v>
      </c>
      <c r="H19" s="160">
        <v>519.63762024999994</v>
      </c>
      <c r="I19" s="154">
        <v>9.2484604960150616</v>
      </c>
      <c r="J19" s="154">
        <v>7.5748772504091635</v>
      </c>
      <c r="K19" s="154">
        <v>8.3997277676950954</v>
      </c>
      <c r="L19" s="154">
        <v>4.294797327896446</v>
      </c>
      <c r="M19" s="154">
        <v>3.5027472527472576</v>
      </c>
      <c r="N19" s="154">
        <v>3.6532951289398272</v>
      </c>
      <c r="O19" s="154">
        <v>3.9474326517094016</v>
      </c>
      <c r="P19" s="154">
        <v>3.8152541868575613</v>
      </c>
      <c r="Q19" s="154">
        <v>4.0095495389660485</v>
      </c>
      <c r="R19" s="128">
        <v>0.19841475913905024</v>
      </c>
      <c r="S19" s="154">
        <v>1.9684670803072146</v>
      </c>
      <c r="T19" s="128">
        <v>0</v>
      </c>
      <c r="U19" s="161">
        <v>41.098500000000008</v>
      </c>
      <c r="V19" s="128">
        <v>0.87447230434200762</v>
      </c>
      <c r="W19" s="159">
        <v>7.5227731690934343</v>
      </c>
      <c r="X19" s="160">
        <v>131.62200000000004</v>
      </c>
      <c r="Y19" s="154">
        <v>2.0877354150881366</v>
      </c>
      <c r="Z19" s="162">
        <v>36.223499627450977</v>
      </c>
      <c r="AA19" s="163"/>
      <c r="AB19" s="39"/>
      <c r="AC19" s="166"/>
      <c r="AD19" s="167"/>
      <c r="AE19" s="53"/>
    </row>
    <row r="20" spans="1:31" ht="12.9" customHeight="1" x14ac:dyDescent="0.25">
      <c r="A20" s="108"/>
      <c r="B20" s="165"/>
      <c r="C20" s="168"/>
      <c r="D20" s="159"/>
      <c r="E20" s="159"/>
      <c r="F20" s="159"/>
      <c r="G20" s="160"/>
      <c r="H20" s="160"/>
      <c r="I20" s="154"/>
      <c r="J20" s="154"/>
      <c r="K20" s="154"/>
      <c r="L20" s="154"/>
      <c r="M20" s="154"/>
      <c r="N20" s="154"/>
      <c r="O20" s="154"/>
      <c r="P20" s="154"/>
      <c r="Q20" s="154"/>
      <c r="R20" s="128"/>
      <c r="S20" s="154"/>
      <c r="T20" s="128"/>
      <c r="U20" s="161"/>
      <c r="V20" s="128"/>
      <c r="W20" s="159"/>
      <c r="X20" s="160"/>
      <c r="Y20" s="154"/>
      <c r="Z20" s="162"/>
      <c r="AA20" s="163"/>
      <c r="AB20" s="39"/>
      <c r="AC20" s="166"/>
      <c r="AD20" s="167"/>
      <c r="AE20" s="53"/>
    </row>
    <row r="21" spans="1:31" ht="12.9" customHeight="1" x14ac:dyDescent="0.25">
      <c r="A21" s="108"/>
      <c r="B21" s="165"/>
      <c r="C21" s="168"/>
      <c r="D21" s="159"/>
      <c r="E21" s="159"/>
      <c r="F21" s="159"/>
      <c r="G21" s="160"/>
      <c r="H21" s="160"/>
      <c r="I21" s="154"/>
      <c r="J21" s="154"/>
      <c r="K21" s="154"/>
      <c r="L21" s="154"/>
      <c r="M21" s="154"/>
      <c r="N21" s="154"/>
      <c r="O21" s="154"/>
      <c r="P21" s="154"/>
      <c r="Q21" s="154"/>
      <c r="R21" s="128"/>
      <c r="S21" s="154"/>
      <c r="T21" s="128"/>
      <c r="U21" s="161"/>
      <c r="V21" s="128"/>
      <c r="W21" s="159"/>
      <c r="X21" s="160"/>
      <c r="Y21" s="154"/>
      <c r="Z21" s="162"/>
      <c r="AA21" s="163"/>
      <c r="AB21" s="39"/>
      <c r="AC21" s="166"/>
      <c r="AD21" s="167"/>
      <c r="AE21" s="53"/>
    </row>
    <row r="22" spans="1:31" ht="12.9" customHeight="1" x14ac:dyDescent="0.25">
      <c r="B22" s="39"/>
      <c r="C22" s="169"/>
      <c r="D22" s="159"/>
      <c r="E22" s="159"/>
      <c r="F22" s="159"/>
      <c r="G22" s="160"/>
      <c r="H22" s="160"/>
      <c r="I22" s="154"/>
      <c r="J22" s="154"/>
      <c r="K22" s="154"/>
      <c r="L22" s="154"/>
      <c r="M22" s="154"/>
      <c r="N22" s="154"/>
      <c r="O22" s="154"/>
      <c r="P22" s="154"/>
      <c r="Q22" s="154"/>
      <c r="R22" s="128"/>
      <c r="S22" s="154"/>
      <c r="T22" s="128"/>
      <c r="U22" s="161"/>
      <c r="V22" s="128"/>
      <c r="W22" s="159"/>
      <c r="X22" s="170"/>
      <c r="Y22" s="154"/>
      <c r="Z22" s="162"/>
      <c r="AA22" s="163"/>
      <c r="AB22" s="39"/>
      <c r="AC22" s="166"/>
      <c r="AD22" s="167"/>
      <c r="AE22" s="53"/>
    </row>
    <row r="23" spans="1:31" ht="12.9" customHeight="1" x14ac:dyDescent="0.25">
      <c r="B23" s="52"/>
      <c r="C23" s="52"/>
      <c r="D23" s="52"/>
      <c r="E23" s="52"/>
      <c r="F23" s="52"/>
      <c r="G23" s="52"/>
      <c r="H23" s="53" t="s">
        <v>38</v>
      </c>
      <c r="I23" s="52"/>
      <c r="J23" s="154">
        <v>14.895855828181478</v>
      </c>
      <c r="K23" s="154">
        <v>11.977033869234447</v>
      </c>
      <c r="L23" s="154">
        <v>8.0054965839257726</v>
      </c>
      <c r="M23" s="154">
        <v>5.0590052864541866</v>
      </c>
      <c r="N23" s="154">
        <v>4.7040294187788065</v>
      </c>
      <c r="O23" s="154">
        <v>8.361415810611069</v>
      </c>
      <c r="P23" s="154">
        <v>4.6696045190825117</v>
      </c>
      <c r="Q23" s="154">
        <v>4.4147047231810266</v>
      </c>
      <c r="R23" s="128">
        <v>0.30276793945974917</v>
      </c>
      <c r="S23" s="154">
        <v>1.7917410646742242</v>
      </c>
      <c r="T23" s="128">
        <v>1.4410599999999999E-3</v>
      </c>
      <c r="U23" s="161">
        <v>10.128144851851852</v>
      </c>
      <c r="V23" s="128" t="s">
        <v>156</v>
      </c>
      <c r="W23" s="159" t="s">
        <v>156</v>
      </c>
      <c r="X23" s="160">
        <v>68.85477777777777</v>
      </c>
      <c r="Y23" s="154" t="s">
        <v>156</v>
      </c>
      <c r="Z23" s="52"/>
      <c r="AA23" s="163"/>
      <c r="AB23" s="39"/>
      <c r="AC23" s="166"/>
      <c r="AD23" s="167"/>
      <c r="AE23" s="53"/>
    </row>
    <row r="24" spans="1:31" ht="12.9" customHeight="1" x14ac:dyDescent="0.25">
      <c r="B24" s="52"/>
      <c r="C24" s="52"/>
      <c r="D24" s="52"/>
      <c r="E24" s="52"/>
      <c r="F24" s="52"/>
      <c r="G24" s="52"/>
      <c r="H24" s="53" t="s">
        <v>39</v>
      </c>
      <c r="I24" s="52"/>
      <c r="J24" s="154">
        <v>10.301223016069946</v>
      </c>
      <c r="K24" s="154">
        <v>8.3997277676950954</v>
      </c>
      <c r="L24" s="154">
        <v>7.6911381163207899</v>
      </c>
      <c r="M24" s="154">
        <v>4.868564622322979</v>
      </c>
      <c r="N24" s="154">
        <v>3.8365714930570731</v>
      </c>
      <c r="O24" s="154">
        <v>5.339281697741785</v>
      </c>
      <c r="P24" s="154">
        <v>4.4471881751549702</v>
      </c>
      <c r="Q24" s="154">
        <v>4.0095495389660485</v>
      </c>
      <c r="R24" s="128">
        <v>0.27757183847529504</v>
      </c>
      <c r="S24" s="154">
        <v>1.795974121723271</v>
      </c>
      <c r="T24" s="128">
        <v>0</v>
      </c>
      <c r="U24" s="161">
        <v>0</v>
      </c>
      <c r="V24" s="128" t="s">
        <v>156</v>
      </c>
      <c r="W24" s="159" t="s">
        <v>156</v>
      </c>
      <c r="X24" s="160">
        <v>0</v>
      </c>
      <c r="Y24" s="154" t="s">
        <v>156</v>
      </c>
      <c r="Z24" s="52"/>
      <c r="AA24" s="163"/>
      <c r="AB24" s="39"/>
      <c r="AC24" s="166"/>
      <c r="AD24" s="167"/>
      <c r="AE24" s="53"/>
    </row>
    <row r="25" spans="1:31" ht="12.9" customHeight="1" x14ac:dyDescent="0.25">
      <c r="B25" s="52"/>
      <c r="C25" s="52"/>
      <c r="D25" s="52"/>
      <c r="E25" s="52"/>
      <c r="F25" s="52"/>
      <c r="G25" s="54"/>
      <c r="H25" s="55" t="s">
        <v>25</v>
      </c>
      <c r="I25" s="52"/>
      <c r="J25" s="154">
        <v>49.17151607963244</v>
      </c>
      <c r="K25" s="154">
        <v>33.163366336633764</v>
      </c>
      <c r="L25" s="154">
        <v>13.462593482604769</v>
      </c>
      <c r="M25" s="154">
        <v>8.00578034682081</v>
      </c>
      <c r="N25" s="154">
        <v>8.1952662721893521</v>
      </c>
      <c r="O25" s="154">
        <v>34.275043771828805</v>
      </c>
      <c r="P25" s="154">
        <v>6.901662402049543</v>
      </c>
      <c r="Q25" s="154">
        <v>7.3101108937703998</v>
      </c>
      <c r="R25" s="128">
        <v>0.59760445916937743</v>
      </c>
      <c r="S25" s="154">
        <v>2.8930768250219745</v>
      </c>
      <c r="T25" s="128">
        <v>1.008742E-2</v>
      </c>
      <c r="U25" s="161">
        <v>50.054803666666665</v>
      </c>
      <c r="V25" s="128" t="s">
        <v>156</v>
      </c>
      <c r="W25" s="159" t="s">
        <v>156</v>
      </c>
      <c r="X25" s="160">
        <v>488.07099999999986</v>
      </c>
      <c r="Y25" s="154" t="s">
        <v>156</v>
      </c>
      <c r="Z25" s="52"/>
      <c r="AA25" s="163"/>
      <c r="AB25" s="39"/>
      <c r="AC25" s="166"/>
      <c r="AD25" s="167"/>
      <c r="AE25" s="53"/>
    </row>
    <row r="26" spans="1:31" ht="12.9" customHeight="1" x14ac:dyDescent="0.25">
      <c r="B26" s="52"/>
      <c r="C26" s="52"/>
      <c r="D26" s="52"/>
      <c r="E26" s="52"/>
      <c r="F26" s="52"/>
      <c r="G26" s="52"/>
      <c r="H26" s="53" t="s">
        <v>26</v>
      </c>
      <c r="I26" s="52"/>
      <c r="J26" s="154">
        <v>7.287952046109516</v>
      </c>
      <c r="K26" s="154">
        <v>5.5809176699888026</v>
      </c>
      <c r="L26" s="154">
        <v>4.294797327896446</v>
      </c>
      <c r="M26" s="154">
        <v>3.5027472527472576</v>
      </c>
      <c r="N26" s="154">
        <v>3.6532951289398272</v>
      </c>
      <c r="O26" s="154">
        <v>3.3536724468960957</v>
      </c>
      <c r="P26" s="154">
        <v>3.3285885649561302</v>
      </c>
      <c r="Q26" s="154">
        <v>3.1541500611740987</v>
      </c>
      <c r="R26" s="128">
        <v>4.2483836935645301E-2</v>
      </c>
      <c r="S26" s="154">
        <v>1.1167648743485854</v>
      </c>
      <c r="T26" s="128">
        <v>0</v>
      </c>
      <c r="U26" s="161">
        <v>0</v>
      </c>
      <c r="V26" s="128" t="s">
        <v>156</v>
      </c>
      <c r="W26" s="159" t="s">
        <v>156</v>
      </c>
      <c r="X26" s="160">
        <v>0</v>
      </c>
      <c r="Y26" s="154" t="s">
        <v>156</v>
      </c>
      <c r="Z26" s="52"/>
      <c r="AA26" s="163"/>
      <c r="AB26" s="39"/>
      <c r="AC26" s="166"/>
      <c r="AD26" s="167"/>
      <c r="AE26" s="53"/>
    </row>
    <row r="27" spans="1:31" ht="12.9" customHeight="1" x14ac:dyDescent="0.25"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163"/>
      <c r="AB27" s="39"/>
      <c r="AC27" s="166"/>
      <c r="AD27" s="167"/>
      <c r="AE27" s="53"/>
    </row>
    <row r="28" spans="1:31" ht="12.9" customHeight="1" x14ac:dyDescent="0.25">
      <c r="B28" s="52"/>
      <c r="C28" s="52"/>
      <c r="D28" s="52"/>
      <c r="AA28" s="163"/>
      <c r="AB28" s="39"/>
      <c r="AC28" s="166"/>
      <c r="AD28" s="167"/>
      <c r="AE28" s="53"/>
    </row>
    <row r="29" spans="1:31" ht="12.9" customHeight="1" x14ac:dyDescent="0.25">
      <c r="A29" s="57"/>
      <c r="B29" s="49" t="s">
        <v>141</v>
      </c>
      <c r="C29" s="49"/>
      <c r="D29" s="49" t="s">
        <v>41</v>
      </c>
      <c r="E29" s="49"/>
      <c r="F29" s="49"/>
      <c r="G29" s="49" t="s">
        <v>42</v>
      </c>
      <c r="H29" s="49"/>
      <c r="J29" s="49" t="s">
        <v>43</v>
      </c>
      <c r="K29" s="49"/>
      <c r="P29" s="49" t="s">
        <v>340</v>
      </c>
      <c r="Q29" s="49"/>
      <c r="R29" s="49"/>
      <c r="S29" s="49"/>
      <c r="T29" s="49"/>
      <c r="U29" s="49"/>
      <c r="V29" s="49"/>
      <c r="W29" s="49"/>
      <c r="X29" s="49" t="s">
        <v>341</v>
      </c>
      <c r="Y29" s="49"/>
      <c r="AA29" s="163"/>
      <c r="AB29" s="39"/>
      <c r="AC29" s="166"/>
      <c r="AD29" s="167"/>
      <c r="AE29" s="53"/>
    </row>
    <row r="30" spans="1:31" ht="5.0999999999999996" customHeight="1" x14ac:dyDescent="0.25">
      <c r="A30" s="57"/>
      <c r="B30" s="150" t="s">
        <v>37</v>
      </c>
      <c r="C30" s="58"/>
      <c r="D30" s="150" t="s">
        <v>37</v>
      </c>
      <c r="E30" s="58"/>
      <c r="F30" s="58"/>
      <c r="G30" s="150" t="s">
        <v>37</v>
      </c>
      <c r="H30" s="58"/>
      <c r="J30" s="150" t="s">
        <v>37</v>
      </c>
      <c r="K30" s="58"/>
      <c r="P30" s="150" t="s">
        <v>37</v>
      </c>
      <c r="Q30" s="150"/>
      <c r="R30" s="150"/>
      <c r="S30" s="150"/>
      <c r="T30" s="150"/>
      <c r="U30" s="150"/>
      <c r="V30" s="150"/>
      <c r="W30" s="150"/>
      <c r="X30" s="150" t="s">
        <v>37</v>
      </c>
      <c r="Y30" s="150"/>
      <c r="AC30" s="166"/>
      <c r="AD30" s="167"/>
      <c r="AE30" s="53"/>
    </row>
    <row r="31" spans="1:31" ht="12.9" customHeight="1" x14ac:dyDescent="0.25">
      <c r="B31" s="39"/>
      <c r="C31" s="39"/>
      <c r="D31" s="50" t="s">
        <v>46</v>
      </c>
      <c r="E31" s="50" t="s">
        <v>47</v>
      </c>
      <c r="F31" s="50" t="s">
        <v>7</v>
      </c>
      <c r="G31" s="51" t="s">
        <v>48</v>
      </c>
      <c r="N31" s="171"/>
      <c r="P31" s="49"/>
      <c r="Q31" s="49"/>
      <c r="R31" s="49"/>
      <c r="S31" s="49"/>
      <c r="T31" s="49"/>
      <c r="U31" s="49"/>
      <c r="V31" s="49"/>
      <c r="W31" s="49"/>
      <c r="X31" s="49"/>
      <c r="Y31" s="49"/>
      <c r="AC31" s="166"/>
      <c r="AD31" s="167"/>
      <c r="AE31" s="53"/>
    </row>
    <row r="32" spans="1:31" ht="12.9" customHeight="1" x14ac:dyDescent="0.25">
      <c r="A32" s="39" t="s">
        <v>21</v>
      </c>
      <c r="B32" s="39" t="s">
        <v>57</v>
      </c>
      <c r="C32" s="39" t="s">
        <v>58</v>
      </c>
      <c r="D32" s="39" t="s">
        <v>59</v>
      </c>
      <c r="E32" s="39" t="s">
        <v>60</v>
      </c>
      <c r="F32" s="39" t="s">
        <v>61</v>
      </c>
      <c r="G32" s="39" t="s">
        <v>62</v>
      </c>
      <c r="H32" s="39" t="s">
        <v>7</v>
      </c>
      <c r="J32" s="39" t="s">
        <v>63</v>
      </c>
      <c r="K32" s="39" t="s">
        <v>64</v>
      </c>
      <c r="N32" s="171" t="s">
        <v>74</v>
      </c>
      <c r="P32" s="39" t="s">
        <v>342</v>
      </c>
      <c r="Q32" s="39" t="s">
        <v>343</v>
      </c>
      <c r="R32" s="39" t="s">
        <v>344</v>
      </c>
      <c r="S32" s="39" t="s">
        <v>345</v>
      </c>
      <c r="T32" s="39" t="s">
        <v>346</v>
      </c>
      <c r="U32" s="39" t="s">
        <v>347</v>
      </c>
      <c r="V32" s="39" t="s">
        <v>348</v>
      </c>
      <c r="W32" s="39" t="s">
        <v>349</v>
      </c>
      <c r="X32" s="39" t="s">
        <v>350</v>
      </c>
      <c r="Y32" s="39" t="s">
        <v>351</v>
      </c>
      <c r="AC32" s="166"/>
      <c r="AD32" s="167"/>
      <c r="AE32" s="53"/>
    </row>
    <row r="33" spans="1:31" ht="5.0999999999999996" customHeight="1" x14ac:dyDescent="0.25">
      <c r="A33" s="150" t="s">
        <v>37</v>
      </c>
      <c r="B33" s="150" t="s">
        <v>37</v>
      </c>
      <c r="C33" s="150" t="s">
        <v>37</v>
      </c>
      <c r="D33" s="150" t="s">
        <v>37</v>
      </c>
      <c r="E33" s="150" t="s">
        <v>37</v>
      </c>
      <c r="F33" s="150" t="s">
        <v>37</v>
      </c>
      <c r="G33" s="150" t="s">
        <v>37</v>
      </c>
      <c r="H33" s="150" t="s">
        <v>37</v>
      </c>
      <c r="J33" s="150" t="s">
        <v>37</v>
      </c>
      <c r="K33" s="150" t="s">
        <v>37</v>
      </c>
      <c r="N33" s="172"/>
      <c r="P33" s="150" t="s">
        <v>37</v>
      </c>
      <c r="Q33" s="150" t="s">
        <v>37</v>
      </c>
      <c r="R33" s="150" t="s">
        <v>37</v>
      </c>
      <c r="S33" s="150" t="s">
        <v>37</v>
      </c>
      <c r="T33" s="150" t="s">
        <v>37</v>
      </c>
      <c r="U33" s="150" t="s">
        <v>37</v>
      </c>
      <c r="V33" s="150" t="s">
        <v>37</v>
      </c>
      <c r="W33" s="150" t="s">
        <v>37</v>
      </c>
      <c r="X33" s="150" t="s">
        <v>37</v>
      </c>
      <c r="Y33" s="150" t="s">
        <v>37</v>
      </c>
      <c r="AC33" s="166"/>
      <c r="AD33" s="167"/>
      <c r="AE33" s="53"/>
    </row>
    <row r="34" spans="1:31" ht="12.9" customHeight="1" x14ac:dyDescent="0.25">
      <c r="A34" s="38" t="s">
        <v>322</v>
      </c>
      <c r="B34" s="38" t="s">
        <v>352</v>
      </c>
      <c r="C34" s="53" t="s">
        <v>353</v>
      </c>
      <c r="D34" s="53" t="s">
        <v>156</v>
      </c>
      <c r="E34" s="53" t="s">
        <v>230</v>
      </c>
      <c r="F34" s="126" t="s">
        <v>230</v>
      </c>
      <c r="G34" s="39" t="s">
        <v>198</v>
      </c>
      <c r="H34" s="126">
        <v>37109</v>
      </c>
      <c r="I34" s="39"/>
      <c r="J34" s="155">
        <v>0.29887673463096487</v>
      </c>
      <c r="K34" s="155">
        <v>0.20008683833230903</v>
      </c>
      <c r="L34" s="39"/>
      <c r="M34" s="39"/>
      <c r="N34" s="173"/>
      <c r="O34" s="39"/>
      <c r="P34" s="156">
        <v>0</v>
      </c>
      <c r="Q34" s="156">
        <v>0</v>
      </c>
      <c r="R34" s="156">
        <v>0</v>
      </c>
      <c r="S34" s="156">
        <v>0</v>
      </c>
      <c r="T34" s="156">
        <v>0</v>
      </c>
      <c r="U34" s="156">
        <v>0</v>
      </c>
      <c r="V34" s="156">
        <v>0</v>
      </c>
      <c r="W34" s="161">
        <v>0</v>
      </c>
      <c r="X34" s="156">
        <v>0</v>
      </c>
      <c r="Y34" s="156">
        <v>60</v>
      </c>
      <c r="Z34" s="39"/>
      <c r="AA34" s="163"/>
      <c r="AB34" s="39"/>
      <c r="AC34" s="166"/>
      <c r="AD34" s="167"/>
      <c r="AE34" s="53"/>
    </row>
    <row r="35" spans="1:31" ht="12.9" customHeight="1" x14ac:dyDescent="0.25">
      <c r="A35" s="38" t="s">
        <v>324</v>
      </c>
      <c r="B35" s="38" t="s">
        <v>352</v>
      </c>
      <c r="C35" s="53" t="s">
        <v>353</v>
      </c>
      <c r="D35" s="53" t="s">
        <v>354</v>
      </c>
      <c r="E35" s="53" t="s">
        <v>230</v>
      </c>
      <c r="F35" s="126">
        <v>37035</v>
      </c>
      <c r="G35" s="39" t="s">
        <v>198</v>
      </c>
      <c r="H35" s="126">
        <v>37109</v>
      </c>
      <c r="I35" s="39"/>
      <c r="J35" s="155">
        <v>-0.19796131642072176</v>
      </c>
      <c r="K35" s="155">
        <v>-0.2782588038184784</v>
      </c>
      <c r="L35" s="39"/>
      <c r="M35" s="39"/>
      <c r="N35" s="173"/>
      <c r="O35" s="39"/>
      <c r="P35" s="161">
        <v>0</v>
      </c>
      <c r="Q35" s="161">
        <v>0</v>
      </c>
      <c r="R35" s="161">
        <v>0</v>
      </c>
      <c r="S35" s="161">
        <v>0</v>
      </c>
      <c r="T35" s="161">
        <v>0</v>
      </c>
      <c r="U35" s="161">
        <v>0</v>
      </c>
      <c r="V35" s="161">
        <v>0</v>
      </c>
      <c r="W35" s="161">
        <v>10</v>
      </c>
      <c r="X35" s="161">
        <v>46</v>
      </c>
      <c r="Y35" s="161">
        <v>272</v>
      </c>
      <c r="Z35" s="60"/>
      <c r="AA35" s="163"/>
      <c r="AB35" s="39"/>
      <c r="AC35" s="166"/>
      <c r="AD35" s="167"/>
      <c r="AE35" s="53"/>
    </row>
    <row r="36" spans="1:31" ht="12.9" customHeight="1" x14ac:dyDescent="0.25">
      <c r="A36" s="38" t="s">
        <v>326</v>
      </c>
      <c r="B36" s="38" t="s">
        <v>352</v>
      </c>
      <c r="C36" s="53" t="s">
        <v>353</v>
      </c>
      <c r="D36" s="53" t="s">
        <v>97</v>
      </c>
      <c r="E36" s="53" t="s">
        <v>148</v>
      </c>
      <c r="F36" s="126">
        <v>37074</v>
      </c>
      <c r="G36" s="39" t="s">
        <v>355</v>
      </c>
      <c r="H36" s="126">
        <v>37109</v>
      </c>
      <c r="I36" s="39"/>
      <c r="J36" s="155">
        <v>-0.36421052631578948</v>
      </c>
      <c r="K36" s="155">
        <v>-0.48595744680851066</v>
      </c>
      <c r="L36" s="39"/>
      <c r="M36" s="39"/>
      <c r="N36" s="173"/>
      <c r="O36" s="39"/>
      <c r="P36" s="161">
        <v>0</v>
      </c>
      <c r="Q36" s="161">
        <v>0</v>
      </c>
      <c r="R36" s="161">
        <v>0</v>
      </c>
      <c r="S36" s="161">
        <v>0</v>
      </c>
      <c r="T36" s="161">
        <v>0</v>
      </c>
      <c r="U36" s="161">
        <v>0</v>
      </c>
      <c r="V36" s="161">
        <v>0</v>
      </c>
      <c r="W36" s="161">
        <v>0</v>
      </c>
      <c r="X36" s="161">
        <v>121</v>
      </c>
      <c r="Y36" s="161">
        <v>5</v>
      </c>
      <c r="Z36" s="60"/>
      <c r="AA36" s="163"/>
      <c r="AB36" s="39"/>
      <c r="AC36" s="166"/>
      <c r="AD36" s="167"/>
      <c r="AE36" s="53"/>
    </row>
    <row r="37" spans="1:31" ht="12.9" customHeight="1" x14ac:dyDescent="0.25">
      <c r="A37" s="38" t="s">
        <v>328</v>
      </c>
      <c r="B37" s="38" t="s">
        <v>352</v>
      </c>
      <c r="C37" s="53" t="s">
        <v>353</v>
      </c>
      <c r="D37" s="53" t="s">
        <v>97</v>
      </c>
      <c r="E37" s="53" t="s">
        <v>148</v>
      </c>
      <c r="F37" s="126">
        <v>37074</v>
      </c>
      <c r="G37" s="39" t="s">
        <v>198</v>
      </c>
      <c r="H37" s="126">
        <v>37109</v>
      </c>
      <c r="I37" s="39"/>
      <c r="J37" s="155">
        <v>-0.10388059701492539</v>
      </c>
      <c r="K37" s="155">
        <v>-0.31578347578347582</v>
      </c>
      <c r="L37" s="39"/>
      <c r="M37" s="39"/>
      <c r="N37" s="173"/>
      <c r="O37" s="39"/>
      <c r="P37" s="161">
        <v>0</v>
      </c>
      <c r="Q37" s="161">
        <v>0</v>
      </c>
      <c r="R37" s="161">
        <v>11</v>
      </c>
      <c r="S37" s="161">
        <v>0</v>
      </c>
      <c r="T37" s="161">
        <v>0</v>
      </c>
      <c r="U37" s="161">
        <v>0</v>
      </c>
      <c r="V37" s="161">
        <v>0</v>
      </c>
      <c r="W37" s="161">
        <v>11</v>
      </c>
      <c r="X37" s="161">
        <v>121</v>
      </c>
      <c r="Y37" s="161">
        <v>39</v>
      </c>
      <c r="Z37" s="60"/>
    </row>
    <row r="38" spans="1:31" ht="12.9" customHeight="1" x14ac:dyDescent="0.25">
      <c r="A38" s="38" t="s">
        <v>330</v>
      </c>
      <c r="B38" s="38" t="s">
        <v>352</v>
      </c>
      <c r="C38" s="53" t="s">
        <v>353</v>
      </c>
      <c r="D38" s="53" t="s">
        <v>356</v>
      </c>
      <c r="E38" s="53" t="s">
        <v>230</v>
      </c>
      <c r="F38" s="126">
        <v>37097</v>
      </c>
      <c r="G38" s="39" t="s">
        <v>357</v>
      </c>
      <c r="H38" s="126">
        <v>37109</v>
      </c>
      <c r="I38" s="39"/>
      <c r="J38" s="155">
        <v>-0.36595135908440624</v>
      </c>
      <c r="K38" s="155">
        <v>-0.53169907016060858</v>
      </c>
      <c r="L38" s="39"/>
      <c r="M38" s="39"/>
      <c r="N38" s="173"/>
      <c r="O38" s="39"/>
      <c r="P38" s="161">
        <v>4</v>
      </c>
      <c r="Q38" s="161">
        <v>0</v>
      </c>
      <c r="R38" s="161">
        <v>47</v>
      </c>
      <c r="S38" s="161">
        <v>13</v>
      </c>
      <c r="T38" s="161">
        <v>0</v>
      </c>
      <c r="U38" s="161">
        <v>0</v>
      </c>
      <c r="V38" s="161">
        <v>24</v>
      </c>
      <c r="W38" s="161">
        <v>88</v>
      </c>
      <c r="X38" s="161">
        <v>394</v>
      </c>
      <c r="Y38" s="161">
        <v>99</v>
      </c>
      <c r="Z38" s="60"/>
    </row>
    <row r="39" spans="1:31" ht="12.9" customHeight="1" x14ac:dyDescent="0.25">
      <c r="A39" s="38" t="s">
        <v>332</v>
      </c>
      <c r="B39" s="38" t="s">
        <v>352</v>
      </c>
      <c r="C39" s="53" t="s">
        <v>353</v>
      </c>
      <c r="D39" s="53" t="s">
        <v>354</v>
      </c>
      <c r="E39" s="53" t="s">
        <v>230</v>
      </c>
      <c r="F39" s="126">
        <v>37021</v>
      </c>
      <c r="G39" s="39" t="s">
        <v>198</v>
      </c>
      <c r="H39" s="126">
        <v>37109</v>
      </c>
      <c r="I39" s="39"/>
      <c r="J39" s="155">
        <v>-0.22900450715817894</v>
      </c>
      <c r="K39" s="155">
        <v>-0.26962263677354198</v>
      </c>
      <c r="L39" s="39"/>
      <c r="M39" s="39"/>
      <c r="N39" s="173"/>
      <c r="O39" s="39"/>
      <c r="P39" s="161">
        <v>0</v>
      </c>
      <c r="Q39" s="161">
        <v>0</v>
      </c>
      <c r="R39" s="161">
        <v>0</v>
      </c>
      <c r="S39" s="161">
        <v>0</v>
      </c>
      <c r="T39" s="161">
        <v>0</v>
      </c>
      <c r="U39" s="161">
        <v>0</v>
      </c>
      <c r="V39" s="161">
        <v>0</v>
      </c>
      <c r="W39" s="161">
        <v>0</v>
      </c>
      <c r="X39" s="161">
        <v>0</v>
      </c>
      <c r="Y39" s="161">
        <v>208</v>
      </c>
      <c r="Z39" s="60"/>
    </row>
    <row r="40" spans="1:31" ht="12.9" customHeight="1" x14ac:dyDescent="0.25">
      <c r="A40" s="38" t="s">
        <v>334</v>
      </c>
      <c r="B40" s="38" t="s">
        <v>352</v>
      </c>
      <c r="C40" s="53" t="s">
        <v>353</v>
      </c>
      <c r="D40" s="53" t="s">
        <v>358</v>
      </c>
      <c r="E40" s="53" t="s">
        <v>230</v>
      </c>
      <c r="F40" s="126">
        <v>37099</v>
      </c>
      <c r="G40" s="39" t="s">
        <v>355</v>
      </c>
      <c r="H40" s="126">
        <v>37109</v>
      </c>
      <c r="I40" s="39"/>
      <c r="J40" s="155">
        <v>-0.12967032967032963</v>
      </c>
      <c r="K40" s="155">
        <v>-2.2222222222222188E-2</v>
      </c>
      <c r="L40" s="39"/>
      <c r="M40" s="39"/>
      <c r="N40" s="173"/>
      <c r="O40" s="39"/>
      <c r="P40" s="161">
        <v>26</v>
      </c>
      <c r="Q40" s="161">
        <v>0</v>
      </c>
      <c r="R40" s="161">
        <v>4</v>
      </c>
      <c r="S40" s="161">
        <v>7</v>
      </c>
      <c r="T40" s="161">
        <v>0</v>
      </c>
      <c r="U40" s="161">
        <v>0</v>
      </c>
      <c r="V40" s="161">
        <v>0</v>
      </c>
      <c r="W40" s="161">
        <v>37</v>
      </c>
      <c r="X40" s="161">
        <v>2</v>
      </c>
      <c r="Y40" s="161">
        <v>42</v>
      </c>
      <c r="Z40" s="60"/>
    </row>
    <row r="41" spans="1:31" ht="12.9" customHeight="1" x14ac:dyDescent="0.25">
      <c r="A41" s="38" t="s">
        <v>336</v>
      </c>
      <c r="B41" s="38" t="s">
        <v>352</v>
      </c>
      <c r="C41" s="53" t="s">
        <v>353</v>
      </c>
      <c r="D41" s="53" t="s">
        <v>354</v>
      </c>
      <c r="E41" s="53" t="s">
        <v>230</v>
      </c>
      <c r="F41" s="126">
        <v>37097</v>
      </c>
      <c r="G41" s="39" t="s">
        <v>198</v>
      </c>
      <c r="H41" s="126">
        <v>37109</v>
      </c>
      <c r="I41" s="39"/>
      <c r="J41" s="155">
        <v>-0.40028235294117648</v>
      </c>
      <c r="K41" s="155">
        <v>-0.57234899328859057</v>
      </c>
      <c r="L41" s="39"/>
      <c r="M41" s="39"/>
      <c r="N41" s="173"/>
      <c r="O41" s="39"/>
      <c r="P41" s="161">
        <v>0</v>
      </c>
      <c r="Q41" s="161">
        <v>0</v>
      </c>
      <c r="R41" s="161">
        <v>0</v>
      </c>
      <c r="S41" s="161">
        <v>0</v>
      </c>
      <c r="T41" s="161">
        <v>0</v>
      </c>
      <c r="U41" s="161">
        <v>0</v>
      </c>
      <c r="V41" s="161">
        <v>0</v>
      </c>
      <c r="W41" s="161">
        <v>0</v>
      </c>
      <c r="X41" s="161">
        <v>0</v>
      </c>
      <c r="Y41" s="161">
        <v>302</v>
      </c>
      <c r="Z41" s="60"/>
    </row>
    <row r="42" spans="1:31" ht="12.9" customHeight="1" x14ac:dyDescent="0.25">
      <c r="A42" s="38" t="s">
        <v>338</v>
      </c>
      <c r="B42" s="38" t="s">
        <v>352</v>
      </c>
      <c r="C42" s="53" t="s">
        <v>353</v>
      </c>
      <c r="D42" s="53" t="s">
        <v>354</v>
      </c>
      <c r="E42" s="53" t="s">
        <v>230</v>
      </c>
      <c r="F42" s="126">
        <v>37097</v>
      </c>
      <c r="G42" s="39" t="s">
        <v>198</v>
      </c>
      <c r="H42" s="126">
        <v>37109</v>
      </c>
      <c r="I42" s="39"/>
      <c r="J42" s="155">
        <v>-1.9230769230769232E-2</v>
      </c>
      <c r="K42" s="155">
        <v>-0.32673267326732675</v>
      </c>
      <c r="L42" s="39"/>
      <c r="M42" s="39"/>
      <c r="N42" s="173"/>
      <c r="O42" s="39"/>
      <c r="P42" s="161">
        <v>0</v>
      </c>
      <c r="Q42" s="161">
        <v>0</v>
      </c>
      <c r="R42" s="161">
        <v>0</v>
      </c>
      <c r="S42" s="161">
        <v>0</v>
      </c>
      <c r="T42" s="161">
        <v>0</v>
      </c>
      <c r="U42" s="161">
        <v>0</v>
      </c>
      <c r="V42" s="161">
        <v>0</v>
      </c>
      <c r="W42" s="161">
        <v>0</v>
      </c>
      <c r="X42" s="161">
        <v>55</v>
      </c>
      <c r="Y42" s="161">
        <v>0</v>
      </c>
      <c r="Z42" s="60"/>
    </row>
    <row r="43" spans="1:31" ht="12.9" customHeight="1" x14ac:dyDescent="0.25">
      <c r="C43" s="53"/>
      <c r="D43" s="53"/>
      <c r="E43" s="53"/>
      <c r="F43" s="126"/>
      <c r="G43" s="39"/>
      <c r="H43" s="126"/>
      <c r="I43" s="39"/>
      <c r="J43" s="155"/>
      <c r="K43" s="155"/>
      <c r="L43" s="39"/>
      <c r="M43" s="39"/>
      <c r="N43" s="39"/>
      <c r="O43" s="39"/>
      <c r="P43" s="39"/>
      <c r="Q43" s="39"/>
      <c r="R43" s="39"/>
      <c r="S43" s="39"/>
      <c r="T43" s="174"/>
      <c r="U43" s="39"/>
      <c r="V43" s="39"/>
      <c r="W43" s="39"/>
      <c r="X43" s="39"/>
      <c r="Y43" s="39"/>
      <c r="Z43" s="60"/>
    </row>
    <row r="44" spans="1:31" ht="12.9" customHeight="1" x14ac:dyDescent="0.25">
      <c r="C44" s="53"/>
      <c r="D44" s="53"/>
      <c r="E44" s="53"/>
      <c r="F44" s="126"/>
      <c r="G44" s="39"/>
      <c r="H44" s="126"/>
      <c r="I44" s="39"/>
      <c r="J44" s="155"/>
      <c r="K44" s="155"/>
      <c r="L44" s="39"/>
      <c r="M44" s="39"/>
      <c r="N44" s="39"/>
      <c r="O44" s="39"/>
      <c r="P44" s="39"/>
      <c r="Q44" s="39"/>
      <c r="R44" s="39"/>
      <c r="S44" s="39"/>
      <c r="T44" s="174"/>
      <c r="U44" s="39"/>
      <c r="V44" s="39"/>
      <c r="W44" s="39"/>
      <c r="X44" s="39"/>
      <c r="Y44" s="39"/>
      <c r="Z44" s="60"/>
      <c r="AA44" s="56"/>
    </row>
    <row r="45" spans="1:31" ht="12.75" customHeight="1" x14ac:dyDescent="0.25">
      <c r="C45" s="53"/>
      <c r="D45" s="53"/>
      <c r="E45" s="53"/>
      <c r="F45" s="126"/>
      <c r="G45" s="39"/>
      <c r="H45" s="126"/>
      <c r="I45" s="39"/>
      <c r="J45" s="155"/>
      <c r="K45" s="155"/>
      <c r="L45" s="39"/>
      <c r="M45" s="39"/>
      <c r="N45" s="53" t="s">
        <v>38</v>
      </c>
      <c r="O45" s="39"/>
      <c r="P45" s="161">
        <v>3.3333333333333335</v>
      </c>
      <c r="Q45" s="161">
        <v>0</v>
      </c>
      <c r="R45" s="161">
        <v>6.8888888888888893</v>
      </c>
      <c r="S45" s="161">
        <v>2.2222222222222223</v>
      </c>
      <c r="T45" s="161">
        <v>0</v>
      </c>
      <c r="U45" s="161">
        <v>0</v>
      </c>
      <c r="V45" s="161">
        <v>2.6666666666666665</v>
      </c>
      <c r="W45" s="161">
        <v>16.222222222222221</v>
      </c>
      <c r="X45" s="161">
        <v>82.111111111111114</v>
      </c>
      <c r="Y45" s="161">
        <v>114.11111111111111</v>
      </c>
      <c r="Z45" s="60"/>
      <c r="AA45" s="56"/>
    </row>
    <row r="46" spans="1:31" x14ac:dyDescent="0.25">
      <c r="A46" s="39"/>
      <c r="B46" s="175"/>
      <c r="C46" s="175"/>
      <c r="D46" s="39"/>
      <c r="E46" s="175"/>
      <c r="F46" s="39"/>
      <c r="G46" s="39"/>
      <c r="H46" s="39"/>
      <c r="I46" s="39"/>
      <c r="J46" s="39"/>
      <c r="K46" s="39"/>
      <c r="L46" s="39"/>
      <c r="M46" s="39"/>
      <c r="N46" s="53" t="s">
        <v>39</v>
      </c>
      <c r="O46" s="39"/>
      <c r="P46" s="161">
        <v>0</v>
      </c>
      <c r="Q46" s="161">
        <v>0</v>
      </c>
      <c r="R46" s="161">
        <v>0</v>
      </c>
      <c r="S46" s="161">
        <v>0</v>
      </c>
      <c r="T46" s="161">
        <v>0</v>
      </c>
      <c r="U46" s="161">
        <v>0</v>
      </c>
      <c r="V46" s="161">
        <v>0</v>
      </c>
      <c r="W46" s="161">
        <v>0</v>
      </c>
      <c r="X46" s="161">
        <v>46</v>
      </c>
      <c r="Y46" s="161">
        <v>60</v>
      </c>
      <c r="Z46" s="60"/>
      <c r="AA46" s="56"/>
    </row>
    <row r="47" spans="1:31" x14ac:dyDescent="0.25">
      <c r="A47" s="39"/>
      <c r="B47" s="175"/>
      <c r="C47" s="175"/>
      <c r="D47" s="175"/>
      <c r="E47" s="39"/>
      <c r="F47" s="39"/>
      <c r="G47" s="39"/>
      <c r="H47" s="39"/>
      <c r="I47" s="39"/>
      <c r="J47" s="39"/>
      <c r="K47" s="39"/>
      <c r="L47" s="39"/>
      <c r="M47" s="39"/>
      <c r="N47" s="55" t="s">
        <v>25</v>
      </c>
      <c r="O47" s="39"/>
      <c r="P47" s="161">
        <v>26</v>
      </c>
      <c r="Q47" s="161">
        <v>0</v>
      </c>
      <c r="R47" s="161">
        <v>47</v>
      </c>
      <c r="S47" s="161">
        <v>13</v>
      </c>
      <c r="T47" s="161">
        <v>0</v>
      </c>
      <c r="U47" s="161">
        <v>0</v>
      </c>
      <c r="V47" s="161">
        <v>24</v>
      </c>
      <c r="W47" s="161">
        <v>88</v>
      </c>
      <c r="X47" s="161">
        <v>394</v>
      </c>
      <c r="Y47" s="161">
        <v>302</v>
      </c>
      <c r="Z47" s="39"/>
      <c r="AA47" s="50"/>
    </row>
    <row r="48" spans="1:31" ht="12" customHeight="1" x14ac:dyDescent="0.25">
      <c r="A48" s="39"/>
      <c r="B48" s="175"/>
      <c r="C48" s="175"/>
      <c r="D48" s="175"/>
      <c r="E48" s="39"/>
      <c r="F48" s="39"/>
      <c r="G48" s="39"/>
      <c r="H48" s="39"/>
      <c r="I48" s="39"/>
      <c r="J48" s="39"/>
      <c r="K48" s="39"/>
      <c r="L48" s="39"/>
      <c r="M48" s="39"/>
      <c r="N48" s="53" t="s">
        <v>26</v>
      </c>
      <c r="O48" s="39"/>
      <c r="P48" s="161">
        <v>0</v>
      </c>
      <c r="Q48" s="161">
        <v>0</v>
      </c>
      <c r="R48" s="161">
        <v>0</v>
      </c>
      <c r="S48" s="161">
        <v>0</v>
      </c>
      <c r="T48" s="161">
        <v>0</v>
      </c>
      <c r="U48" s="161">
        <v>0</v>
      </c>
      <c r="V48" s="161">
        <v>0</v>
      </c>
      <c r="W48" s="161">
        <v>0</v>
      </c>
      <c r="X48" s="161">
        <v>0</v>
      </c>
      <c r="Y48" s="161">
        <v>0</v>
      </c>
      <c r="Z48" s="39"/>
      <c r="AA48" s="56"/>
    </row>
    <row r="49" spans="1:27" s="39" customFormat="1" ht="12.9" customHeight="1" x14ac:dyDescent="0.25">
      <c r="B49" s="175"/>
      <c r="C49" s="175"/>
      <c r="D49" s="175"/>
      <c r="AA49" s="59"/>
    </row>
    <row r="50" spans="1:27" s="39" customFormat="1" ht="12.9" customHeight="1" x14ac:dyDescent="0.25">
      <c r="A50" s="122" t="s">
        <v>74</v>
      </c>
      <c r="AA50" s="176"/>
    </row>
    <row r="51" spans="1:27" s="39" customFormat="1" ht="12.9" customHeight="1" x14ac:dyDescent="0.25">
      <c r="A51" s="55" t="s">
        <v>75</v>
      </c>
      <c r="AA51" s="176"/>
    </row>
    <row r="52" spans="1:27" s="39" customFormat="1" ht="12.9" customHeight="1" x14ac:dyDescent="0.25">
      <c r="A52" s="55" t="s">
        <v>76</v>
      </c>
      <c r="AA52" s="176"/>
    </row>
    <row r="53" spans="1:27" s="39" customFormat="1" ht="12.9" customHeight="1" x14ac:dyDescent="0.25">
      <c r="A53" s="55" t="s">
        <v>77</v>
      </c>
      <c r="AA53" s="176"/>
    </row>
    <row r="54" spans="1:27" s="39" customFormat="1" ht="12.9" customHeight="1" x14ac:dyDescent="0.25">
      <c r="A54" s="55" t="s">
        <v>78</v>
      </c>
      <c r="AA54" s="176"/>
    </row>
    <row r="55" spans="1:27" s="39" customFormat="1" ht="12.9" customHeight="1" x14ac:dyDescent="0.25">
      <c r="A55" s="55" t="s">
        <v>77</v>
      </c>
      <c r="AA55" s="176"/>
    </row>
    <row r="56" spans="1:27" s="39" customFormat="1" ht="12.9" customHeight="1" x14ac:dyDescent="0.25">
      <c r="A56" s="55" t="s">
        <v>79</v>
      </c>
      <c r="AA56" s="176"/>
    </row>
    <row r="57" spans="1:27" s="39" customFormat="1" ht="12.9" customHeight="1" x14ac:dyDescent="0.25">
      <c r="AA57" s="176"/>
    </row>
    <row r="58" spans="1:27" s="39" customFormat="1" ht="12.9" customHeight="1" x14ac:dyDescent="0.25">
      <c r="AA58" s="176"/>
    </row>
    <row r="59" spans="1:27" s="39" customFormat="1" ht="12.9" customHeight="1" x14ac:dyDescent="0.25">
      <c r="AA59" s="176"/>
    </row>
    <row r="60" spans="1:27" s="39" customFormat="1" ht="12.9" customHeight="1" x14ac:dyDescent="0.25">
      <c r="AA60" s="176"/>
    </row>
    <row r="61" spans="1:27" s="39" customFormat="1" ht="12.9" customHeight="1" x14ac:dyDescent="0.25">
      <c r="Z61" s="60"/>
      <c r="AA61" s="176"/>
    </row>
    <row r="62" spans="1:27" s="39" customFormat="1" ht="12.9" customHeight="1" x14ac:dyDescent="0.25">
      <c r="Z62" s="60"/>
    </row>
    <row r="63" spans="1:27" s="39" customFormat="1" ht="12.9" customHeight="1" x14ac:dyDescent="0.25">
      <c r="Z63" s="60"/>
    </row>
    <row r="64" spans="1:27" s="39" customFormat="1" ht="12.9" customHeight="1" x14ac:dyDescent="0.25">
      <c r="Z64" s="60"/>
    </row>
    <row r="65" spans="1:25" s="39" customFormat="1" ht="12.9" customHeight="1" x14ac:dyDescent="0.25"/>
    <row r="66" spans="1:25" s="39" customFormat="1" ht="12.9" customHeight="1" x14ac:dyDescent="0.25">
      <c r="F66" s="169">
        <v>37106</v>
      </c>
      <c r="G66" s="169">
        <v>36741</v>
      </c>
      <c r="Q66" s="169">
        <v>36892</v>
      </c>
      <c r="R66" s="169">
        <v>37106</v>
      </c>
    </row>
    <row r="67" spans="1:25" s="39" customFormat="1" ht="12.9" customHeight="1" x14ac:dyDescent="0.25">
      <c r="H67" s="39" t="s">
        <v>63</v>
      </c>
      <c r="S67" s="39" t="s">
        <v>64</v>
      </c>
    </row>
    <row r="68" spans="1:25" s="39" customFormat="1" ht="12.9" customHeight="1" x14ac:dyDescent="0.25">
      <c r="E68" s="39" t="s">
        <v>323</v>
      </c>
      <c r="F68" s="151">
        <v>8.629071999999999</v>
      </c>
      <c r="G68" s="151">
        <v>6.6434879999999996</v>
      </c>
      <c r="H68" s="177">
        <v>0.29887673463096487</v>
      </c>
      <c r="P68" s="39" t="s">
        <v>323</v>
      </c>
      <c r="Q68" s="151">
        <v>7.1903729999999992</v>
      </c>
      <c r="R68" s="151">
        <v>8.629071999999999</v>
      </c>
      <c r="S68" s="177">
        <v>0.20008683833230903</v>
      </c>
    </row>
    <row r="69" spans="1:25" s="39" customFormat="1" ht="12.9" customHeight="1" x14ac:dyDescent="0.25">
      <c r="E69" s="39" t="s">
        <v>325</v>
      </c>
      <c r="F69" s="159">
        <v>8.8895730000000004</v>
      </c>
      <c r="G69" s="159">
        <v>11.083720999999999</v>
      </c>
      <c r="H69" s="177">
        <v>-0.19796131642072176</v>
      </c>
      <c r="P69" s="39" t="s">
        <v>325</v>
      </c>
      <c r="Q69" s="159">
        <v>12.316842999999999</v>
      </c>
      <c r="R69" s="159">
        <v>8.8895730000000004</v>
      </c>
      <c r="S69" s="177">
        <v>-0.2782588038184784</v>
      </c>
    </row>
    <row r="70" spans="1:25" s="39" customFormat="1" ht="12.9" customHeight="1" x14ac:dyDescent="0.25">
      <c r="E70" s="39" t="s">
        <v>327</v>
      </c>
      <c r="F70" s="159">
        <v>3.02</v>
      </c>
      <c r="G70" s="159">
        <v>4.75</v>
      </c>
      <c r="H70" s="177">
        <v>-0.36421052631578948</v>
      </c>
      <c r="P70" s="39" t="s">
        <v>327</v>
      </c>
      <c r="Q70" s="159">
        <v>5.875</v>
      </c>
      <c r="R70" s="159">
        <v>3.02</v>
      </c>
      <c r="S70" s="177">
        <v>-0.48595744680851066</v>
      </c>
    </row>
    <row r="71" spans="1:25" s="39" customFormat="1" ht="12.9" customHeight="1" x14ac:dyDescent="0.25">
      <c r="E71" s="39" t="s">
        <v>329</v>
      </c>
      <c r="F71" s="159">
        <v>30.02</v>
      </c>
      <c r="G71" s="159">
        <v>33.5</v>
      </c>
      <c r="H71" s="177">
        <v>-0.10388059701492539</v>
      </c>
      <c r="P71" s="39" t="s">
        <v>329</v>
      </c>
      <c r="Q71" s="159">
        <v>43.875</v>
      </c>
      <c r="R71" s="159">
        <v>30.02</v>
      </c>
      <c r="S71" s="177">
        <v>-0.31578347578347582</v>
      </c>
    </row>
    <row r="72" spans="1:25" s="39" customFormat="1" ht="12.9" customHeight="1" x14ac:dyDescent="0.25">
      <c r="E72" s="39" t="s">
        <v>331</v>
      </c>
      <c r="F72" s="159">
        <v>27.7</v>
      </c>
      <c r="G72" s="159">
        <v>43.6875</v>
      </c>
      <c r="H72" s="177">
        <v>-0.36595135908440624</v>
      </c>
      <c r="P72" s="39" t="s">
        <v>331</v>
      </c>
      <c r="Q72" s="159">
        <v>59.15</v>
      </c>
      <c r="R72" s="159">
        <v>27.7</v>
      </c>
      <c r="S72" s="177">
        <v>-0.53169907016060858</v>
      </c>
    </row>
    <row r="73" spans="1:25" s="39" customFormat="1" ht="12.9" customHeight="1" x14ac:dyDescent="0.25">
      <c r="E73" s="39" t="s">
        <v>333</v>
      </c>
      <c r="F73" s="159">
        <v>27.352530000000002</v>
      </c>
      <c r="G73" s="159">
        <v>35.476900000000001</v>
      </c>
      <c r="H73" s="177">
        <v>-0.22900450715817894</v>
      </c>
      <c r="P73" s="39" t="s">
        <v>333</v>
      </c>
      <c r="Q73" s="159">
        <v>37.449860000000001</v>
      </c>
      <c r="R73" s="159">
        <v>27.352530000000002</v>
      </c>
      <c r="S73" s="177">
        <v>-0.26962263677354198</v>
      </c>
    </row>
    <row r="74" spans="1:25" s="39" customFormat="1" ht="12.9" customHeight="1" x14ac:dyDescent="0.25">
      <c r="E74" s="165" t="s">
        <v>335</v>
      </c>
      <c r="F74" s="159">
        <v>4.95</v>
      </c>
      <c r="G74" s="159">
        <v>5.6875</v>
      </c>
      <c r="H74" s="177">
        <v>-0.12967032967032963</v>
      </c>
      <c r="P74" s="165" t="s">
        <v>335</v>
      </c>
      <c r="Q74" s="159">
        <v>5.0625</v>
      </c>
      <c r="R74" s="159">
        <v>4.95</v>
      </c>
      <c r="S74" s="177">
        <v>-2.2222222222222188E-2</v>
      </c>
    </row>
    <row r="75" spans="1:25" s="39" customFormat="1" ht="12.9" customHeight="1" x14ac:dyDescent="0.25">
      <c r="A75" s="38"/>
      <c r="B75" s="38"/>
      <c r="C75" s="38"/>
      <c r="D75" s="38"/>
      <c r="E75" s="165" t="s">
        <v>337</v>
      </c>
      <c r="F75" s="159">
        <v>15.93</v>
      </c>
      <c r="G75" s="159">
        <v>26.5625</v>
      </c>
      <c r="H75" s="177">
        <v>-0.40028235294117648</v>
      </c>
      <c r="I75" s="38"/>
      <c r="J75" s="38"/>
      <c r="K75" s="38"/>
      <c r="L75" s="38"/>
      <c r="M75" s="38"/>
      <c r="N75" s="38"/>
      <c r="O75" s="38"/>
      <c r="P75" s="165" t="s">
        <v>337</v>
      </c>
      <c r="Q75" s="159">
        <v>37.25</v>
      </c>
      <c r="R75" s="159">
        <v>15.93</v>
      </c>
      <c r="S75" s="177">
        <v>-0.57234899328859057</v>
      </c>
      <c r="T75" s="38"/>
      <c r="U75" s="38"/>
      <c r="V75" s="38"/>
      <c r="W75" s="38"/>
      <c r="X75" s="38"/>
      <c r="Y75" s="38"/>
    </row>
    <row r="76" spans="1:25" s="39" customFormat="1" ht="12.9" customHeight="1" x14ac:dyDescent="0.25">
      <c r="A76" s="38"/>
      <c r="B76" s="38"/>
      <c r="C76" s="38"/>
      <c r="D76" s="38"/>
      <c r="E76" s="165" t="s">
        <v>339</v>
      </c>
      <c r="F76" s="159">
        <v>12.75</v>
      </c>
      <c r="G76" s="159">
        <v>13</v>
      </c>
      <c r="H76" s="177">
        <v>-1.9230769230769232E-2</v>
      </c>
      <c r="I76" s="38"/>
      <c r="J76" s="38"/>
      <c r="K76" s="38"/>
      <c r="L76" s="38"/>
      <c r="M76" s="38"/>
      <c r="N76" s="38"/>
      <c r="O76" s="38"/>
      <c r="P76" s="165" t="s">
        <v>339</v>
      </c>
      <c r="Q76" s="159">
        <v>18.9375</v>
      </c>
      <c r="R76" s="159">
        <v>12.75</v>
      </c>
      <c r="S76" s="177">
        <v>-0.32673267326732675</v>
      </c>
      <c r="T76" s="38"/>
      <c r="U76" s="38"/>
      <c r="V76" s="38"/>
      <c r="W76" s="38"/>
      <c r="X76" s="38"/>
      <c r="Y76" s="38"/>
    </row>
    <row r="77" spans="1:25" s="39" customFormat="1" ht="12.9" customHeight="1" x14ac:dyDescent="0.25">
      <c r="A77" s="38"/>
      <c r="B77" s="38"/>
      <c r="C77" s="38"/>
      <c r="D77" s="38"/>
    </row>
    <row r="78" spans="1:25" s="39" customFormat="1" ht="12.9" customHeight="1" x14ac:dyDescent="0.25">
      <c r="A78" s="38"/>
      <c r="B78" s="38"/>
      <c r="C78" s="38"/>
      <c r="D78" s="38"/>
    </row>
    <row r="79" spans="1:25" s="39" customFormat="1" ht="12.9" customHeight="1" x14ac:dyDescent="0.25">
      <c r="A79" s="38"/>
      <c r="B79" s="38"/>
      <c r="C79" s="38"/>
      <c r="D79" s="38"/>
    </row>
    <row r="80" spans="1:25" s="39" customFormat="1" ht="12.9" customHeight="1" x14ac:dyDescent="0.25">
      <c r="A80" s="38"/>
      <c r="B80" s="38"/>
      <c r="C80" s="38"/>
      <c r="D80" s="38"/>
    </row>
    <row r="81" spans="1:26" s="39" customFormat="1" ht="12.9" customHeight="1" x14ac:dyDescent="0.25">
      <c r="A81" s="38"/>
      <c r="B81" s="38"/>
      <c r="C81" s="38"/>
      <c r="D81" s="38"/>
    </row>
    <row r="82" spans="1:26" s="39" customFormat="1" ht="12.9" customHeight="1" x14ac:dyDescent="0.25">
      <c r="A82" s="38"/>
      <c r="B82" s="38"/>
      <c r="C82" s="38"/>
      <c r="D82" s="38"/>
    </row>
    <row r="83" spans="1:26" s="39" customFormat="1" ht="12.9" customHeight="1" x14ac:dyDescent="0.25">
      <c r="A83" s="38"/>
      <c r="B83" s="38"/>
      <c r="C83" s="38"/>
      <c r="D83" s="38"/>
    </row>
    <row r="84" spans="1:26" s="39" customFormat="1" ht="12.9" customHeight="1" x14ac:dyDescent="0.25">
      <c r="A84" s="38"/>
      <c r="B84" s="38"/>
      <c r="C84" s="38"/>
      <c r="D84" s="38"/>
    </row>
    <row r="85" spans="1:26" s="39" customFormat="1" ht="12.9" customHeight="1" x14ac:dyDescent="0.25">
      <c r="A85" s="38"/>
      <c r="B85" s="38"/>
      <c r="C85" s="38"/>
      <c r="D85" s="38"/>
    </row>
    <row r="86" spans="1:26" s="39" customFormat="1" ht="12.9" customHeight="1" x14ac:dyDescent="0.25">
      <c r="A86" s="38"/>
      <c r="B86" s="38"/>
      <c r="C86" s="38"/>
      <c r="D86" s="38"/>
    </row>
    <row r="87" spans="1:26" s="39" customFormat="1" ht="12.9" customHeight="1" x14ac:dyDescent="0.25">
      <c r="A87" s="38"/>
      <c r="B87" s="38"/>
      <c r="C87" s="38"/>
      <c r="D87" s="38"/>
    </row>
    <row r="88" spans="1:26" s="39" customFormat="1" ht="12.9" customHeight="1" x14ac:dyDescent="0.25">
      <c r="A88" s="38"/>
      <c r="B88" s="38"/>
      <c r="C88" s="38"/>
      <c r="D88" s="38"/>
    </row>
    <row r="89" spans="1:26" s="39" customFormat="1" ht="12.9" customHeight="1" x14ac:dyDescent="0.25">
      <c r="A89" s="38"/>
      <c r="B89" s="38"/>
      <c r="C89" s="38"/>
      <c r="D89" s="38"/>
    </row>
    <row r="90" spans="1:26" s="39" customFormat="1" ht="12.9" customHeight="1" x14ac:dyDescent="0.25">
      <c r="A90" s="38"/>
      <c r="B90" s="38"/>
      <c r="C90" s="38"/>
      <c r="D90" s="38"/>
    </row>
    <row r="91" spans="1:26" s="39" customFormat="1" ht="12.9" customHeight="1" x14ac:dyDescent="0.25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s="39" customFormat="1" ht="12.9" customHeight="1" x14ac:dyDescent="0.25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s="39" customFormat="1" ht="12.9" customHeight="1" x14ac:dyDescent="0.25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s="39" customFormat="1" ht="12.9" customHeight="1" x14ac:dyDescent="0.2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s="39" customFormat="1" ht="12.9" customHeight="1" x14ac:dyDescent="0.2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s="39" customFormat="1" ht="12.9" customHeight="1" x14ac:dyDescent="0.2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s="39" customFormat="1" ht="12.9" customHeight="1" x14ac:dyDescent="0.2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s="39" customFormat="1" ht="12.9" customHeight="1" x14ac:dyDescent="0.2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s="39" customFormat="1" ht="12.9" customHeight="1" x14ac:dyDescent="0.2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s="39" customFormat="1" ht="12.9" customHeight="1" x14ac:dyDescent="0.2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s="39" customFormat="1" ht="12.9" customHeight="1" x14ac:dyDescent="0.2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s="39" customFormat="1" ht="12.9" customHeight="1" x14ac:dyDescent="0.2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s="39" customFormat="1" ht="12.9" customHeight="1" x14ac:dyDescent="0.2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s="39" customFormat="1" ht="12.9" customHeight="1" x14ac:dyDescent="0.2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2.9" customHeight="1" x14ac:dyDescent="0.25"/>
    <row r="106" spans="1:26" ht="12.9" customHeight="1" x14ac:dyDescent="0.25"/>
    <row r="107" spans="1:26" ht="12.9" customHeight="1" x14ac:dyDescent="0.25"/>
    <row r="108" spans="1:26" ht="12.9" customHeight="1" x14ac:dyDescent="0.25"/>
    <row r="109" spans="1:26" ht="12.9" customHeight="1" x14ac:dyDescent="0.25"/>
    <row r="110" spans="1:26" ht="12.9" customHeight="1" x14ac:dyDescent="0.25"/>
    <row r="111" spans="1:26" ht="12.9" customHeight="1" x14ac:dyDescent="0.25"/>
    <row r="112" spans="1:26" ht="12.9" customHeight="1" x14ac:dyDescent="0.25"/>
    <row r="113" ht="12.9" customHeight="1" x14ac:dyDescent="0.25"/>
    <row r="114" ht="12.9" customHeight="1" x14ac:dyDescent="0.25"/>
    <row r="115" ht="12.9" customHeight="1" x14ac:dyDescent="0.25"/>
    <row r="116" ht="12.9" customHeight="1" x14ac:dyDescent="0.25"/>
    <row r="117" ht="12.9" customHeight="1" x14ac:dyDescent="0.25"/>
    <row r="118" ht="12.9" customHeight="1" x14ac:dyDescent="0.25"/>
    <row r="119" ht="12.9" customHeight="1" x14ac:dyDescent="0.25"/>
    <row r="120" ht="12.9" customHeight="1" x14ac:dyDescent="0.25"/>
    <row r="121" ht="12.9" customHeight="1" x14ac:dyDescent="0.25"/>
    <row r="122" ht="12.9" customHeight="1" x14ac:dyDescent="0.25"/>
    <row r="123" ht="12.9" customHeight="1" x14ac:dyDescent="0.25"/>
    <row r="124" ht="12.9" customHeight="1" x14ac:dyDescent="0.25"/>
    <row r="125" ht="12.9" customHeight="1" x14ac:dyDescent="0.25"/>
    <row r="126" ht="12.9" customHeight="1" x14ac:dyDescent="0.25"/>
    <row r="127" ht="12.9" customHeight="1" x14ac:dyDescent="0.25"/>
    <row r="128" ht="12.9" customHeight="1" x14ac:dyDescent="0.25"/>
    <row r="129" ht="12.9" customHeight="1" x14ac:dyDescent="0.25"/>
    <row r="130" ht="12.9" customHeight="1" x14ac:dyDescent="0.25"/>
    <row r="131" ht="12.9" customHeight="1" x14ac:dyDescent="0.25"/>
    <row r="132" ht="12.9" customHeight="1" x14ac:dyDescent="0.25"/>
    <row r="133" ht="12.9" customHeight="1" x14ac:dyDescent="0.25"/>
    <row r="134" ht="12.9" customHeight="1" x14ac:dyDescent="0.25"/>
    <row r="135" ht="12.9" customHeight="1" x14ac:dyDescent="0.25"/>
    <row r="136" ht="12.9" customHeight="1" x14ac:dyDescent="0.25"/>
    <row r="137" ht="12.9" customHeight="1" x14ac:dyDescent="0.25"/>
    <row r="138" ht="12.9" customHeight="1" x14ac:dyDescent="0.25"/>
    <row r="139" ht="12.9" customHeight="1" x14ac:dyDescent="0.25"/>
    <row r="140" ht="12.9" customHeight="1" x14ac:dyDescent="0.25"/>
    <row r="141" ht="12.9" customHeight="1" x14ac:dyDescent="0.25"/>
    <row r="142" ht="12.9" customHeight="1" x14ac:dyDescent="0.25"/>
    <row r="143" ht="12.9" customHeight="1" x14ac:dyDescent="0.25"/>
    <row r="144" ht="12.9" customHeight="1" x14ac:dyDescent="0.25"/>
    <row r="145" ht="12.9" customHeight="1" x14ac:dyDescent="0.25"/>
  </sheetData>
  <mergeCells count="3">
    <mergeCell ref="I8:K8"/>
    <mergeCell ref="L8:N8"/>
    <mergeCell ref="O8:Q8"/>
  </mergeCells>
  <phoneticPr fontId="0" type="noConversion"/>
  <pageMargins left="0" right="0" top="0" bottom="0" header="0.5" footer="0.5"/>
  <pageSetup scale="54" orientation="landscape" verticalDpi="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3"/>
  <sheetViews>
    <sheetView zoomScale="50" workbookViewId="0">
      <selection activeCell="B6" sqref="B6"/>
    </sheetView>
  </sheetViews>
  <sheetFormatPr defaultColWidth="9.109375" defaultRowHeight="13.2" x14ac:dyDescent="0.25"/>
  <cols>
    <col min="1" max="1" width="30.6640625" style="179" customWidth="1"/>
    <col min="2" max="2" width="10.44140625" style="179" customWidth="1"/>
    <col min="3" max="3" width="12.5546875" style="179" customWidth="1"/>
    <col min="4" max="4" width="8.44140625" style="179" customWidth="1"/>
    <col min="5" max="5" width="10.33203125" style="179" customWidth="1"/>
    <col min="6" max="6" width="10.33203125" style="179" bestFit="1" customWidth="1"/>
    <col min="7" max="7" width="11.44140625" style="179" customWidth="1"/>
    <col min="8" max="8" width="11.5546875" style="179" customWidth="1"/>
    <col min="9" max="9" width="11.5546875" style="179" hidden="1" customWidth="1"/>
    <col min="10" max="10" width="10.44140625" style="179" customWidth="1"/>
    <col min="11" max="11" width="7.88671875" style="179" customWidth="1"/>
    <col min="12" max="13" width="8.33203125" style="179" customWidth="1"/>
    <col min="14" max="14" width="7.6640625" style="179" customWidth="1"/>
    <col min="15" max="15" width="8.109375" style="179" customWidth="1"/>
    <col min="16" max="16" width="9.33203125" style="179" customWidth="1"/>
    <col min="17" max="18" width="8.88671875" style="179" customWidth="1"/>
    <col min="19" max="19" width="10.109375" style="179" customWidth="1"/>
    <col min="20" max="20" width="9.88671875" style="179" customWidth="1"/>
    <col min="21" max="21" width="9.44140625" style="179" customWidth="1"/>
    <col min="22" max="22" width="8.88671875" style="179" customWidth="1"/>
    <col min="23" max="23" width="9.88671875" style="179" customWidth="1"/>
    <col min="24" max="25" width="11.33203125" style="179" customWidth="1"/>
    <col min="26" max="26" width="8.5546875" style="179" customWidth="1"/>
    <col min="27" max="27" width="11.33203125" style="179" customWidth="1"/>
    <col min="28" max="29" width="9.109375" style="179"/>
    <col min="30" max="30" width="9.88671875" style="179" customWidth="1"/>
    <col min="31" max="31" width="11.88671875" style="179" customWidth="1"/>
    <col min="32" max="32" width="12.6640625" style="179" bestFit="1" customWidth="1"/>
    <col min="33" max="33" width="12.5546875" style="179" customWidth="1"/>
    <col min="34" max="46" width="9.109375" style="179"/>
    <col min="47" max="47" width="14" style="179" bestFit="1" customWidth="1"/>
    <col min="48" max="51" width="9.109375" style="179"/>
    <col min="52" max="52" width="9.88671875" style="179" bestFit="1" customWidth="1"/>
    <col min="53" max="16384" width="9.109375" style="179"/>
  </cols>
  <sheetData>
    <row r="1" spans="1:24" ht="17.399999999999999" x14ac:dyDescent="0.3">
      <c r="A1" s="178" t="s">
        <v>359</v>
      </c>
      <c r="B1" s="178"/>
      <c r="C1" s="178"/>
    </row>
    <row r="2" spans="1:24" ht="15" customHeight="1" x14ac:dyDescent="0.3">
      <c r="A2" s="180" t="s">
        <v>0</v>
      </c>
      <c r="B2" s="180"/>
      <c r="C2" s="180"/>
    </row>
    <row r="3" spans="1:24" x14ac:dyDescent="0.25">
      <c r="A3" s="146" t="s">
        <v>362</v>
      </c>
      <c r="B3" s="181"/>
      <c r="C3" s="181"/>
    </row>
    <row r="4" spans="1:24" s="182" customFormat="1" ht="10.199999999999999" hidden="1" x14ac:dyDescent="0.2">
      <c r="A4" s="182" t="s">
        <v>364</v>
      </c>
      <c r="C4" s="182" t="s">
        <v>365</v>
      </c>
      <c r="H4" s="182" t="s">
        <v>366</v>
      </c>
      <c r="I4" s="182" t="s">
        <v>367</v>
      </c>
      <c r="J4" s="182" t="s">
        <v>368</v>
      </c>
      <c r="K4" s="182" t="s">
        <v>369</v>
      </c>
      <c r="L4" s="182" t="s">
        <v>370</v>
      </c>
      <c r="M4" s="182" t="s">
        <v>371</v>
      </c>
      <c r="N4" s="182" t="s">
        <v>372</v>
      </c>
      <c r="O4" s="182" t="s">
        <v>373</v>
      </c>
      <c r="P4" s="182" t="s">
        <v>374</v>
      </c>
      <c r="Q4" s="182" t="s">
        <v>375</v>
      </c>
      <c r="R4" s="182" t="s">
        <v>361</v>
      </c>
      <c r="S4" s="182" t="s">
        <v>376</v>
      </c>
      <c r="T4" s="182" t="s">
        <v>377</v>
      </c>
      <c r="U4" s="182" t="s">
        <v>378</v>
      </c>
      <c r="V4" s="182" t="s">
        <v>379</v>
      </c>
      <c r="W4" s="182" t="s">
        <v>360</v>
      </c>
      <c r="X4" s="182" t="s">
        <v>380</v>
      </c>
    </row>
    <row r="5" spans="1:24" s="184" customFormat="1" ht="10.199999999999999" x14ac:dyDescent="0.2">
      <c r="A5" s="183"/>
      <c r="B5" s="183"/>
      <c r="C5" s="183"/>
      <c r="G5" s="185"/>
      <c r="H5" s="186"/>
      <c r="I5" s="186"/>
    </row>
    <row r="6" spans="1:24" s="184" customFormat="1" x14ac:dyDescent="0.25">
      <c r="A6" s="187" t="s">
        <v>382</v>
      </c>
      <c r="B6" s="188">
        <v>37109</v>
      </c>
      <c r="C6" s="189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1"/>
      <c r="V6" s="192"/>
      <c r="W6" s="192"/>
      <c r="X6" s="193"/>
    </row>
    <row r="7" spans="1:24" s="184" customFormat="1" x14ac:dyDescent="0.25">
      <c r="A7" s="194"/>
      <c r="B7" s="194"/>
      <c r="C7" s="189"/>
      <c r="D7" s="190"/>
      <c r="E7" s="190"/>
      <c r="F7" s="190"/>
      <c r="G7" s="190"/>
      <c r="H7" s="195" t="s">
        <v>3</v>
      </c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353" t="s">
        <v>4</v>
      </c>
      <c r="V7" s="354"/>
      <c r="W7" s="354"/>
      <c r="X7" s="196" t="s">
        <v>6</v>
      </c>
    </row>
    <row r="8" spans="1:24" s="184" customFormat="1" x14ac:dyDescent="0.25">
      <c r="A8" s="197"/>
      <c r="B8" s="197"/>
      <c r="C8" s="198" t="s">
        <v>7</v>
      </c>
      <c r="D8" s="198" t="s">
        <v>8</v>
      </c>
      <c r="E8" s="199" t="s">
        <v>9</v>
      </c>
      <c r="F8" s="199"/>
      <c r="G8" s="198" t="s">
        <v>10</v>
      </c>
      <c r="H8" s="198" t="s">
        <v>10</v>
      </c>
      <c r="I8" s="355" t="s">
        <v>383</v>
      </c>
      <c r="J8" s="356"/>
      <c r="K8" s="356"/>
      <c r="L8" s="199" t="s">
        <v>384</v>
      </c>
      <c r="M8" s="199"/>
      <c r="N8" s="199"/>
      <c r="O8" s="199" t="s">
        <v>13</v>
      </c>
      <c r="P8" s="199"/>
      <c r="Q8" s="199"/>
      <c r="R8" s="198" t="s">
        <v>14</v>
      </c>
      <c r="S8" s="200" t="s">
        <v>385</v>
      </c>
      <c r="T8" s="198" t="s">
        <v>16</v>
      </c>
      <c r="U8" s="198" t="s">
        <v>17</v>
      </c>
      <c r="V8" s="198"/>
      <c r="W8" s="198" t="s">
        <v>18</v>
      </c>
      <c r="X8" s="198" t="s">
        <v>386</v>
      </c>
    </row>
    <row r="9" spans="1:24" s="193" customFormat="1" ht="10.199999999999999" x14ac:dyDescent="0.2">
      <c r="A9" s="195" t="s">
        <v>21</v>
      </c>
      <c r="B9" s="195"/>
      <c r="C9" s="195" t="s">
        <v>23</v>
      </c>
      <c r="D9" s="195" t="s">
        <v>24</v>
      </c>
      <c r="E9" s="195" t="s">
        <v>25</v>
      </c>
      <c r="F9" s="195" t="s">
        <v>26</v>
      </c>
      <c r="G9" s="195" t="s">
        <v>27</v>
      </c>
      <c r="H9" s="195" t="s">
        <v>27</v>
      </c>
      <c r="I9" s="195" t="s">
        <v>28</v>
      </c>
      <c r="J9" s="201" t="s">
        <v>111</v>
      </c>
      <c r="K9" s="201" t="s">
        <v>112</v>
      </c>
      <c r="L9" s="196" t="s">
        <v>28</v>
      </c>
      <c r="M9" s="201" t="s">
        <v>111</v>
      </c>
      <c r="N9" s="201" t="s">
        <v>112</v>
      </c>
      <c r="O9" s="201" t="s">
        <v>28</v>
      </c>
      <c r="P9" s="201" t="s">
        <v>111</v>
      </c>
      <c r="Q9" s="201" t="s">
        <v>112</v>
      </c>
      <c r="R9" s="195" t="s">
        <v>29</v>
      </c>
      <c r="S9" s="195" t="s">
        <v>387</v>
      </c>
      <c r="T9" s="195" t="s">
        <v>31</v>
      </c>
      <c r="U9" s="195" t="s">
        <v>32</v>
      </c>
      <c r="V9" s="195" t="s">
        <v>33</v>
      </c>
      <c r="W9" s="195" t="s">
        <v>34</v>
      </c>
      <c r="X9" s="195" t="s">
        <v>36</v>
      </c>
    </row>
    <row r="10" spans="1:24" s="193" customFormat="1" ht="3" customHeight="1" x14ac:dyDescent="0.2">
      <c r="A10" s="202" t="s">
        <v>37</v>
      </c>
      <c r="B10" s="202"/>
      <c r="C10" s="202"/>
      <c r="D10" s="202" t="s">
        <v>37</v>
      </c>
      <c r="E10" s="202" t="s">
        <v>37</v>
      </c>
      <c r="F10" s="202" t="s">
        <v>37</v>
      </c>
      <c r="G10" s="202" t="s">
        <v>37</v>
      </c>
      <c r="H10" s="202" t="s">
        <v>37</v>
      </c>
      <c r="I10" s="202"/>
      <c r="J10" s="202" t="s">
        <v>37</v>
      </c>
      <c r="K10" s="202" t="s">
        <v>37</v>
      </c>
      <c r="L10" s="202" t="s">
        <v>37</v>
      </c>
      <c r="M10" s="202"/>
      <c r="N10" s="202" t="s">
        <v>37</v>
      </c>
      <c r="O10" s="202"/>
      <c r="P10" s="202" t="s">
        <v>37</v>
      </c>
      <c r="Q10" s="202" t="s">
        <v>37</v>
      </c>
      <c r="R10" s="202"/>
      <c r="S10" s="202" t="s">
        <v>37</v>
      </c>
      <c r="T10" s="202" t="s">
        <v>37</v>
      </c>
      <c r="U10" s="202" t="s">
        <v>37</v>
      </c>
      <c r="V10" s="202" t="s">
        <v>37</v>
      </c>
      <c r="W10" s="202" t="s">
        <v>37</v>
      </c>
      <c r="X10" s="202" t="s">
        <v>37</v>
      </c>
    </row>
    <row r="11" spans="1:24" s="193" customFormat="1" ht="13.2" customHeight="1" x14ac:dyDescent="0.2">
      <c r="A11" s="202"/>
      <c r="B11" s="202"/>
      <c r="C11" s="203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P11" s="202"/>
      <c r="Q11" s="202"/>
      <c r="R11" s="202"/>
      <c r="S11" s="202"/>
      <c r="T11" s="202"/>
      <c r="U11" s="202"/>
      <c r="V11" s="202"/>
      <c r="W11" s="202"/>
    </row>
    <row r="12" spans="1:24" s="184" customFormat="1" ht="10.199999999999999" x14ac:dyDescent="0.2">
      <c r="A12" s="184" t="s">
        <v>388</v>
      </c>
      <c r="B12" s="204" t="s">
        <v>389</v>
      </c>
      <c r="C12" s="205">
        <v>37109</v>
      </c>
      <c r="D12" s="206">
        <v>59.95</v>
      </c>
      <c r="E12" s="206">
        <v>78.45</v>
      </c>
      <c r="F12" s="206">
        <v>51.92</v>
      </c>
      <c r="G12" s="207">
        <v>9243.2741841000006</v>
      </c>
      <c r="H12" s="207">
        <v>13645.274184100001</v>
      </c>
      <c r="I12" s="208">
        <v>9.7236210646959904</v>
      </c>
      <c r="J12" s="208">
        <v>6.7612621702400633</v>
      </c>
      <c r="K12" s="208">
        <v>9.0567149135948597</v>
      </c>
      <c r="L12" s="208">
        <v>4.1349531108973805</v>
      </c>
      <c r="M12" s="208">
        <v>3.048975519230769</v>
      </c>
      <c r="N12" s="208">
        <v>3.5367646103303523</v>
      </c>
      <c r="O12" s="208">
        <v>5.351297770147851</v>
      </c>
      <c r="P12" s="208">
        <v>3.7135252291752847</v>
      </c>
      <c r="Q12" s="208">
        <v>4.3382798959660374</v>
      </c>
      <c r="R12" s="209">
        <v>0.38512086115563865</v>
      </c>
      <c r="S12" s="208">
        <v>1.8653308950214922</v>
      </c>
      <c r="T12" s="209">
        <v>1.0008339999999999E-2</v>
      </c>
      <c r="U12" s="210">
        <v>1600.6744855967079</v>
      </c>
      <c r="V12" s="209">
        <v>0.42507029572667282</v>
      </c>
      <c r="W12" s="211">
        <v>6.2795135459971991</v>
      </c>
      <c r="X12" s="210">
        <v>154.18305561467889</v>
      </c>
    </row>
    <row r="13" spans="1:24" s="184" customFormat="1" ht="12" customHeight="1" x14ac:dyDescent="0.2">
      <c r="A13" s="184" t="s">
        <v>390</v>
      </c>
      <c r="B13" s="204" t="s">
        <v>391</v>
      </c>
      <c r="C13" s="205">
        <v>37109</v>
      </c>
      <c r="D13" s="206">
        <v>28.28</v>
      </c>
      <c r="E13" s="206">
        <v>38.89</v>
      </c>
      <c r="F13" s="206">
        <v>24.6</v>
      </c>
      <c r="G13" s="207">
        <v>3707.2994349999999</v>
      </c>
      <c r="H13" s="207">
        <v>5338.3994350000003</v>
      </c>
      <c r="I13" s="208">
        <v>14.936742284448028</v>
      </c>
      <c r="J13" s="208">
        <v>6.1441181242645682</v>
      </c>
      <c r="K13" s="208">
        <v>10.203304962528517</v>
      </c>
      <c r="L13" s="208">
        <v>4.6521513803488519</v>
      </c>
      <c r="M13" s="208">
        <v>2.4391427668184948</v>
      </c>
      <c r="N13" s="208">
        <v>3.3620199827695654</v>
      </c>
      <c r="O13" s="208">
        <v>6.322121547844624</v>
      </c>
      <c r="P13" s="208">
        <v>3.1932523425700228</v>
      </c>
      <c r="Q13" s="208">
        <v>4.1373383784211084</v>
      </c>
      <c r="R13" s="209">
        <v>0.47605288503633658</v>
      </c>
      <c r="S13" s="208">
        <v>2.065117777963458</v>
      </c>
      <c r="T13" s="209">
        <v>0</v>
      </c>
      <c r="U13" s="210">
        <v>657.94299999999998</v>
      </c>
      <c r="V13" s="209">
        <v>0.6330335606579901</v>
      </c>
      <c r="W13" s="211">
        <v>8.1137719148923235</v>
      </c>
      <c r="X13" s="210">
        <v>131.092625</v>
      </c>
    </row>
    <row r="14" spans="1:24" s="184" customFormat="1" ht="10.199999999999999" x14ac:dyDescent="0.2">
      <c r="A14" s="184" t="s">
        <v>392</v>
      </c>
      <c r="B14" s="204" t="s">
        <v>393</v>
      </c>
      <c r="C14" s="205">
        <v>37109</v>
      </c>
      <c r="D14" s="206">
        <v>9.65</v>
      </c>
      <c r="E14" s="206">
        <v>16.7</v>
      </c>
      <c r="F14" s="206">
        <v>9</v>
      </c>
      <c r="G14" s="207">
        <v>430.91393999999997</v>
      </c>
      <c r="H14" s="207">
        <v>885.90193999999997</v>
      </c>
      <c r="I14" s="208">
        <v>9.8409139490271276</v>
      </c>
      <c r="J14" s="208">
        <v>8.9248554913294793</v>
      </c>
      <c r="K14" s="208">
        <v>7.72</v>
      </c>
      <c r="L14" s="208">
        <v>2.7742550506676276</v>
      </c>
      <c r="M14" s="208">
        <v>2.4461343472750317</v>
      </c>
      <c r="N14" s="208">
        <v>2.1656193895870737</v>
      </c>
      <c r="O14" s="208">
        <v>5.0848444531178245</v>
      </c>
      <c r="P14" s="208">
        <v>4.4769867419058142</v>
      </c>
      <c r="Q14" s="208">
        <v>4.196616694139915</v>
      </c>
      <c r="R14" s="209">
        <v>0.58223612660685287</v>
      </c>
      <c r="S14" s="208">
        <v>1.1162098790056236</v>
      </c>
      <c r="T14" s="209">
        <v>0</v>
      </c>
      <c r="U14" s="210">
        <v>141.33000000000001</v>
      </c>
      <c r="V14" s="209">
        <v>0.2017123045354843</v>
      </c>
      <c r="W14" s="211">
        <v>6.210378630771026</v>
      </c>
      <c r="X14" s="210">
        <v>44.654294300518131</v>
      </c>
    </row>
    <row r="15" spans="1:24" s="197" customFormat="1" ht="10.199999999999999" x14ac:dyDescent="0.2">
      <c r="A15" s="184" t="s">
        <v>394</v>
      </c>
      <c r="B15" s="212" t="s">
        <v>395</v>
      </c>
      <c r="C15" s="205">
        <v>37109</v>
      </c>
      <c r="D15" s="206">
        <v>27.6</v>
      </c>
      <c r="E15" s="206">
        <v>34.75</v>
      </c>
      <c r="F15" s="206">
        <v>23</v>
      </c>
      <c r="G15" s="207">
        <v>783.54436515999998</v>
      </c>
      <c r="H15" s="207">
        <v>804.45636516000002</v>
      </c>
      <c r="I15" s="208">
        <v>12.769627854628423</v>
      </c>
      <c r="J15" s="208">
        <v>6.4798574690704607</v>
      </c>
      <c r="K15" s="208">
        <v>7.2711311621087384</v>
      </c>
      <c r="L15" s="208">
        <v>5.6346181488432965</v>
      </c>
      <c r="M15" s="208">
        <v>3.0085985568759965</v>
      </c>
      <c r="N15" s="208">
        <v>2.8966198717204614</v>
      </c>
      <c r="O15" s="208">
        <v>5.5431581188760113</v>
      </c>
      <c r="P15" s="208">
        <v>3.0300701913059203</v>
      </c>
      <c r="Q15" s="208">
        <v>2.9137151798850387</v>
      </c>
      <c r="R15" s="209">
        <v>9.3012084632457262E-2</v>
      </c>
      <c r="S15" s="208">
        <v>3.8424294212898258</v>
      </c>
      <c r="T15" s="209">
        <v>0</v>
      </c>
      <c r="U15" s="210">
        <v>44.294666666666664</v>
      </c>
      <c r="V15" s="209">
        <v>0.84986905872791307</v>
      </c>
      <c r="W15" s="211">
        <v>18.126520703937476</v>
      </c>
      <c r="X15" s="210">
        <v>28.389288592753623</v>
      </c>
    </row>
    <row r="16" spans="1:24" s="184" customFormat="1" ht="10.199999999999999" x14ac:dyDescent="0.2">
      <c r="A16" s="184" t="s">
        <v>396</v>
      </c>
      <c r="B16" s="204" t="s">
        <v>397</v>
      </c>
      <c r="C16" s="205">
        <v>37109</v>
      </c>
      <c r="D16" s="206">
        <v>33</v>
      </c>
      <c r="E16" s="206">
        <v>46</v>
      </c>
      <c r="F16" s="206">
        <v>29.25</v>
      </c>
      <c r="G16" s="207">
        <v>1966.26387</v>
      </c>
      <c r="H16" s="207">
        <v>2070.56387</v>
      </c>
      <c r="I16" s="208">
        <v>9.4668457871930709</v>
      </c>
      <c r="J16" s="208">
        <v>5.5329579624788598</v>
      </c>
      <c r="K16" s="208">
        <v>7.273003872743212</v>
      </c>
      <c r="L16" s="208">
        <v>3.311936987316614</v>
      </c>
      <c r="M16" s="208">
        <v>2.9256309051574059</v>
      </c>
      <c r="N16" s="208">
        <v>3.4311657941576796</v>
      </c>
      <c r="O16" s="208">
        <v>3.3044428183849348</v>
      </c>
      <c r="P16" s="208">
        <v>2.2889047864878638</v>
      </c>
      <c r="Q16" s="208">
        <v>2.6338896535406628</v>
      </c>
      <c r="R16" s="209">
        <v>0.10349213691026828</v>
      </c>
      <c r="S16" s="208">
        <v>2.5854883234714006</v>
      </c>
      <c r="T16" s="209">
        <v>0</v>
      </c>
      <c r="U16" s="210">
        <v>211.75666666666666</v>
      </c>
      <c r="V16" s="209">
        <v>0.89512490751963736</v>
      </c>
      <c r="W16" s="211">
        <v>9.7780339225840969</v>
      </c>
      <c r="X16" s="210">
        <v>59.583753636363639</v>
      </c>
    </row>
    <row r="17" spans="1:24" s="184" customFormat="1" ht="10.199999999999999" x14ac:dyDescent="0.2">
      <c r="A17" s="184" t="s">
        <v>398</v>
      </c>
      <c r="B17" s="204" t="s">
        <v>399</v>
      </c>
      <c r="C17" s="205">
        <v>37109</v>
      </c>
      <c r="D17" s="206">
        <v>47</v>
      </c>
      <c r="E17" s="206">
        <v>56.2</v>
      </c>
      <c r="F17" s="206">
        <v>37.25</v>
      </c>
      <c r="G17" s="207">
        <v>5757.8899819600001</v>
      </c>
      <c r="H17" s="207">
        <v>8123.889981960001</v>
      </c>
      <c r="I17" s="208">
        <v>7.334891696764327</v>
      </c>
      <c r="J17" s="208">
        <v>6.3805627169438317</v>
      </c>
      <c r="K17" s="208">
        <v>10.107377547009511</v>
      </c>
      <c r="L17" s="208">
        <v>3.0487609774224289</v>
      </c>
      <c r="M17" s="208">
        <v>2.5578071834797504</v>
      </c>
      <c r="N17" s="208">
        <v>3.3330651134988831</v>
      </c>
      <c r="O17" s="208">
        <v>3.7676885177441797</v>
      </c>
      <c r="P17" s="208">
        <v>3.1762233481225475</v>
      </c>
      <c r="Q17" s="208">
        <v>3.9274285977913483</v>
      </c>
      <c r="R17" s="209">
        <v>0.41002172685747529</v>
      </c>
      <c r="S17" s="208">
        <v>1.7289403302885629</v>
      </c>
      <c r="T17" s="209">
        <v>8.5106379999999992E-3</v>
      </c>
      <c r="U17" s="210">
        <v>1200.4839999999999</v>
      </c>
      <c r="V17" s="209">
        <v>0.34942156663479063</v>
      </c>
      <c r="W17" s="211">
        <v>6.7545760078415178</v>
      </c>
      <c r="X17" s="210">
        <v>122.50829748851065</v>
      </c>
    </row>
    <row r="18" spans="1:24" s="184" customFormat="1" ht="10.199999999999999" x14ac:dyDescent="0.2">
      <c r="A18" s="184" t="s">
        <v>400</v>
      </c>
      <c r="B18" s="204" t="s">
        <v>401</v>
      </c>
      <c r="C18" s="205">
        <v>37109</v>
      </c>
      <c r="D18" s="206">
        <v>12.36</v>
      </c>
      <c r="E18" s="206">
        <v>12.48</v>
      </c>
      <c r="F18" s="206">
        <v>6.25</v>
      </c>
      <c r="G18" s="207">
        <v>6472.2346496</v>
      </c>
      <c r="H18" s="207">
        <v>9456.2346495999991</v>
      </c>
      <c r="I18" s="208">
        <v>65.389317534855536</v>
      </c>
      <c r="J18" s="208">
        <v>20.486185581636953</v>
      </c>
      <c r="K18" s="208">
        <v>25.930068116778454</v>
      </c>
      <c r="L18" s="208">
        <v>6.187723139639381</v>
      </c>
      <c r="M18" s="208">
        <v>4.0765171503957784</v>
      </c>
      <c r="N18" s="208">
        <v>4.6309479205695023</v>
      </c>
      <c r="O18" s="208">
        <v>7.099275262462462</v>
      </c>
      <c r="P18" s="208">
        <v>5.555028877997958</v>
      </c>
      <c r="Q18" s="208">
        <v>5.9626239098399179</v>
      </c>
      <c r="R18" s="209">
        <v>0.42448979591836733</v>
      </c>
      <c r="S18" s="208">
        <v>2.544117393710692</v>
      </c>
      <c r="T18" s="209">
        <v>0</v>
      </c>
      <c r="U18" s="210">
        <v>1261.3333333333335</v>
      </c>
      <c r="V18" s="209">
        <v>0.47832980972515854</v>
      </c>
      <c r="W18" s="211">
        <v>7.3688869693531052</v>
      </c>
      <c r="X18" s="210">
        <v>523.64358006472492</v>
      </c>
    </row>
    <row r="19" spans="1:24" s="184" customFormat="1" ht="10.199999999999999" x14ac:dyDescent="0.2">
      <c r="A19" s="184" t="s">
        <v>402</v>
      </c>
      <c r="B19" s="204" t="s">
        <v>403</v>
      </c>
      <c r="C19" s="205">
        <v>37109</v>
      </c>
      <c r="D19" s="206">
        <v>15.94</v>
      </c>
      <c r="E19" s="206">
        <v>17.3</v>
      </c>
      <c r="F19" s="206">
        <v>11.5</v>
      </c>
      <c r="G19" s="207">
        <v>6601.4932600000002</v>
      </c>
      <c r="H19" s="207">
        <v>8711.4932599999993</v>
      </c>
      <c r="I19" s="208">
        <v>13.256010562248996</v>
      </c>
      <c r="J19" s="208">
        <v>8.232150574374371</v>
      </c>
      <c r="K19" s="208">
        <v>14.47553039721957</v>
      </c>
      <c r="L19" s="208">
        <v>4.8863754700222062</v>
      </c>
      <c r="M19" s="208">
        <v>3.0435232615500936</v>
      </c>
      <c r="N19" s="208">
        <v>3.9956017528250376</v>
      </c>
      <c r="O19" s="208">
        <v>5.7806856403450562</v>
      </c>
      <c r="P19" s="208">
        <v>3.6838010564057755</v>
      </c>
      <c r="Q19" s="208">
        <v>4.4825051519391099</v>
      </c>
      <c r="R19" s="209">
        <v>0.33265016553681226</v>
      </c>
      <c r="S19" s="208">
        <v>1.5595306543822349</v>
      </c>
      <c r="T19" s="209">
        <v>2.2584689999999998E-2</v>
      </c>
      <c r="U19" s="210">
        <v>872.16666666666674</v>
      </c>
      <c r="V19" s="209">
        <v>0.36480030575195871</v>
      </c>
      <c r="W19" s="211">
        <v>8.3463300671337759</v>
      </c>
      <c r="X19" s="210">
        <v>414.14637766624844</v>
      </c>
    </row>
    <row r="20" spans="1:24" s="184" customFormat="1" ht="10.199999999999999" x14ac:dyDescent="0.2">
      <c r="A20" s="184" t="s">
        <v>405</v>
      </c>
      <c r="B20" s="204" t="s">
        <v>406</v>
      </c>
      <c r="C20" s="205">
        <v>37109</v>
      </c>
      <c r="D20" s="206">
        <v>41.02</v>
      </c>
      <c r="E20" s="206">
        <v>43.5</v>
      </c>
      <c r="F20" s="206">
        <v>34.049999999999997</v>
      </c>
      <c r="G20" s="207">
        <v>16336.74826</v>
      </c>
      <c r="H20" s="207">
        <v>16351.74826</v>
      </c>
      <c r="I20" s="208">
        <v>12.338933731117825</v>
      </c>
      <c r="J20" s="208">
        <v>12.256970890739952</v>
      </c>
      <c r="K20" s="208">
        <v>13.653103984263318</v>
      </c>
      <c r="L20" s="208">
        <v>8.8594079501084604</v>
      </c>
      <c r="M20" s="208">
        <v>8.1523677938146548</v>
      </c>
      <c r="N20" s="208">
        <v>8.7276595744680847</v>
      </c>
      <c r="O20" s="208">
        <v>5.6855870166898468</v>
      </c>
      <c r="P20" s="208">
        <v>5.5880106442434707</v>
      </c>
      <c r="Q20" s="208">
        <v>6.0559653077655176</v>
      </c>
      <c r="R20" s="209">
        <v>0.22072451558550968</v>
      </c>
      <c r="S20" s="208">
        <v>3.5322698940540542</v>
      </c>
      <c r="T20" s="209">
        <v>1.9015109999999998E-2</v>
      </c>
      <c r="U20" s="210">
        <v>2193.1350000000002</v>
      </c>
      <c r="V20" s="209">
        <v>0.14074145002473626</v>
      </c>
      <c r="W20" s="211">
        <v>4.6238791003804449</v>
      </c>
      <c r="X20" s="210">
        <v>398.26299999999998</v>
      </c>
    </row>
    <row r="21" spans="1:24" s="184" customFormat="1" ht="10.199999999999999" x14ac:dyDescent="0.2">
      <c r="A21" s="184" t="s">
        <v>407</v>
      </c>
      <c r="B21" s="204" t="s">
        <v>408</v>
      </c>
      <c r="C21" s="205">
        <v>37109</v>
      </c>
      <c r="D21" s="206">
        <v>40</v>
      </c>
      <c r="E21" s="206">
        <v>45.2</v>
      </c>
      <c r="F21" s="206">
        <v>31</v>
      </c>
      <c r="G21" s="207">
        <v>4812.8850999999995</v>
      </c>
      <c r="H21" s="207">
        <v>6833.8850999999995</v>
      </c>
      <c r="I21" s="208">
        <v>8.3259265474172235</v>
      </c>
      <c r="J21" s="208">
        <v>13.409689588783852</v>
      </c>
      <c r="K21" s="208">
        <v>33.404718971668103</v>
      </c>
      <c r="L21" s="208">
        <v>3.1089783987700734</v>
      </c>
      <c r="M21" s="208">
        <v>3.6050169581409568</v>
      </c>
      <c r="N21" s="208">
        <v>4.7782191202823512</v>
      </c>
      <c r="O21" s="208">
        <v>3.5244379061371838</v>
      </c>
      <c r="P21" s="208">
        <v>3.966038612942596</v>
      </c>
      <c r="Q21" s="208">
        <v>5.080970575377175</v>
      </c>
      <c r="R21" s="209">
        <v>0.46595676024524041</v>
      </c>
      <c r="S21" s="208">
        <v>5.1695865735767983</v>
      </c>
      <c r="T21" s="209" t="s">
        <v>156</v>
      </c>
      <c r="U21" s="210">
        <v>813.16666666666663</v>
      </c>
      <c r="V21" s="209">
        <v>0.16499282639885221</v>
      </c>
      <c r="W21" s="211">
        <v>7.3294864883960686</v>
      </c>
      <c r="X21" s="210">
        <v>120.32212749999999</v>
      </c>
    </row>
    <row r="22" spans="1:24" s="184" customFormat="1" ht="10.199999999999999" x14ac:dyDescent="0.2">
      <c r="A22" s="184" t="s">
        <v>409</v>
      </c>
      <c r="B22" s="204" t="s">
        <v>410</v>
      </c>
      <c r="C22" s="205">
        <v>37109</v>
      </c>
      <c r="D22" s="206">
        <v>43.39</v>
      </c>
      <c r="E22" s="206">
        <v>52.3</v>
      </c>
      <c r="F22" s="206">
        <v>28.55</v>
      </c>
      <c r="G22" s="207">
        <v>9937.8080478800002</v>
      </c>
      <c r="H22" s="207">
        <v>11540.80804788</v>
      </c>
      <c r="I22" s="208">
        <v>9.5638610796650916</v>
      </c>
      <c r="J22" s="208">
        <v>7.8975288536997876</v>
      </c>
      <c r="K22" s="208">
        <v>11.313417835973901</v>
      </c>
      <c r="L22" s="208">
        <v>4.0183607811572513</v>
      </c>
      <c r="M22" s="208">
        <v>3.8451167458803881</v>
      </c>
      <c r="N22" s="208">
        <v>4.8118453903974272</v>
      </c>
      <c r="O22" s="208">
        <v>4.5236782878174973</v>
      </c>
      <c r="P22" s="208">
        <v>3.846835998224047</v>
      </c>
      <c r="Q22" s="208">
        <v>4.7815982047806003</v>
      </c>
      <c r="R22" s="209">
        <v>0.32677012898036994</v>
      </c>
      <c r="S22" s="208">
        <v>2.2613680534929235</v>
      </c>
      <c r="T22" s="209" t="s">
        <v>156</v>
      </c>
      <c r="U22" s="210">
        <v>1029.903</v>
      </c>
      <c r="V22" s="209">
        <v>0.59568716665550059</v>
      </c>
      <c r="W22" s="211">
        <v>7.7338453575791011</v>
      </c>
      <c r="X22" s="210">
        <v>256.22973145609586</v>
      </c>
    </row>
    <row r="23" spans="1:24" s="184" customFormat="1" ht="10.199999999999999" x14ac:dyDescent="0.2">
      <c r="A23" s="184" t="s">
        <v>411</v>
      </c>
      <c r="B23" s="204" t="s">
        <v>412</v>
      </c>
      <c r="C23" s="205">
        <v>37109</v>
      </c>
      <c r="D23" s="206">
        <v>14</v>
      </c>
      <c r="E23" s="206">
        <v>18.75</v>
      </c>
      <c r="F23" s="206">
        <v>11.9</v>
      </c>
      <c r="G23" s="207">
        <v>832.35040000000004</v>
      </c>
      <c r="H23" s="207">
        <v>1109.0724</v>
      </c>
      <c r="I23" s="208">
        <v>9.7111110644427345</v>
      </c>
      <c r="J23" s="208">
        <v>5.2808049153732153</v>
      </c>
      <c r="K23" s="208">
        <v>7.9696379564254354</v>
      </c>
      <c r="L23" s="208">
        <v>3.7309212562855474</v>
      </c>
      <c r="M23" s="208">
        <v>2.4024959874026837</v>
      </c>
      <c r="N23" s="208">
        <v>3.2056617481893164</v>
      </c>
      <c r="O23" s="208">
        <v>4.5013978180401324</v>
      </c>
      <c r="P23" s="208">
        <v>3.0012418477936063</v>
      </c>
      <c r="Q23" s="208">
        <v>4.0148399508982715</v>
      </c>
      <c r="R23" s="209">
        <v>0.36801017668295438</v>
      </c>
      <c r="S23" s="208">
        <v>1.7506544312663135</v>
      </c>
      <c r="T23" s="209">
        <v>0</v>
      </c>
      <c r="U23" s="210">
        <v>91.059000000000026</v>
      </c>
      <c r="V23" s="209">
        <v>0.9482862759309898</v>
      </c>
      <c r="W23" s="211">
        <v>12.179712054821593</v>
      </c>
      <c r="X23" s="210">
        <v>59.453600000000002</v>
      </c>
    </row>
    <row r="24" spans="1:24" s="184" customFormat="1" ht="10.199999999999999" x14ac:dyDescent="0.2">
      <c r="A24" s="184" t="s">
        <v>413</v>
      </c>
      <c r="B24" s="204" t="s">
        <v>414</v>
      </c>
      <c r="C24" s="205">
        <v>37109</v>
      </c>
      <c r="D24" s="206">
        <v>34.299999999999997</v>
      </c>
      <c r="E24" s="206">
        <v>45.25</v>
      </c>
      <c r="F24" s="206">
        <v>30.25</v>
      </c>
      <c r="G24" s="207">
        <v>1786.1323623500002</v>
      </c>
      <c r="H24" s="207">
        <v>2208.0323623500003</v>
      </c>
      <c r="I24" s="208">
        <v>8.0275611791011254</v>
      </c>
      <c r="J24" s="208">
        <v>5.7174348428782231</v>
      </c>
      <c r="K24" s="208">
        <v>7.1112204926126044</v>
      </c>
      <c r="L24" s="208">
        <v>3.1893512175240617</v>
      </c>
      <c r="M24" s="208">
        <v>2.4515657596133789</v>
      </c>
      <c r="N24" s="208">
        <v>3.2402493362153577</v>
      </c>
      <c r="O24" s="208">
        <v>3.6352195626440573</v>
      </c>
      <c r="P24" s="208">
        <v>2.779983358555941</v>
      </c>
      <c r="Q24" s="208">
        <v>3.3365101678203755</v>
      </c>
      <c r="R24" s="209">
        <v>0.30448903002309469</v>
      </c>
      <c r="S24" s="208">
        <v>1.8534111884922695</v>
      </c>
      <c r="T24" s="209">
        <v>0</v>
      </c>
      <c r="U24" s="210">
        <v>319.31666666666666</v>
      </c>
      <c r="V24" s="209">
        <v>0.48609008820919664</v>
      </c>
      <c r="W24" s="211">
        <v>6.9148522643585224</v>
      </c>
      <c r="X24" s="210">
        <v>52.073829806122447</v>
      </c>
    </row>
    <row r="25" spans="1:24" s="184" customFormat="1" ht="10.199999999999999" x14ac:dyDescent="0.2">
      <c r="A25" s="184" t="s">
        <v>415</v>
      </c>
      <c r="B25" s="204" t="s">
        <v>416</v>
      </c>
      <c r="C25" s="205">
        <v>37109</v>
      </c>
      <c r="D25" s="206">
        <v>39.200000000000003</v>
      </c>
      <c r="E25" s="206">
        <v>43.65</v>
      </c>
      <c r="F25" s="206">
        <v>29.5</v>
      </c>
      <c r="G25" s="207">
        <v>10563.952350000001</v>
      </c>
      <c r="H25" s="207">
        <v>10703.952350000001</v>
      </c>
      <c r="I25" s="208">
        <v>12.312298776223777</v>
      </c>
      <c r="J25" s="208">
        <v>10.932543141014468</v>
      </c>
      <c r="K25" s="208">
        <v>12.668143754992927</v>
      </c>
      <c r="L25" s="208">
        <v>5.7948175260559527</v>
      </c>
      <c r="M25" s="208">
        <v>5.5417553594923978</v>
      </c>
      <c r="N25" s="208">
        <v>5.4084952283136936</v>
      </c>
      <c r="O25" s="208">
        <v>4.748869720496895</v>
      </c>
      <c r="P25" s="208">
        <v>4.2641859088743574</v>
      </c>
      <c r="Q25" s="208">
        <v>4.6789658136251804</v>
      </c>
      <c r="R25" s="209">
        <v>0.28059611621255459</v>
      </c>
      <c r="S25" s="208">
        <v>2.2104943188951665</v>
      </c>
      <c r="T25" s="209">
        <v>1.0204079999999999E-2</v>
      </c>
      <c r="U25" s="210">
        <v>802.5</v>
      </c>
      <c r="V25" s="209">
        <v>0.48411214953271026</v>
      </c>
      <c r="W25" s="211">
        <v>8.7039145525151316</v>
      </c>
      <c r="X25" s="210">
        <v>269.48858035714289</v>
      </c>
    </row>
    <row r="26" spans="1:24" s="184" customFormat="1" ht="10.199999999999999" x14ac:dyDescent="0.2">
      <c r="A26" s="184" t="s">
        <v>417</v>
      </c>
      <c r="B26" s="204" t="s">
        <v>418</v>
      </c>
      <c r="C26" s="205">
        <v>37109</v>
      </c>
      <c r="D26" s="206">
        <v>22.35</v>
      </c>
      <c r="E26" s="206">
        <v>34</v>
      </c>
      <c r="F26" s="206">
        <v>20.85</v>
      </c>
      <c r="G26" s="207">
        <v>1660.4785561644444</v>
      </c>
      <c r="H26" s="207">
        <v>2412.6935561644445</v>
      </c>
      <c r="I26" s="208">
        <v>6.3817187863026454</v>
      </c>
      <c r="J26" s="208">
        <v>5.0301069836672996</v>
      </c>
      <c r="K26" s="208">
        <v>7.3125641037399793</v>
      </c>
      <c r="L26" s="208">
        <v>2.8810346460201899</v>
      </c>
      <c r="M26" s="208">
        <v>2.1712385387911319</v>
      </c>
      <c r="N26" s="208">
        <v>2.7281067732256719</v>
      </c>
      <c r="O26" s="208">
        <v>4.1100494463836075</v>
      </c>
      <c r="P26" s="208">
        <v>2.9170659224134132</v>
      </c>
      <c r="Q26" s="208">
        <v>3.458815876969854</v>
      </c>
      <c r="R26" s="209">
        <v>0.43479756189903673</v>
      </c>
      <c r="S26" s="208">
        <v>1.6981433762496618</v>
      </c>
      <c r="T26" s="209">
        <v>0</v>
      </c>
      <c r="U26" s="210">
        <v>268.38599999999997</v>
      </c>
      <c r="V26" s="209">
        <v>0.81785189987555251</v>
      </c>
      <c r="W26" s="211">
        <v>8.9339816455297054</v>
      </c>
      <c r="X26" s="210">
        <v>74.294342557693255</v>
      </c>
    </row>
    <row r="27" spans="1:24" s="184" customFormat="1" ht="10.199999999999999" x14ac:dyDescent="0.2">
      <c r="A27" s="184" t="s">
        <v>419</v>
      </c>
      <c r="B27" s="204" t="s">
        <v>420</v>
      </c>
      <c r="C27" s="205">
        <v>37109</v>
      </c>
      <c r="D27" s="206">
        <v>42</v>
      </c>
      <c r="E27" s="206">
        <v>48.25</v>
      </c>
      <c r="F27" s="206">
        <v>32.75</v>
      </c>
      <c r="G27" s="207">
        <v>11584.240401999999</v>
      </c>
      <c r="H27" s="207">
        <v>11375.240401999999</v>
      </c>
      <c r="I27" s="208">
        <v>13.501445689976689</v>
      </c>
      <c r="J27" s="208">
        <v>11.409598895550825</v>
      </c>
      <c r="K27" s="208">
        <v>13.881746032795295</v>
      </c>
      <c r="L27" s="208">
        <v>9.2304704398406372</v>
      </c>
      <c r="M27" s="208">
        <v>7.7699287109040771</v>
      </c>
      <c r="N27" s="208">
        <v>9.116021559825084</v>
      </c>
      <c r="O27" s="208">
        <v>6.1554331179653676</v>
      </c>
      <c r="P27" s="208">
        <v>5.2934173386757104</v>
      </c>
      <c r="Q27" s="208">
        <v>6.1828890307737892</v>
      </c>
      <c r="R27" s="209">
        <v>1.4890646812470917E-2</v>
      </c>
      <c r="S27" s="208">
        <v>2.7366502248995981</v>
      </c>
      <c r="T27" s="209">
        <v>1.8095239999999999E-2</v>
      </c>
      <c r="U27" s="210">
        <v>1456.491</v>
      </c>
      <c r="V27" s="209">
        <v>0.34225752167366635</v>
      </c>
      <c r="W27" s="211">
        <v>3.5801767473813402</v>
      </c>
      <c r="X27" s="210">
        <v>275.81524766666666</v>
      </c>
    </row>
    <row r="28" spans="1:24" s="184" customFormat="1" ht="10.199999999999999" x14ac:dyDescent="0.2">
      <c r="A28" s="184" t="s">
        <v>421</v>
      </c>
      <c r="B28" s="204" t="s">
        <v>422</v>
      </c>
      <c r="C28" s="205">
        <v>37109</v>
      </c>
      <c r="D28" s="206">
        <v>42.49</v>
      </c>
      <c r="E28" s="206">
        <v>44.38</v>
      </c>
      <c r="F28" s="206">
        <v>29.4</v>
      </c>
      <c r="G28" s="207">
        <v>9493.30079166</v>
      </c>
      <c r="H28" s="207">
        <v>12521.30079166</v>
      </c>
      <c r="I28" s="208">
        <v>23.583572370636364</v>
      </c>
      <c r="J28" s="208">
        <v>21.058714610555036</v>
      </c>
      <c r="K28" s="208">
        <v>13.95931331611389</v>
      </c>
      <c r="L28" s="208">
        <v>9.6472838906632319</v>
      </c>
      <c r="M28" s="208">
        <v>9.8389004513529024</v>
      </c>
      <c r="N28" s="208">
        <v>5.9651195635144152</v>
      </c>
      <c r="O28" s="208">
        <v>11.352040608939257</v>
      </c>
      <c r="P28" s="208">
        <v>10.282807879507061</v>
      </c>
      <c r="Q28" s="208">
        <v>7.8541914776733011</v>
      </c>
      <c r="R28" s="209">
        <v>0.49805371739976645</v>
      </c>
      <c r="S28" s="208">
        <v>4.5972400928135597</v>
      </c>
      <c r="T28" s="209">
        <v>8.0018820000000001E-3</v>
      </c>
      <c r="U28" s="210">
        <v>909.83333333333337</v>
      </c>
      <c r="V28" s="209">
        <v>0.14599743542773402</v>
      </c>
      <c r="W28" s="211">
        <v>12.047473652891766</v>
      </c>
      <c r="X28" s="210">
        <v>223.42435376935748</v>
      </c>
    </row>
    <row r="29" spans="1:24" s="184" customFormat="1" ht="10.199999999999999" x14ac:dyDescent="0.2">
      <c r="A29" s="184" t="s">
        <v>423</v>
      </c>
      <c r="B29" s="204" t="s">
        <v>424</v>
      </c>
      <c r="C29" s="205">
        <v>37109</v>
      </c>
      <c r="D29" s="206">
        <v>60.1</v>
      </c>
      <c r="E29" s="206">
        <v>65.77</v>
      </c>
      <c r="F29" s="206">
        <v>43.8</v>
      </c>
      <c r="G29" s="207">
        <v>8352.2536206000004</v>
      </c>
      <c r="H29" s="207">
        <v>11058.2536206</v>
      </c>
      <c r="I29" s="208">
        <v>9.2153341732655321</v>
      </c>
      <c r="J29" s="208">
        <v>7.234445047431298</v>
      </c>
      <c r="K29" s="208">
        <v>9.7460907957548795</v>
      </c>
      <c r="L29" s="208">
        <v>3.4615818851868947</v>
      </c>
      <c r="M29" s="208">
        <v>2.8464948894835573</v>
      </c>
      <c r="N29" s="208">
        <v>2.944930768937847</v>
      </c>
      <c r="O29" s="208">
        <v>3.7182561316699192</v>
      </c>
      <c r="P29" s="208">
        <v>3.0804144732703986</v>
      </c>
      <c r="Q29" s="208">
        <v>3.3221516824578909</v>
      </c>
      <c r="R29" s="209">
        <v>0.39573384272524675</v>
      </c>
      <c r="S29" s="208">
        <v>2.3493062614198919</v>
      </c>
      <c r="T29" s="209">
        <v>9.9833620000000008E-3</v>
      </c>
      <c r="U29" s="210">
        <v>1232.6833333333334</v>
      </c>
      <c r="V29" s="209">
        <v>0.4817809386027771</v>
      </c>
      <c r="W29" s="211">
        <v>8.8712508824068106</v>
      </c>
      <c r="X29" s="210">
        <v>138.97260600000001</v>
      </c>
    </row>
    <row r="30" spans="1:24" s="184" customFormat="1" ht="10.199999999999999" x14ac:dyDescent="0.2">
      <c r="A30" s="184" t="s">
        <v>425</v>
      </c>
      <c r="B30" s="204" t="s">
        <v>426</v>
      </c>
      <c r="C30" s="205">
        <v>37109</v>
      </c>
      <c r="D30" s="206">
        <v>9.85</v>
      </c>
      <c r="E30" s="206">
        <v>12.5</v>
      </c>
      <c r="F30" s="206">
        <v>6.7</v>
      </c>
      <c r="G30" s="207">
        <v>491.74260243999998</v>
      </c>
      <c r="H30" s="207">
        <v>576.45960244000003</v>
      </c>
      <c r="I30" s="208">
        <v>8.0024508525769313</v>
      </c>
      <c r="J30" s="208">
        <v>6.7581475128644932</v>
      </c>
      <c r="K30" s="208">
        <v>7.3743331281996003</v>
      </c>
      <c r="L30" s="208">
        <v>3.559457422964726</v>
      </c>
      <c r="M30" s="208">
        <v>3.2377650283246919</v>
      </c>
      <c r="N30" s="208">
        <v>3.4751071197359624</v>
      </c>
      <c r="O30" s="208">
        <v>3.9133743080004075</v>
      </c>
      <c r="P30" s="208">
        <v>3.3648186697430797</v>
      </c>
      <c r="Q30" s="208">
        <v>3.5882256010904219</v>
      </c>
      <c r="R30" s="209">
        <v>0.28974523123974111</v>
      </c>
      <c r="S30" s="208">
        <v>2.1006113007112495</v>
      </c>
      <c r="T30" s="209">
        <v>0</v>
      </c>
      <c r="U30" s="210">
        <v>88.114333333333335</v>
      </c>
      <c r="V30" s="209">
        <v>0.33047215171198024</v>
      </c>
      <c r="W30" s="211">
        <v>6.5305300433661495</v>
      </c>
      <c r="X30" s="210">
        <v>49.923106846700506</v>
      </c>
    </row>
    <row r="31" spans="1:24" s="184" customFormat="1" ht="10.199999999999999" x14ac:dyDescent="0.2">
      <c r="D31" s="213"/>
      <c r="E31" s="213"/>
      <c r="F31" s="213"/>
      <c r="G31" s="214"/>
      <c r="H31" s="214"/>
      <c r="I31" s="214"/>
      <c r="J31" s="215"/>
      <c r="K31" s="215"/>
      <c r="L31" s="215"/>
      <c r="M31" s="215"/>
      <c r="N31" s="215"/>
      <c r="O31" s="215"/>
      <c r="P31" s="215"/>
      <c r="Q31" s="215"/>
      <c r="R31" s="216"/>
      <c r="S31" s="215"/>
      <c r="T31" s="216"/>
      <c r="U31" s="217"/>
      <c r="V31" s="210"/>
      <c r="W31" s="211"/>
      <c r="X31" s="193"/>
    </row>
    <row r="32" spans="1:24" s="184" customFormat="1" ht="10.199999999999999" x14ac:dyDescent="0.2">
      <c r="A32" s="197" t="s">
        <v>427</v>
      </c>
      <c r="F32" s="218" t="s">
        <v>38</v>
      </c>
      <c r="G32" s="219"/>
      <c r="H32" s="219"/>
      <c r="I32" s="219"/>
      <c r="J32" s="220">
        <v>9.2593650196261592</v>
      </c>
      <c r="K32" s="220">
        <v>12.127969544448566</v>
      </c>
      <c r="L32" s="220">
        <v>4.8480231410386745</v>
      </c>
      <c r="M32" s="220">
        <v>3.968893469157059</v>
      </c>
      <c r="N32" s="220">
        <v>4.3028010851875669</v>
      </c>
      <c r="O32" s="220">
        <v>5.1643083186161656</v>
      </c>
      <c r="P32" s="220">
        <v>4.0790849067481512</v>
      </c>
      <c r="Q32" s="221">
        <v>4.4709221658292382</v>
      </c>
      <c r="R32" s="222">
        <v>0.33720229002422075</v>
      </c>
      <c r="S32" s="220">
        <v>2.5035210732107775</v>
      </c>
      <c r="T32" s="222">
        <v>6.2590201176470584E-3</v>
      </c>
      <c r="U32" s="223"/>
      <c r="V32" s="222">
        <v>0.48082272175385793</v>
      </c>
      <c r="W32" s="224">
        <v>8.3382691869545855</v>
      </c>
      <c r="X32" s="193"/>
    </row>
    <row r="33" spans="1:24" s="184" customFormat="1" ht="10.199999999999999" x14ac:dyDescent="0.2">
      <c r="F33" s="225" t="s">
        <v>39</v>
      </c>
      <c r="G33" s="226"/>
      <c r="H33" s="227"/>
      <c r="I33" s="227"/>
      <c r="J33" s="228">
        <v>7.234445047431298</v>
      </c>
      <c r="K33" s="228">
        <v>10.107377547009511</v>
      </c>
      <c r="L33" s="228">
        <v>4.0183607811572513</v>
      </c>
      <c r="M33" s="228">
        <v>3.0435232615500936</v>
      </c>
      <c r="N33" s="228">
        <v>3.4751071197359624</v>
      </c>
      <c r="O33" s="228">
        <v>4.748869720496895</v>
      </c>
      <c r="P33" s="228">
        <v>3.6838010564057755</v>
      </c>
      <c r="Q33" s="229">
        <v>4.196616694139915</v>
      </c>
      <c r="R33" s="230">
        <v>0.36801017668295438</v>
      </c>
      <c r="S33" s="228">
        <v>2.2104943188951665</v>
      </c>
      <c r="T33" s="230">
        <v>0</v>
      </c>
      <c r="U33" s="231"/>
      <c r="V33" s="230">
        <v>0.47832980972515854</v>
      </c>
      <c r="W33" s="232">
        <v>7.7338453575791011</v>
      </c>
      <c r="X33" s="193"/>
    </row>
    <row r="34" spans="1:24" s="184" customFormat="1" ht="10.199999999999999" x14ac:dyDescent="0.2">
      <c r="F34" s="233" t="s">
        <v>25</v>
      </c>
      <c r="G34" s="193"/>
      <c r="H34" s="234"/>
      <c r="I34" s="234"/>
      <c r="J34" s="228">
        <v>21.058714610555036</v>
      </c>
      <c r="K34" s="228">
        <v>33.404718971668103</v>
      </c>
      <c r="L34" s="228">
        <v>9.6472838906632319</v>
      </c>
      <c r="M34" s="228">
        <v>9.8389004513529024</v>
      </c>
      <c r="N34" s="228">
        <v>9.116021559825084</v>
      </c>
      <c r="O34" s="228">
        <v>11.352040608939257</v>
      </c>
      <c r="P34" s="228">
        <v>10.282807879507061</v>
      </c>
      <c r="Q34" s="229">
        <v>7.8541914776733011</v>
      </c>
      <c r="R34" s="230">
        <v>0.58223612660685287</v>
      </c>
      <c r="S34" s="228">
        <v>5.1695865735767983</v>
      </c>
      <c r="T34" s="230">
        <v>2.2584689999999998E-2</v>
      </c>
      <c r="U34" s="231"/>
      <c r="V34" s="230">
        <v>0.9482862759309898</v>
      </c>
      <c r="W34" s="232">
        <v>18.126520703937476</v>
      </c>
      <c r="X34" s="193"/>
    </row>
    <row r="35" spans="1:24" s="184" customFormat="1" ht="10.199999999999999" x14ac:dyDescent="0.2">
      <c r="F35" s="235" t="s">
        <v>26</v>
      </c>
      <c r="G35" s="236"/>
      <c r="H35" s="237"/>
      <c r="I35" s="237"/>
      <c r="J35" s="238">
        <v>5.0301069836672996</v>
      </c>
      <c r="K35" s="238">
        <v>7.1112204926126044</v>
      </c>
      <c r="L35" s="238">
        <v>2.7742550506676276</v>
      </c>
      <c r="M35" s="238">
        <v>2.1712385387911319</v>
      </c>
      <c r="N35" s="238">
        <v>2.1656193895870737</v>
      </c>
      <c r="O35" s="238">
        <v>3.3044428183849348</v>
      </c>
      <c r="P35" s="238">
        <v>2.2889047864878638</v>
      </c>
      <c r="Q35" s="239">
        <v>2.6338896535406628</v>
      </c>
      <c r="R35" s="240">
        <v>1.4890646812470917E-2</v>
      </c>
      <c r="S35" s="238">
        <v>1.1162098790056236</v>
      </c>
      <c r="T35" s="240">
        <v>0</v>
      </c>
      <c r="U35" s="241"/>
      <c r="V35" s="240">
        <v>0.14074145002473626</v>
      </c>
      <c r="W35" s="242">
        <v>3.5801767473813402</v>
      </c>
      <c r="X35" s="193"/>
    </row>
    <row r="36" spans="1:24" x14ac:dyDescent="0.25">
      <c r="X36" s="243"/>
    </row>
    <row r="37" spans="1:24" x14ac:dyDescent="0.25">
      <c r="L37" s="244"/>
      <c r="M37" s="244"/>
      <c r="N37" s="244"/>
      <c r="O37" s="244"/>
      <c r="P37" s="244"/>
      <c r="Q37" s="244"/>
      <c r="R37" s="244"/>
      <c r="S37" s="244"/>
      <c r="T37" s="244"/>
      <c r="U37" s="244"/>
      <c r="V37" s="244"/>
      <c r="W37" s="244"/>
      <c r="X37" s="245"/>
    </row>
    <row r="38" spans="1:24" x14ac:dyDescent="0.25">
      <c r="A38" s="246"/>
      <c r="B38" s="47" t="s">
        <v>40</v>
      </c>
      <c r="C38" s="47"/>
      <c r="D38" s="47" t="s">
        <v>41</v>
      </c>
      <c r="E38" s="47"/>
      <c r="F38" s="47"/>
      <c r="G38" s="47" t="s">
        <v>42</v>
      </c>
      <c r="H38" s="47"/>
      <c r="I38" s="47"/>
      <c r="J38" s="347" t="s">
        <v>43</v>
      </c>
      <c r="K38" s="357"/>
      <c r="L38" s="49"/>
      <c r="P38" s="49" t="s">
        <v>44</v>
      </c>
      <c r="Q38" s="49"/>
      <c r="R38" s="49"/>
      <c r="S38" s="49"/>
      <c r="U38" s="47" t="s">
        <v>45</v>
      </c>
      <c r="V38" s="47"/>
      <c r="W38" s="47"/>
    </row>
    <row r="39" spans="1:24" hidden="1" x14ac:dyDescent="0.25">
      <c r="A39" s="247"/>
      <c r="B39" s="150" t="s">
        <v>37</v>
      </c>
      <c r="C39" s="58"/>
      <c r="D39" s="150" t="s">
        <v>37</v>
      </c>
      <c r="E39" s="58"/>
      <c r="F39" s="58"/>
      <c r="G39" s="150" t="s">
        <v>37</v>
      </c>
      <c r="H39" s="58"/>
      <c r="I39" s="58"/>
      <c r="J39" s="248"/>
      <c r="K39" s="249" t="s">
        <v>37</v>
      </c>
      <c r="L39" s="250"/>
      <c r="P39" s="150" t="s">
        <v>37</v>
      </c>
      <c r="Q39" s="58"/>
      <c r="R39" s="58"/>
      <c r="S39" s="58"/>
      <c r="U39" s="251" t="s">
        <v>37</v>
      </c>
      <c r="V39" s="251"/>
      <c r="W39" s="251"/>
    </row>
    <row r="40" spans="1:24" x14ac:dyDescent="0.25">
      <c r="B40" s="39"/>
      <c r="C40" s="39"/>
      <c r="D40" s="50" t="s">
        <v>46</v>
      </c>
      <c r="E40" s="50" t="s">
        <v>47</v>
      </c>
      <c r="F40" s="50" t="s">
        <v>7</v>
      </c>
      <c r="G40" s="51" t="s">
        <v>48</v>
      </c>
      <c r="H40" s="38"/>
      <c r="I40" s="38"/>
      <c r="J40" s="38"/>
      <c r="K40" s="250"/>
      <c r="L40" s="250"/>
      <c r="M40" s="252"/>
      <c r="N40" s="252"/>
      <c r="O40" s="252"/>
      <c r="P40" s="50" t="s">
        <v>49</v>
      </c>
      <c r="Q40" s="50">
        <v>2000</v>
      </c>
      <c r="R40" s="50" t="s">
        <v>50</v>
      </c>
      <c r="S40" s="50" t="s">
        <v>51</v>
      </c>
      <c r="U40" s="251" t="s">
        <v>52</v>
      </c>
      <c r="V40" s="251" t="s">
        <v>53</v>
      </c>
      <c r="W40" s="251" t="s">
        <v>54</v>
      </c>
    </row>
    <row r="41" spans="1:24" s="184" customFormat="1" x14ac:dyDescent="0.25">
      <c r="B41" s="61" t="s">
        <v>57</v>
      </c>
      <c r="C41" s="61" t="s">
        <v>58</v>
      </c>
      <c r="D41" s="61" t="s">
        <v>59</v>
      </c>
      <c r="E41" s="61" t="s">
        <v>60</v>
      </c>
      <c r="F41" s="61" t="s">
        <v>61</v>
      </c>
      <c r="G41" s="61" t="s">
        <v>62</v>
      </c>
      <c r="H41" s="61" t="s">
        <v>7</v>
      </c>
      <c r="I41" s="61"/>
      <c r="J41" s="61" t="s">
        <v>63</v>
      </c>
      <c r="K41" s="61" t="s">
        <v>64</v>
      </c>
      <c r="L41" s="250"/>
      <c r="M41" s="253"/>
      <c r="N41" s="251"/>
      <c r="O41" s="251"/>
      <c r="P41" s="61" t="s">
        <v>65</v>
      </c>
      <c r="Q41" s="61" t="s">
        <v>66</v>
      </c>
      <c r="R41" s="254" t="s">
        <v>67</v>
      </c>
      <c r="S41" s="61" t="s">
        <v>68</v>
      </c>
      <c r="U41" s="239" t="s">
        <v>69</v>
      </c>
      <c r="V41" s="239" t="s">
        <v>70</v>
      </c>
      <c r="W41" s="239" t="s">
        <v>71</v>
      </c>
      <c r="X41" s="210"/>
    </row>
    <row r="42" spans="1:24" s="184" customFormat="1" hidden="1" x14ac:dyDescent="0.25">
      <c r="A42" s="184" t="s">
        <v>428</v>
      </c>
      <c r="B42" s="39"/>
      <c r="C42" s="39"/>
      <c r="D42" s="39" t="s">
        <v>429</v>
      </c>
      <c r="E42" s="39" t="s">
        <v>430</v>
      </c>
      <c r="F42" s="39" t="s">
        <v>431</v>
      </c>
      <c r="G42" s="39" t="s">
        <v>432</v>
      </c>
      <c r="H42" s="39" t="s">
        <v>433</v>
      </c>
      <c r="I42" s="39"/>
      <c r="J42" s="39"/>
      <c r="K42" s="39"/>
      <c r="L42" s="39"/>
      <c r="M42" s="253"/>
      <c r="N42" s="251"/>
      <c r="O42" s="251"/>
      <c r="P42" s="255" t="s">
        <v>381</v>
      </c>
      <c r="Q42" s="255" t="s">
        <v>434</v>
      </c>
      <c r="R42" s="256"/>
      <c r="S42" s="150"/>
      <c r="U42" s="251" t="s">
        <v>37</v>
      </c>
      <c r="V42" s="251" t="s">
        <v>37</v>
      </c>
      <c r="W42" s="251" t="s">
        <v>37</v>
      </c>
      <c r="X42" s="210"/>
    </row>
    <row r="43" spans="1:24" s="184" customFormat="1" x14ac:dyDescent="0.25">
      <c r="A43" s="184" t="s">
        <v>388</v>
      </c>
      <c r="B43" s="182" t="s">
        <v>435</v>
      </c>
      <c r="C43" s="257" t="s">
        <v>436</v>
      </c>
      <c r="D43" s="209" t="s">
        <v>97</v>
      </c>
      <c r="E43" s="209" t="s">
        <v>269</v>
      </c>
      <c r="F43" s="258">
        <v>37053</v>
      </c>
      <c r="G43" s="258" t="s">
        <v>232</v>
      </c>
      <c r="H43" s="259" t="s">
        <v>437</v>
      </c>
      <c r="I43" s="258"/>
      <c r="J43" s="260">
        <v>4.2743565170642782E-2</v>
      </c>
      <c r="K43" s="261">
        <v>-0.17876009854679673</v>
      </c>
      <c r="L43" s="261"/>
      <c r="M43" s="253"/>
      <c r="N43" s="251"/>
      <c r="O43" s="251"/>
      <c r="P43" s="262">
        <v>4.7547272885429797</v>
      </c>
      <c r="Q43" s="263">
        <v>14.748229289895958</v>
      </c>
      <c r="R43" s="264">
        <v>9.76</v>
      </c>
      <c r="S43" s="179" t="s">
        <v>438</v>
      </c>
      <c r="U43" s="265">
        <v>0</v>
      </c>
      <c r="V43" s="210">
        <v>0</v>
      </c>
      <c r="W43" s="265">
        <v>0</v>
      </c>
      <c r="X43" s="210"/>
    </row>
    <row r="44" spans="1:24" s="184" customFormat="1" x14ac:dyDescent="0.25">
      <c r="A44" s="184" t="s">
        <v>390</v>
      </c>
      <c r="B44" s="182" t="s">
        <v>435</v>
      </c>
      <c r="C44" s="257" t="s">
        <v>436</v>
      </c>
      <c r="D44" s="209" t="s">
        <v>97</v>
      </c>
      <c r="E44" s="209" t="s">
        <v>269</v>
      </c>
      <c r="F44" s="258">
        <v>37053</v>
      </c>
      <c r="G44" s="258" t="s">
        <v>439</v>
      </c>
      <c r="H44" s="259" t="s">
        <v>437</v>
      </c>
      <c r="I44" s="258"/>
      <c r="J44" s="260">
        <v>8.6620253424516916E-2</v>
      </c>
      <c r="K44" s="261">
        <v>-0.18310251812445263</v>
      </c>
      <c r="L44" s="261"/>
      <c r="M44" s="253"/>
      <c r="N44" s="251"/>
      <c r="O44" s="251"/>
      <c r="P44" s="262">
        <v>1.8313300501274725</v>
      </c>
      <c r="Q44" s="263">
        <v>12.424646238291871</v>
      </c>
      <c r="R44" s="264">
        <v>12.15</v>
      </c>
      <c r="S44" s="179" t="s">
        <v>440</v>
      </c>
      <c r="U44" s="265">
        <v>0</v>
      </c>
      <c r="V44" s="210">
        <v>0</v>
      </c>
      <c r="W44" s="265">
        <v>0</v>
      </c>
      <c r="X44" s="210"/>
    </row>
    <row r="45" spans="1:24" s="184" customFormat="1" x14ac:dyDescent="0.25">
      <c r="A45" s="184" t="s">
        <v>392</v>
      </c>
      <c r="B45" s="182" t="s">
        <v>435</v>
      </c>
      <c r="C45" s="257" t="s">
        <v>436</v>
      </c>
      <c r="D45" s="209" t="s">
        <v>441</v>
      </c>
      <c r="E45" s="209" t="s">
        <v>230</v>
      </c>
      <c r="F45" s="258">
        <v>37110</v>
      </c>
      <c r="G45" s="258" t="s">
        <v>442</v>
      </c>
      <c r="H45" s="259" t="s">
        <v>437</v>
      </c>
      <c r="I45" s="258"/>
      <c r="J45" s="260">
        <v>-0.2598836904920438</v>
      </c>
      <c r="K45" s="261">
        <v>-5.0854995671963117E-2</v>
      </c>
      <c r="L45" s="261"/>
      <c r="M45" s="253"/>
      <c r="N45" s="251"/>
      <c r="O45" s="251"/>
      <c r="P45" s="262">
        <v>2.1497268477476541</v>
      </c>
      <c r="Q45" s="263">
        <v>11.451142440447255</v>
      </c>
      <c r="R45" s="264"/>
      <c r="S45" s="179" t="s">
        <v>443</v>
      </c>
      <c r="U45" s="265">
        <v>0</v>
      </c>
      <c r="V45" s="210">
        <v>0</v>
      </c>
      <c r="W45" s="265">
        <v>0</v>
      </c>
      <c r="X45" s="210"/>
    </row>
    <row r="46" spans="1:24" s="184" customFormat="1" x14ac:dyDescent="0.25">
      <c r="A46" s="184" t="s">
        <v>394</v>
      </c>
      <c r="B46" s="182" t="s">
        <v>435</v>
      </c>
      <c r="C46" s="257" t="s">
        <v>436</v>
      </c>
      <c r="D46" s="209" t="s">
        <v>97</v>
      </c>
      <c r="E46" s="209" t="s">
        <v>269</v>
      </c>
      <c r="F46" s="258">
        <v>37053</v>
      </c>
      <c r="G46" s="258">
        <v>0</v>
      </c>
      <c r="H46" s="259" t="s">
        <v>437</v>
      </c>
      <c r="I46" s="258"/>
      <c r="J46" s="260">
        <v>0.14397778769694855</v>
      </c>
      <c r="K46" s="261">
        <v>-0.13546060480240929</v>
      </c>
      <c r="L46" s="261"/>
      <c r="M46" s="253"/>
      <c r="N46" s="251"/>
      <c r="O46" s="251"/>
      <c r="P46" s="262">
        <v>3.5072247519475104</v>
      </c>
      <c r="Q46" s="263">
        <v>6.0353809469739979</v>
      </c>
      <c r="R46" s="264">
        <v>7.72</v>
      </c>
      <c r="S46" s="179" t="s">
        <v>444</v>
      </c>
      <c r="U46" s="265">
        <v>0</v>
      </c>
      <c r="V46" s="210">
        <v>0</v>
      </c>
      <c r="W46" s="265">
        <v>0</v>
      </c>
      <c r="X46" s="210"/>
    </row>
    <row r="47" spans="1:24" s="184" customFormat="1" x14ac:dyDescent="0.25">
      <c r="A47" s="184" t="s">
        <v>396</v>
      </c>
      <c r="B47" s="182" t="s">
        <v>435</v>
      </c>
      <c r="C47" s="257" t="s">
        <v>436</v>
      </c>
      <c r="D47" s="209" t="s">
        <v>97</v>
      </c>
      <c r="E47" s="209" t="s">
        <v>269</v>
      </c>
      <c r="F47" s="258">
        <v>37053</v>
      </c>
      <c r="G47" s="258">
        <v>0</v>
      </c>
      <c r="H47" s="259" t="s">
        <v>437</v>
      </c>
      <c r="I47" s="258"/>
      <c r="J47" s="260">
        <v>4.0235855232755191E-2</v>
      </c>
      <c r="K47" s="261">
        <v>-0.21027205723273748</v>
      </c>
      <c r="L47" s="261"/>
      <c r="M47" s="253"/>
      <c r="N47" s="251"/>
      <c r="O47" s="251"/>
      <c r="P47" s="262">
        <v>2.140831549476188</v>
      </c>
      <c r="Q47" s="263">
        <v>7.1458942632170981</v>
      </c>
      <c r="R47" s="264">
        <v>7.68</v>
      </c>
      <c r="S47" s="179" t="s">
        <v>445</v>
      </c>
      <c r="U47" s="265">
        <v>0</v>
      </c>
      <c r="V47" s="210">
        <v>0</v>
      </c>
      <c r="W47" s="265">
        <v>0</v>
      </c>
      <c r="X47" s="210"/>
    </row>
    <row r="48" spans="1:24" x14ac:dyDescent="0.25">
      <c r="A48" s="184" t="s">
        <v>398</v>
      </c>
      <c r="B48" s="182" t="s">
        <v>435</v>
      </c>
      <c r="C48" s="257" t="s">
        <v>436</v>
      </c>
      <c r="D48" s="209" t="s">
        <v>97</v>
      </c>
      <c r="E48" s="209" t="s">
        <v>148</v>
      </c>
      <c r="F48" s="258">
        <v>37053</v>
      </c>
      <c r="G48" s="258" t="s">
        <v>446</v>
      </c>
      <c r="H48" s="259" t="s">
        <v>437</v>
      </c>
      <c r="I48" s="258"/>
      <c r="J48" s="260">
        <v>5.2409999654637267E-2</v>
      </c>
      <c r="K48" s="261">
        <v>0.11392282282054046</v>
      </c>
      <c r="L48" s="261"/>
      <c r="P48" s="262">
        <v>2.1846897937160943</v>
      </c>
      <c r="Q48" s="263">
        <v>10.719484481616799</v>
      </c>
      <c r="R48" s="264">
        <v>6.81</v>
      </c>
      <c r="S48" s="179" t="s">
        <v>445</v>
      </c>
      <c r="U48" s="265">
        <v>0</v>
      </c>
      <c r="V48" s="210">
        <v>0</v>
      </c>
      <c r="W48" s="265">
        <v>0</v>
      </c>
    </row>
    <row r="49" spans="1:23" x14ac:dyDescent="0.25">
      <c r="A49" s="184" t="s">
        <v>400</v>
      </c>
      <c r="B49" s="182" t="s">
        <v>435</v>
      </c>
      <c r="C49" s="257" t="s">
        <v>436</v>
      </c>
      <c r="D49" s="209" t="s">
        <v>441</v>
      </c>
      <c r="E49" s="209" t="s">
        <v>230</v>
      </c>
      <c r="F49" s="258">
        <v>37110</v>
      </c>
      <c r="G49" s="258" t="s">
        <v>160</v>
      </c>
      <c r="H49" s="259" t="s">
        <v>437</v>
      </c>
      <c r="I49" s="258"/>
      <c r="J49" s="260">
        <v>0.74480059498146078</v>
      </c>
      <c r="K49" s="261">
        <v>0.58914065689006545</v>
      </c>
      <c r="L49" s="261"/>
      <c r="P49" s="262">
        <v>2.3377522532510775</v>
      </c>
      <c r="Q49" s="263">
        <v>18.324455205811137</v>
      </c>
      <c r="R49" s="264"/>
      <c r="S49" s="179" t="s">
        <v>447</v>
      </c>
      <c r="U49" s="265">
        <v>0</v>
      </c>
      <c r="V49" s="210">
        <v>0</v>
      </c>
      <c r="W49" s="265">
        <v>0</v>
      </c>
    </row>
    <row r="50" spans="1:23" s="266" customFormat="1" x14ac:dyDescent="0.25">
      <c r="A50" s="184" t="s">
        <v>402</v>
      </c>
      <c r="B50" s="182" t="s">
        <v>435</v>
      </c>
      <c r="C50" s="257" t="s">
        <v>436</v>
      </c>
      <c r="D50" s="209" t="s">
        <v>97</v>
      </c>
      <c r="E50" s="209" t="s">
        <v>148</v>
      </c>
      <c r="F50" s="258">
        <v>37053</v>
      </c>
      <c r="G50" s="258" t="s">
        <v>155</v>
      </c>
      <c r="H50" s="259" t="s">
        <v>437</v>
      </c>
      <c r="I50" s="258"/>
      <c r="J50" s="260">
        <v>2.4830658551224044E-2</v>
      </c>
      <c r="K50" s="261">
        <v>5.2221903675504902E-2</v>
      </c>
      <c r="L50" s="261"/>
      <c r="M50" s="250"/>
      <c r="N50" s="250"/>
      <c r="O50" s="250"/>
      <c r="P50" s="262">
        <v>6.5191588026957588</v>
      </c>
      <c r="Q50" s="263">
        <v>13.452442159383036</v>
      </c>
      <c r="R50" s="264">
        <v>9.5299999999999994</v>
      </c>
      <c r="S50" s="179" t="s">
        <v>448</v>
      </c>
      <c r="U50" s="265">
        <v>2</v>
      </c>
      <c r="V50" s="210">
        <v>35</v>
      </c>
      <c r="W50" s="265" t="s">
        <v>230</v>
      </c>
    </row>
    <row r="51" spans="1:23" s="266" customFormat="1" x14ac:dyDescent="0.25">
      <c r="A51" s="184" t="s">
        <v>405</v>
      </c>
      <c r="B51" s="182" t="s">
        <v>435</v>
      </c>
      <c r="C51" s="257" t="s">
        <v>436</v>
      </c>
      <c r="D51" s="209" t="s">
        <v>441</v>
      </c>
      <c r="E51" s="209" t="s">
        <v>230</v>
      </c>
      <c r="F51" s="258">
        <v>37110</v>
      </c>
      <c r="G51" s="258" t="s">
        <v>449</v>
      </c>
      <c r="H51" s="259">
        <v>37054</v>
      </c>
      <c r="I51" s="258"/>
      <c r="J51" s="260">
        <v>0.12867483001429464</v>
      </c>
      <c r="K51" s="261">
        <v>2.2713254678117079E-2</v>
      </c>
      <c r="L51" s="261"/>
      <c r="M51" s="250"/>
      <c r="N51" s="250"/>
      <c r="O51" s="250"/>
      <c r="P51" s="262">
        <v>1.1632670783254397</v>
      </c>
      <c r="Q51" s="263">
        <v>18.91476088487688</v>
      </c>
      <c r="R51" s="264"/>
      <c r="S51" s="179" t="s">
        <v>445</v>
      </c>
      <c r="U51" s="265">
        <v>4</v>
      </c>
      <c r="V51" s="210">
        <v>495.02300000000002</v>
      </c>
      <c r="W51" s="265" t="s">
        <v>230</v>
      </c>
    </row>
    <row r="52" spans="1:23" s="266" customFormat="1" x14ac:dyDescent="0.25">
      <c r="A52" s="184" t="s">
        <v>407</v>
      </c>
      <c r="B52" s="182" t="s">
        <v>435</v>
      </c>
      <c r="C52" s="257" t="s">
        <v>436</v>
      </c>
      <c r="D52" s="209" t="s">
        <v>97</v>
      </c>
      <c r="E52" s="209" t="s">
        <v>148</v>
      </c>
      <c r="F52" s="258">
        <v>37082</v>
      </c>
      <c r="G52" s="258" t="s">
        <v>155</v>
      </c>
      <c r="H52" s="259" t="s">
        <v>437</v>
      </c>
      <c r="I52" s="258"/>
      <c r="J52" s="260">
        <v>1.1988876165043124E-2</v>
      </c>
      <c r="K52" s="261">
        <v>6.3318974948535917E-2</v>
      </c>
      <c r="L52" s="261"/>
      <c r="M52" s="250"/>
      <c r="N52" s="250"/>
      <c r="O52" s="250"/>
      <c r="P52" s="262">
        <v>2.576434280078137</v>
      </c>
      <c r="Q52" s="263">
        <v>10.143451143451143</v>
      </c>
      <c r="R52" s="264">
        <v>6.24</v>
      </c>
      <c r="S52" s="179" t="s">
        <v>450</v>
      </c>
      <c r="U52" s="265">
        <v>0</v>
      </c>
      <c r="V52" s="210">
        <v>0</v>
      </c>
      <c r="W52" s="265">
        <v>0</v>
      </c>
    </row>
    <row r="53" spans="1:23" x14ac:dyDescent="0.25">
      <c r="A53" s="184" t="s">
        <v>409</v>
      </c>
      <c r="B53" s="182" t="s">
        <v>435</v>
      </c>
      <c r="C53" s="257" t="s">
        <v>436</v>
      </c>
      <c r="D53" s="209" t="s">
        <v>97</v>
      </c>
      <c r="E53" s="209" t="s">
        <v>148</v>
      </c>
      <c r="F53" s="258">
        <v>37053</v>
      </c>
      <c r="G53" s="258" t="s">
        <v>236</v>
      </c>
      <c r="H53" s="259" t="s">
        <v>437</v>
      </c>
      <c r="I53" s="258"/>
      <c r="J53" s="260">
        <v>0.4087848993737821</v>
      </c>
      <c r="K53" s="261">
        <v>1.9763705514435261E-2</v>
      </c>
      <c r="L53" s="261"/>
      <c r="P53" s="262">
        <v>1.0091546784596954</v>
      </c>
      <c r="Q53" s="263">
        <v>9.9796479985529771</v>
      </c>
      <c r="R53" s="264">
        <v>8.49</v>
      </c>
      <c r="S53" s="179" t="s">
        <v>451</v>
      </c>
      <c r="U53" s="265">
        <v>0</v>
      </c>
      <c r="V53" s="210">
        <v>0</v>
      </c>
      <c r="W53" s="265">
        <v>0</v>
      </c>
    </row>
    <row r="54" spans="1:23" x14ac:dyDescent="0.25">
      <c r="A54" s="184" t="s">
        <v>411</v>
      </c>
      <c r="B54" s="182" t="s">
        <v>435</v>
      </c>
      <c r="C54" s="257" t="s">
        <v>436</v>
      </c>
      <c r="D54" s="209" t="s">
        <v>441</v>
      </c>
      <c r="E54" s="209" t="s">
        <v>230</v>
      </c>
      <c r="F54" s="258">
        <v>37110</v>
      </c>
      <c r="G54" s="258">
        <v>0</v>
      </c>
      <c r="H54" s="259" t="s">
        <v>437</v>
      </c>
      <c r="I54" s="258"/>
      <c r="J54" s="260">
        <v>4.8965138552288984E-2</v>
      </c>
      <c r="K54" s="261">
        <v>-0.19473792896941058</v>
      </c>
      <c r="L54" s="261"/>
      <c r="P54" s="262">
        <v>2.1808556018757073</v>
      </c>
      <c r="Q54" s="263">
        <v>6.3969885724990654</v>
      </c>
      <c r="R54" s="264"/>
      <c r="S54" s="179" t="s">
        <v>444</v>
      </c>
      <c r="U54" s="265">
        <v>0</v>
      </c>
      <c r="V54" s="210">
        <v>0</v>
      </c>
      <c r="W54" s="265">
        <v>0</v>
      </c>
    </row>
    <row r="55" spans="1:23" x14ac:dyDescent="0.25">
      <c r="A55" s="184" t="s">
        <v>413</v>
      </c>
      <c r="B55" s="182" t="s">
        <v>435</v>
      </c>
      <c r="C55" s="257" t="s">
        <v>436</v>
      </c>
      <c r="D55" s="209" t="s">
        <v>97</v>
      </c>
      <c r="E55" s="209" t="s">
        <v>269</v>
      </c>
      <c r="F55" s="258">
        <v>37053</v>
      </c>
      <c r="G55" s="258">
        <v>0</v>
      </c>
      <c r="H55" s="259" t="s">
        <v>437</v>
      </c>
      <c r="I55" s="258"/>
      <c r="J55" s="260">
        <v>-4.4075869926325333E-2</v>
      </c>
      <c r="K55" s="261">
        <v>-9.7955823293172678E-2</v>
      </c>
      <c r="L55" s="261"/>
      <c r="P55" s="262">
        <v>3.831874465523891</v>
      </c>
      <c r="Q55" s="263">
        <v>10.440871934604903</v>
      </c>
      <c r="R55" s="264">
        <v>7.17</v>
      </c>
      <c r="S55" s="179" t="s">
        <v>452</v>
      </c>
      <c r="U55" s="265">
        <v>0</v>
      </c>
      <c r="V55" s="210">
        <v>0</v>
      </c>
      <c r="W55" s="265">
        <v>0</v>
      </c>
    </row>
    <row r="56" spans="1:23" x14ac:dyDescent="0.25">
      <c r="A56" s="184" t="s">
        <v>415</v>
      </c>
      <c r="B56" s="182" t="s">
        <v>435</v>
      </c>
      <c r="C56" s="257" t="s">
        <v>436</v>
      </c>
      <c r="D56" s="209" t="s">
        <v>441</v>
      </c>
      <c r="E56" s="209" t="s">
        <v>230</v>
      </c>
      <c r="F56" s="258">
        <v>37110</v>
      </c>
      <c r="G56" s="258" t="s">
        <v>453</v>
      </c>
      <c r="H56" s="259">
        <v>37054</v>
      </c>
      <c r="I56" s="258"/>
      <c r="J56" s="260">
        <v>0.26851595157721925</v>
      </c>
      <c r="K56" s="261">
        <v>1.0640831864462566E-2</v>
      </c>
      <c r="L56" s="261"/>
      <c r="P56" s="262">
        <v>2.3124811262175835</v>
      </c>
      <c r="Q56" s="263">
        <v>10.266524520255865</v>
      </c>
      <c r="R56" s="264"/>
      <c r="S56" s="179" t="s">
        <v>448</v>
      </c>
      <c r="U56" s="265">
        <v>3</v>
      </c>
      <c r="V56" s="210">
        <v>313.24200000000002</v>
      </c>
      <c r="W56" s="265" t="s">
        <v>230</v>
      </c>
    </row>
    <row r="57" spans="1:23" x14ac:dyDescent="0.25">
      <c r="A57" s="184" t="s">
        <v>417</v>
      </c>
      <c r="B57" s="182" t="s">
        <v>435</v>
      </c>
      <c r="C57" s="257" t="s">
        <v>436</v>
      </c>
      <c r="D57" s="209" t="s">
        <v>97</v>
      </c>
      <c r="E57" s="209" t="s">
        <v>269</v>
      </c>
      <c r="F57" s="258">
        <v>37053</v>
      </c>
      <c r="G57" s="258">
        <v>0</v>
      </c>
      <c r="H57" s="259" t="s">
        <v>437</v>
      </c>
      <c r="I57" s="258"/>
      <c r="J57" s="260">
        <v>-0.21266653827408094</v>
      </c>
      <c r="K57" s="261">
        <v>-0.32568107565930576</v>
      </c>
      <c r="L57" s="261"/>
      <c r="P57" s="262">
        <v>2.3783604969018803</v>
      </c>
      <c r="Q57" s="263">
        <v>8.6983924635927572</v>
      </c>
      <c r="R57" s="264">
        <v>10.07</v>
      </c>
      <c r="S57" s="179" t="s">
        <v>454</v>
      </c>
      <c r="U57" s="265">
        <v>0</v>
      </c>
      <c r="V57" s="210">
        <v>0</v>
      </c>
      <c r="W57" s="265">
        <v>0</v>
      </c>
    </row>
    <row r="58" spans="1:23" x14ac:dyDescent="0.25">
      <c r="A58" s="184" t="s">
        <v>419</v>
      </c>
      <c r="B58" s="182" t="s">
        <v>435</v>
      </c>
      <c r="C58" s="257" t="s">
        <v>436</v>
      </c>
      <c r="D58" s="209" t="s">
        <v>441</v>
      </c>
      <c r="E58" s="209" t="s">
        <v>230</v>
      </c>
      <c r="F58" s="258">
        <v>37110</v>
      </c>
      <c r="G58" s="258" t="s">
        <v>455</v>
      </c>
      <c r="H58" s="259">
        <v>37054</v>
      </c>
      <c r="I58" s="258"/>
      <c r="J58" s="260">
        <v>0.17725612499234866</v>
      </c>
      <c r="K58" s="261">
        <v>5.6520464769833446E-2</v>
      </c>
      <c r="L58" s="261"/>
      <c r="P58" s="262">
        <v>3.490074607425186</v>
      </c>
      <c r="Q58" s="263">
        <v>24.490914288276578</v>
      </c>
      <c r="R58" s="264"/>
      <c r="S58" s="179" t="s">
        <v>456</v>
      </c>
      <c r="U58" s="265">
        <v>3</v>
      </c>
      <c r="V58" s="210">
        <v>298.14600000000002</v>
      </c>
      <c r="W58" s="265" t="s">
        <v>230</v>
      </c>
    </row>
    <row r="59" spans="1:23" x14ac:dyDescent="0.25">
      <c r="A59" s="184" t="s">
        <v>421</v>
      </c>
      <c r="B59" s="182" t="s">
        <v>435</v>
      </c>
      <c r="C59" s="257" t="s">
        <v>436</v>
      </c>
      <c r="D59" s="209" t="s">
        <v>441</v>
      </c>
      <c r="E59" s="209" t="s">
        <v>230</v>
      </c>
      <c r="F59" s="258">
        <v>37110</v>
      </c>
      <c r="G59" s="258" t="s">
        <v>357</v>
      </c>
      <c r="H59" s="259">
        <v>37054</v>
      </c>
      <c r="I59" s="258"/>
      <c r="J59" s="260">
        <v>0.26372261324973911</v>
      </c>
      <c r="K59" s="261">
        <v>9.1171915656928684E-2</v>
      </c>
      <c r="L59" s="261"/>
      <c r="P59" s="262">
        <v>1.3470262055006339</v>
      </c>
      <c r="Q59" s="263">
        <v>16.198813056379823</v>
      </c>
      <c r="R59" s="264"/>
      <c r="S59" s="179" t="s">
        <v>456</v>
      </c>
      <c r="U59" s="265">
        <v>1</v>
      </c>
      <c r="V59" s="210">
        <v>70</v>
      </c>
      <c r="W59" s="265" t="s">
        <v>230</v>
      </c>
    </row>
    <row r="60" spans="1:23" x14ac:dyDescent="0.25">
      <c r="A60" s="184" t="s">
        <v>423</v>
      </c>
      <c r="B60" s="182" t="s">
        <v>435</v>
      </c>
      <c r="C60" s="257" t="s">
        <v>436</v>
      </c>
      <c r="D60" s="209" t="s">
        <v>97</v>
      </c>
      <c r="E60" s="209" t="s">
        <v>148</v>
      </c>
      <c r="F60" s="258">
        <v>37053</v>
      </c>
      <c r="G60" s="258" t="s">
        <v>232</v>
      </c>
      <c r="H60" s="259" t="s">
        <v>437</v>
      </c>
      <c r="I60" s="258"/>
      <c r="J60" s="260">
        <v>0.23241571540096906</v>
      </c>
      <c r="K60" s="261">
        <v>6.2220110983957071E-2</v>
      </c>
      <c r="L60" s="261"/>
      <c r="P60" s="262">
        <v>2.4127789554885073</v>
      </c>
      <c r="Q60" s="263">
        <v>13.928625235404898</v>
      </c>
      <c r="R60" s="264">
        <v>7.94</v>
      </c>
      <c r="S60" s="179" t="s">
        <v>456</v>
      </c>
      <c r="U60" s="265">
        <v>0</v>
      </c>
      <c r="V60" s="210">
        <v>0</v>
      </c>
      <c r="W60" s="265">
        <v>0</v>
      </c>
    </row>
    <row r="61" spans="1:23" x14ac:dyDescent="0.25">
      <c r="A61" s="184" t="s">
        <v>425</v>
      </c>
      <c r="B61" s="182" t="s">
        <v>435</v>
      </c>
      <c r="C61" s="257" t="s">
        <v>436</v>
      </c>
      <c r="D61" s="209" t="s">
        <v>441</v>
      </c>
      <c r="E61" s="209" t="s">
        <v>230</v>
      </c>
      <c r="F61" s="258">
        <v>37110</v>
      </c>
      <c r="G61" s="258">
        <v>0</v>
      </c>
      <c r="H61" s="259" t="s">
        <v>437</v>
      </c>
      <c r="I61" s="258"/>
      <c r="J61" s="260">
        <v>0.37061225079573445</v>
      </c>
      <c r="K61" s="261">
        <v>0.21102117832601092</v>
      </c>
      <c r="L61" s="261"/>
      <c r="P61" s="262">
        <v>3.8181772333421851</v>
      </c>
      <c r="Q61" s="263">
        <v>13.125924822483739</v>
      </c>
      <c r="R61" s="264">
        <v>7.56</v>
      </c>
      <c r="S61" s="179" t="s">
        <v>457</v>
      </c>
      <c r="U61" s="265">
        <v>0</v>
      </c>
      <c r="V61" s="210">
        <v>0</v>
      </c>
      <c r="W61" s="265">
        <v>0</v>
      </c>
    </row>
    <row r="62" spans="1:23" x14ac:dyDescent="0.25">
      <c r="U62" s="251"/>
      <c r="V62" s="251"/>
      <c r="W62" s="251"/>
    </row>
    <row r="63" spans="1:23" x14ac:dyDescent="0.25">
      <c r="U63" s="251"/>
      <c r="V63" s="251"/>
      <c r="W63" s="251"/>
    </row>
    <row r="64" spans="1:23" x14ac:dyDescent="0.25">
      <c r="U64" s="251"/>
      <c r="V64" s="251"/>
      <c r="W64" s="251"/>
    </row>
    <row r="65" spans="1:23" x14ac:dyDescent="0.25">
      <c r="U65" s="251"/>
      <c r="V65" s="251"/>
      <c r="W65" s="251"/>
    </row>
    <row r="69" spans="1:23" x14ac:dyDescent="0.25">
      <c r="A69" s="266" t="s">
        <v>458</v>
      </c>
    </row>
    <row r="70" spans="1:23" x14ac:dyDescent="0.25">
      <c r="A70" s="246" t="s">
        <v>459</v>
      </c>
    </row>
    <row r="71" spans="1:23" x14ac:dyDescent="0.25">
      <c r="A71" s="246" t="s">
        <v>460</v>
      </c>
    </row>
    <row r="74" spans="1:23" x14ac:dyDescent="0.25">
      <c r="A74" s="266" t="s">
        <v>461</v>
      </c>
      <c r="B74" s="267">
        <v>37109</v>
      </c>
      <c r="C74" s="267">
        <v>36744</v>
      </c>
      <c r="D74" s="266" t="s">
        <v>462</v>
      </c>
      <c r="E74" s="266"/>
      <c r="F74" s="266"/>
      <c r="G74" s="268">
        <v>36892</v>
      </c>
      <c r="H74" s="267">
        <v>37109</v>
      </c>
      <c r="I74" s="267"/>
      <c r="J74" s="266" t="s">
        <v>463</v>
      </c>
    </row>
    <row r="75" spans="1:23" x14ac:dyDescent="0.25">
      <c r="A75" s="204" t="s">
        <v>389</v>
      </c>
      <c r="B75" s="151">
        <v>39.257460000000002</v>
      </c>
      <c r="C75" s="151">
        <v>37.648240000000001</v>
      </c>
      <c r="D75" s="177">
        <v>4.2743565170642782E-2</v>
      </c>
      <c r="F75" s="204" t="s">
        <v>389</v>
      </c>
      <c r="G75" s="151">
        <v>47.802670000000006</v>
      </c>
      <c r="H75" s="151">
        <v>39.257460000000002</v>
      </c>
      <c r="I75" s="151"/>
      <c r="J75" s="269">
        <v>-0.17876009854679673</v>
      </c>
    </row>
    <row r="76" spans="1:23" x14ac:dyDescent="0.25">
      <c r="A76" s="204" t="s">
        <v>391</v>
      </c>
      <c r="B76" s="151">
        <v>18.518780000000003</v>
      </c>
      <c r="C76" s="151">
        <v>17.042550000000002</v>
      </c>
      <c r="D76" s="177">
        <v>8.6620253424516916E-2</v>
      </c>
      <c r="F76" s="204" t="s">
        <v>391</v>
      </c>
      <c r="G76" s="151">
        <v>22.669650000000001</v>
      </c>
      <c r="H76" s="151">
        <v>18.518780000000003</v>
      </c>
      <c r="I76" s="151"/>
      <c r="J76" s="269">
        <v>-0.18310251812445263</v>
      </c>
    </row>
    <row r="77" spans="1:23" x14ac:dyDescent="0.25">
      <c r="A77" s="204" t="s">
        <v>393</v>
      </c>
      <c r="B77" s="151">
        <v>6.3191730000000002</v>
      </c>
      <c r="C77" s="151">
        <v>8.538081</v>
      </c>
      <c r="D77" s="177">
        <v>-0.2598836904920438</v>
      </c>
      <c r="F77" s="204" t="s">
        <v>393</v>
      </c>
      <c r="G77" s="151">
        <v>6.6577529999999996</v>
      </c>
      <c r="H77" s="151">
        <v>6.3191730000000002</v>
      </c>
      <c r="I77" s="151"/>
      <c r="J77" s="269">
        <v>-5.0854995671963117E-2</v>
      </c>
    </row>
    <row r="78" spans="1:23" x14ac:dyDescent="0.25">
      <c r="A78" s="212" t="s">
        <v>395</v>
      </c>
      <c r="B78" s="151">
        <v>18.073490000000003</v>
      </c>
      <c r="C78" s="151">
        <v>15.798812</v>
      </c>
      <c r="D78" s="177">
        <v>0.14397778769694855</v>
      </c>
      <c r="F78" s="212" t="s">
        <v>395</v>
      </c>
      <c r="G78" s="151">
        <v>20.905340000000002</v>
      </c>
      <c r="H78" s="151">
        <v>18.073490000000003</v>
      </c>
      <c r="I78" s="151"/>
      <c r="J78" s="269">
        <v>-0.13546060480240929</v>
      </c>
    </row>
    <row r="79" spans="1:23" x14ac:dyDescent="0.25">
      <c r="A79" s="204" t="s">
        <v>397</v>
      </c>
      <c r="B79" s="151">
        <v>21.609610000000004</v>
      </c>
      <c r="C79" s="151">
        <v>20.773760000000003</v>
      </c>
      <c r="D79" s="177">
        <v>4.0235855232755191E-2</v>
      </c>
      <c r="F79" s="204" t="s">
        <v>397</v>
      </c>
      <c r="G79" s="151">
        <v>27.363360000000004</v>
      </c>
      <c r="H79" s="151">
        <v>21.609610000000004</v>
      </c>
      <c r="I79" s="151"/>
      <c r="J79" s="269">
        <v>-0.21027205723273748</v>
      </c>
    </row>
    <row r="80" spans="1:23" x14ac:dyDescent="0.25">
      <c r="A80" s="204" t="s">
        <v>399</v>
      </c>
      <c r="B80" s="151">
        <v>30.777320000000003</v>
      </c>
      <c r="C80" s="151">
        <v>29.244610000000002</v>
      </c>
      <c r="D80" s="177">
        <v>5.2409999654637267E-2</v>
      </c>
      <c r="F80" s="204" t="s">
        <v>399</v>
      </c>
      <c r="G80" s="151">
        <v>27.629670000000001</v>
      </c>
      <c r="H80" s="151">
        <v>30.777320000000003</v>
      </c>
      <c r="I80" s="151"/>
      <c r="J80" s="269">
        <v>0.11392282282054046</v>
      </c>
    </row>
    <row r="81" spans="1:10" x14ac:dyDescent="0.25">
      <c r="A81" s="204" t="s">
        <v>401</v>
      </c>
      <c r="B81" s="151">
        <v>8.0937809999999999</v>
      </c>
      <c r="C81" s="151">
        <v>4.6387999999999998</v>
      </c>
      <c r="D81" s="177">
        <v>0.74480059498146078</v>
      </c>
      <c r="F81" s="204" t="s">
        <v>401</v>
      </c>
      <c r="G81" s="151">
        <v>5.0931809999999995</v>
      </c>
      <c r="H81" s="151">
        <v>8.0937809999999999</v>
      </c>
      <c r="I81" s="151"/>
      <c r="J81" s="269">
        <v>0.58914065689006545</v>
      </c>
    </row>
    <row r="82" spans="1:10" x14ac:dyDescent="0.25">
      <c r="A82" s="204" t="s">
        <v>403</v>
      </c>
      <c r="B82" s="151">
        <v>10.438096</v>
      </c>
      <c r="C82" s="151">
        <v>10.185191</v>
      </c>
      <c r="D82" s="177">
        <v>2.4830658551224044E-2</v>
      </c>
      <c r="F82" s="204" t="s">
        <v>403</v>
      </c>
      <c r="G82" s="151">
        <v>9.9200520000000001</v>
      </c>
      <c r="H82" s="151">
        <v>10.438096</v>
      </c>
      <c r="I82" s="151"/>
      <c r="J82" s="269">
        <v>5.2221903675504902E-2</v>
      </c>
    </row>
    <row r="83" spans="1:10" x14ac:dyDescent="0.25">
      <c r="A83" s="204" t="s">
        <v>406</v>
      </c>
      <c r="B83" s="151">
        <v>26.8614</v>
      </c>
      <c r="C83" s="151">
        <v>23.799060000000001</v>
      </c>
      <c r="D83" s="177">
        <v>0.12867483001429464</v>
      </c>
      <c r="F83" s="204" t="s">
        <v>406</v>
      </c>
      <c r="G83" s="151">
        <v>26.264840000000003</v>
      </c>
      <c r="H83" s="151">
        <v>26.8614</v>
      </c>
      <c r="I83" s="151"/>
      <c r="J83" s="269">
        <v>2.2713254678117079E-2</v>
      </c>
    </row>
    <row r="84" spans="1:10" x14ac:dyDescent="0.25">
      <c r="A84" s="204" t="s">
        <v>408</v>
      </c>
      <c r="B84" s="151">
        <v>26.193470000000001</v>
      </c>
      <c r="C84" s="151">
        <v>25.883160000000004</v>
      </c>
      <c r="D84" s="177">
        <v>1.1988876165043124E-2</v>
      </c>
      <c r="F84" s="204" t="s">
        <v>408</v>
      </c>
      <c r="G84" s="151">
        <v>24.633690000000001</v>
      </c>
      <c r="H84" s="151">
        <v>26.193470000000001</v>
      </c>
      <c r="I84" s="151"/>
      <c r="J84" s="269">
        <v>6.3318974948535917E-2</v>
      </c>
    </row>
    <row r="85" spans="1:10" x14ac:dyDescent="0.25">
      <c r="A85" s="204" t="s">
        <v>410</v>
      </c>
      <c r="B85" s="151">
        <v>28.413360000000001</v>
      </c>
      <c r="C85" s="151">
        <v>20.168700000000001</v>
      </c>
      <c r="D85" s="177">
        <v>0.4087848993737821</v>
      </c>
      <c r="F85" s="204" t="s">
        <v>410</v>
      </c>
      <c r="G85" s="151">
        <v>27.862690000000001</v>
      </c>
      <c r="H85" s="151">
        <v>28.413360000000001</v>
      </c>
      <c r="I85" s="151"/>
      <c r="J85" s="269">
        <v>1.9763705514435261E-2</v>
      </c>
    </row>
    <row r="86" spans="1:10" x14ac:dyDescent="0.25">
      <c r="A86" s="204" t="s">
        <v>412</v>
      </c>
      <c r="B86" s="151">
        <v>9.1677129999999991</v>
      </c>
      <c r="C86" s="151">
        <v>8.739768999999999</v>
      </c>
      <c r="D86" s="177">
        <v>4.8965138552288984E-2</v>
      </c>
      <c r="F86" s="204" t="s">
        <v>412</v>
      </c>
      <c r="G86" s="151">
        <v>11.384756999999999</v>
      </c>
      <c r="H86" s="151">
        <v>9.1677129999999991</v>
      </c>
      <c r="I86" s="151"/>
      <c r="J86" s="269">
        <v>-0.19473792896941058</v>
      </c>
    </row>
    <row r="87" spans="1:10" x14ac:dyDescent="0.25">
      <c r="A87" s="204" t="s">
        <v>414</v>
      </c>
      <c r="B87" s="151">
        <v>22.460900000000002</v>
      </c>
      <c r="C87" s="151">
        <v>23.496530000000003</v>
      </c>
      <c r="D87" s="177">
        <v>-4.4075869926325333E-2</v>
      </c>
      <c r="F87" s="204" t="s">
        <v>414</v>
      </c>
      <c r="G87" s="151">
        <v>24.9</v>
      </c>
      <c r="H87" s="151">
        <v>22.460900000000002</v>
      </c>
      <c r="I87" s="151"/>
      <c r="J87" s="269">
        <v>-9.7955823293172678E-2</v>
      </c>
    </row>
    <row r="88" spans="1:10" x14ac:dyDescent="0.25">
      <c r="A88" s="204" t="s">
        <v>416</v>
      </c>
      <c r="B88" s="151">
        <v>25.669600000000003</v>
      </c>
      <c r="C88" s="151">
        <v>20.235930000000003</v>
      </c>
      <c r="D88" s="177">
        <v>0.26851595157721925</v>
      </c>
      <c r="F88" s="204" t="s">
        <v>416</v>
      </c>
      <c r="G88" s="151">
        <v>25.399330000000003</v>
      </c>
      <c r="H88" s="151">
        <v>25.669600000000003</v>
      </c>
      <c r="I88" s="151"/>
      <c r="J88" s="269">
        <v>1.0640831864462566E-2</v>
      </c>
    </row>
    <row r="89" spans="1:10" x14ac:dyDescent="0.25">
      <c r="A89" s="204" t="s">
        <v>418</v>
      </c>
      <c r="B89" s="151">
        <v>14.6356</v>
      </c>
      <c r="C89" s="151">
        <v>18.588820000000002</v>
      </c>
      <c r="D89" s="177">
        <v>-0.21266653827408094</v>
      </c>
      <c r="F89" s="204" t="s">
        <v>418</v>
      </c>
      <c r="G89" s="151">
        <v>21.704270000000001</v>
      </c>
      <c r="H89" s="151">
        <v>14.6356</v>
      </c>
      <c r="I89" s="151"/>
      <c r="J89" s="269">
        <v>-0.32568107565930576</v>
      </c>
    </row>
    <row r="90" spans="1:10" x14ac:dyDescent="0.25">
      <c r="A90" s="204" t="s">
        <v>420</v>
      </c>
      <c r="B90" s="151">
        <v>27.503140000000002</v>
      </c>
      <c r="C90" s="151">
        <v>23.362070000000003</v>
      </c>
      <c r="D90" s="177">
        <v>0.17725612499234866</v>
      </c>
      <c r="F90" s="204" t="s">
        <v>420</v>
      </c>
      <c r="G90" s="151">
        <v>26.031810000000004</v>
      </c>
      <c r="H90" s="151">
        <v>27.503140000000002</v>
      </c>
      <c r="I90" s="151"/>
      <c r="J90" s="269">
        <v>5.6520464769833446E-2</v>
      </c>
    </row>
    <row r="91" spans="1:10" x14ac:dyDescent="0.25">
      <c r="A91" s="204" t="s">
        <v>422</v>
      </c>
      <c r="B91" s="151">
        <v>27.824000000000002</v>
      </c>
      <c r="C91" s="151">
        <v>22.017490000000002</v>
      </c>
      <c r="D91" s="177">
        <v>0.26372261324973911</v>
      </c>
      <c r="F91" s="204" t="s">
        <v>422</v>
      </c>
      <c r="G91" s="151">
        <v>25.499190000000002</v>
      </c>
      <c r="H91" s="151">
        <v>27.824000000000002</v>
      </c>
      <c r="I91" s="151"/>
      <c r="J91" s="269">
        <v>9.1171915656928684E-2</v>
      </c>
    </row>
    <row r="92" spans="1:10" x14ac:dyDescent="0.25">
      <c r="A92" s="204" t="s">
        <v>424</v>
      </c>
      <c r="B92" s="151">
        <v>39.355680000000007</v>
      </c>
      <c r="C92" s="151">
        <v>31.933770000000003</v>
      </c>
      <c r="D92" s="177">
        <v>0.23241571540096906</v>
      </c>
      <c r="F92" s="204" t="s">
        <v>424</v>
      </c>
      <c r="G92" s="151">
        <v>37.050400000000003</v>
      </c>
      <c r="H92" s="151">
        <v>39.355680000000007</v>
      </c>
      <c r="I92" s="151"/>
      <c r="J92" s="269">
        <v>6.2220110983957071E-2</v>
      </c>
    </row>
    <row r="93" spans="1:10" x14ac:dyDescent="0.25">
      <c r="A93" s="204" t="s">
        <v>426</v>
      </c>
      <c r="B93" s="151">
        <v>6.4501409999999995</v>
      </c>
      <c r="C93" s="151">
        <v>4.706029</v>
      </c>
      <c r="D93" s="177">
        <v>0.37061225079573445</v>
      </c>
      <c r="F93" s="204" t="s">
        <v>426</v>
      </c>
      <c r="G93" s="151">
        <v>5.3262</v>
      </c>
      <c r="H93" s="151">
        <v>6.4501409999999995</v>
      </c>
      <c r="I93" s="151"/>
      <c r="J93" s="269">
        <v>0.21102117832601092</v>
      </c>
    </row>
  </sheetData>
  <mergeCells count="3">
    <mergeCell ref="U7:W7"/>
    <mergeCell ref="I8:K8"/>
    <mergeCell ref="J38:K38"/>
  </mergeCells>
  <phoneticPr fontId="0" type="noConversion"/>
  <pageMargins left="0" right="0" top="0" bottom="0" header="0.5" footer="0.5"/>
  <pageSetup scale="55" orientation="landscape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07"/>
  <sheetViews>
    <sheetView zoomScale="50" workbookViewId="0"/>
  </sheetViews>
  <sheetFormatPr defaultColWidth="9.109375" defaultRowHeight="13.2" x14ac:dyDescent="0.25"/>
  <cols>
    <col min="1" max="1" width="29.6640625" style="1" customWidth="1"/>
    <col min="2" max="2" width="15.44140625" style="1" customWidth="1"/>
    <col min="3" max="3" width="12.6640625" style="1" customWidth="1"/>
    <col min="4" max="4" width="13.33203125" style="1" customWidth="1"/>
    <col min="5" max="5" width="11.6640625" style="1" customWidth="1"/>
    <col min="6" max="6" width="10.6640625" style="1" customWidth="1"/>
    <col min="7" max="7" width="11.6640625" style="1" customWidth="1"/>
    <col min="8" max="8" width="10.6640625" style="1" customWidth="1"/>
    <col min="9" max="9" width="10.109375" style="1" customWidth="1"/>
    <col min="10" max="10" width="9.6640625" style="1" customWidth="1"/>
    <col min="11" max="11" width="10.33203125" style="1" customWidth="1"/>
    <col min="12" max="12" width="10.109375" style="1" customWidth="1"/>
    <col min="13" max="14" width="8.6640625" style="1" customWidth="1"/>
    <col min="15" max="22" width="9.6640625" style="1" customWidth="1"/>
    <col min="23" max="23" width="10.6640625" style="1" customWidth="1"/>
    <col min="24" max="24" width="9.109375" style="1"/>
    <col min="25" max="27" width="10.6640625" style="1" customWidth="1"/>
    <col min="28" max="28" width="15.6640625" style="1" customWidth="1"/>
    <col min="29" max="16384" width="9.109375" style="1"/>
  </cols>
  <sheetData>
    <row r="1" spans="1:30" ht="17.399999999999999" x14ac:dyDescent="0.3">
      <c r="A1" s="3" t="s">
        <v>275</v>
      </c>
      <c r="B1" s="3"/>
      <c r="C1" s="3"/>
    </row>
    <row r="2" spans="1:30" ht="15" customHeight="1" x14ac:dyDescent="0.3">
      <c r="A2" s="44" t="s">
        <v>0</v>
      </c>
      <c r="B2" s="44"/>
      <c r="C2" s="44"/>
      <c r="AD2" s="4"/>
    </row>
    <row r="3" spans="1:30" x14ac:dyDescent="0.25">
      <c r="A3" s="5" t="s">
        <v>1</v>
      </c>
      <c r="B3" s="5"/>
      <c r="C3" s="5"/>
      <c r="AD3" s="4"/>
    </row>
    <row r="4" spans="1:30" x14ac:dyDescent="0.25">
      <c r="A4" s="5"/>
      <c r="B4" s="5"/>
      <c r="C4" s="5"/>
      <c r="AD4" s="4"/>
    </row>
    <row r="5" spans="1:30" x14ac:dyDescent="0.25">
      <c r="A5" s="5"/>
      <c r="B5" s="5"/>
      <c r="C5" s="5"/>
      <c r="AD5" s="4"/>
    </row>
    <row r="6" spans="1:30" x14ac:dyDescent="0.25">
      <c r="A6" s="6" t="s">
        <v>2</v>
      </c>
      <c r="B6" s="45">
        <v>37106</v>
      </c>
      <c r="C6" s="46"/>
    </row>
    <row r="7" spans="1:30" x14ac:dyDescent="0.25">
      <c r="D7" s="38"/>
      <c r="E7" s="38"/>
      <c r="F7" s="38"/>
      <c r="G7" s="38"/>
      <c r="H7" s="39" t="s">
        <v>3</v>
      </c>
      <c r="I7" s="38"/>
      <c r="J7" s="38"/>
      <c r="K7" s="38"/>
      <c r="L7" s="38"/>
      <c r="M7" s="38"/>
      <c r="N7" s="38"/>
      <c r="O7" s="38"/>
      <c r="P7" s="38"/>
      <c r="Q7" s="38"/>
      <c r="R7" s="47" t="s">
        <v>4</v>
      </c>
      <c r="S7" s="47"/>
      <c r="T7" s="47"/>
      <c r="U7" s="47" t="s">
        <v>5</v>
      </c>
      <c r="V7" s="47"/>
      <c r="W7" s="39" t="s">
        <v>6</v>
      </c>
    </row>
    <row r="8" spans="1:30" x14ac:dyDescent="0.25">
      <c r="A8" s="38"/>
      <c r="B8" s="38"/>
      <c r="C8" s="39" t="s">
        <v>7</v>
      </c>
      <c r="D8" s="39" t="s">
        <v>8</v>
      </c>
      <c r="E8" s="48" t="s">
        <v>9</v>
      </c>
      <c r="F8" s="48"/>
      <c r="G8" s="39" t="s">
        <v>10</v>
      </c>
      <c r="H8" s="39" t="s">
        <v>10</v>
      </c>
      <c r="I8" s="47" t="s">
        <v>11</v>
      </c>
      <c r="J8" s="47"/>
      <c r="K8" s="122" t="s">
        <v>12</v>
      </c>
      <c r="L8" s="122"/>
      <c r="M8" s="47" t="s">
        <v>13</v>
      </c>
      <c r="N8" s="47"/>
      <c r="O8" s="50" t="s">
        <v>276</v>
      </c>
      <c r="P8" s="50" t="s">
        <v>15</v>
      </c>
      <c r="Q8" s="39" t="s">
        <v>16</v>
      </c>
      <c r="R8" s="39" t="s">
        <v>17</v>
      </c>
      <c r="S8" s="39"/>
      <c r="T8" s="51" t="s">
        <v>18</v>
      </c>
      <c r="U8" s="39" t="s">
        <v>17</v>
      </c>
      <c r="V8" s="39" t="s">
        <v>19</v>
      </c>
      <c r="W8" s="39" t="s">
        <v>20</v>
      </c>
      <c r="X8" s="50"/>
    </row>
    <row r="9" spans="1:30" x14ac:dyDescent="0.25">
      <c r="A9" s="39" t="s">
        <v>21</v>
      </c>
      <c r="B9" s="39" t="s">
        <v>22</v>
      </c>
      <c r="C9" s="39" t="s">
        <v>23</v>
      </c>
      <c r="D9" s="39" t="s">
        <v>24</v>
      </c>
      <c r="E9" s="39" t="s">
        <v>25</v>
      </c>
      <c r="F9" s="39" t="s">
        <v>26</v>
      </c>
      <c r="G9" s="39" t="s">
        <v>27</v>
      </c>
      <c r="H9" s="39" t="s">
        <v>27</v>
      </c>
      <c r="I9" s="51" t="s">
        <v>111</v>
      </c>
      <c r="J9" s="51" t="s">
        <v>112</v>
      </c>
      <c r="K9" s="51" t="s">
        <v>111</v>
      </c>
      <c r="L9" s="51" t="s">
        <v>112</v>
      </c>
      <c r="M9" s="51" t="s">
        <v>111</v>
      </c>
      <c r="N9" s="51" t="s">
        <v>112</v>
      </c>
      <c r="O9" s="39" t="s">
        <v>29</v>
      </c>
      <c r="P9" s="39" t="s">
        <v>30</v>
      </c>
      <c r="Q9" s="39" t="s">
        <v>31</v>
      </c>
      <c r="R9" s="39" t="s">
        <v>32</v>
      </c>
      <c r="S9" s="39" t="s">
        <v>33</v>
      </c>
      <c r="T9" s="39" t="s">
        <v>34</v>
      </c>
      <c r="U9" s="39" t="s">
        <v>35</v>
      </c>
      <c r="V9" s="39" t="s">
        <v>5</v>
      </c>
      <c r="W9" s="39" t="s">
        <v>36</v>
      </c>
      <c r="X9" s="50"/>
    </row>
    <row r="10" spans="1:30" ht="4.95" customHeight="1" thickBot="1" x14ac:dyDescent="0.3">
      <c r="A10" s="8" t="s">
        <v>37</v>
      </c>
      <c r="B10" s="8" t="s">
        <v>37</v>
      </c>
      <c r="C10" s="8" t="s">
        <v>37</v>
      </c>
      <c r="D10" s="8" t="s">
        <v>37</v>
      </c>
      <c r="E10" s="8" t="s">
        <v>37</v>
      </c>
      <c r="F10" s="8" t="s">
        <v>37</v>
      </c>
      <c r="G10" s="8" t="s">
        <v>37</v>
      </c>
      <c r="H10" s="8" t="s">
        <v>37</v>
      </c>
      <c r="I10" s="8" t="s">
        <v>37</v>
      </c>
      <c r="J10" s="8" t="s">
        <v>37</v>
      </c>
      <c r="K10" s="8" t="s">
        <v>37</v>
      </c>
      <c r="L10" s="8" t="s">
        <v>37</v>
      </c>
      <c r="M10" s="8" t="s">
        <v>37</v>
      </c>
      <c r="N10" s="8" t="s">
        <v>37</v>
      </c>
      <c r="O10" s="8" t="s">
        <v>37</v>
      </c>
      <c r="P10" s="8" t="s">
        <v>37</v>
      </c>
      <c r="Q10" s="8" t="s">
        <v>37</v>
      </c>
      <c r="R10" s="8" t="s">
        <v>37</v>
      </c>
      <c r="S10" s="8" t="s">
        <v>37</v>
      </c>
      <c r="T10" s="8" t="s">
        <v>37</v>
      </c>
      <c r="U10" s="8" t="s">
        <v>37</v>
      </c>
      <c r="V10" s="8" t="s">
        <v>37</v>
      </c>
      <c r="W10" s="8" t="s">
        <v>37</v>
      </c>
      <c r="X10" s="9"/>
    </row>
    <row r="11" spans="1:30" ht="12.9" customHeight="1" x14ac:dyDescent="0.25">
      <c r="A11" s="1" t="s">
        <v>284</v>
      </c>
      <c r="B11" s="10" t="s">
        <v>285</v>
      </c>
      <c r="C11" s="10">
        <v>37085</v>
      </c>
      <c r="D11" s="11">
        <v>76.5</v>
      </c>
      <c r="E11" s="11">
        <v>90.4</v>
      </c>
      <c r="F11" s="11">
        <v>58.125</v>
      </c>
      <c r="G11" s="12">
        <v>6821.000635450001</v>
      </c>
      <c r="H11" s="12">
        <v>8163.000635450001</v>
      </c>
      <c r="I11" s="13">
        <v>6.3795904985415204</v>
      </c>
      <c r="J11" s="13">
        <v>12.551409623106196</v>
      </c>
      <c r="K11" s="13">
        <v>3.2913562186349861</v>
      </c>
      <c r="L11" s="13">
        <v>4.6063625210274086</v>
      </c>
      <c r="M11" s="13">
        <v>2.762430166309398</v>
      </c>
      <c r="N11" s="13">
        <v>4.1352320011014987</v>
      </c>
      <c r="O11" s="14">
        <v>0.322692793931732</v>
      </c>
      <c r="P11" s="20">
        <v>1.5914607175571631</v>
      </c>
      <c r="Q11" s="14">
        <v>1.568628E-2</v>
      </c>
      <c r="R11" s="22">
        <v>1120.5</v>
      </c>
      <c r="S11" s="14">
        <v>0.31637661758143687</v>
      </c>
      <c r="T11" s="11">
        <v>5.8864209958040927</v>
      </c>
      <c r="U11" s="12">
        <v>7200</v>
      </c>
      <c r="V11" s="13">
        <v>0.80800370113347209</v>
      </c>
      <c r="W11" s="17">
        <v>89.998688949069802</v>
      </c>
      <c r="AB11" s="107" t="s">
        <v>180</v>
      </c>
    </row>
    <row r="12" spans="1:30" ht="12.9" customHeight="1" thickBot="1" x14ac:dyDescent="0.3">
      <c r="A12" s="1" t="s">
        <v>286</v>
      </c>
      <c r="B12" s="18" t="s">
        <v>277</v>
      </c>
      <c r="C12" s="10">
        <v>37106</v>
      </c>
      <c r="D12" s="11">
        <v>29.905014020924281</v>
      </c>
      <c r="E12" s="11">
        <v>33.242033650218275</v>
      </c>
      <c r="F12" s="11">
        <v>22.593837630776754</v>
      </c>
      <c r="G12" s="12">
        <v>19014.455965796013</v>
      </c>
      <c r="H12" s="12">
        <v>28921.103985539514</v>
      </c>
      <c r="I12" s="13">
        <v>8.9139142527285404</v>
      </c>
      <c r="J12" s="13">
        <v>14.503617742543184</v>
      </c>
      <c r="K12" s="13">
        <v>4.6150072996375462</v>
      </c>
      <c r="L12" s="13">
        <v>5.2701042574556451</v>
      </c>
      <c r="M12" s="13">
        <v>4.3148546567641253</v>
      </c>
      <c r="N12" s="13">
        <v>5.3397423423820563</v>
      </c>
      <c r="O12" s="14">
        <v>0.60176265730261058</v>
      </c>
      <c r="P12" s="20">
        <v>2.482092852435815</v>
      </c>
      <c r="Q12" s="14">
        <v>2.537563E-2</v>
      </c>
      <c r="R12" s="22">
        <v>3920.7835</v>
      </c>
      <c r="S12" s="14">
        <v>0.41275665947890255</v>
      </c>
      <c r="T12" s="11">
        <v>3.5906048027544353</v>
      </c>
      <c r="U12" s="12">
        <v>17776</v>
      </c>
      <c r="V12" s="13">
        <v>0.48677201508971801</v>
      </c>
      <c r="W12" s="17">
        <v>635.82835816401098</v>
      </c>
      <c r="X12" s="24"/>
      <c r="AB12" s="62">
        <v>50</v>
      </c>
    </row>
    <row r="13" spans="1:30" ht="12.9" customHeight="1" x14ac:dyDescent="0.25">
      <c r="A13" s="1" t="s">
        <v>287</v>
      </c>
      <c r="B13" s="10" t="s">
        <v>288</v>
      </c>
      <c r="C13" s="10">
        <v>37106</v>
      </c>
      <c r="D13" s="11">
        <v>29.6</v>
      </c>
      <c r="E13" s="11">
        <v>33.729999999999997</v>
      </c>
      <c r="F13" s="11">
        <v>25.1875</v>
      </c>
      <c r="G13" s="12">
        <v>9150.1769275000006</v>
      </c>
      <c r="H13" s="12">
        <v>14238.176927500001</v>
      </c>
      <c r="I13" s="13">
        <v>6.0944252896739695</v>
      </c>
      <c r="J13" s="13">
        <v>11.123834756817191</v>
      </c>
      <c r="K13" s="13">
        <v>2.6261119853784076</v>
      </c>
      <c r="L13" s="13">
        <v>3.6111368973083127</v>
      </c>
      <c r="M13" s="13">
        <v>4.1405104337615954</v>
      </c>
      <c r="N13" s="13">
        <v>5.8838696042487344</v>
      </c>
      <c r="O13" s="14">
        <v>0.32944768248681655</v>
      </c>
      <c r="P13" s="20">
        <v>1.723197161487759</v>
      </c>
      <c r="Q13" s="14">
        <v>3.1081079999999997E-2</v>
      </c>
      <c r="R13" s="22">
        <v>1232.6666666666665</v>
      </c>
      <c r="S13" s="14">
        <v>0.41833423472147108</v>
      </c>
      <c r="T13" s="11">
        <v>6.799826800464901</v>
      </c>
      <c r="U13" s="12">
        <v>10273</v>
      </c>
      <c r="V13" s="13">
        <v>0.58869333333333329</v>
      </c>
      <c r="W13" s="17">
        <v>309.12759890202705</v>
      </c>
      <c r="X13" s="24"/>
    </row>
    <row r="14" spans="1:30" ht="12.9" customHeight="1" x14ac:dyDescent="0.25">
      <c r="A14" s="1" t="s">
        <v>289</v>
      </c>
      <c r="B14" s="10" t="s">
        <v>290</v>
      </c>
      <c r="C14" s="10">
        <v>37106</v>
      </c>
      <c r="D14" s="11">
        <v>75.75</v>
      </c>
      <c r="E14" s="11">
        <v>87.85</v>
      </c>
      <c r="F14" s="11">
        <v>53.375</v>
      </c>
      <c r="G14" s="12">
        <v>3428.6127174499998</v>
      </c>
      <c r="H14" s="12">
        <v>3822.2347174500001</v>
      </c>
      <c r="I14" s="13">
        <v>11.042230974074073</v>
      </c>
      <c r="J14" s="13">
        <v>10.957535050974752</v>
      </c>
      <c r="K14" s="13">
        <v>4.6357662485803131</v>
      </c>
      <c r="L14" s="13">
        <v>4.3872203678182977</v>
      </c>
      <c r="M14" s="13">
        <v>4.3757695677733262</v>
      </c>
      <c r="N14" s="13">
        <v>3.9918900443342036</v>
      </c>
      <c r="O14" s="14">
        <v>0.30068187503530419</v>
      </c>
      <c r="P14" s="20">
        <v>2.637548593186986</v>
      </c>
      <c r="Q14" s="14">
        <v>1.9802E-2</v>
      </c>
      <c r="R14" s="22">
        <v>442.33333333333337</v>
      </c>
      <c r="S14" s="14">
        <v>0.26277317256970606</v>
      </c>
      <c r="T14" s="11">
        <v>6.3244179530728371</v>
      </c>
      <c r="U14" s="12">
        <v>2603.8000000000002</v>
      </c>
      <c r="V14" s="13">
        <v>0.7319019059201668</v>
      </c>
      <c r="W14" s="17">
        <v>45.262214091749172</v>
      </c>
      <c r="X14" s="24"/>
    </row>
    <row r="15" spans="1:30" ht="12.9" customHeight="1" x14ac:dyDescent="0.25">
      <c r="A15" s="1" t="s">
        <v>291</v>
      </c>
      <c r="B15" s="10" t="s">
        <v>292</v>
      </c>
      <c r="C15" s="10">
        <v>37106</v>
      </c>
      <c r="D15" s="11">
        <v>27.3</v>
      </c>
      <c r="E15" s="11">
        <v>31.1</v>
      </c>
      <c r="F15" s="11">
        <v>19.0625</v>
      </c>
      <c r="G15" s="12">
        <v>10151.4886436</v>
      </c>
      <c r="H15" s="12">
        <v>17823.488643600002</v>
      </c>
      <c r="I15" s="13">
        <v>7.6499537630746044</v>
      </c>
      <c r="J15" s="13">
        <v>13.571508881818181</v>
      </c>
      <c r="K15" s="13">
        <v>4.2996563505294363</v>
      </c>
      <c r="L15" s="13">
        <v>5.7417922192307689</v>
      </c>
      <c r="M15" s="13">
        <v>4.960614707375453</v>
      </c>
      <c r="N15" s="13">
        <v>6.6654781763649966</v>
      </c>
      <c r="O15" s="14">
        <v>0.43597956226645312</v>
      </c>
      <c r="P15" s="20">
        <v>1.9742296078568651</v>
      </c>
      <c r="Q15" s="14">
        <v>3.6630040000000003E-2</v>
      </c>
      <c r="R15" s="22">
        <v>2171.3333333333335</v>
      </c>
      <c r="S15" s="14">
        <v>0.16963463309794288</v>
      </c>
      <c r="T15" s="11">
        <v>6.1136023932204147</v>
      </c>
      <c r="U15" s="12">
        <v>15344</v>
      </c>
      <c r="V15" s="13">
        <v>0.74478509390542647</v>
      </c>
      <c r="W15" s="17">
        <v>371.84940086446886</v>
      </c>
      <c r="X15" s="24"/>
    </row>
    <row r="16" spans="1:30" ht="12.9" customHeight="1" x14ac:dyDescent="0.25">
      <c r="A16" s="1" t="s">
        <v>293</v>
      </c>
      <c r="B16" s="10" t="s">
        <v>294</v>
      </c>
      <c r="C16" s="10">
        <v>37106</v>
      </c>
      <c r="D16" s="11">
        <v>56.66</v>
      </c>
      <c r="E16" s="11">
        <v>70</v>
      </c>
      <c r="F16" s="11">
        <v>51.5</v>
      </c>
      <c r="G16" s="12">
        <v>21787.294162926002</v>
      </c>
      <c r="H16" s="12">
        <v>30837.794162926002</v>
      </c>
      <c r="I16" s="13">
        <v>9.5703632150520974</v>
      </c>
      <c r="J16" s="13">
        <v>12.259653311225488</v>
      </c>
      <c r="K16" s="13">
        <v>4.9355179977414947</v>
      </c>
      <c r="L16" s="13">
        <v>5.5583099335555817</v>
      </c>
      <c r="M16" s="13">
        <v>4.4440938541732402</v>
      </c>
      <c r="N16" s="13">
        <v>5.1920914411818222</v>
      </c>
      <c r="O16" s="14">
        <v>0.49209859750775142</v>
      </c>
      <c r="P16" s="20">
        <v>2.2971473628473826</v>
      </c>
      <c r="Q16" s="14">
        <v>2.5414759999999998E-2</v>
      </c>
      <c r="R16" s="22">
        <v>5019.333333333333</v>
      </c>
      <c r="S16" s="14">
        <v>0.28337096559968122</v>
      </c>
      <c r="T16" s="11">
        <v>3.103409508467954</v>
      </c>
      <c r="U16" s="12">
        <v>20417</v>
      </c>
      <c r="V16" s="13">
        <v>0.50512843786874828</v>
      </c>
      <c r="W16" s="17">
        <v>384.5269001575362</v>
      </c>
      <c r="X16" s="24"/>
    </row>
    <row r="17" spans="1:28" ht="12.9" customHeight="1" x14ac:dyDescent="0.25">
      <c r="A17" s="40"/>
      <c r="B17" s="41"/>
      <c r="C17" s="42"/>
      <c r="D17" s="19"/>
      <c r="E17" s="19"/>
      <c r="F17" s="19"/>
      <c r="G17" s="16"/>
      <c r="H17" s="16"/>
      <c r="I17" s="20"/>
      <c r="J17" s="20"/>
      <c r="K17" s="20"/>
      <c r="L17" s="20"/>
      <c r="M17" s="20"/>
      <c r="N17" s="20"/>
      <c r="O17" s="21"/>
      <c r="P17" s="20"/>
      <c r="Q17" s="21"/>
      <c r="R17" s="22"/>
      <c r="S17" s="21"/>
      <c r="T17" s="19"/>
      <c r="U17" s="16"/>
      <c r="V17" s="20"/>
      <c r="W17" s="23"/>
      <c r="X17" s="24"/>
      <c r="Y17" s="2"/>
      <c r="Z17" s="25"/>
      <c r="AA17" s="26"/>
      <c r="AB17" s="27"/>
    </row>
    <row r="18" spans="1:28" ht="12.9" customHeight="1" x14ac:dyDescent="0.25">
      <c r="B18" s="2"/>
      <c r="C18" s="18"/>
      <c r="D18" s="19"/>
      <c r="E18" s="19"/>
      <c r="F18" s="19"/>
      <c r="G18" s="16"/>
      <c r="H18" s="16"/>
      <c r="I18" s="20"/>
      <c r="J18" s="20"/>
      <c r="K18" s="20"/>
      <c r="L18" s="20"/>
      <c r="M18" s="20"/>
      <c r="N18" s="20"/>
      <c r="O18" s="21"/>
      <c r="P18" s="20"/>
      <c r="Q18" s="21"/>
      <c r="R18" s="22"/>
      <c r="S18" s="21"/>
      <c r="T18" s="19"/>
      <c r="U18" s="28"/>
      <c r="V18" s="20"/>
      <c r="W18" s="23"/>
    </row>
    <row r="19" spans="1:28" ht="12.9" customHeight="1" x14ac:dyDescent="0.25">
      <c r="B19" s="29"/>
      <c r="C19" s="29"/>
      <c r="D19" s="29"/>
      <c r="E19" s="29"/>
      <c r="F19" s="29"/>
      <c r="G19" s="52"/>
      <c r="H19" s="53" t="s">
        <v>38</v>
      </c>
      <c r="I19" s="13">
        <v>8.2750796655241334</v>
      </c>
      <c r="J19" s="13">
        <v>12.494593227747499</v>
      </c>
      <c r="K19" s="13">
        <v>4.0672360167503641</v>
      </c>
      <c r="L19" s="13">
        <v>4.8624876993993356</v>
      </c>
      <c r="M19" s="13">
        <v>4.166378897692856</v>
      </c>
      <c r="N19" s="13">
        <v>5.201383934935552</v>
      </c>
      <c r="O19" s="14">
        <v>0.41377719475511138</v>
      </c>
      <c r="P19" s="20">
        <v>2.1176127158953286</v>
      </c>
      <c r="Q19" s="14">
        <v>2.5664964999999998E-2</v>
      </c>
      <c r="R19" s="22"/>
      <c r="S19" s="14">
        <v>0.31054104717485675</v>
      </c>
      <c r="T19" s="11">
        <v>5.303047075630773</v>
      </c>
      <c r="U19" s="12"/>
      <c r="V19" s="13">
        <v>0.64421408120847745</v>
      </c>
      <c r="W19" s="29"/>
    </row>
    <row r="20" spans="1:28" ht="12.9" customHeight="1" x14ac:dyDescent="0.25">
      <c r="B20" s="29"/>
      <c r="C20" s="29"/>
      <c r="D20" s="29"/>
      <c r="E20" s="29"/>
      <c r="F20" s="29"/>
      <c r="G20" s="52"/>
      <c r="H20" s="53" t="s">
        <v>39</v>
      </c>
      <c r="I20" s="13">
        <v>8.2819340079015724</v>
      </c>
      <c r="J20" s="13">
        <v>12.405531467165842</v>
      </c>
      <c r="K20" s="13">
        <v>4.4573318250834912</v>
      </c>
      <c r="L20" s="13">
        <v>4.9382333892415264</v>
      </c>
      <c r="M20" s="13">
        <v>4.3453121122687257</v>
      </c>
      <c r="N20" s="13">
        <v>5.2659168917819397</v>
      </c>
      <c r="O20" s="14">
        <v>0.38271362237663487</v>
      </c>
      <c r="P20" s="20">
        <v>2.1356884853521239</v>
      </c>
      <c r="Q20" s="14">
        <v>2.5395194999999999E-2</v>
      </c>
      <c r="R20" s="22"/>
      <c r="S20" s="14">
        <v>0.29987379159055905</v>
      </c>
      <c r="T20" s="11">
        <v>6.0000116945122537</v>
      </c>
      <c r="U20" s="12"/>
      <c r="V20" s="13">
        <v>0.66029761962675004</v>
      </c>
      <c r="W20" s="29"/>
    </row>
    <row r="21" spans="1:28" ht="12.9" customHeight="1" x14ac:dyDescent="0.25">
      <c r="B21" s="29"/>
      <c r="C21" s="29"/>
      <c r="D21" s="29"/>
      <c r="E21" s="29"/>
      <c r="F21" s="29"/>
      <c r="G21" s="54"/>
      <c r="H21" s="55" t="s">
        <v>25</v>
      </c>
      <c r="I21" s="13">
        <v>11.042230974074073</v>
      </c>
      <c r="J21" s="13">
        <v>14.503617742543184</v>
      </c>
      <c r="K21" s="13">
        <v>4.9355179977414947</v>
      </c>
      <c r="L21" s="13">
        <v>5.7417922192307689</v>
      </c>
      <c r="M21" s="13">
        <v>4.960614707375453</v>
      </c>
      <c r="N21" s="13">
        <v>6.6654781763649966</v>
      </c>
      <c r="O21" s="14">
        <v>0.60176265730261058</v>
      </c>
      <c r="P21" s="20">
        <v>2.637548593186986</v>
      </c>
      <c r="Q21" s="14">
        <v>3.6630040000000003E-2</v>
      </c>
      <c r="R21" s="22"/>
      <c r="S21" s="14">
        <v>0.41833423472147108</v>
      </c>
      <c r="T21" s="11">
        <v>6.799826800464901</v>
      </c>
      <c r="U21" s="12"/>
      <c r="V21" s="13">
        <v>0.80800370113347209</v>
      </c>
      <c r="W21" s="29"/>
    </row>
    <row r="22" spans="1:28" ht="12.9" customHeight="1" x14ac:dyDescent="0.25">
      <c r="B22" s="29"/>
      <c r="C22" s="29"/>
      <c r="D22" s="29"/>
      <c r="E22" s="29"/>
      <c r="F22" s="29"/>
      <c r="G22" s="52"/>
      <c r="H22" s="53" t="s">
        <v>26</v>
      </c>
      <c r="I22" s="13">
        <v>6.0944252896739695</v>
      </c>
      <c r="J22" s="13">
        <v>10.957535050974752</v>
      </c>
      <c r="K22" s="13">
        <v>2.6261119853784076</v>
      </c>
      <c r="L22" s="13">
        <v>3.6111368973083127</v>
      </c>
      <c r="M22" s="13">
        <v>2.762430166309398</v>
      </c>
      <c r="N22" s="13">
        <v>3.9918900443342036</v>
      </c>
      <c r="O22" s="14">
        <v>0.30068187503530419</v>
      </c>
      <c r="P22" s="20">
        <v>1.5914607175571631</v>
      </c>
      <c r="Q22" s="14">
        <v>1.568628E-2</v>
      </c>
      <c r="R22" s="22"/>
      <c r="S22" s="14">
        <v>0.16963463309794288</v>
      </c>
      <c r="T22" s="11">
        <v>3.103409508467954</v>
      </c>
      <c r="U22" s="12"/>
      <c r="V22" s="13">
        <v>0.48677201508971801</v>
      </c>
      <c r="W22" s="29"/>
    </row>
    <row r="23" spans="1:28" ht="12.9" customHeight="1" x14ac:dyDescent="0.25"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</row>
    <row r="24" spans="1:28" ht="12.9" customHeight="1" x14ac:dyDescent="0.25">
      <c r="B24" s="29"/>
      <c r="C24" s="29"/>
      <c r="D24" s="29"/>
      <c r="R24" s="49" t="s">
        <v>95</v>
      </c>
      <c r="S24" s="49"/>
      <c r="T24" s="49"/>
      <c r="U24" s="49"/>
      <c r="V24" s="49"/>
    </row>
    <row r="25" spans="1:28" ht="12.9" customHeight="1" x14ac:dyDescent="0.25">
      <c r="A25" s="57"/>
      <c r="B25" s="49" t="s">
        <v>40</v>
      </c>
      <c r="C25" s="49"/>
      <c r="D25" s="49" t="s">
        <v>41</v>
      </c>
      <c r="E25" s="49"/>
      <c r="F25" s="49"/>
      <c r="G25" s="49" t="s">
        <v>42</v>
      </c>
      <c r="H25" s="49"/>
      <c r="I25" s="49" t="s">
        <v>43</v>
      </c>
      <c r="J25" s="49"/>
      <c r="M25" s="49" t="s">
        <v>44</v>
      </c>
      <c r="N25" s="49"/>
      <c r="O25" s="49"/>
      <c r="P25" s="49"/>
      <c r="R25" s="49" t="s">
        <v>45</v>
      </c>
      <c r="S25" s="49"/>
      <c r="T25" s="49"/>
      <c r="U25" s="49"/>
      <c r="V25" s="49"/>
      <c r="X25" s="56"/>
    </row>
    <row r="26" spans="1:28" ht="3.6" customHeight="1" x14ac:dyDescent="0.25">
      <c r="A26" s="57"/>
      <c r="B26" s="8" t="s">
        <v>37</v>
      </c>
      <c r="C26" s="58"/>
      <c r="D26" s="8" t="s">
        <v>37</v>
      </c>
      <c r="E26" s="58"/>
      <c r="F26" s="58"/>
      <c r="G26" s="8" t="s">
        <v>37</v>
      </c>
      <c r="H26" s="58"/>
      <c r="I26" s="8" t="s">
        <v>37</v>
      </c>
      <c r="J26" s="58"/>
      <c r="M26" s="8" t="s">
        <v>37</v>
      </c>
      <c r="N26" s="58"/>
      <c r="O26" s="58"/>
      <c r="P26" s="58"/>
      <c r="R26" s="8" t="s">
        <v>37</v>
      </c>
      <c r="S26" s="58"/>
      <c r="T26" s="58"/>
      <c r="U26" s="58"/>
      <c r="V26" s="58"/>
      <c r="X26" s="56"/>
    </row>
    <row r="27" spans="1:28" x14ac:dyDescent="0.25">
      <c r="A27" s="38"/>
      <c r="B27" s="2"/>
      <c r="C27" s="2"/>
      <c r="D27" s="50" t="s">
        <v>46</v>
      </c>
      <c r="E27" s="50" t="s">
        <v>47</v>
      </c>
      <c r="F27" s="50" t="s">
        <v>7</v>
      </c>
      <c r="G27" s="7" t="s">
        <v>48</v>
      </c>
      <c r="M27" s="50" t="s">
        <v>49</v>
      </c>
      <c r="N27" s="50"/>
      <c r="O27" s="50" t="s">
        <v>50</v>
      </c>
      <c r="P27" s="50" t="s">
        <v>51</v>
      </c>
      <c r="R27" s="50" t="s">
        <v>52</v>
      </c>
      <c r="S27" s="50" t="s">
        <v>53</v>
      </c>
      <c r="T27" s="59" t="s">
        <v>54</v>
      </c>
      <c r="U27" s="50" t="s">
        <v>55</v>
      </c>
      <c r="V27" s="50" t="s">
        <v>56</v>
      </c>
      <c r="X27" s="56"/>
    </row>
    <row r="28" spans="1:28" x14ac:dyDescent="0.25">
      <c r="A28" s="39" t="s">
        <v>21</v>
      </c>
      <c r="B28" s="2" t="s">
        <v>57</v>
      </c>
      <c r="C28" s="2" t="s">
        <v>58</v>
      </c>
      <c r="D28" s="39" t="s">
        <v>59</v>
      </c>
      <c r="E28" s="39" t="s">
        <v>60</v>
      </c>
      <c r="F28" s="39" t="s">
        <v>61</v>
      </c>
      <c r="G28" s="2" t="s">
        <v>62</v>
      </c>
      <c r="H28" s="2" t="s">
        <v>7</v>
      </c>
      <c r="I28" s="39" t="s">
        <v>63</v>
      </c>
      <c r="J28" s="39" t="s">
        <v>64</v>
      </c>
      <c r="M28" s="39" t="s">
        <v>65</v>
      </c>
      <c r="N28" s="39" t="s">
        <v>66</v>
      </c>
      <c r="O28" s="51" t="s">
        <v>67</v>
      </c>
      <c r="P28" s="39" t="s">
        <v>68</v>
      </c>
      <c r="R28" s="39" t="s">
        <v>69</v>
      </c>
      <c r="S28" s="51" t="s">
        <v>70</v>
      </c>
      <c r="T28" s="39" t="s">
        <v>71</v>
      </c>
      <c r="U28" s="51" t="s">
        <v>72</v>
      </c>
      <c r="V28" s="39" t="s">
        <v>73</v>
      </c>
      <c r="X28" s="50"/>
    </row>
    <row r="29" spans="1:28" ht="3.6" customHeight="1" x14ac:dyDescent="0.25">
      <c r="A29" s="8" t="s">
        <v>37</v>
      </c>
      <c r="B29" s="8" t="s">
        <v>37</v>
      </c>
      <c r="C29" s="8" t="s">
        <v>37</v>
      </c>
      <c r="D29" s="8" t="s">
        <v>37</v>
      </c>
      <c r="E29" s="8" t="s">
        <v>37</v>
      </c>
      <c r="F29" s="8" t="s">
        <v>37</v>
      </c>
      <c r="G29" s="8" t="s">
        <v>37</v>
      </c>
      <c r="H29" s="8" t="s">
        <v>37</v>
      </c>
      <c r="I29" s="8" t="s">
        <v>37</v>
      </c>
      <c r="J29" s="8" t="s">
        <v>37</v>
      </c>
      <c r="M29" s="8" t="s">
        <v>37</v>
      </c>
      <c r="N29" s="8" t="s">
        <v>37</v>
      </c>
      <c r="O29" s="8" t="s">
        <v>37</v>
      </c>
      <c r="P29" s="8" t="s">
        <v>37</v>
      </c>
      <c r="R29" s="8" t="s">
        <v>37</v>
      </c>
      <c r="S29" s="8" t="s">
        <v>37</v>
      </c>
      <c r="T29" s="8" t="s">
        <v>37</v>
      </c>
      <c r="U29" s="8" t="s">
        <v>37</v>
      </c>
      <c r="V29" s="8" t="s">
        <v>37</v>
      </c>
      <c r="X29" s="31"/>
    </row>
    <row r="30" spans="1:28" s="2" customFormat="1" ht="12.9" customHeight="1" x14ac:dyDescent="0.25">
      <c r="A30" s="1" t="s">
        <v>284</v>
      </c>
      <c r="B30" s="1" t="s">
        <v>278</v>
      </c>
      <c r="C30" s="27" t="s">
        <v>279</v>
      </c>
      <c r="D30" s="27" t="s">
        <v>97</v>
      </c>
      <c r="E30" s="27" t="s">
        <v>269</v>
      </c>
      <c r="F30" s="10">
        <v>37032</v>
      </c>
      <c r="G30" s="2" t="s">
        <v>102</v>
      </c>
      <c r="H30" s="10">
        <v>37032</v>
      </c>
      <c r="I30" s="14">
        <v>0</v>
      </c>
      <c r="J30" s="14">
        <v>0</v>
      </c>
      <c r="M30" s="14">
        <v>1.3730941704035875</v>
      </c>
      <c r="N30" s="13">
        <v>8.1490909090909085</v>
      </c>
      <c r="O30" s="11">
        <v>6.2188170395341702</v>
      </c>
      <c r="P30" s="27" t="s">
        <v>103</v>
      </c>
      <c r="R30" s="15">
        <v>2</v>
      </c>
      <c r="S30" s="15">
        <v>605</v>
      </c>
      <c r="T30" s="17">
        <v>7.4942561983471077</v>
      </c>
      <c r="U30" s="15">
        <v>929</v>
      </c>
      <c r="V30" s="15" t="s">
        <v>156</v>
      </c>
      <c r="X30" s="30"/>
    </row>
    <row r="31" spans="1:28" s="2" customFormat="1" ht="12.9" customHeight="1" x14ac:dyDescent="0.25">
      <c r="A31" s="1" t="s">
        <v>286</v>
      </c>
      <c r="B31" s="1" t="s">
        <v>278</v>
      </c>
      <c r="C31" s="27" t="s">
        <v>279</v>
      </c>
      <c r="D31" s="27" t="s">
        <v>97</v>
      </c>
      <c r="E31" s="27" t="s">
        <v>148</v>
      </c>
      <c r="F31" s="10">
        <v>37032</v>
      </c>
      <c r="G31" s="2" t="s">
        <v>99</v>
      </c>
      <c r="H31" s="10">
        <v>37032</v>
      </c>
      <c r="I31" s="14">
        <v>0</v>
      </c>
      <c r="J31" s="14">
        <v>0</v>
      </c>
      <c r="L31" s="32"/>
      <c r="M31" s="14">
        <v>1.0671696276466294</v>
      </c>
      <c r="N31" s="13">
        <v>10.339192708333334</v>
      </c>
      <c r="O31" s="11">
        <v>7.5484667627083768</v>
      </c>
      <c r="P31" s="27" t="s">
        <v>103</v>
      </c>
      <c r="R31" s="15">
        <v>8</v>
      </c>
      <c r="S31" s="15">
        <v>904</v>
      </c>
      <c r="T31" s="17">
        <v>9.2271141135188586</v>
      </c>
      <c r="U31" s="15">
        <v>7960</v>
      </c>
      <c r="V31" s="15" t="s">
        <v>156</v>
      </c>
      <c r="W31" s="60"/>
      <c r="X31" s="34"/>
    </row>
    <row r="32" spans="1:28" s="2" customFormat="1" ht="12.9" customHeight="1" x14ac:dyDescent="0.25">
      <c r="A32" s="1" t="s">
        <v>287</v>
      </c>
      <c r="B32" s="1" t="s">
        <v>278</v>
      </c>
      <c r="C32" s="27" t="s">
        <v>279</v>
      </c>
      <c r="D32" s="27" t="s">
        <v>97</v>
      </c>
      <c r="E32" s="27" t="s">
        <v>269</v>
      </c>
      <c r="F32" s="10">
        <v>37032</v>
      </c>
      <c r="G32" s="2" t="s">
        <v>107</v>
      </c>
      <c r="H32" s="10">
        <v>37032</v>
      </c>
      <c r="I32" s="14">
        <v>0</v>
      </c>
      <c r="J32" s="14">
        <v>0</v>
      </c>
      <c r="L32" s="32"/>
      <c r="M32" s="14">
        <v>0.56071964017991016</v>
      </c>
      <c r="N32" s="13">
        <v>8.2914798206278011</v>
      </c>
      <c r="O32" s="11">
        <v>10.858159181858603</v>
      </c>
      <c r="P32" s="27" t="s">
        <v>103</v>
      </c>
      <c r="R32" s="15">
        <v>7</v>
      </c>
      <c r="S32" s="15">
        <v>579.70000000000005</v>
      </c>
      <c r="T32" s="17">
        <v>8.5678502245989314</v>
      </c>
      <c r="U32" s="15">
        <v>5970</v>
      </c>
      <c r="V32" s="15">
        <v>354</v>
      </c>
      <c r="W32" s="60"/>
      <c r="X32" s="34"/>
    </row>
    <row r="33" spans="1:24" s="2" customFormat="1" ht="12.9" customHeight="1" x14ac:dyDescent="0.25">
      <c r="A33" s="1" t="s">
        <v>289</v>
      </c>
      <c r="B33" s="1" t="s">
        <v>278</v>
      </c>
      <c r="C33" s="27" t="s">
        <v>279</v>
      </c>
      <c r="D33" s="27" t="s">
        <v>263</v>
      </c>
      <c r="E33" s="27" t="s">
        <v>144</v>
      </c>
      <c r="F33" s="10">
        <v>37020</v>
      </c>
      <c r="G33" s="2" t="s">
        <v>99</v>
      </c>
      <c r="H33" s="10">
        <v>37032</v>
      </c>
      <c r="I33" s="14">
        <v>0</v>
      </c>
      <c r="J33" s="14">
        <v>0</v>
      </c>
      <c r="L33" s="32"/>
      <c r="M33" s="14">
        <v>1.7149012033873123</v>
      </c>
      <c r="N33" s="13">
        <v>11.671064204045736</v>
      </c>
      <c r="O33" s="11">
        <v>5.2224212951113387</v>
      </c>
      <c r="P33" s="27" t="s">
        <v>103</v>
      </c>
      <c r="R33" s="15">
        <v>3</v>
      </c>
      <c r="S33" s="15">
        <v>167.4</v>
      </c>
      <c r="T33" s="17">
        <v>6.975459976105137</v>
      </c>
      <c r="U33" s="15">
        <v>712</v>
      </c>
      <c r="V33" s="15">
        <v>145</v>
      </c>
      <c r="W33" s="60"/>
      <c r="X33" s="34"/>
    </row>
    <row r="34" spans="1:24" s="2" customFormat="1" ht="12.9" customHeight="1" x14ac:dyDescent="0.25">
      <c r="A34" s="1" t="s">
        <v>291</v>
      </c>
      <c r="B34" s="1" t="s">
        <v>278</v>
      </c>
      <c r="C34" s="27" t="s">
        <v>279</v>
      </c>
      <c r="D34" s="27" t="s">
        <v>295</v>
      </c>
      <c r="E34" s="27" t="s">
        <v>199</v>
      </c>
      <c r="F34" s="10">
        <v>37011</v>
      </c>
      <c r="G34" s="2" t="s">
        <v>201</v>
      </c>
      <c r="H34" s="10">
        <v>37032</v>
      </c>
      <c r="I34" s="14">
        <v>0</v>
      </c>
      <c r="J34" s="14">
        <v>0</v>
      </c>
      <c r="L34" s="32"/>
      <c r="M34" s="14">
        <v>2.782758620689656</v>
      </c>
      <c r="N34" s="13">
        <v>12.011801585838098</v>
      </c>
      <c r="O34" s="11">
        <v>4.706240932642487</v>
      </c>
      <c r="P34" s="27" t="s">
        <v>103</v>
      </c>
      <c r="R34" s="15" t="s">
        <v>156</v>
      </c>
      <c r="S34" s="15" t="s">
        <v>156</v>
      </c>
      <c r="T34" s="17" t="s">
        <v>156</v>
      </c>
      <c r="U34" s="15" t="s">
        <v>156</v>
      </c>
      <c r="V34" s="15" t="s">
        <v>156</v>
      </c>
      <c r="W34" s="60"/>
      <c r="X34" s="34"/>
    </row>
    <row r="35" spans="1:24" s="2" customFormat="1" ht="12.9" customHeight="1" x14ac:dyDescent="0.25">
      <c r="A35" s="1" t="s">
        <v>293</v>
      </c>
      <c r="B35" s="1" t="s">
        <v>278</v>
      </c>
      <c r="C35" s="27" t="s">
        <v>279</v>
      </c>
      <c r="D35" s="27" t="s">
        <v>97</v>
      </c>
      <c r="E35" s="27" t="s">
        <v>269</v>
      </c>
      <c r="F35" s="10">
        <v>36979</v>
      </c>
      <c r="G35" s="2" t="s">
        <v>296</v>
      </c>
      <c r="H35" s="10">
        <v>37000</v>
      </c>
      <c r="I35" s="14">
        <v>0</v>
      </c>
      <c r="J35" s="14">
        <v>0</v>
      </c>
      <c r="L35" s="32"/>
      <c r="M35" s="14">
        <v>5.3216067209241276</v>
      </c>
      <c r="N35" s="13">
        <v>18.775561097256858</v>
      </c>
      <c r="O35" s="11">
        <v>2.9483150321847789</v>
      </c>
      <c r="P35" s="27" t="s">
        <v>103</v>
      </c>
      <c r="R35" s="15">
        <v>12</v>
      </c>
      <c r="S35" s="15">
        <v>1574</v>
      </c>
      <c r="T35" s="17">
        <v>18.768824766702011</v>
      </c>
      <c r="U35" s="15">
        <v>13330</v>
      </c>
      <c r="V35" s="15">
        <v>3841</v>
      </c>
      <c r="W35" s="60"/>
      <c r="X35" s="34"/>
    </row>
    <row r="36" spans="1:24" s="2" customFormat="1" ht="12.9" customHeight="1" x14ac:dyDescent="0.25">
      <c r="A36" s="1"/>
      <c r="B36" s="1"/>
      <c r="C36" s="27"/>
      <c r="D36" s="27"/>
      <c r="E36" s="27"/>
      <c r="F36" s="10"/>
      <c r="H36" s="10"/>
      <c r="I36" s="14"/>
      <c r="J36" s="14"/>
      <c r="Q36" s="33"/>
    </row>
    <row r="37" spans="1:24" s="2" customFormat="1" ht="12.9" customHeight="1" x14ac:dyDescent="0.25">
      <c r="A37" s="1"/>
      <c r="B37" s="1"/>
      <c r="C37" s="27"/>
      <c r="D37" s="27"/>
      <c r="E37" s="27"/>
      <c r="F37" s="10"/>
      <c r="H37" s="10"/>
      <c r="I37" s="14"/>
      <c r="J37" s="14"/>
      <c r="Q37" s="33"/>
    </row>
    <row r="38" spans="1:24" s="2" customFormat="1" ht="12.9" customHeight="1" x14ac:dyDescent="0.25">
      <c r="B38" s="35"/>
      <c r="C38" s="35"/>
      <c r="E38" s="35"/>
      <c r="L38" s="53" t="s">
        <v>38</v>
      </c>
      <c r="M38" s="123">
        <v>2.136708330538537</v>
      </c>
      <c r="N38" s="21">
        <v>11.539698387532122</v>
      </c>
      <c r="O38" s="124">
        <v>6.250403374006626</v>
      </c>
      <c r="P38" s="33"/>
      <c r="Q38" s="33"/>
      <c r="R38" s="22"/>
      <c r="S38" s="22"/>
      <c r="T38" s="17"/>
      <c r="U38" s="22"/>
      <c r="V38" s="22"/>
      <c r="W38" s="60"/>
    </row>
    <row r="39" spans="1:24" s="2" customFormat="1" ht="12.9" customHeight="1" x14ac:dyDescent="0.25">
      <c r="B39" s="35"/>
      <c r="C39" s="35"/>
      <c r="D39" s="35"/>
      <c r="E39" s="11"/>
      <c r="L39" s="53" t="s">
        <v>39</v>
      </c>
      <c r="M39" s="123">
        <v>1.5439976868954499</v>
      </c>
      <c r="N39" s="21">
        <v>11.005128456189535</v>
      </c>
      <c r="O39" s="124">
        <v>5.720619167322754</v>
      </c>
      <c r="P39" s="33"/>
      <c r="Q39" s="33"/>
      <c r="R39" s="22"/>
      <c r="S39" s="22"/>
      <c r="T39" s="17"/>
      <c r="U39" s="22"/>
      <c r="V39" s="22"/>
      <c r="W39" s="60"/>
    </row>
    <row r="40" spans="1:24" s="2" customFormat="1" ht="12.9" customHeight="1" x14ac:dyDescent="0.25">
      <c r="B40" s="35"/>
      <c r="C40" s="35"/>
      <c r="D40" s="35"/>
      <c r="E40" s="11"/>
      <c r="L40" s="55" t="s">
        <v>25</v>
      </c>
      <c r="M40" s="123">
        <v>5.3216067209241276</v>
      </c>
      <c r="N40" s="21">
        <v>18.775561097256858</v>
      </c>
      <c r="O40" s="124">
        <v>10.858159181858603</v>
      </c>
      <c r="P40" s="33"/>
      <c r="Q40" s="33"/>
      <c r="R40" s="22"/>
      <c r="S40" s="22"/>
      <c r="T40" s="17"/>
      <c r="U40" s="22"/>
      <c r="V40" s="22"/>
      <c r="W40" s="60"/>
    </row>
    <row r="41" spans="1:24" s="2" customFormat="1" ht="12.9" customHeight="1" x14ac:dyDescent="0.25">
      <c r="B41" s="35"/>
      <c r="C41" s="35"/>
      <c r="D41" s="35"/>
      <c r="E41" s="11"/>
      <c r="L41" s="53" t="s">
        <v>26</v>
      </c>
      <c r="M41" s="123">
        <v>0.56071964017991016</v>
      </c>
      <c r="N41" s="21">
        <v>8.1490909090909085</v>
      </c>
      <c r="O41" s="124">
        <v>2.9483150321847789</v>
      </c>
      <c r="P41" s="33"/>
      <c r="Q41" s="33"/>
      <c r="R41" s="22"/>
      <c r="S41" s="22"/>
      <c r="T41" s="17"/>
      <c r="U41" s="22"/>
      <c r="V41" s="22"/>
      <c r="W41" s="60"/>
    </row>
    <row r="42" spans="1:24" s="2" customFormat="1" ht="12.9" customHeight="1" x14ac:dyDescent="0.25">
      <c r="A42" s="36" t="s">
        <v>74</v>
      </c>
      <c r="E42" s="11"/>
    </row>
    <row r="43" spans="1:24" s="2" customFormat="1" ht="12.9" customHeight="1" x14ac:dyDescent="0.25">
      <c r="A43" s="9" t="s">
        <v>280</v>
      </c>
      <c r="E43" s="11"/>
    </row>
    <row r="44" spans="1:24" s="2" customFormat="1" ht="12.9" customHeight="1" x14ac:dyDescent="0.25">
      <c r="A44" s="9" t="s">
        <v>281</v>
      </c>
      <c r="E44" s="11"/>
    </row>
    <row r="45" spans="1:24" s="2" customFormat="1" ht="12.9" customHeight="1" x14ac:dyDescent="0.25">
      <c r="A45" s="9" t="s">
        <v>282</v>
      </c>
    </row>
    <row r="46" spans="1:24" s="2" customFormat="1" ht="12.9" customHeight="1" x14ac:dyDescent="0.25">
      <c r="A46" s="27" t="s">
        <v>283</v>
      </c>
    </row>
    <row r="47" spans="1:24" s="2" customFormat="1" ht="12.9" customHeight="1" x14ac:dyDescent="0.25">
      <c r="A47" s="9"/>
    </row>
    <row r="48" spans="1:24" s="2" customFormat="1" ht="12.9" customHeight="1" x14ac:dyDescent="0.25">
      <c r="A48" s="9"/>
    </row>
    <row r="49" spans="5:16" s="2" customFormat="1" ht="12.9" customHeight="1" x14ac:dyDescent="0.25"/>
    <row r="50" spans="5:16" s="2" customFormat="1" ht="12.9" customHeight="1" x14ac:dyDescent="0.25"/>
    <row r="51" spans="5:16" s="2" customFormat="1" ht="12.9" customHeight="1" x14ac:dyDescent="0.25"/>
    <row r="52" spans="5:16" s="2" customFormat="1" ht="12.9" customHeight="1" x14ac:dyDescent="0.25"/>
    <row r="53" spans="5:16" s="2" customFormat="1" ht="12.9" customHeight="1" x14ac:dyDescent="0.25"/>
    <row r="54" spans="5:16" s="2" customFormat="1" ht="12.9" customHeight="1" x14ac:dyDescent="0.25"/>
    <row r="55" spans="5:16" s="2" customFormat="1" ht="12.9" customHeight="1" x14ac:dyDescent="0.25"/>
    <row r="56" spans="5:16" s="2" customFormat="1" ht="12.9" customHeight="1" x14ac:dyDescent="0.25"/>
    <row r="57" spans="5:16" s="2" customFormat="1" ht="12.9" customHeight="1" x14ac:dyDescent="0.25"/>
    <row r="58" spans="5:16" s="2" customFormat="1" ht="12.9" customHeight="1" x14ac:dyDescent="0.25">
      <c r="F58" s="18"/>
      <c r="G58" s="18"/>
      <c r="N58" s="18"/>
      <c r="O58" s="18"/>
    </row>
    <row r="59" spans="5:16" s="2" customFormat="1" ht="12.9" customHeight="1" x14ac:dyDescent="0.25"/>
    <row r="60" spans="5:16" s="2" customFormat="1" ht="12.9" customHeight="1" x14ac:dyDescent="0.25">
      <c r="E60" s="18"/>
      <c r="F60" s="11"/>
      <c r="G60" s="11"/>
      <c r="H60" s="106"/>
      <c r="M60" s="18"/>
      <c r="N60" s="11"/>
      <c r="O60" s="11"/>
      <c r="P60" s="106"/>
    </row>
    <row r="61" spans="5:16" s="2" customFormat="1" ht="12.9" customHeight="1" x14ac:dyDescent="0.25">
      <c r="E61" s="18"/>
      <c r="F61" s="19"/>
      <c r="G61" s="19"/>
      <c r="H61" s="106"/>
      <c r="M61" s="18"/>
      <c r="N61" s="19"/>
      <c r="O61" s="19"/>
      <c r="P61" s="106"/>
    </row>
    <row r="62" spans="5:16" s="2" customFormat="1" ht="12.9" customHeight="1" x14ac:dyDescent="0.25">
      <c r="E62" s="18"/>
      <c r="F62" s="19"/>
      <c r="G62" s="19"/>
      <c r="H62" s="106"/>
      <c r="M62" s="18"/>
      <c r="N62" s="19"/>
      <c r="O62" s="19"/>
      <c r="P62" s="106"/>
    </row>
    <row r="63" spans="5:16" s="2" customFormat="1" ht="12.9" customHeight="1" x14ac:dyDescent="0.25">
      <c r="E63" s="18"/>
      <c r="F63" s="19"/>
      <c r="G63" s="19"/>
      <c r="H63" s="106"/>
      <c r="M63" s="18"/>
      <c r="N63" s="19"/>
      <c r="O63" s="19"/>
      <c r="P63" s="106"/>
    </row>
    <row r="64" spans="5:16" s="2" customFormat="1" ht="12.9" customHeight="1" x14ac:dyDescent="0.25">
      <c r="E64" s="18"/>
      <c r="F64" s="19"/>
      <c r="G64" s="19"/>
      <c r="H64" s="106"/>
      <c r="M64" s="18"/>
      <c r="N64" s="19"/>
      <c r="O64" s="19"/>
      <c r="P64" s="106"/>
    </row>
    <row r="65" spans="5:16" s="2" customFormat="1" ht="12.9" customHeight="1" x14ac:dyDescent="0.25">
      <c r="E65" s="18"/>
      <c r="F65" s="19"/>
      <c r="G65" s="19"/>
      <c r="H65" s="106"/>
      <c r="M65" s="18"/>
      <c r="N65" s="19"/>
      <c r="O65" s="19"/>
      <c r="P65" s="106"/>
    </row>
    <row r="66" spans="5:16" s="2" customFormat="1" ht="12.9" customHeight="1" x14ac:dyDescent="0.25"/>
    <row r="67" spans="5:16" ht="12.9" customHeight="1" x14ac:dyDescent="0.25"/>
    <row r="68" spans="5:16" ht="12.9" customHeight="1" x14ac:dyDescent="0.25"/>
    <row r="69" spans="5:16" ht="12.9" customHeight="1" x14ac:dyDescent="0.25"/>
    <row r="70" spans="5:16" ht="12.9" customHeight="1" x14ac:dyDescent="0.25"/>
    <row r="71" spans="5:16" ht="12.9" customHeight="1" x14ac:dyDescent="0.25"/>
    <row r="72" spans="5:16" ht="12.9" customHeight="1" x14ac:dyDescent="0.25"/>
    <row r="73" spans="5:16" ht="12.9" customHeight="1" x14ac:dyDescent="0.25"/>
    <row r="74" spans="5:16" ht="12.9" customHeight="1" x14ac:dyDescent="0.25"/>
    <row r="75" spans="5:16" ht="12.9" customHeight="1" x14ac:dyDescent="0.25"/>
    <row r="76" spans="5:16" ht="12.9" customHeight="1" x14ac:dyDescent="0.25"/>
    <row r="77" spans="5:16" ht="12.9" customHeight="1" x14ac:dyDescent="0.25"/>
    <row r="78" spans="5:16" ht="12.9" customHeight="1" x14ac:dyDescent="0.25"/>
    <row r="79" spans="5:16" ht="12.9" customHeight="1" x14ac:dyDescent="0.25"/>
    <row r="80" spans="5:16" ht="12.9" customHeight="1" x14ac:dyDescent="0.25"/>
    <row r="81" ht="12.9" customHeight="1" x14ac:dyDescent="0.25"/>
    <row r="82" ht="12.9" customHeight="1" x14ac:dyDescent="0.25"/>
    <row r="83" ht="12.9" customHeight="1" x14ac:dyDescent="0.25"/>
    <row r="84" ht="12.9" customHeight="1" x14ac:dyDescent="0.25"/>
    <row r="85" ht="12.9" customHeight="1" x14ac:dyDescent="0.25"/>
    <row r="86" ht="12.9" customHeight="1" x14ac:dyDescent="0.25"/>
    <row r="87" ht="12.9" customHeight="1" x14ac:dyDescent="0.25"/>
    <row r="88" ht="12.9" customHeight="1" x14ac:dyDescent="0.25"/>
    <row r="89" ht="12.9" customHeight="1" x14ac:dyDescent="0.25"/>
    <row r="90" ht="12.9" customHeight="1" x14ac:dyDescent="0.25"/>
    <row r="91" ht="12.9" customHeight="1" x14ac:dyDescent="0.25"/>
    <row r="92" ht="12.9" customHeight="1" x14ac:dyDescent="0.25"/>
    <row r="93" ht="12.9" customHeight="1" x14ac:dyDescent="0.25"/>
    <row r="94" ht="12.9" customHeight="1" x14ac:dyDescent="0.25"/>
    <row r="95" ht="12.9" customHeight="1" x14ac:dyDescent="0.25"/>
    <row r="96" ht="12.9" customHeight="1" x14ac:dyDescent="0.25"/>
    <row r="97" ht="12.9" customHeight="1" x14ac:dyDescent="0.25"/>
    <row r="98" ht="12.9" customHeight="1" x14ac:dyDescent="0.25"/>
    <row r="99" ht="12.9" customHeight="1" x14ac:dyDescent="0.25"/>
    <row r="100" ht="12.9" customHeight="1" x14ac:dyDescent="0.25"/>
    <row r="101" ht="12.9" customHeight="1" x14ac:dyDescent="0.25"/>
    <row r="102" ht="12.9" customHeight="1" x14ac:dyDescent="0.25"/>
    <row r="103" ht="12.9" customHeight="1" x14ac:dyDescent="0.25"/>
    <row r="104" ht="12.9" customHeight="1" x14ac:dyDescent="0.25"/>
    <row r="105" ht="12.9" customHeight="1" x14ac:dyDescent="0.25"/>
    <row r="106" ht="12.9" customHeight="1" x14ac:dyDescent="0.25"/>
    <row r="107" ht="12.9" customHeight="1" x14ac:dyDescent="0.25"/>
  </sheetData>
  <phoneticPr fontId="0" type="noConversion"/>
  <pageMargins left="0" right="0" top="0" bottom="0" header="0.5" footer="0.5"/>
  <pageSetup scale="52" orientation="landscape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03"/>
  <sheetViews>
    <sheetView topLeftCell="A2" zoomScale="50" workbookViewId="0">
      <selection activeCell="A2" sqref="A2"/>
    </sheetView>
  </sheetViews>
  <sheetFormatPr defaultColWidth="9.109375" defaultRowHeight="13.2" outlineLevelRow="1" outlineLevelCol="1" x14ac:dyDescent="0.25"/>
  <cols>
    <col min="1" max="1" width="33.6640625" style="38" customWidth="1"/>
    <col min="2" max="3" width="17.6640625" style="38" customWidth="1"/>
    <col min="4" max="4" width="10.6640625" style="38" customWidth="1"/>
    <col min="5" max="5" width="11.6640625" style="38" customWidth="1"/>
    <col min="6" max="6" width="10.6640625" style="38" customWidth="1"/>
    <col min="7" max="9" width="10.6640625" style="38" hidden="1" customWidth="1" outlineLevel="1"/>
    <col min="10" max="10" width="13.44140625" style="38" customWidth="1" collapsed="1"/>
    <col min="11" max="11" width="12.5546875" style="38" customWidth="1"/>
    <col min="12" max="12" width="11.109375" style="38" customWidth="1"/>
    <col min="13" max="13" width="12.33203125" style="38" customWidth="1"/>
    <col min="14" max="14" width="10.44140625" style="38" customWidth="1"/>
    <col min="15" max="15" width="11.33203125" style="38" customWidth="1"/>
    <col min="16" max="17" width="8.6640625" style="38" customWidth="1"/>
    <col min="18" max="20" width="9.6640625" style="38" customWidth="1"/>
    <col min="21" max="21" width="11.88671875" style="38" customWidth="1"/>
    <col min="22" max="25" width="9.6640625" style="38" customWidth="1"/>
    <col min="26" max="26" width="10.6640625" style="38" customWidth="1"/>
    <col min="27" max="27" width="9.109375" style="38"/>
    <col min="28" max="30" width="10.6640625" style="38" customWidth="1"/>
    <col min="31" max="31" width="15.6640625" style="38" customWidth="1"/>
    <col min="32" max="16384" width="9.109375" style="38"/>
  </cols>
  <sheetData>
    <row r="1" spans="1:33" s="270" customFormat="1" hidden="1" outlineLevel="1" x14ac:dyDescent="0.25">
      <c r="A1" s="270" t="s">
        <v>364</v>
      </c>
      <c r="D1" s="270" t="s">
        <v>464</v>
      </c>
      <c r="E1" s="270" t="s">
        <v>465</v>
      </c>
      <c r="F1" s="270" t="s">
        <v>466</v>
      </c>
      <c r="G1" s="270" t="s">
        <v>467</v>
      </c>
      <c r="H1" s="270" t="s">
        <v>468</v>
      </c>
      <c r="I1" s="270" t="s">
        <v>469</v>
      </c>
      <c r="L1" s="270" t="s">
        <v>470</v>
      </c>
      <c r="M1" s="270" t="s">
        <v>471</v>
      </c>
      <c r="N1" s="270" t="s">
        <v>472</v>
      </c>
      <c r="O1" s="270" t="s">
        <v>473</v>
      </c>
      <c r="P1" s="270" t="s">
        <v>474</v>
      </c>
      <c r="Q1" s="270" t="s">
        <v>475</v>
      </c>
      <c r="R1" s="270" t="s">
        <v>361</v>
      </c>
      <c r="S1" s="270" t="s">
        <v>476</v>
      </c>
      <c r="T1" s="270" t="s">
        <v>477</v>
      </c>
      <c r="U1" s="270" t="s">
        <v>378</v>
      </c>
      <c r="V1" s="270" t="s">
        <v>379</v>
      </c>
      <c r="W1" s="270" t="s">
        <v>478</v>
      </c>
      <c r="X1" s="270" t="s">
        <v>479</v>
      </c>
      <c r="Y1" s="270" t="s">
        <v>480</v>
      </c>
      <c r="Z1" s="270" t="s">
        <v>481</v>
      </c>
    </row>
    <row r="2" spans="1:33" ht="17.399999999999999" collapsed="1" x14ac:dyDescent="0.3">
      <c r="A2" s="145" t="s">
        <v>506</v>
      </c>
      <c r="B2" s="145"/>
      <c r="C2" s="145"/>
    </row>
    <row r="3" spans="1:33" ht="15" customHeight="1" x14ac:dyDescent="0.3">
      <c r="A3" s="44" t="s">
        <v>0</v>
      </c>
      <c r="B3" s="44"/>
      <c r="C3" s="44"/>
      <c r="AG3" s="57"/>
    </row>
    <row r="4" spans="1:33" x14ac:dyDescent="0.25">
      <c r="A4" s="146" t="s">
        <v>1</v>
      </c>
      <c r="B4" s="146"/>
      <c r="C4" s="146"/>
      <c r="AG4" s="57"/>
    </row>
    <row r="5" spans="1:33" x14ac:dyDescent="0.25">
      <c r="A5" s="146"/>
      <c r="B5" s="146"/>
      <c r="C5" s="146"/>
      <c r="AG5" s="57"/>
    </row>
    <row r="6" spans="1:33" x14ac:dyDescent="0.25">
      <c r="A6" s="146"/>
      <c r="B6" s="146"/>
      <c r="C6" s="146"/>
      <c r="AG6" s="57"/>
    </row>
    <row r="7" spans="1:33" x14ac:dyDescent="0.25">
      <c r="A7" s="147" t="s">
        <v>2</v>
      </c>
      <c r="B7" s="271">
        <v>37108</v>
      </c>
      <c r="C7" s="149"/>
    </row>
    <row r="8" spans="1:33" x14ac:dyDescent="0.25">
      <c r="K8" s="39" t="s">
        <v>3</v>
      </c>
      <c r="U8" s="47" t="s">
        <v>4</v>
      </c>
      <c r="V8" s="47"/>
      <c r="W8" s="47"/>
      <c r="X8" s="47" t="s">
        <v>5</v>
      </c>
      <c r="Y8" s="47"/>
      <c r="Z8" s="39" t="s">
        <v>6</v>
      </c>
    </row>
    <row r="9" spans="1:33" x14ac:dyDescent="0.25">
      <c r="C9" s="39" t="s">
        <v>7</v>
      </c>
      <c r="D9" s="39" t="s">
        <v>8</v>
      </c>
      <c r="E9" s="48" t="s">
        <v>9</v>
      </c>
      <c r="F9" s="48"/>
      <c r="H9" s="48"/>
      <c r="I9" s="48"/>
      <c r="J9" s="39" t="s">
        <v>10</v>
      </c>
      <c r="K9" s="39" t="s">
        <v>10</v>
      </c>
      <c r="L9" s="347" t="s">
        <v>483</v>
      </c>
      <c r="M9" s="347"/>
      <c r="N9" s="347" t="s">
        <v>484</v>
      </c>
      <c r="O9" s="347"/>
      <c r="P9" s="347" t="s">
        <v>13</v>
      </c>
      <c r="Q9" s="347"/>
      <c r="R9" s="49" t="s">
        <v>14</v>
      </c>
      <c r="S9" s="50" t="s">
        <v>15</v>
      </c>
      <c r="T9" s="39" t="s">
        <v>16</v>
      </c>
      <c r="U9" s="39" t="s">
        <v>17</v>
      </c>
      <c r="V9" s="39"/>
      <c r="W9" s="51" t="s">
        <v>18</v>
      </c>
      <c r="X9" s="39" t="s">
        <v>17</v>
      </c>
      <c r="Y9" s="39" t="s">
        <v>19</v>
      </c>
      <c r="Z9" s="39" t="s">
        <v>20</v>
      </c>
      <c r="AA9" s="50"/>
    </row>
    <row r="10" spans="1:33" x14ac:dyDescent="0.25">
      <c r="A10" s="39" t="s">
        <v>21</v>
      </c>
      <c r="B10" s="39" t="s">
        <v>22</v>
      </c>
      <c r="C10" s="39" t="s">
        <v>23</v>
      </c>
      <c r="D10" s="39" t="s">
        <v>24</v>
      </c>
      <c r="E10" s="39" t="s">
        <v>25</v>
      </c>
      <c r="F10" s="39" t="s">
        <v>26</v>
      </c>
      <c r="G10" s="39" t="s">
        <v>485</v>
      </c>
      <c r="H10" s="39" t="s">
        <v>486</v>
      </c>
      <c r="I10" s="39" t="s">
        <v>487</v>
      </c>
      <c r="J10" s="39" t="s">
        <v>27</v>
      </c>
      <c r="K10" s="39" t="s">
        <v>27</v>
      </c>
      <c r="L10" s="51" t="s">
        <v>111</v>
      </c>
      <c r="M10" s="51" t="s">
        <v>112</v>
      </c>
      <c r="N10" s="51" t="s">
        <v>111</v>
      </c>
      <c r="O10" s="51" t="s">
        <v>112</v>
      </c>
      <c r="P10" s="51" t="s">
        <v>111</v>
      </c>
      <c r="Q10" s="51" t="s">
        <v>112</v>
      </c>
      <c r="R10" s="39" t="s">
        <v>29</v>
      </c>
      <c r="S10" s="39" t="s">
        <v>30</v>
      </c>
      <c r="T10" s="39" t="s">
        <v>31</v>
      </c>
      <c r="U10" s="39" t="s">
        <v>32</v>
      </c>
      <c r="V10" s="39" t="s">
        <v>33</v>
      </c>
      <c r="W10" s="39" t="s">
        <v>34</v>
      </c>
      <c r="X10" s="39" t="s">
        <v>35</v>
      </c>
      <c r="Y10" s="39" t="s">
        <v>5</v>
      </c>
      <c r="Z10" s="39" t="s">
        <v>36</v>
      </c>
      <c r="AA10" s="50"/>
    </row>
    <row r="11" spans="1:33" ht="4.95" customHeight="1" x14ac:dyDescent="0.25">
      <c r="A11" s="150" t="s">
        <v>37</v>
      </c>
      <c r="B11" s="150" t="s">
        <v>37</v>
      </c>
      <c r="C11" s="150" t="s">
        <v>37</v>
      </c>
      <c r="D11" s="150" t="s">
        <v>37</v>
      </c>
      <c r="E11" s="150" t="s">
        <v>37</v>
      </c>
      <c r="F11" s="150" t="s">
        <v>37</v>
      </c>
      <c r="G11" s="150"/>
      <c r="H11" s="150"/>
      <c r="I11" s="150"/>
      <c r="J11" s="150" t="s">
        <v>37</v>
      </c>
      <c r="K11" s="150" t="s">
        <v>37</v>
      </c>
      <c r="L11" s="150" t="s">
        <v>37</v>
      </c>
      <c r="M11" s="150" t="s">
        <v>37</v>
      </c>
      <c r="N11" s="150" t="s">
        <v>37</v>
      </c>
      <c r="O11" s="150" t="s">
        <v>37</v>
      </c>
      <c r="P11" s="150" t="s">
        <v>37</v>
      </c>
      <c r="Q11" s="150" t="s">
        <v>37</v>
      </c>
      <c r="R11" s="150" t="s">
        <v>37</v>
      </c>
      <c r="S11" s="150" t="s">
        <v>37</v>
      </c>
      <c r="T11" s="150" t="s">
        <v>37</v>
      </c>
      <c r="U11" s="150" t="s">
        <v>37</v>
      </c>
      <c r="V11" s="150" t="s">
        <v>37</v>
      </c>
      <c r="W11" s="150" t="s">
        <v>37</v>
      </c>
      <c r="X11" s="150" t="s">
        <v>37</v>
      </c>
      <c r="Y11" s="150" t="s">
        <v>37</v>
      </c>
      <c r="Z11" s="150" t="s">
        <v>37</v>
      </c>
      <c r="AA11" s="55"/>
    </row>
    <row r="12" spans="1:33" ht="12.9" customHeight="1" x14ac:dyDescent="0.25">
      <c r="A12" s="272" t="s">
        <v>507</v>
      </c>
      <c r="B12" s="53" t="s">
        <v>508</v>
      </c>
      <c r="C12" s="273">
        <v>37101</v>
      </c>
      <c r="D12" s="274">
        <v>13.69</v>
      </c>
      <c r="E12" s="274">
        <v>15.72</v>
      </c>
      <c r="F12" s="274">
        <v>11.96</v>
      </c>
      <c r="G12" s="274">
        <v>54371.314731564999</v>
      </c>
      <c r="H12" s="274">
        <v>63305.314731564999</v>
      </c>
      <c r="I12" s="274">
        <v>1.129084</v>
      </c>
      <c r="J12" s="274">
        <v>48155.243304807256</v>
      </c>
      <c r="K12" s="274">
        <v>56067.85210982088</v>
      </c>
      <c r="L12" s="275">
        <v>8.6794545551372284</v>
      </c>
      <c r="M12" s="275">
        <v>12.168668558184168</v>
      </c>
      <c r="N12" s="275">
        <v>5.2811423709458722</v>
      </c>
      <c r="O12" s="275">
        <v>6.2494758396491319</v>
      </c>
      <c r="P12" s="275">
        <v>4.2846236704950931</v>
      </c>
      <c r="Q12" s="275">
        <v>5.3032851412888498</v>
      </c>
      <c r="R12" s="276">
        <v>0.31449155679585383</v>
      </c>
      <c r="S12" s="275">
        <v>2.427182479869872</v>
      </c>
      <c r="T12" s="276">
        <v>3.0934260000000002E-2</v>
      </c>
      <c r="U12" s="274">
        <v>5884</v>
      </c>
      <c r="V12" s="276">
        <v>0.41842284160435078</v>
      </c>
      <c r="W12" s="159" t="s">
        <v>156</v>
      </c>
      <c r="X12" s="274">
        <v>28962.415551013033</v>
      </c>
      <c r="Y12" s="159" t="s">
        <v>156</v>
      </c>
      <c r="Z12" s="274">
        <v>3971.6080885000001</v>
      </c>
      <c r="AA12" s="163"/>
    </row>
    <row r="13" spans="1:33" ht="12.9" customHeight="1" x14ac:dyDescent="0.25">
      <c r="A13" s="272" t="s">
        <v>509</v>
      </c>
      <c r="B13" s="277" t="s">
        <v>510</v>
      </c>
      <c r="C13" s="273">
        <v>37101</v>
      </c>
      <c r="D13" s="274">
        <v>10.862500000000001</v>
      </c>
      <c r="E13" s="274">
        <v>16.62</v>
      </c>
      <c r="F13" s="274">
        <v>8.0500000000000007</v>
      </c>
      <c r="G13" s="274">
        <v>9059.3250000000007</v>
      </c>
      <c r="H13" s="274">
        <v>10275.325000000001</v>
      </c>
      <c r="I13" s="274">
        <v>1</v>
      </c>
      <c r="J13" s="274">
        <v>9059.3250000000007</v>
      </c>
      <c r="K13" s="274">
        <v>10275.325000000001</v>
      </c>
      <c r="L13" s="275">
        <v>3.7435227272727274</v>
      </c>
      <c r="M13" s="275">
        <v>5.1298556058890155</v>
      </c>
      <c r="N13" s="275">
        <v>2.7544314381270905</v>
      </c>
      <c r="O13" s="275">
        <v>3.3740502793296092</v>
      </c>
      <c r="P13" s="275">
        <v>2.4285807137792488</v>
      </c>
      <c r="Q13" s="275">
        <v>3.0221544117647059</v>
      </c>
      <c r="R13" s="276" t="s">
        <v>156</v>
      </c>
      <c r="S13" s="275" t="s">
        <v>169</v>
      </c>
      <c r="T13" s="276">
        <v>0.73647870000000015</v>
      </c>
      <c r="U13" s="274">
        <v>13404</v>
      </c>
      <c r="V13" s="276">
        <v>0</v>
      </c>
      <c r="W13" s="159" t="s">
        <v>156</v>
      </c>
      <c r="X13" s="274" t="s">
        <v>156</v>
      </c>
      <c r="Y13" s="159" t="s">
        <v>156</v>
      </c>
      <c r="Z13" s="274">
        <v>815.56325500000003</v>
      </c>
      <c r="AA13" s="163"/>
    </row>
    <row r="14" spans="1:33" ht="12.9" customHeight="1" x14ac:dyDescent="0.25">
      <c r="A14" s="272" t="s">
        <v>511</v>
      </c>
      <c r="B14" s="53" t="s">
        <v>512</v>
      </c>
      <c r="C14" s="273">
        <v>37101</v>
      </c>
      <c r="D14" s="274">
        <v>4375.0513800000008</v>
      </c>
      <c r="E14" s="274">
        <v>5260.8082800000011</v>
      </c>
      <c r="F14" s="274">
        <v>3558.9796200000005</v>
      </c>
      <c r="G14" s="274">
        <v>428914.77274093527</v>
      </c>
      <c r="H14" s="274">
        <v>733877.77274093521</v>
      </c>
      <c r="I14" s="274">
        <v>279.86</v>
      </c>
      <c r="J14" s="274">
        <v>1532.6047764630002</v>
      </c>
      <c r="K14" s="274">
        <v>2622.3031971018909</v>
      </c>
      <c r="L14" s="275" t="s">
        <v>169</v>
      </c>
      <c r="M14" s="275">
        <v>21.009785586134473</v>
      </c>
      <c r="N14" s="275">
        <v>12.286301138382562</v>
      </c>
      <c r="O14" s="275">
        <v>4.5238447953944148</v>
      </c>
      <c r="P14" s="275">
        <v>10.437595436573725</v>
      </c>
      <c r="Q14" s="275">
        <v>5.6688483735337734</v>
      </c>
      <c r="R14" s="276">
        <v>0.48272857786285328</v>
      </c>
      <c r="S14" s="275">
        <v>1.1874881234262249</v>
      </c>
      <c r="T14" s="276" t="s">
        <v>156</v>
      </c>
      <c r="U14" s="274">
        <v>261.06666666666661</v>
      </c>
      <c r="V14" s="276">
        <v>0.72650663942798788</v>
      </c>
      <c r="W14" s="159" t="s">
        <v>156</v>
      </c>
      <c r="X14" s="274" t="s">
        <v>156</v>
      </c>
      <c r="Y14" s="159" t="s">
        <v>156</v>
      </c>
      <c r="Z14" s="274">
        <v>98.036511000000004</v>
      </c>
      <c r="AA14" s="163"/>
    </row>
    <row r="15" spans="1:33" ht="12.9" customHeight="1" x14ac:dyDescent="0.25">
      <c r="A15" s="272" t="s">
        <v>513</v>
      </c>
      <c r="B15" s="53" t="s">
        <v>514</v>
      </c>
      <c r="C15" s="273">
        <v>37101</v>
      </c>
      <c r="D15" s="274">
        <v>380</v>
      </c>
      <c r="E15" s="274">
        <v>415</v>
      </c>
      <c r="F15" s="274">
        <v>343</v>
      </c>
      <c r="G15" s="274">
        <v>97670.464819999994</v>
      </c>
      <c r="H15" s="274">
        <v>122362.46481999999</v>
      </c>
      <c r="I15" s="274">
        <v>9.0028000000000006</v>
      </c>
      <c r="J15" s="274">
        <v>10848.898655973695</v>
      </c>
      <c r="K15" s="274">
        <v>13591.600926378458</v>
      </c>
      <c r="L15" s="275">
        <v>8.6988301407196289</v>
      </c>
      <c r="M15" s="275">
        <v>11.330680373549884</v>
      </c>
      <c r="N15" s="275">
        <v>4.3036115805243442</v>
      </c>
      <c r="O15" s="275">
        <v>4.8505395719110052</v>
      </c>
      <c r="P15" s="275">
        <v>2.8824401031777813</v>
      </c>
      <c r="Q15" s="275">
        <v>3.5689795776578679</v>
      </c>
      <c r="R15" s="276">
        <v>0.4105194203454281</v>
      </c>
      <c r="S15" s="275">
        <v>1.345045304964539</v>
      </c>
      <c r="T15" s="276">
        <v>2.5000000000000001E-2</v>
      </c>
      <c r="U15" s="274">
        <v>1974.4016666666666</v>
      </c>
      <c r="V15" s="276">
        <v>0.50567302668065683</v>
      </c>
      <c r="W15" s="159" t="s">
        <v>156</v>
      </c>
      <c r="X15" s="274">
        <v>5998.1339138934527</v>
      </c>
      <c r="Y15" s="159" t="s">
        <v>156</v>
      </c>
      <c r="Z15" s="274">
        <v>257.02753899999999</v>
      </c>
      <c r="AA15" s="163"/>
    </row>
    <row r="16" spans="1:33" ht="12.9" customHeight="1" x14ac:dyDescent="0.25">
      <c r="A16" s="272" t="s">
        <v>515</v>
      </c>
      <c r="B16" s="53" t="s">
        <v>516</v>
      </c>
      <c r="C16" s="273">
        <v>37101</v>
      </c>
      <c r="D16" s="274">
        <v>103.75</v>
      </c>
      <c r="E16" s="274">
        <v>123.94</v>
      </c>
      <c r="F16" s="274">
        <v>75.849999999999994</v>
      </c>
      <c r="G16" s="274">
        <v>2801.25</v>
      </c>
      <c r="H16" s="274">
        <v>3862.7136</v>
      </c>
      <c r="I16" s="274">
        <v>1.129084</v>
      </c>
      <c r="J16" s="274">
        <v>2480.9934424719509</v>
      </c>
      <c r="K16" s="274">
        <v>3421.1038328414893</v>
      </c>
      <c r="L16" s="275">
        <v>6.1780024106489817</v>
      </c>
      <c r="M16" s="275">
        <v>7.1993262774266382</v>
      </c>
      <c r="N16" s="275">
        <v>3.3502835411848597</v>
      </c>
      <c r="O16" s="275">
        <v>3.5024428872279993</v>
      </c>
      <c r="P16" s="275">
        <v>3.3582973395931139</v>
      </c>
      <c r="Q16" s="275">
        <v>3.5683266512702079</v>
      </c>
      <c r="R16" s="276">
        <v>0.38070762064330593</v>
      </c>
      <c r="S16" s="275">
        <v>1.4404925767258669</v>
      </c>
      <c r="T16" s="276" t="s">
        <v>156</v>
      </c>
      <c r="U16" s="274">
        <v>337.95</v>
      </c>
      <c r="V16" s="276">
        <v>0.47299896434383787</v>
      </c>
      <c r="W16" s="159" t="s">
        <v>156</v>
      </c>
      <c r="X16" s="274">
        <v>1684.2233173085431</v>
      </c>
      <c r="Y16" s="159" t="s">
        <v>156</v>
      </c>
      <c r="Z16" s="274">
        <v>27</v>
      </c>
      <c r="AA16" s="163"/>
    </row>
    <row r="17" spans="1:30" ht="12.9" customHeight="1" x14ac:dyDescent="0.25">
      <c r="A17" s="272" t="s">
        <v>517</v>
      </c>
      <c r="B17" s="277" t="s">
        <v>518</v>
      </c>
      <c r="C17" s="273">
        <v>37101</v>
      </c>
      <c r="D17" s="274">
        <v>1.21</v>
      </c>
      <c r="E17" s="274">
        <v>1.9</v>
      </c>
      <c r="F17" s="274">
        <v>1</v>
      </c>
      <c r="G17" s="274">
        <v>942.59</v>
      </c>
      <c r="H17" s="274">
        <v>2964.59</v>
      </c>
      <c r="I17" s="274">
        <v>0.99979000000000007</v>
      </c>
      <c r="J17" s="274">
        <v>942.78798547694998</v>
      </c>
      <c r="K17" s="274">
        <v>2965.2126946658796</v>
      </c>
      <c r="L17" s="275">
        <v>4.6433004926108374</v>
      </c>
      <c r="M17" s="275">
        <v>4.0454506437768236</v>
      </c>
      <c r="N17" s="275">
        <v>2.0761894273127752</v>
      </c>
      <c r="O17" s="275">
        <v>1.9475</v>
      </c>
      <c r="P17" s="275">
        <v>5.0590273037542666</v>
      </c>
      <c r="Q17" s="275">
        <v>4.9741442953020139</v>
      </c>
      <c r="R17" s="276">
        <v>0.44075829383886256</v>
      </c>
      <c r="S17" s="275">
        <v>0.32159331286250425</v>
      </c>
      <c r="T17" s="276">
        <v>2.6320659999999999E-2</v>
      </c>
      <c r="U17" s="274">
        <v>1276.0481666666665</v>
      </c>
      <c r="V17" s="276">
        <v>0.36196452354397801</v>
      </c>
      <c r="W17" s="159" t="s">
        <v>156</v>
      </c>
      <c r="X17" s="274">
        <v>4775</v>
      </c>
      <c r="Y17" s="159" t="s">
        <v>156</v>
      </c>
      <c r="Z17" s="274">
        <v>779</v>
      </c>
      <c r="AA17" s="163"/>
    </row>
    <row r="18" spans="1:30" ht="12.9" customHeight="1" x14ac:dyDescent="0.25">
      <c r="A18" s="272" t="s">
        <v>519</v>
      </c>
      <c r="B18" s="53" t="s">
        <v>520</v>
      </c>
      <c r="C18" s="273">
        <v>37101</v>
      </c>
      <c r="D18" s="274">
        <v>55.886175711886445</v>
      </c>
      <c r="E18" s="274">
        <v>62.88</v>
      </c>
      <c r="F18" s="274">
        <v>44</v>
      </c>
      <c r="G18" s="274">
        <v>60698.203847479999</v>
      </c>
      <c r="H18" s="274">
        <v>64775.203847479999</v>
      </c>
      <c r="I18" s="274">
        <v>2.4995449999999999</v>
      </c>
      <c r="J18" s="274">
        <v>24283.701172605415</v>
      </c>
      <c r="K18" s="274">
        <v>25914.798032233866</v>
      </c>
      <c r="L18" s="275">
        <v>5.7124679305117416</v>
      </c>
      <c r="M18" s="275">
        <v>6.7755862646778509</v>
      </c>
      <c r="N18" s="275">
        <v>3.9627449694199428</v>
      </c>
      <c r="O18" s="275">
        <v>4.3833395618421331</v>
      </c>
      <c r="P18" s="275">
        <v>3.2762070837210957</v>
      </c>
      <c r="Q18" s="275">
        <v>3.8893588522037925</v>
      </c>
      <c r="R18" s="276">
        <v>0.38364723333483164</v>
      </c>
      <c r="S18" s="275">
        <v>2.2241106536030193</v>
      </c>
      <c r="T18" s="276">
        <v>1.9274380000000002E-5</v>
      </c>
      <c r="U18" s="274">
        <v>9762.9666666666653</v>
      </c>
      <c r="V18" s="276">
        <v>0.14408188767758437</v>
      </c>
      <c r="W18" s="159" t="s">
        <v>156</v>
      </c>
      <c r="X18" s="274" t="s">
        <v>156</v>
      </c>
      <c r="Y18" s="159" t="s">
        <v>156</v>
      </c>
      <c r="Z18" s="274">
        <v>1086.1040869999999</v>
      </c>
      <c r="AA18" s="163"/>
    </row>
    <row r="19" spans="1:30" ht="12.9" customHeight="1" x14ac:dyDescent="0.25">
      <c r="A19" s="272" t="s">
        <v>521</v>
      </c>
      <c r="B19" s="277" t="s">
        <v>522</v>
      </c>
      <c r="C19" s="273">
        <v>37101</v>
      </c>
      <c r="D19" s="274">
        <v>18.62</v>
      </c>
      <c r="E19" s="274">
        <v>24.01</v>
      </c>
      <c r="F19" s="274">
        <v>16.2</v>
      </c>
      <c r="G19" s="274">
        <v>22732.477681059998</v>
      </c>
      <c r="H19" s="274">
        <v>47038.477681060001</v>
      </c>
      <c r="I19" s="274">
        <v>1.129084</v>
      </c>
      <c r="J19" s="274">
        <v>20133.557539616184</v>
      </c>
      <c r="K19" s="274">
        <v>41660.742408058213</v>
      </c>
      <c r="L19" s="275">
        <v>9.8408994290303013</v>
      </c>
      <c r="M19" s="275">
        <v>11.681643207122301</v>
      </c>
      <c r="N19" s="275">
        <v>4.1618494031401116</v>
      </c>
      <c r="O19" s="275">
        <v>4.2971657100102485</v>
      </c>
      <c r="P19" s="275">
        <v>5.8549262734702516</v>
      </c>
      <c r="Q19" s="275">
        <v>6.3215263648783768</v>
      </c>
      <c r="R19" s="276">
        <v>0.52766169626745185</v>
      </c>
      <c r="S19" s="275">
        <v>1.4260383715613825</v>
      </c>
      <c r="T19" s="276">
        <v>2.201933E-2</v>
      </c>
      <c r="U19" s="274">
        <v>4777.5943333333335</v>
      </c>
      <c r="V19" s="276">
        <v>0.50216137368437097</v>
      </c>
      <c r="W19" s="159" t="s">
        <v>156</v>
      </c>
      <c r="X19" s="274">
        <v>15942.126537972375</v>
      </c>
      <c r="Y19" s="159" t="s">
        <v>156</v>
      </c>
      <c r="Z19" s="274">
        <v>1220.8634629999999</v>
      </c>
      <c r="AA19" s="163"/>
      <c r="AB19" s="39"/>
      <c r="AC19" s="166"/>
      <c r="AD19" s="167"/>
    </row>
    <row r="20" spans="1:30" ht="12.9" customHeight="1" x14ac:dyDescent="0.25">
      <c r="A20" s="108"/>
      <c r="B20" s="165"/>
      <c r="C20" s="278"/>
      <c r="D20" s="159"/>
      <c r="E20" s="159"/>
      <c r="F20" s="159"/>
      <c r="G20" s="159"/>
      <c r="H20" s="159"/>
      <c r="I20" s="159"/>
      <c r="J20" s="160"/>
      <c r="K20" s="160"/>
      <c r="L20" s="154"/>
      <c r="M20" s="154"/>
      <c r="N20" s="154"/>
      <c r="O20" s="154"/>
      <c r="P20" s="154"/>
      <c r="Q20" s="154"/>
      <c r="R20" s="128"/>
      <c r="S20" s="154"/>
      <c r="T20" s="128"/>
      <c r="U20" s="161"/>
      <c r="V20" s="128"/>
      <c r="W20" s="159"/>
      <c r="X20" s="160"/>
      <c r="Y20" s="154"/>
      <c r="Z20" s="163"/>
      <c r="AA20" s="39"/>
      <c r="AB20" s="166"/>
      <c r="AC20" s="167"/>
      <c r="AD20" s="53"/>
    </row>
    <row r="21" spans="1:30" ht="13.5" customHeight="1" x14ac:dyDescent="0.25">
      <c r="B21" s="52"/>
      <c r="C21" s="52"/>
      <c r="D21" s="52"/>
      <c r="E21" s="52"/>
      <c r="F21" s="52"/>
      <c r="G21" s="52"/>
      <c r="H21" s="52"/>
      <c r="I21" s="52"/>
      <c r="J21" s="52"/>
      <c r="K21" s="63" t="s">
        <v>38</v>
      </c>
      <c r="L21" s="279">
        <v>6.7852110979902065</v>
      </c>
      <c r="M21" s="279">
        <v>9.917624564595144</v>
      </c>
      <c r="N21" s="279">
        <v>4.7720692336296953</v>
      </c>
      <c r="O21" s="279">
        <v>4.1410448306705678</v>
      </c>
      <c r="P21" s="279">
        <v>4.6977122405705725</v>
      </c>
      <c r="Q21" s="279">
        <v>4.5395779584874489</v>
      </c>
      <c r="R21" s="280">
        <v>0.42007348558408392</v>
      </c>
      <c r="S21" s="279">
        <v>1.4817072604304868</v>
      </c>
      <c r="T21" s="280">
        <v>0.14012870406333336</v>
      </c>
      <c r="U21" s="281">
        <v>4709.7534374999996</v>
      </c>
      <c r="V21" s="280">
        <v>0.39147615712034584</v>
      </c>
      <c r="W21" s="309" t="s">
        <v>156</v>
      </c>
      <c r="X21" s="281">
        <v>13919.419000719716</v>
      </c>
      <c r="Y21" s="314" t="s">
        <v>156</v>
      </c>
      <c r="AB21" s="166"/>
      <c r="AC21" s="167"/>
      <c r="AD21" s="53"/>
    </row>
    <row r="22" spans="1:30" ht="12.9" customHeight="1" x14ac:dyDescent="0.25">
      <c r="B22" s="52"/>
      <c r="C22" s="52"/>
      <c r="D22" s="52"/>
      <c r="E22" s="52"/>
      <c r="F22" s="52"/>
      <c r="G22" s="52"/>
      <c r="H22" s="52"/>
      <c r="I22" s="52"/>
      <c r="J22" s="52"/>
      <c r="K22" s="71" t="s">
        <v>39</v>
      </c>
      <c r="L22" s="284">
        <v>6.1780024106489817</v>
      </c>
      <c r="M22" s="284">
        <v>9.2650033254882604</v>
      </c>
      <c r="N22" s="284">
        <v>4.062297186280027</v>
      </c>
      <c r="O22" s="284">
        <v>4.3402526359261913</v>
      </c>
      <c r="P22" s="284">
        <v>3.8214605050441035</v>
      </c>
      <c r="Q22" s="284">
        <v>4.4317515737529032</v>
      </c>
      <c r="R22" s="285">
        <v>0.4105194203454281</v>
      </c>
      <c r="S22" s="284">
        <v>1.4260383715613825</v>
      </c>
      <c r="T22" s="285">
        <v>2.5660330000000002E-2</v>
      </c>
      <c r="U22" s="286">
        <v>3375.998</v>
      </c>
      <c r="V22" s="285">
        <v>0.44571090297409433</v>
      </c>
      <c r="W22" s="310" t="s">
        <v>156</v>
      </c>
      <c r="X22" s="286">
        <v>10970.130225932913</v>
      </c>
      <c r="Y22" s="315" t="s">
        <v>156</v>
      </c>
      <c r="AB22" s="166"/>
      <c r="AC22" s="167"/>
      <c r="AD22" s="53"/>
    </row>
    <row r="23" spans="1:30" ht="12.9" customHeight="1" x14ac:dyDescent="0.25">
      <c r="B23" s="52"/>
      <c r="C23" s="52"/>
      <c r="D23" s="52"/>
      <c r="E23" s="52"/>
      <c r="F23" s="52"/>
      <c r="G23" s="52"/>
      <c r="H23" s="52"/>
      <c r="I23" s="52"/>
      <c r="J23" s="54"/>
      <c r="K23" s="79" t="s">
        <v>25</v>
      </c>
      <c r="L23" s="284">
        <v>9.8408994290303013</v>
      </c>
      <c r="M23" s="284">
        <v>21.009785586134473</v>
      </c>
      <c r="N23" s="284">
        <v>12.286301138382562</v>
      </c>
      <c r="O23" s="284">
        <v>6.2494758396491319</v>
      </c>
      <c r="P23" s="284">
        <v>10.437595436573725</v>
      </c>
      <c r="Q23" s="284">
        <v>6.3215263648783768</v>
      </c>
      <c r="R23" s="285">
        <v>0.52766169626745185</v>
      </c>
      <c r="S23" s="284">
        <v>2.427182479869872</v>
      </c>
      <c r="T23" s="285">
        <v>0.73647870000000015</v>
      </c>
      <c r="U23" s="286">
        <v>13404</v>
      </c>
      <c r="V23" s="285">
        <v>0.72650663942798788</v>
      </c>
      <c r="W23" s="310" t="s">
        <v>156</v>
      </c>
      <c r="X23" s="286">
        <v>28962.415551013033</v>
      </c>
      <c r="Y23" s="315" t="s">
        <v>156</v>
      </c>
      <c r="AB23" s="166"/>
      <c r="AC23" s="167"/>
      <c r="AD23" s="53"/>
    </row>
    <row r="24" spans="1:30" ht="12.9" customHeight="1" x14ac:dyDescent="0.25">
      <c r="B24" s="52"/>
      <c r="C24" s="52"/>
      <c r="D24" s="52"/>
      <c r="E24" s="52"/>
      <c r="F24" s="52"/>
      <c r="G24" s="52"/>
      <c r="H24" s="52"/>
      <c r="I24" s="52"/>
      <c r="J24" s="52"/>
      <c r="K24" s="80" t="s">
        <v>26</v>
      </c>
      <c r="L24" s="289">
        <v>3.7435227272727274</v>
      </c>
      <c r="M24" s="289">
        <v>4.0454506437768236</v>
      </c>
      <c r="N24" s="289">
        <v>2.0761894273127752</v>
      </c>
      <c r="O24" s="289">
        <v>1.9475</v>
      </c>
      <c r="P24" s="289">
        <v>2.4285807137792488</v>
      </c>
      <c r="Q24" s="289">
        <v>3.0221544117647059</v>
      </c>
      <c r="R24" s="290">
        <v>0.31449155679585383</v>
      </c>
      <c r="S24" s="289">
        <v>0.32159331286250425</v>
      </c>
      <c r="T24" s="290">
        <v>1.9274380000000002E-5</v>
      </c>
      <c r="U24" s="291">
        <v>261.06666666666661</v>
      </c>
      <c r="V24" s="290">
        <v>0</v>
      </c>
      <c r="W24" s="311" t="s">
        <v>156</v>
      </c>
      <c r="X24" s="291">
        <v>4775</v>
      </c>
      <c r="Y24" s="316" t="s">
        <v>156</v>
      </c>
      <c r="AB24" s="166"/>
      <c r="AC24" s="167"/>
      <c r="AD24" s="53"/>
    </row>
    <row r="25" spans="1:30" ht="12.9" customHeight="1" x14ac:dyDescent="0.25"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163"/>
      <c r="AA25" s="39"/>
      <c r="AB25" s="166"/>
      <c r="AC25" s="167"/>
      <c r="AD25" s="53"/>
    </row>
    <row r="26" spans="1:30" s="270" customFormat="1" ht="12.9" hidden="1" customHeight="1" outlineLevel="1" x14ac:dyDescent="0.25">
      <c r="B26" s="294"/>
      <c r="C26" s="294"/>
      <c r="D26" s="294" t="s">
        <v>496</v>
      </c>
      <c r="E26" s="294" t="s">
        <v>497</v>
      </c>
      <c r="F26" s="294" t="s">
        <v>498</v>
      </c>
      <c r="G26" s="294"/>
      <c r="H26" s="294"/>
      <c r="I26" s="294"/>
      <c r="J26" s="294" t="s">
        <v>432</v>
      </c>
      <c r="K26" s="294"/>
      <c r="L26" s="294" t="s">
        <v>499</v>
      </c>
      <c r="M26" s="294" t="s">
        <v>500</v>
      </c>
      <c r="N26" s="294"/>
      <c r="O26" s="294"/>
      <c r="P26" s="294" t="s">
        <v>381</v>
      </c>
      <c r="Q26" s="294" t="s">
        <v>363</v>
      </c>
      <c r="R26" s="294" t="s">
        <v>501</v>
      </c>
      <c r="S26" s="294"/>
      <c r="T26" s="294"/>
      <c r="U26" s="294"/>
      <c r="V26" s="294"/>
      <c r="W26" s="294"/>
      <c r="X26" s="294"/>
      <c r="Y26" s="294"/>
      <c r="Z26" s="295"/>
      <c r="AA26" s="296"/>
      <c r="AB26" s="297"/>
      <c r="AC26" s="298"/>
      <c r="AD26" s="299"/>
    </row>
    <row r="27" spans="1:30" ht="12.9" customHeight="1" collapsed="1" x14ac:dyDescent="0.25">
      <c r="B27" s="52"/>
      <c r="C27" s="52"/>
      <c r="D27" s="52"/>
      <c r="Z27" s="163"/>
      <c r="AA27" s="39"/>
      <c r="AB27" s="166"/>
      <c r="AC27" s="167"/>
      <c r="AD27" s="53"/>
    </row>
    <row r="28" spans="1:30" ht="12.9" customHeight="1" x14ac:dyDescent="0.25">
      <c r="A28" s="57"/>
      <c r="B28" s="49" t="s">
        <v>141</v>
      </c>
      <c r="C28" s="49"/>
      <c r="D28" s="49" t="s">
        <v>41</v>
      </c>
      <c r="E28" s="49"/>
      <c r="F28" s="49"/>
      <c r="G28" s="49"/>
      <c r="H28" s="49"/>
      <c r="I28" s="49"/>
      <c r="J28" s="49" t="s">
        <v>42</v>
      </c>
      <c r="K28" s="49"/>
      <c r="L28" s="49" t="s">
        <v>43</v>
      </c>
      <c r="M28" s="49"/>
      <c r="P28" s="49" t="s">
        <v>44</v>
      </c>
      <c r="Q28" s="49"/>
      <c r="R28" s="49"/>
      <c r="S28" s="49"/>
      <c r="Z28" s="163"/>
      <c r="AA28" s="39"/>
      <c r="AB28" s="166"/>
      <c r="AC28" s="167"/>
      <c r="AD28" s="53"/>
    </row>
    <row r="29" spans="1:30" ht="12.9" customHeight="1" x14ac:dyDescent="0.25">
      <c r="A29" s="57"/>
      <c r="B29" s="150" t="s">
        <v>37</v>
      </c>
      <c r="C29" s="58"/>
      <c r="D29" s="150" t="s">
        <v>37</v>
      </c>
      <c r="E29" s="58"/>
      <c r="F29" s="58"/>
      <c r="G29" s="58"/>
      <c r="H29" s="58"/>
      <c r="I29" s="58"/>
      <c r="J29" s="150" t="s">
        <v>37</v>
      </c>
      <c r="K29" s="58"/>
      <c r="L29" s="150" t="s">
        <v>37</v>
      </c>
      <c r="M29" s="58"/>
      <c r="P29" s="150" t="s">
        <v>37</v>
      </c>
      <c r="Q29" s="58"/>
      <c r="R29" s="58"/>
      <c r="S29" s="58"/>
    </row>
    <row r="30" spans="1:30" ht="12.9" customHeight="1" x14ac:dyDescent="0.25">
      <c r="B30" s="39"/>
      <c r="C30" s="39"/>
      <c r="D30" s="50" t="s">
        <v>97</v>
      </c>
      <c r="E30" s="50" t="s">
        <v>47</v>
      </c>
      <c r="F30" s="50" t="s">
        <v>7</v>
      </c>
      <c r="G30" s="50"/>
      <c r="H30" s="50"/>
      <c r="I30" s="50"/>
      <c r="J30" s="51"/>
      <c r="P30" s="50" t="s">
        <v>49</v>
      </c>
      <c r="Q30" s="50"/>
      <c r="R30" s="50" t="s">
        <v>50</v>
      </c>
      <c r="S30" s="50" t="s">
        <v>51</v>
      </c>
    </row>
    <row r="31" spans="1:30" ht="12.9" customHeight="1" x14ac:dyDescent="0.25">
      <c r="A31" s="39" t="s">
        <v>21</v>
      </c>
      <c r="B31" s="39" t="s">
        <v>57</v>
      </c>
      <c r="C31" s="39" t="s">
        <v>58</v>
      </c>
      <c r="D31" s="39" t="s">
        <v>523</v>
      </c>
      <c r="E31" s="39" t="s">
        <v>60</v>
      </c>
      <c r="F31" s="39" t="s">
        <v>61</v>
      </c>
      <c r="G31" s="39"/>
      <c r="H31" s="39"/>
      <c r="I31" s="39"/>
      <c r="J31" s="39" t="s">
        <v>62</v>
      </c>
      <c r="K31" s="39" t="s">
        <v>7</v>
      </c>
      <c r="L31" s="39" t="s">
        <v>63</v>
      </c>
      <c r="M31" s="39" t="s">
        <v>64</v>
      </c>
      <c r="P31" s="39" t="s">
        <v>65</v>
      </c>
      <c r="Q31" s="39" t="s">
        <v>66</v>
      </c>
      <c r="R31" s="51" t="s">
        <v>67</v>
      </c>
      <c r="S31" s="39" t="s">
        <v>68</v>
      </c>
    </row>
    <row r="32" spans="1:30" ht="12.9" customHeight="1" x14ac:dyDescent="0.25">
      <c r="A32" s="150" t="s">
        <v>37</v>
      </c>
      <c r="B32" s="150" t="s">
        <v>37</v>
      </c>
      <c r="C32" s="150" t="s">
        <v>37</v>
      </c>
      <c r="D32" s="150" t="s">
        <v>37</v>
      </c>
      <c r="E32" s="150" t="s">
        <v>37</v>
      </c>
      <c r="F32" s="150" t="s">
        <v>37</v>
      </c>
      <c r="G32" s="150"/>
      <c r="H32" s="150"/>
      <c r="I32" s="150"/>
      <c r="J32" s="150" t="s">
        <v>37</v>
      </c>
      <c r="K32" s="150" t="s">
        <v>37</v>
      </c>
      <c r="L32" s="150" t="s">
        <v>37</v>
      </c>
      <c r="M32" s="150" t="s">
        <v>37</v>
      </c>
      <c r="P32" s="150" t="s">
        <v>37</v>
      </c>
      <c r="Q32" s="150" t="s">
        <v>37</v>
      </c>
      <c r="R32" s="150" t="s">
        <v>37</v>
      </c>
      <c r="S32" s="150" t="s">
        <v>37</v>
      </c>
    </row>
    <row r="33" spans="1:32" ht="12.9" customHeight="1" x14ac:dyDescent="0.25">
      <c r="A33" s="300" t="s">
        <v>507</v>
      </c>
      <c r="B33" s="39" t="s">
        <v>524</v>
      </c>
      <c r="C33" s="53" t="s">
        <v>525</v>
      </c>
      <c r="D33" s="274" t="s">
        <v>526</v>
      </c>
      <c r="E33" s="274" t="s">
        <v>148</v>
      </c>
      <c r="F33" s="301">
        <v>37052</v>
      </c>
      <c r="G33" s="274" t="e">
        <v>#REF!</v>
      </c>
      <c r="H33" s="274" t="e">
        <v>#REF!</v>
      </c>
      <c r="I33" s="274" t="e">
        <v>#REF!</v>
      </c>
      <c r="J33" s="274" t="s">
        <v>527</v>
      </c>
      <c r="K33" s="301">
        <v>37052</v>
      </c>
      <c r="L33" s="276">
        <v>0.10403225806451606</v>
      </c>
      <c r="M33" s="276">
        <v>6.6176470588233879E-3</v>
      </c>
      <c r="N33" s="39"/>
      <c r="O33" s="39"/>
      <c r="P33" s="276">
        <v>1.771569718089423</v>
      </c>
      <c r="Q33" s="275">
        <v>13.98178217821782</v>
      </c>
      <c r="R33" s="302">
        <v>4.1163891736771747</v>
      </c>
      <c r="S33" s="276" t="s">
        <v>156</v>
      </c>
      <c r="T33" s="39"/>
      <c r="Z33" s="39"/>
    </row>
    <row r="34" spans="1:32" ht="12.9" customHeight="1" x14ac:dyDescent="0.25">
      <c r="A34" s="300" t="s">
        <v>509</v>
      </c>
      <c r="B34" s="39" t="s">
        <v>524</v>
      </c>
      <c r="C34" s="53" t="s">
        <v>525</v>
      </c>
      <c r="D34" s="274" t="s">
        <v>528</v>
      </c>
      <c r="E34" s="274" t="s">
        <v>148</v>
      </c>
      <c r="F34" s="301">
        <v>37052</v>
      </c>
      <c r="G34" s="274" t="e">
        <v>#REF!</v>
      </c>
      <c r="H34" s="274" t="e">
        <v>#REF!</v>
      </c>
      <c r="I34" s="274" t="e">
        <v>#REF!</v>
      </c>
      <c r="J34" s="274" t="s">
        <v>529</v>
      </c>
      <c r="K34" s="301">
        <v>37052</v>
      </c>
      <c r="L34" s="276">
        <v>-0.24038461538461536</v>
      </c>
      <c r="M34" s="276">
        <v>0.1743243243243244</v>
      </c>
      <c r="N34" s="39"/>
      <c r="O34" s="303"/>
      <c r="P34" s="276">
        <v>4.1182676812071932</v>
      </c>
      <c r="Q34" s="275" t="s">
        <v>156</v>
      </c>
      <c r="R34" s="302">
        <v>0.56580366774541535</v>
      </c>
      <c r="S34" s="276" t="s">
        <v>156</v>
      </c>
      <c r="T34" s="174"/>
      <c r="Z34" s="60"/>
    </row>
    <row r="35" spans="1:32" s="39" customFormat="1" ht="12.9" customHeight="1" x14ac:dyDescent="0.25">
      <c r="A35" s="300" t="s">
        <v>511</v>
      </c>
      <c r="B35" s="39" t="s">
        <v>524</v>
      </c>
      <c r="C35" s="53" t="s">
        <v>525</v>
      </c>
      <c r="D35" s="274" t="s">
        <v>530</v>
      </c>
      <c r="E35" s="274" t="s">
        <v>269</v>
      </c>
      <c r="F35" s="301">
        <v>36982</v>
      </c>
      <c r="G35" s="274" t="e">
        <v>#REF!</v>
      </c>
      <c r="H35" s="274" t="e">
        <v>#REF!</v>
      </c>
      <c r="I35" s="274" t="e">
        <v>#REF!</v>
      </c>
      <c r="J35" s="274" t="s">
        <v>156</v>
      </c>
      <c r="K35" s="301">
        <v>36982</v>
      </c>
      <c r="L35" s="276">
        <v>0.17727238496874781</v>
      </c>
      <c r="M35" s="276">
        <v>-7.4696655815329804E-2</v>
      </c>
      <c r="P35" s="276">
        <v>0.66011969689721861</v>
      </c>
      <c r="Q35" s="275">
        <v>10.278215223097112</v>
      </c>
      <c r="R35" s="302" t="s">
        <v>156</v>
      </c>
      <c r="S35" s="276" t="s">
        <v>156</v>
      </c>
      <c r="T35" s="174"/>
      <c r="U35" s="38"/>
      <c r="V35" s="38"/>
      <c r="W35" s="38"/>
      <c r="X35" s="38"/>
      <c r="Y35" s="38"/>
    </row>
    <row r="36" spans="1:32" ht="12.9" customHeight="1" x14ac:dyDescent="0.25">
      <c r="A36" s="300" t="s">
        <v>513</v>
      </c>
      <c r="B36" s="39" t="s">
        <v>524</v>
      </c>
      <c r="C36" s="53" t="s">
        <v>525</v>
      </c>
      <c r="D36" s="274" t="s">
        <v>526</v>
      </c>
      <c r="E36" s="274" t="s">
        <v>269</v>
      </c>
      <c r="F36" s="301">
        <v>37104</v>
      </c>
      <c r="G36" s="274" t="e">
        <v>#REF!</v>
      </c>
      <c r="H36" s="274" t="e">
        <v>#REF!</v>
      </c>
      <c r="I36" s="274" t="e">
        <v>#REF!</v>
      </c>
      <c r="J36" s="274" t="s">
        <v>531</v>
      </c>
      <c r="K36" s="301">
        <v>37104</v>
      </c>
      <c r="L36" s="276">
        <v>7.6487252124645896E-2</v>
      </c>
      <c r="M36" s="276">
        <v>1.876675603217158E-2</v>
      </c>
      <c r="N36" s="39"/>
      <c r="O36" s="303"/>
      <c r="P36" s="276">
        <v>2.4758048773155839</v>
      </c>
      <c r="Q36" s="275">
        <v>13.250573246982764</v>
      </c>
      <c r="R36" s="302" t="s">
        <v>156</v>
      </c>
      <c r="S36" s="276" t="s">
        <v>156</v>
      </c>
      <c r="T36" s="174"/>
      <c r="Z36" s="60"/>
    </row>
    <row r="37" spans="1:32" ht="12.75" customHeight="1" x14ac:dyDescent="0.25">
      <c r="A37" s="300" t="s">
        <v>515</v>
      </c>
      <c r="B37" s="39" t="s">
        <v>524</v>
      </c>
      <c r="C37" s="53" t="s">
        <v>525</v>
      </c>
      <c r="D37" s="274" t="s">
        <v>526</v>
      </c>
      <c r="E37" s="274" t="s">
        <v>269</v>
      </c>
      <c r="F37" s="301">
        <v>37052</v>
      </c>
      <c r="G37" s="274" t="e">
        <v>#REF!</v>
      </c>
      <c r="H37" s="274" t="e">
        <v>#REF!</v>
      </c>
      <c r="I37" s="274" t="e">
        <v>#REF!</v>
      </c>
      <c r="J37" s="274" t="s">
        <v>156</v>
      </c>
      <c r="K37" s="301">
        <v>37052</v>
      </c>
      <c r="L37" s="276">
        <v>0.29671291088613916</v>
      </c>
      <c r="M37" s="276">
        <v>0.25757575757575757</v>
      </c>
      <c r="N37" s="39"/>
      <c r="O37" s="303"/>
      <c r="P37" s="276">
        <v>1.3731364318044701</v>
      </c>
      <c r="Q37" s="275">
        <v>11.823323615160348</v>
      </c>
      <c r="R37" s="302">
        <v>3.6140724376549911</v>
      </c>
      <c r="S37" s="276" t="s">
        <v>156</v>
      </c>
      <c r="T37" s="174"/>
      <c r="Z37" s="60"/>
      <c r="AA37" s="56"/>
    </row>
    <row r="38" spans="1:32" x14ac:dyDescent="0.25">
      <c r="A38" s="300" t="s">
        <v>517</v>
      </c>
      <c r="B38" s="39" t="s">
        <v>524</v>
      </c>
      <c r="C38" s="53" t="s">
        <v>525</v>
      </c>
      <c r="D38" s="274" t="s">
        <v>532</v>
      </c>
      <c r="E38" s="274" t="s">
        <v>148</v>
      </c>
      <c r="F38" s="301">
        <v>37012</v>
      </c>
      <c r="G38" s="274" t="e">
        <v>#REF!</v>
      </c>
      <c r="H38" s="274" t="e">
        <v>#REF!</v>
      </c>
      <c r="I38" s="274" t="e">
        <v>#REF!</v>
      </c>
      <c r="J38" s="274" t="s">
        <v>533</v>
      </c>
      <c r="K38" s="301">
        <v>37012</v>
      </c>
      <c r="L38" s="276">
        <v>-0.27544910179640719</v>
      </c>
      <c r="M38" s="276">
        <v>-0.21428571428571433</v>
      </c>
      <c r="N38" s="39"/>
      <c r="O38" s="303"/>
      <c r="P38" s="276">
        <v>5.0706394200544755</v>
      </c>
      <c r="Q38" s="275">
        <v>24.411773708593852</v>
      </c>
      <c r="R38" s="302">
        <v>1.7381735428302298</v>
      </c>
      <c r="S38" s="276" t="s">
        <v>156</v>
      </c>
      <c r="T38" s="174"/>
      <c r="Z38" s="60"/>
      <c r="AA38" s="56"/>
    </row>
    <row r="39" spans="1:32" ht="12" customHeight="1" x14ac:dyDescent="0.25">
      <c r="A39" s="300" t="s">
        <v>519</v>
      </c>
      <c r="B39" s="39" t="s">
        <v>524</v>
      </c>
      <c r="C39" s="53" t="s">
        <v>525</v>
      </c>
      <c r="D39" s="274" t="s">
        <v>532</v>
      </c>
      <c r="E39" s="274" t="s">
        <v>148</v>
      </c>
      <c r="F39" s="301">
        <v>37012</v>
      </c>
      <c r="G39" s="274" t="e">
        <v>#REF!</v>
      </c>
      <c r="H39" s="274" t="e">
        <v>#REF!</v>
      </c>
      <c r="I39" s="274" t="e">
        <v>#REF!</v>
      </c>
      <c r="J39" s="274" t="s">
        <v>534</v>
      </c>
      <c r="K39" s="301">
        <v>37012</v>
      </c>
      <c r="L39" s="276">
        <v>0.19824561989464931</v>
      </c>
      <c r="M39" s="276">
        <v>0.22075525801412066</v>
      </c>
      <c r="N39" s="39"/>
      <c r="O39" s="303"/>
      <c r="P39" s="276" t="s">
        <v>156</v>
      </c>
      <c r="Q39" s="275" t="s">
        <v>156</v>
      </c>
      <c r="R39" s="302" t="s">
        <v>156</v>
      </c>
      <c r="S39" s="276" t="s">
        <v>156</v>
      </c>
      <c r="T39" s="174"/>
      <c r="Z39" s="60"/>
      <c r="AA39" s="50"/>
    </row>
    <row r="40" spans="1:32" x14ac:dyDescent="0.25">
      <c r="A40" s="300" t="s">
        <v>521</v>
      </c>
      <c r="B40" s="39" t="s">
        <v>524</v>
      </c>
      <c r="C40" s="53" t="s">
        <v>525</v>
      </c>
      <c r="D40" s="274" t="s">
        <v>526</v>
      </c>
      <c r="E40" s="274" t="s">
        <v>269</v>
      </c>
      <c r="F40" s="301">
        <v>37052</v>
      </c>
      <c r="G40" s="274" t="e">
        <v>#REF!</v>
      </c>
      <c r="H40" s="274" t="e">
        <v>#REF!</v>
      </c>
      <c r="I40" s="274" t="e">
        <v>#REF!</v>
      </c>
      <c r="J40" s="274" t="s">
        <v>531</v>
      </c>
      <c r="K40" s="301">
        <v>37052</v>
      </c>
      <c r="L40" s="276">
        <v>-8.5910652920962199E-2</v>
      </c>
      <c r="M40" s="276">
        <v>9.4007050528789743E-2</v>
      </c>
      <c r="N40" s="39"/>
      <c r="O40" s="303"/>
      <c r="P40" s="276">
        <v>5.9395793404248822</v>
      </c>
      <c r="Q40" s="275">
        <v>12.992325773020189</v>
      </c>
      <c r="R40" s="302">
        <v>2.5468049030350599</v>
      </c>
      <c r="S40" s="276" t="s">
        <v>156</v>
      </c>
      <c r="T40" s="174"/>
      <c r="Z40" s="60"/>
      <c r="AA40" s="56"/>
    </row>
    <row r="41" spans="1:32" s="39" customFormat="1" ht="12.9" customHeight="1" x14ac:dyDescent="0.25">
      <c r="A41" s="300"/>
      <c r="B41" s="38"/>
      <c r="C41" s="53"/>
      <c r="D41" s="53"/>
      <c r="E41" s="53"/>
      <c r="F41" s="304"/>
      <c r="G41" s="304"/>
      <c r="H41" s="304"/>
      <c r="I41" s="304"/>
      <c r="K41" s="304"/>
      <c r="L41" s="155"/>
      <c r="M41" s="155"/>
      <c r="O41" s="303"/>
      <c r="P41" s="155"/>
      <c r="Q41" s="153"/>
      <c r="R41" s="151"/>
      <c r="S41" s="53"/>
      <c r="T41" s="174"/>
      <c r="U41" s="38"/>
      <c r="V41" s="38"/>
      <c r="W41" s="38"/>
      <c r="X41" s="38"/>
      <c r="Y41" s="38"/>
      <c r="Z41" s="60"/>
      <c r="AA41" s="56"/>
      <c r="AB41" s="38"/>
      <c r="AC41" s="38"/>
      <c r="AD41" s="38"/>
      <c r="AE41" s="38"/>
      <c r="AF41" s="38"/>
    </row>
    <row r="42" spans="1:32" s="39" customFormat="1" ht="12.9" customHeight="1" x14ac:dyDescent="0.25">
      <c r="B42" s="175"/>
      <c r="C42" s="175"/>
      <c r="E42" s="175"/>
      <c r="O42" s="63" t="s">
        <v>38</v>
      </c>
      <c r="P42" s="279">
        <v>3.0584453093990347</v>
      </c>
      <c r="Q42" s="279">
        <v>14.456332290845348</v>
      </c>
      <c r="R42" s="279">
        <v>2.516248744988574</v>
      </c>
      <c r="S42" s="305" t="s">
        <v>156</v>
      </c>
      <c r="T42" s="174"/>
      <c r="U42" s="38"/>
      <c r="V42" s="38"/>
      <c r="W42" s="38"/>
      <c r="X42" s="38"/>
      <c r="Y42" s="38"/>
    </row>
    <row r="43" spans="1:32" s="39" customFormat="1" ht="12.9" customHeight="1" x14ac:dyDescent="0.25">
      <c r="B43" s="175"/>
      <c r="C43" s="175"/>
      <c r="D43" s="175"/>
      <c r="O43" s="71" t="s">
        <v>39</v>
      </c>
      <c r="P43" s="284">
        <v>2.4758048773155839</v>
      </c>
      <c r="Q43" s="284">
        <v>13.121449510001476</v>
      </c>
      <c r="R43" s="284">
        <v>2.5468049030350599</v>
      </c>
      <c r="S43" s="306" t="s">
        <v>156</v>
      </c>
      <c r="T43" s="174"/>
      <c r="U43" s="38"/>
      <c r="V43" s="38"/>
      <c r="W43" s="38"/>
      <c r="X43" s="38"/>
      <c r="Y43" s="38"/>
      <c r="Z43" s="60"/>
    </row>
    <row r="44" spans="1:32" s="39" customFormat="1" ht="12.9" customHeight="1" x14ac:dyDescent="0.25">
      <c r="B44" s="175"/>
      <c r="C44" s="175"/>
      <c r="D44" s="175"/>
      <c r="O44" s="79" t="s">
        <v>25</v>
      </c>
      <c r="P44" s="284">
        <v>5.9395793404248822</v>
      </c>
      <c r="Q44" s="284">
        <v>24.411773708593852</v>
      </c>
      <c r="R44" s="284">
        <v>4.1163891736771747</v>
      </c>
      <c r="S44" s="306" t="s">
        <v>156</v>
      </c>
      <c r="T44" s="174"/>
      <c r="U44" s="38"/>
      <c r="V44" s="38"/>
      <c r="W44" s="38"/>
      <c r="X44" s="38"/>
      <c r="Y44" s="38"/>
      <c r="Z44" s="60"/>
    </row>
    <row r="45" spans="1:32" s="39" customFormat="1" ht="12.9" customHeight="1" x14ac:dyDescent="0.25">
      <c r="A45" s="312" t="s">
        <v>74</v>
      </c>
      <c r="C45" s="175"/>
      <c r="D45" s="175"/>
      <c r="O45" s="80" t="s">
        <v>26</v>
      </c>
      <c r="P45" s="289">
        <v>0.66011969689721861</v>
      </c>
      <c r="Q45" s="289">
        <v>10.278215223097112</v>
      </c>
      <c r="R45" s="289">
        <v>0.56580366774541535</v>
      </c>
      <c r="S45" s="307" t="s">
        <v>156</v>
      </c>
      <c r="T45" s="174"/>
      <c r="U45" s="38"/>
      <c r="V45" s="38"/>
      <c r="W45" s="38"/>
      <c r="X45" s="38"/>
      <c r="Y45" s="38"/>
      <c r="Z45" s="60"/>
    </row>
    <row r="46" spans="1:32" s="39" customFormat="1" ht="12.9" customHeight="1" x14ac:dyDescent="0.25">
      <c r="A46" s="313" t="s">
        <v>535</v>
      </c>
      <c r="Z46" s="60"/>
    </row>
    <row r="47" spans="1:32" s="39" customFormat="1" ht="12.9" customHeight="1" x14ac:dyDescent="0.25">
      <c r="A47" s="53" t="s">
        <v>536</v>
      </c>
    </row>
    <row r="48" spans="1:32" s="39" customFormat="1" ht="12.9" customHeight="1" x14ac:dyDescent="0.25">
      <c r="A48" s="55"/>
    </row>
    <row r="49" spans="1:32" s="39" customFormat="1" ht="12.9" customHeight="1" x14ac:dyDescent="0.25">
      <c r="A49" s="55"/>
    </row>
    <row r="50" spans="1:32" s="39" customFormat="1" ht="12.9" customHeight="1" x14ac:dyDescent="0.25">
      <c r="A50" s="55"/>
    </row>
    <row r="51" spans="1:32" s="39" customFormat="1" ht="12.9" customHeight="1" x14ac:dyDescent="0.25">
      <c r="A51" s="55"/>
    </row>
    <row r="52" spans="1:32" s="39" customFormat="1" ht="12.9" customHeight="1" x14ac:dyDescent="0.25">
      <c r="A52" s="55"/>
    </row>
    <row r="53" spans="1:32" s="39" customFormat="1" ht="12.9" customHeight="1" x14ac:dyDescent="0.25"/>
    <row r="54" spans="1:32" s="39" customFormat="1" ht="12.9" customHeight="1" x14ac:dyDescent="0.25"/>
    <row r="55" spans="1:32" s="39" customFormat="1" ht="12.9" customHeight="1" x14ac:dyDescent="0.25"/>
    <row r="56" spans="1:32" s="39" customFormat="1" ht="12.9" customHeight="1" x14ac:dyDescent="0.25"/>
    <row r="57" spans="1:32" s="39" customFormat="1" ht="12.9" customHeight="1" x14ac:dyDescent="0.25"/>
    <row r="58" spans="1:32" s="39" customFormat="1" ht="12.9" customHeight="1" x14ac:dyDescent="0.25"/>
    <row r="59" spans="1:32" s="39" customFormat="1" ht="12.9" customHeight="1" x14ac:dyDescent="0.25"/>
    <row r="60" spans="1:32" s="39" customFormat="1" ht="12.9" customHeight="1" x14ac:dyDescent="0.25"/>
    <row r="61" spans="1:32" s="39" customFormat="1" ht="12.9" customHeight="1" x14ac:dyDescent="0.25"/>
    <row r="62" spans="1:32" s="39" customFormat="1" ht="12.9" customHeight="1" x14ac:dyDescent="0.2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32" ht="12.9" customHeight="1" x14ac:dyDescent="0.25">
      <c r="AA63" s="39"/>
      <c r="AB63" s="39"/>
      <c r="AC63" s="39"/>
      <c r="AD63" s="39"/>
      <c r="AE63" s="39"/>
      <c r="AF63" s="39"/>
    </row>
    <row r="64" spans="1:32" ht="12.9" customHeight="1" x14ac:dyDescent="0.25"/>
    <row r="65" ht="12.9" customHeight="1" x14ac:dyDescent="0.25"/>
    <row r="66" ht="12.9" customHeight="1" x14ac:dyDescent="0.25"/>
    <row r="67" ht="12.9" customHeight="1" x14ac:dyDescent="0.25"/>
    <row r="68" ht="12.9" customHeight="1" x14ac:dyDescent="0.25"/>
    <row r="69" ht="12.9" customHeight="1" x14ac:dyDescent="0.25"/>
    <row r="70" ht="12.9" customHeight="1" x14ac:dyDescent="0.25"/>
    <row r="71" ht="12.9" customHeight="1" x14ac:dyDescent="0.25"/>
    <row r="72" ht="12.9" customHeight="1" x14ac:dyDescent="0.25"/>
    <row r="73" ht="12.9" customHeight="1" x14ac:dyDescent="0.25"/>
    <row r="74" ht="12.9" customHeight="1" x14ac:dyDescent="0.25"/>
    <row r="75" ht="12.9" customHeight="1" x14ac:dyDescent="0.25"/>
    <row r="76" ht="12.9" customHeight="1" x14ac:dyDescent="0.25"/>
    <row r="77" ht="12.9" customHeight="1" x14ac:dyDescent="0.25"/>
    <row r="78" ht="12.9" customHeight="1" x14ac:dyDescent="0.25"/>
    <row r="79" ht="12.9" customHeight="1" x14ac:dyDescent="0.25"/>
    <row r="80" ht="12.9" customHeight="1" x14ac:dyDescent="0.25"/>
    <row r="81" ht="12.9" customHeight="1" x14ac:dyDescent="0.25"/>
    <row r="82" ht="12.9" customHeight="1" x14ac:dyDescent="0.25"/>
    <row r="83" ht="12.9" customHeight="1" x14ac:dyDescent="0.25"/>
    <row r="84" ht="12.9" customHeight="1" x14ac:dyDescent="0.25"/>
    <row r="85" ht="12.9" customHeight="1" x14ac:dyDescent="0.25"/>
    <row r="86" ht="12.9" customHeight="1" x14ac:dyDescent="0.25"/>
    <row r="87" ht="12.9" customHeight="1" x14ac:dyDescent="0.25"/>
    <row r="88" ht="12.9" customHeight="1" x14ac:dyDescent="0.25"/>
    <row r="89" ht="12.9" customHeight="1" x14ac:dyDescent="0.25"/>
    <row r="90" ht="12.9" customHeight="1" x14ac:dyDescent="0.25"/>
    <row r="91" ht="12.9" customHeight="1" x14ac:dyDescent="0.25"/>
    <row r="92" ht="12.9" customHeight="1" x14ac:dyDescent="0.25"/>
    <row r="93" ht="12.9" customHeight="1" x14ac:dyDescent="0.25"/>
    <row r="94" ht="12.9" customHeight="1" x14ac:dyDescent="0.25"/>
    <row r="95" ht="12.9" customHeight="1" x14ac:dyDescent="0.25"/>
    <row r="96" ht="12.9" customHeight="1" x14ac:dyDescent="0.25"/>
    <row r="97" ht="12.9" customHeight="1" x14ac:dyDescent="0.25"/>
    <row r="98" ht="12.9" customHeight="1" x14ac:dyDescent="0.25"/>
    <row r="99" ht="12.9" customHeight="1" x14ac:dyDescent="0.25"/>
    <row r="100" ht="12.9" customHeight="1" x14ac:dyDescent="0.25"/>
    <row r="101" ht="12.9" customHeight="1" x14ac:dyDescent="0.25"/>
    <row r="102" ht="12.9" customHeight="1" x14ac:dyDescent="0.25"/>
    <row r="103" ht="12.9" customHeight="1" x14ac:dyDescent="0.25"/>
  </sheetData>
  <mergeCells count="3">
    <mergeCell ref="L9:M9"/>
    <mergeCell ref="N9:O9"/>
    <mergeCell ref="P9:Q9"/>
  </mergeCells>
  <phoneticPr fontId="0" type="noConversion"/>
  <pageMargins left="0" right="0" top="0" bottom="1" header="0.5" footer="0.5"/>
  <pageSetup scale="48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08"/>
  <sheetViews>
    <sheetView zoomScale="50" workbookViewId="0"/>
  </sheetViews>
  <sheetFormatPr defaultColWidth="9.109375" defaultRowHeight="13.2" outlineLevelCol="1" x14ac:dyDescent="0.25"/>
  <cols>
    <col min="1" max="1" width="29.6640625" style="1" customWidth="1"/>
    <col min="2" max="2" width="12.88671875" style="1" customWidth="1"/>
    <col min="3" max="3" width="12.6640625" style="1" customWidth="1"/>
    <col min="4" max="4" width="10.6640625" style="1" customWidth="1"/>
    <col min="5" max="5" width="11.6640625" style="1" customWidth="1"/>
    <col min="6" max="6" width="10.6640625" style="1" customWidth="1"/>
    <col min="7" max="7" width="11.6640625" style="1" customWidth="1"/>
    <col min="8" max="8" width="10.6640625" style="1" customWidth="1"/>
    <col min="9" max="9" width="8.6640625" style="1" hidden="1" customWidth="1" outlineLevel="1"/>
    <col min="10" max="10" width="8.6640625" style="1" customWidth="1" collapsed="1"/>
    <col min="11" max="11" width="8.6640625" style="1" customWidth="1"/>
    <col min="12" max="12" width="8.6640625" style="1" hidden="1" customWidth="1" outlineLevel="1"/>
    <col min="13" max="13" width="8.6640625" style="1" customWidth="1" collapsed="1"/>
    <col min="14" max="14" width="8.6640625" style="1" customWidth="1"/>
    <col min="15" max="15" width="8.6640625" style="1" hidden="1" customWidth="1" outlineLevel="1"/>
    <col min="16" max="16" width="8.6640625" style="1" customWidth="1" collapsed="1"/>
    <col min="17" max="17" width="8.6640625" style="1" customWidth="1"/>
    <col min="18" max="25" width="9.6640625" style="1" customWidth="1"/>
    <col min="26" max="26" width="10.6640625" style="1" customWidth="1"/>
    <col min="27" max="27" width="9.109375" style="1"/>
    <col min="28" max="30" width="10.6640625" style="1" customWidth="1"/>
    <col min="31" max="31" width="15.6640625" style="1" customWidth="1"/>
    <col min="32" max="16384" width="9.109375" style="1"/>
  </cols>
  <sheetData>
    <row r="1" spans="1:32" ht="17.399999999999999" x14ac:dyDescent="0.3">
      <c r="A1" s="3" t="s">
        <v>205</v>
      </c>
      <c r="B1" s="3"/>
      <c r="C1" s="3"/>
    </row>
    <row r="2" spans="1:32" ht="15" customHeight="1" x14ac:dyDescent="0.3">
      <c r="A2" s="44" t="s">
        <v>0</v>
      </c>
      <c r="B2" s="44"/>
      <c r="C2" s="44"/>
      <c r="AF2" s="4"/>
    </row>
    <row r="3" spans="1:32" x14ac:dyDescent="0.25">
      <c r="A3" s="5" t="s">
        <v>1</v>
      </c>
      <c r="B3" s="5"/>
      <c r="C3" s="5"/>
      <c r="AF3" s="4"/>
    </row>
    <row r="4" spans="1:32" x14ac:dyDescent="0.25">
      <c r="A4" s="5"/>
      <c r="B4" s="5"/>
      <c r="C4" s="5"/>
      <c r="AF4" s="4"/>
    </row>
    <row r="5" spans="1:32" x14ac:dyDescent="0.25">
      <c r="A5" s="5"/>
      <c r="B5" s="5"/>
      <c r="C5" s="5"/>
      <c r="E5" s="1" t="s">
        <v>206</v>
      </c>
      <c r="AF5" s="4"/>
    </row>
    <row r="6" spans="1:32" x14ac:dyDescent="0.25">
      <c r="A6" s="6" t="s">
        <v>2</v>
      </c>
      <c r="B6" s="45">
        <v>37106</v>
      </c>
      <c r="C6" s="46"/>
    </row>
    <row r="7" spans="1:32" x14ac:dyDescent="0.25">
      <c r="D7" s="38"/>
      <c r="E7" s="38"/>
      <c r="F7" s="38"/>
      <c r="G7" s="38"/>
      <c r="H7" s="39" t="s">
        <v>3</v>
      </c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47" t="s">
        <v>4</v>
      </c>
      <c r="V7" s="47"/>
      <c r="W7" s="47"/>
      <c r="X7" s="47" t="s">
        <v>5</v>
      </c>
      <c r="Y7" s="47"/>
      <c r="Z7" s="39" t="s">
        <v>6</v>
      </c>
    </row>
    <row r="8" spans="1:32" x14ac:dyDescent="0.25">
      <c r="A8" s="38"/>
      <c r="B8" s="38"/>
      <c r="C8" s="39" t="s">
        <v>7</v>
      </c>
      <c r="D8" s="39" t="s">
        <v>8</v>
      </c>
      <c r="E8" s="48" t="s">
        <v>9</v>
      </c>
      <c r="F8" s="48"/>
      <c r="G8" s="39" t="s">
        <v>10</v>
      </c>
      <c r="H8" s="39" t="s">
        <v>10</v>
      </c>
      <c r="I8" s="347" t="s">
        <v>11</v>
      </c>
      <c r="J8" s="347"/>
      <c r="K8" s="347"/>
      <c r="L8" s="347" t="s">
        <v>12</v>
      </c>
      <c r="M8" s="347"/>
      <c r="N8" s="347"/>
      <c r="O8" s="347" t="s">
        <v>13</v>
      </c>
      <c r="P8" s="347"/>
      <c r="Q8" s="347"/>
      <c r="R8" s="49" t="s">
        <v>14</v>
      </c>
      <c r="S8" s="50" t="s">
        <v>15</v>
      </c>
      <c r="T8" s="39" t="s">
        <v>16</v>
      </c>
      <c r="U8" s="39" t="s">
        <v>17</v>
      </c>
      <c r="V8" s="39"/>
      <c r="W8" s="51" t="s">
        <v>18</v>
      </c>
      <c r="X8" s="39" t="s">
        <v>17</v>
      </c>
      <c r="Y8" s="39" t="s">
        <v>19</v>
      </c>
      <c r="Z8" s="39" t="s">
        <v>20</v>
      </c>
      <c r="AA8" s="50"/>
    </row>
    <row r="9" spans="1:32" x14ac:dyDescent="0.25">
      <c r="A9" s="39" t="s">
        <v>21</v>
      </c>
      <c r="B9" s="39" t="s">
        <v>22</v>
      </c>
      <c r="C9" s="39" t="s">
        <v>23</v>
      </c>
      <c r="D9" s="39" t="s">
        <v>24</v>
      </c>
      <c r="E9" s="39" t="s">
        <v>25</v>
      </c>
      <c r="F9" s="39" t="s">
        <v>26</v>
      </c>
      <c r="G9" s="39" t="s">
        <v>27</v>
      </c>
      <c r="H9" s="39" t="s">
        <v>27</v>
      </c>
      <c r="I9" s="39" t="s">
        <v>28</v>
      </c>
      <c r="J9" s="51" t="s">
        <v>111</v>
      </c>
      <c r="K9" s="51" t="s">
        <v>112</v>
      </c>
      <c r="L9" s="39" t="s">
        <v>28</v>
      </c>
      <c r="M9" s="51" t="s">
        <v>111</v>
      </c>
      <c r="N9" s="51" t="s">
        <v>112</v>
      </c>
      <c r="O9" s="39" t="s">
        <v>28</v>
      </c>
      <c r="P9" s="51" t="s">
        <v>111</v>
      </c>
      <c r="Q9" s="51" t="s">
        <v>112</v>
      </c>
      <c r="R9" s="39" t="s">
        <v>29</v>
      </c>
      <c r="S9" s="39" t="s">
        <v>30</v>
      </c>
      <c r="T9" s="39" t="s">
        <v>31</v>
      </c>
      <c r="U9" s="39" t="s">
        <v>32</v>
      </c>
      <c r="V9" s="39" t="s">
        <v>33</v>
      </c>
      <c r="W9" s="39" t="s">
        <v>34</v>
      </c>
      <c r="X9" s="39" t="s">
        <v>35</v>
      </c>
      <c r="Y9" s="39" t="s">
        <v>5</v>
      </c>
      <c r="Z9" s="39" t="s">
        <v>36</v>
      </c>
      <c r="AA9" s="50"/>
    </row>
    <row r="10" spans="1:32" ht="4.95" customHeight="1" x14ac:dyDescent="0.25">
      <c r="A10" s="8" t="s">
        <v>37</v>
      </c>
      <c r="B10" s="8" t="s">
        <v>37</v>
      </c>
      <c r="C10" s="8" t="s">
        <v>37</v>
      </c>
      <c r="D10" s="8" t="s">
        <v>37</v>
      </c>
      <c r="E10" s="8" t="s">
        <v>37</v>
      </c>
      <c r="F10" s="8" t="s">
        <v>37</v>
      </c>
      <c r="G10" s="8" t="s">
        <v>37</v>
      </c>
      <c r="H10" s="8" t="s">
        <v>37</v>
      </c>
      <c r="I10" s="8" t="s">
        <v>37</v>
      </c>
      <c r="J10" s="8" t="s">
        <v>37</v>
      </c>
      <c r="K10" s="8" t="s">
        <v>37</v>
      </c>
      <c r="L10" s="8" t="s">
        <v>37</v>
      </c>
      <c r="M10" s="8" t="s">
        <v>37</v>
      </c>
      <c r="N10" s="8" t="s">
        <v>37</v>
      </c>
      <c r="O10" s="8" t="s">
        <v>37</v>
      </c>
      <c r="P10" s="8" t="s">
        <v>37</v>
      </c>
      <c r="Q10" s="8" t="s">
        <v>37</v>
      </c>
      <c r="R10" s="8" t="s">
        <v>37</v>
      </c>
      <c r="S10" s="8" t="s">
        <v>37</v>
      </c>
      <c r="T10" s="8" t="s">
        <v>37</v>
      </c>
      <c r="U10" s="8" t="s">
        <v>37</v>
      </c>
      <c r="V10" s="8" t="s">
        <v>37</v>
      </c>
      <c r="W10" s="8" t="s">
        <v>37</v>
      </c>
      <c r="X10" s="8" t="s">
        <v>37</v>
      </c>
      <c r="Y10" s="8" t="s">
        <v>37</v>
      </c>
      <c r="Z10" s="8" t="s">
        <v>37</v>
      </c>
      <c r="AA10" s="9"/>
    </row>
    <row r="11" spans="1:32" ht="12.9" customHeight="1" x14ac:dyDescent="0.25">
      <c r="A11" s="1" t="s">
        <v>207</v>
      </c>
      <c r="B11" s="2" t="s">
        <v>208</v>
      </c>
      <c r="C11" s="10">
        <v>37106</v>
      </c>
      <c r="D11" s="11">
        <v>46.99</v>
      </c>
      <c r="E11" s="11">
        <v>59.875</v>
      </c>
      <c r="F11" s="11">
        <v>36.1875</v>
      </c>
      <c r="G11" s="12">
        <v>15817.74249814</v>
      </c>
      <c r="H11" s="12">
        <v>20879.74249814</v>
      </c>
      <c r="I11" s="13">
        <v>29.455758841973928</v>
      </c>
      <c r="J11" s="13">
        <v>23.495000000000001</v>
      </c>
      <c r="K11" s="13">
        <v>19.179591836734694</v>
      </c>
      <c r="L11" s="13" t="s">
        <v>169</v>
      </c>
      <c r="M11" s="13">
        <v>12.205194805194806</v>
      </c>
      <c r="N11" s="13">
        <v>10.802298850574712</v>
      </c>
      <c r="O11" s="13">
        <v>11.115771256598736</v>
      </c>
      <c r="P11" s="13">
        <v>11.645143613017288</v>
      </c>
      <c r="Q11" s="13">
        <v>9.7295399873762474</v>
      </c>
      <c r="R11" s="14">
        <v>0.45409889750027288</v>
      </c>
      <c r="S11" s="13">
        <v>4.1516384509553808</v>
      </c>
      <c r="T11" s="14">
        <v>6.3843379999999998E-3</v>
      </c>
      <c r="U11" s="15">
        <v>0</v>
      </c>
      <c r="V11" s="14" t="s">
        <v>156</v>
      </c>
      <c r="W11" s="11" t="s">
        <v>156</v>
      </c>
      <c r="X11" s="19" t="s">
        <v>156</v>
      </c>
      <c r="Y11" s="13" t="s">
        <v>156</v>
      </c>
      <c r="Z11" s="17">
        <v>336.61933386124707</v>
      </c>
    </row>
    <row r="12" spans="1:32" ht="12.9" customHeight="1" x14ac:dyDescent="0.25">
      <c r="A12" s="1" t="s">
        <v>209</v>
      </c>
      <c r="B12" s="2" t="s">
        <v>210</v>
      </c>
      <c r="C12" s="10">
        <v>37106</v>
      </c>
      <c r="D12" s="11">
        <v>40.65</v>
      </c>
      <c r="E12" s="11">
        <v>44</v>
      </c>
      <c r="F12" s="11">
        <v>32.1</v>
      </c>
      <c r="G12" s="12">
        <v>6377.9849999999997</v>
      </c>
      <c r="H12" s="12">
        <v>13536.285</v>
      </c>
      <c r="I12" s="13" t="e">
        <v>#REF!</v>
      </c>
      <c r="J12" s="13">
        <v>16.653011061040559</v>
      </c>
      <c r="K12" s="13">
        <v>14.830353885443268</v>
      </c>
      <c r="L12" s="13" t="s">
        <v>169</v>
      </c>
      <c r="M12" s="13">
        <v>7.463279837008578</v>
      </c>
      <c r="N12" s="13">
        <v>6.9289768790354049</v>
      </c>
      <c r="O12" s="13">
        <v>5.7170894585873056</v>
      </c>
      <c r="P12" s="13">
        <v>11.336607094592372</v>
      </c>
      <c r="Q12" s="13">
        <v>10.625102128432351</v>
      </c>
      <c r="R12" s="14">
        <v>0.68767582831725005</v>
      </c>
      <c r="S12" s="13">
        <v>2.7135742852280464</v>
      </c>
      <c r="T12" s="14">
        <v>3.1242309999999999E-2</v>
      </c>
      <c r="U12" s="15">
        <v>0</v>
      </c>
      <c r="V12" s="14" t="s">
        <v>156</v>
      </c>
      <c r="W12" s="11" t="s">
        <v>156</v>
      </c>
      <c r="X12" s="19" t="s">
        <v>156</v>
      </c>
      <c r="Y12" s="13" t="s">
        <v>156</v>
      </c>
      <c r="Z12" s="17">
        <v>156.9</v>
      </c>
      <c r="AA12" s="24"/>
    </row>
    <row r="13" spans="1:32" ht="12.9" customHeight="1" x14ac:dyDescent="0.25">
      <c r="A13" s="1" t="s">
        <v>211</v>
      </c>
      <c r="B13" s="2" t="s">
        <v>212</v>
      </c>
      <c r="C13" s="18">
        <v>37106</v>
      </c>
      <c r="D13" s="19">
        <v>45.36</v>
      </c>
      <c r="E13" s="19">
        <v>90.75</v>
      </c>
      <c r="F13" s="19">
        <v>42</v>
      </c>
      <c r="G13" s="12">
        <v>38373.406707467519</v>
      </c>
      <c r="H13" s="16">
        <v>52528.313407467518</v>
      </c>
      <c r="I13" s="20" t="s">
        <v>169</v>
      </c>
      <c r="J13" s="20">
        <v>25.2</v>
      </c>
      <c r="K13" s="20">
        <v>20.16</v>
      </c>
      <c r="L13" s="20">
        <v>18.734647460400332</v>
      </c>
      <c r="M13" s="20">
        <v>15.12</v>
      </c>
      <c r="N13" s="20">
        <v>12.777464788732393</v>
      </c>
      <c r="O13" s="20">
        <v>12.182033875386514</v>
      </c>
      <c r="P13" s="20">
        <v>12.870801089745056</v>
      </c>
      <c r="Q13" s="20">
        <v>11.078884147273431</v>
      </c>
      <c r="R13" s="21">
        <v>0.47554781061139745</v>
      </c>
      <c r="S13" s="20">
        <v>3.6180847357597132</v>
      </c>
      <c r="T13" s="21">
        <v>1.102293E-2</v>
      </c>
      <c r="U13" s="22">
        <v>0</v>
      </c>
      <c r="V13" s="21" t="s">
        <v>156</v>
      </c>
      <c r="W13" s="19" t="s">
        <v>156</v>
      </c>
      <c r="X13" s="19" t="s">
        <v>156</v>
      </c>
      <c r="Y13" s="20" t="s">
        <v>156</v>
      </c>
      <c r="Z13" s="23">
        <v>845.97457467961908</v>
      </c>
      <c r="AA13" s="24"/>
    </row>
    <row r="14" spans="1:32" ht="12.9" customHeight="1" x14ac:dyDescent="0.25">
      <c r="A14" s="1" t="s">
        <v>213</v>
      </c>
      <c r="B14" s="2" t="s">
        <v>214</v>
      </c>
      <c r="C14" s="18">
        <v>37106</v>
      </c>
      <c r="D14" s="19">
        <v>51.25</v>
      </c>
      <c r="E14" s="19">
        <v>75.3</v>
      </c>
      <c r="F14" s="19">
        <v>44.5</v>
      </c>
      <c r="G14" s="12">
        <v>26353.086237980002</v>
      </c>
      <c r="H14" s="16">
        <v>43982.086237980002</v>
      </c>
      <c r="I14" s="20">
        <v>15.703350576937357</v>
      </c>
      <c r="J14" s="20">
        <v>15.751065545444074</v>
      </c>
      <c r="K14" s="20">
        <v>13.433862754607178</v>
      </c>
      <c r="L14" s="20">
        <v>7.1510941722396861</v>
      </c>
      <c r="M14" s="20">
        <v>7.7885053542948288</v>
      </c>
      <c r="N14" s="20">
        <v>7.0746073298429319</v>
      </c>
      <c r="O14" s="20">
        <v>6.3000445225866608</v>
      </c>
      <c r="P14" s="20">
        <v>8.1320303666413984</v>
      </c>
      <c r="Q14" s="20">
        <v>7.4142523285143538</v>
      </c>
      <c r="R14" s="21">
        <v>0.57724646343893204</v>
      </c>
      <c r="S14" s="20">
        <v>3.8303904415668608</v>
      </c>
      <c r="T14" s="21">
        <v>1.6585369999999999E-2</v>
      </c>
      <c r="U14" s="22">
        <v>1053.3663333333334</v>
      </c>
      <c r="V14" s="21">
        <v>0.90930695525678151</v>
      </c>
      <c r="W14" s="19">
        <v>10.409901788206103</v>
      </c>
      <c r="X14" s="16">
        <v>15555</v>
      </c>
      <c r="Y14" s="20">
        <v>0.42238813277678616</v>
      </c>
      <c r="Z14" s="23">
        <v>514.20656074107319</v>
      </c>
      <c r="AA14" s="24"/>
    </row>
    <row r="15" spans="1:32" ht="12.9" customHeight="1" x14ac:dyDescent="0.25">
      <c r="A15" s="1" t="s">
        <v>215</v>
      </c>
      <c r="B15" s="2" t="s">
        <v>216</v>
      </c>
      <c r="C15" s="18">
        <v>37106</v>
      </c>
      <c r="D15" s="19">
        <v>53.61</v>
      </c>
      <c r="E15" s="19">
        <v>60</v>
      </c>
      <c r="F15" s="19">
        <v>33</v>
      </c>
      <c r="G15" s="12">
        <v>6231.01971048</v>
      </c>
      <c r="H15" s="16">
        <v>9737.0707104800003</v>
      </c>
      <c r="I15" s="20">
        <v>32.08690219205738</v>
      </c>
      <c r="J15" s="20">
        <v>28.978378378378377</v>
      </c>
      <c r="K15" s="20">
        <v>22.812765957446807</v>
      </c>
      <c r="L15" s="20">
        <v>14.967546902200816</v>
      </c>
      <c r="M15" s="20">
        <v>16.495384615384616</v>
      </c>
      <c r="N15" s="20">
        <v>14.107894736842104</v>
      </c>
      <c r="O15" s="20">
        <v>11.87473859931508</v>
      </c>
      <c r="P15" s="20">
        <v>12.969561046855619</v>
      </c>
      <c r="Q15" s="20">
        <v>11.531115512686458</v>
      </c>
      <c r="R15" s="21">
        <v>0.65623403721438744</v>
      </c>
      <c r="S15" s="20">
        <v>3.393077137386789</v>
      </c>
      <c r="T15" s="21">
        <v>3.7306469999999997E-3</v>
      </c>
      <c r="U15" s="22">
        <v>0</v>
      </c>
      <c r="V15" s="21" t="s">
        <v>156</v>
      </c>
      <c r="W15" s="19" t="s">
        <v>156</v>
      </c>
      <c r="X15" s="19" t="s">
        <v>156</v>
      </c>
      <c r="Y15" s="20" t="s">
        <v>156</v>
      </c>
      <c r="Z15" s="23">
        <v>116.22868327700056</v>
      </c>
      <c r="AA15" s="24"/>
    </row>
    <row r="16" spans="1:32" ht="12.9" customHeight="1" x14ac:dyDescent="0.25">
      <c r="A16" s="1" t="s">
        <v>217</v>
      </c>
      <c r="B16" s="2" t="s">
        <v>218</v>
      </c>
      <c r="C16" s="18">
        <v>37106</v>
      </c>
      <c r="D16" s="19">
        <v>28.82</v>
      </c>
      <c r="E16" s="19">
        <v>43.5</v>
      </c>
      <c r="F16" s="19">
        <v>18.625</v>
      </c>
      <c r="G16" s="12">
        <v>942.4140000000001</v>
      </c>
      <c r="H16" s="16">
        <v>1207.0472500000001</v>
      </c>
      <c r="I16" s="20">
        <v>14.412001890460624</v>
      </c>
      <c r="J16" s="20">
        <v>14.565904173106647</v>
      </c>
      <c r="K16" s="20">
        <v>15.27134087237487</v>
      </c>
      <c r="L16" s="20">
        <v>14.412001890460624</v>
      </c>
      <c r="M16" s="20">
        <v>6.0333802816901416</v>
      </c>
      <c r="N16" s="20">
        <v>6.4393460490463346</v>
      </c>
      <c r="O16" s="20">
        <v>3.981806658779786</v>
      </c>
      <c r="P16" s="20">
        <v>5.178237880737881</v>
      </c>
      <c r="Q16" s="20">
        <v>5.3575110963160295</v>
      </c>
      <c r="R16" s="21">
        <v>0.42041652939952112</v>
      </c>
      <c r="S16" s="20">
        <v>2.2435490590517913</v>
      </c>
      <c r="T16" s="21">
        <v>6.9396249999999996E-3</v>
      </c>
      <c r="U16" s="22">
        <v>68.521333333333331</v>
      </c>
      <c r="V16" s="21">
        <v>0.99359323616975725</v>
      </c>
      <c r="W16" s="19">
        <v>3.0543148855100655</v>
      </c>
      <c r="X16" s="16">
        <v>967.91099999999972</v>
      </c>
      <c r="Y16" s="20">
        <v>0.16881912563976514</v>
      </c>
      <c r="Z16" s="23">
        <v>32.700000000000003</v>
      </c>
      <c r="AA16" s="24"/>
    </row>
    <row r="17" spans="1:28" ht="12.9" customHeight="1" x14ac:dyDescent="0.25">
      <c r="A17" s="40" t="s">
        <v>219</v>
      </c>
      <c r="B17" s="41" t="s">
        <v>220</v>
      </c>
      <c r="C17" s="42">
        <v>37106</v>
      </c>
      <c r="D17" s="19">
        <v>33.51</v>
      </c>
      <c r="E17" s="19">
        <v>44.286370000000005</v>
      </c>
      <c r="F17" s="19">
        <v>27.837140000000002</v>
      </c>
      <c r="G17" s="12">
        <v>17357.325359505456</v>
      </c>
      <c r="H17" s="16">
        <v>28838.718436110459</v>
      </c>
      <c r="I17" s="20">
        <v>12.533335547183073</v>
      </c>
      <c r="J17" s="20">
        <v>14.569565217391304</v>
      </c>
      <c r="K17" s="20">
        <v>12.41111111111111</v>
      </c>
      <c r="L17" s="20">
        <v>6.5714942127651961</v>
      </c>
      <c r="M17" s="20">
        <v>7.3297251822770608</v>
      </c>
      <c r="N17" s="20">
        <v>6.6554121151936441</v>
      </c>
      <c r="O17" s="20">
        <v>4.8038252088866322</v>
      </c>
      <c r="P17" s="20">
        <v>7.6014483562543633</v>
      </c>
      <c r="Q17" s="20">
        <v>7.1900924056837443</v>
      </c>
      <c r="R17" s="21">
        <v>0.59360581244323718</v>
      </c>
      <c r="S17" s="20">
        <v>3.3148705854446838</v>
      </c>
      <c r="T17" s="21">
        <v>1.7905109999999998E-2</v>
      </c>
      <c r="U17" s="22">
        <v>0</v>
      </c>
      <c r="V17" s="21" t="s">
        <v>156</v>
      </c>
      <c r="W17" s="19" t="s">
        <v>156</v>
      </c>
      <c r="X17" s="16">
        <v>530.64799999999991</v>
      </c>
      <c r="Y17" s="20">
        <v>3.2141254123316063</v>
      </c>
      <c r="Z17" s="23">
        <v>517.97449595659373</v>
      </c>
      <c r="AA17" s="24"/>
    </row>
    <row r="18" spans="1:28" ht="12.9" customHeight="1" x14ac:dyDescent="0.25">
      <c r="A18" s="1" t="s">
        <v>221</v>
      </c>
      <c r="B18" s="2" t="s">
        <v>222</v>
      </c>
      <c r="C18" s="18">
        <v>37106</v>
      </c>
      <c r="D18" s="11">
        <v>19.329999999999998</v>
      </c>
      <c r="E18" s="11">
        <v>19.52</v>
      </c>
      <c r="F18" s="11">
        <v>11.8</v>
      </c>
      <c r="G18" s="12">
        <v>9208.0372800000005</v>
      </c>
      <c r="H18" s="16">
        <v>22062.03728</v>
      </c>
      <c r="I18" s="20" t="s">
        <v>169</v>
      </c>
      <c r="J18" s="20">
        <v>14.294990023827449</v>
      </c>
      <c r="K18" s="20">
        <v>13.341256645609155</v>
      </c>
      <c r="L18" s="20">
        <v>24.006892622029099</v>
      </c>
      <c r="M18" s="20">
        <v>6.2287869203852777</v>
      </c>
      <c r="N18" s="20">
        <v>6.1170886075949369</v>
      </c>
      <c r="O18" s="20">
        <v>3.6195115094339623</v>
      </c>
      <c r="P18" s="20">
        <v>7.6922951920532903</v>
      </c>
      <c r="Q18" s="20">
        <v>7.5561008903066167</v>
      </c>
      <c r="R18" s="21">
        <v>0.64726984964389345</v>
      </c>
      <c r="S18" s="20">
        <v>1.7334407530120484</v>
      </c>
      <c r="T18" s="21">
        <v>4.1386449999999991E-2</v>
      </c>
      <c r="U18" s="22">
        <v>0</v>
      </c>
      <c r="V18" s="21" t="s">
        <v>156</v>
      </c>
      <c r="W18" s="19" t="s">
        <v>156</v>
      </c>
      <c r="X18" s="19" t="s">
        <v>156</v>
      </c>
      <c r="Y18" s="20" t="s">
        <v>156</v>
      </c>
      <c r="Z18" s="23">
        <v>476.35992136575271</v>
      </c>
    </row>
    <row r="19" spans="1:28" ht="12.9" customHeight="1" x14ac:dyDescent="0.25">
      <c r="A19" s="1" t="s">
        <v>223</v>
      </c>
      <c r="B19" s="2" t="s">
        <v>224</v>
      </c>
      <c r="C19" s="18">
        <v>37106</v>
      </c>
      <c r="D19" s="11">
        <v>37.229999999999997</v>
      </c>
      <c r="E19" s="11">
        <v>37.75</v>
      </c>
      <c r="F19" s="11">
        <v>25.7</v>
      </c>
      <c r="G19" s="12">
        <v>4610.3134416000003</v>
      </c>
      <c r="H19" s="16">
        <v>13497.313441599999</v>
      </c>
      <c r="I19" s="20" t="s">
        <v>169</v>
      </c>
      <c r="J19" s="20">
        <v>14.628683693516701</v>
      </c>
      <c r="K19" s="20">
        <v>13.624885635864596</v>
      </c>
      <c r="L19" s="20">
        <v>8.8634704274253195</v>
      </c>
      <c r="M19" s="20">
        <v>6.257142857142858</v>
      </c>
      <c r="N19" s="20">
        <v>6.0536585365853659</v>
      </c>
      <c r="O19" s="20">
        <v>3.6560772732751787</v>
      </c>
      <c r="P19" s="20">
        <v>9.3242007905433262</v>
      </c>
      <c r="Q19" s="20">
        <v>9.0595743330858785</v>
      </c>
      <c r="R19" s="21">
        <v>0.67403918930283413</v>
      </c>
      <c r="S19" s="20">
        <v>1.622778402534319</v>
      </c>
      <c r="T19" s="21">
        <v>3.4380870000000001E-2</v>
      </c>
      <c r="U19" s="22">
        <v>0</v>
      </c>
      <c r="V19" s="21" t="s">
        <v>156</v>
      </c>
      <c r="W19" s="19" t="s">
        <v>156</v>
      </c>
      <c r="X19" s="19" t="s">
        <v>156</v>
      </c>
      <c r="Y19" s="20" t="s">
        <v>156</v>
      </c>
      <c r="Z19" s="23">
        <v>123.83329147461724</v>
      </c>
    </row>
    <row r="20" spans="1:28" ht="12.9" customHeight="1" x14ac:dyDescent="0.25">
      <c r="A20" s="40"/>
      <c r="B20" s="41"/>
      <c r="C20" s="42"/>
      <c r="D20" s="19"/>
      <c r="E20" s="19"/>
      <c r="F20" s="19"/>
      <c r="G20" s="16"/>
      <c r="H20" s="16"/>
      <c r="I20" s="20"/>
      <c r="J20" s="20"/>
      <c r="K20" s="20"/>
      <c r="L20" s="20"/>
      <c r="M20" s="20"/>
      <c r="N20" s="20"/>
      <c r="O20" s="20"/>
      <c r="P20" s="20"/>
      <c r="Q20" s="20"/>
      <c r="R20" s="21"/>
      <c r="S20" s="20"/>
      <c r="T20" s="21"/>
      <c r="U20" s="22"/>
      <c r="V20" s="21"/>
      <c r="W20" s="19"/>
      <c r="X20" s="19"/>
      <c r="Y20" s="20"/>
      <c r="Z20" s="23"/>
    </row>
    <row r="21" spans="1:28" ht="12.9" customHeight="1" x14ac:dyDescent="0.25">
      <c r="B21" s="2"/>
      <c r="C21" s="18"/>
      <c r="D21" s="19"/>
      <c r="E21" s="19"/>
      <c r="F21" s="19"/>
      <c r="G21" s="16"/>
      <c r="H21" s="16"/>
      <c r="I21" s="20"/>
      <c r="J21" s="20"/>
      <c r="K21" s="20"/>
      <c r="L21" s="20"/>
      <c r="M21" s="20"/>
      <c r="N21" s="20"/>
      <c r="O21" s="20"/>
      <c r="P21" s="20"/>
      <c r="Q21" s="20"/>
      <c r="R21" s="21"/>
      <c r="S21" s="20"/>
      <c r="T21" s="21"/>
      <c r="U21" s="22"/>
      <c r="V21" s="21"/>
      <c r="W21" s="19"/>
      <c r="X21" s="28"/>
      <c r="Y21" s="20"/>
      <c r="Z21" s="23"/>
    </row>
    <row r="22" spans="1:28" ht="12.9" customHeight="1" x14ac:dyDescent="0.25">
      <c r="B22" s="29"/>
      <c r="C22" s="29"/>
      <c r="D22" s="29"/>
      <c r="E22" s="29"/>
      <c r="F22" s="29"/>
      <c r="G22" s="52"/>
      <c r="H22" s="53" t="s">
        <v>38</v>
      </c>
      <c r="I22" s="29"/>
      <c r="J22" s="20">
        <v>18.681844232522788</v>
      </c>
      <c r="K22" s="20">
        <v>16.118352077687959</v>
      </c>
      <c r="L22" s="20">
        <v>13.529592526788722</v>
      </c>
      <c r="M22" s="20">
        <v>9.4357110948197942</v>
      </c>
      <c r="N22" s="20">
        <v>8.5507497659386473</v>
      </c>
      <c r="O22" s="20">
        <v>7.0278775958722068</v>
      </c>
      <c r="P22" s="20">
        <v>9.6389250478267332</v>
      </c>
      <c r="Q22" s="20">
        <v>8.8380192032972325</v>
      </c>
      <c r="R22" s="21">
        <v>0.57623715754130289</v>
      </c>
      <c r="S22" s="20">
        <v>2.9579337612155143</v>
      </c>
      <c r="T22" s="21">
        <v>1.8841961111111114E-2</v>
      </c>
      <c r="U22" s="22"/>
      <c r="V22" s="21">
        <v>0.95145009571326944</v>
      </c>
      <c r="W22" s="19">
        <v>6.7321083368580839</v>
      </c>
      <c r="X22" s="16"/>
      <c r="Y22" s="20">
        <v>1.2684442235827191</v>
      </c>
      <c r="Z22" s="29"/>
    </row>
    <row r="23" spans="1:28" ht="12.9" customHeight="1" x14ac:dyDescent="0.25">
      <c r="B23" s="29"/>
      <c r="C23" s="29"/>
      <c r="D23" s="29"/>
      <c r="E23" s="29"/>
      <c r="F23" s="29"/>
      <c r="G23" s="52"/>
      <c r="H23" s="53" t="s">
        <v>39</v>
      </c>
      <c r="I23" s="29"/>
      <c r="J23" s="20">
        <v>15.751065545444074</v>
      </c>
      <c r="K23" s="20">
        <v>14.830353885443268</v>
      </c>
      <c r="L23" s="20">
        <v>14.412001890460624</v>
      </c>
      <c r="M23" s="20">
        <v>7.463279837008578</v>
      </c>
      <c r="N23" s="20">
        <v>6.9289768790354049</v>
      </c>
      <c r="O23" s="20">
        <v>5.7170894585873056</v>
      </c>
      <c r="P23" s="20">
        <v>9.3242007905433262</v>
      </c>
      <c r="Q23" s="20">
        <v>9.0595743330858785</v>
      </c>
      <c r="R23" s="21">
        <v>0.59360581244323718</v>
      </c>
      <c r="S23" s="20">
        <v>3.3148705854446838</v>
      </c>
      <c r="T23" s="21">
        <v>1.6585369999999999E-2</v>
      </c>
      <c r="U23" s="22"/>
      <c r="V23" s="21">
        <v>0.95145009571326944</v>
      </c>
      <c r="W23" s="19">
        <v>6.7321083368580847</v>
      </c>
      <c r="X23" s="16"/>
      <c r="Y23" s="20">
        <v>0.42238813277678616</v>
      </c>
      <c r="Z23" s="29"/>
    </row>
    <row r="24" spans="1:28" ht="12.9" customHeight="1" x14ac:dyDescent="0.25">
      <c r="B24" s="29"/>
      <c r="C24" s="29"/>
      <c r="D24" s="29"/>
      <c r="E24" s="29"/>
      <c r="F24" s="29"/>
      <c r="G24" s="54"/>
      <c r="H24" s="55" t="s">
        <v>25</v>
      </c>
      <c r="I24" s="29"/>
      <c r="J24" s="20">
        <v>28.978378378378377</v>
      </c>
      <c r="K24" s="20">
        <v>22.812765957446807</v>
      </c>
      <c r="L24" s="20">
        <v>24.006892622029099</v>
      </c>
      <c r="M24" s="20">
        <v>16.495384615384616</v>
      </c>
      <c r="N24" s="20">
        <v>14.107894736842104</v>
      </c>
      <c r="O24" s="20">
        <v>12.182033875386514</v>
      </c>
      <c r="P24" s="20">
        <v>12.969561046855619</v>
      </c>
      <c r="Q24" s="20">
        <v>11.531115512686458</v>
      </c>
      <c r="R24" s="21">
        <v>0.68767582831725005</v>
      </c>
      <c r="S24" s="20">
        <v>4.1516384509553808</v>
      </c>
      <c r="T24" s="21">
        <v>4.1386449999999991E-2</v>
      </c>
      <c r="U24" s="22"/>
      <c r="V24" s="21">
        <v>0.99359323616975725</v>
      </c>
      <c r="W24" s="19">
        <v>10.409901788206103</v>
      </c>
      <c r="X24" s="16"/>
      <c r="Y24" s="20">
        <v>3.2141254123316063</v>
      </c>
      <c r="Z24" s="29"/>
      <c r="AA24" s="56"/>
    </row>
    <row r="25" spans="1:28" ht="12" customHeight="1" x14ac:dyDescent="0.25">
      <c r="B25" s="29"/>
      <c r="C25" s="29"/>
      <c r="D25" s="29"/>
      <c r="E25" s="29"/>
      <c r="F25" s="29"/>
      <c r="G25" s="52"/>
      <c r="H25" s="53" t="s">
        <v>26</v>
      </c>
      <c r="I25" s="29"/>
      <c r="J25" s="20">
        <v>14.294990023827449</v>
      </c>
      <c r="K25" s="20">
        <v>12.41111111111111</v>
      </c>
      <c r="L25" s="20">
        <v>6.5714942127651961</v>
      </c>
      <c r="M25" s="20">
        <v>6.0333802816901416</v>
      </c>
      <c r="N25" s="20">
        <v>6.0536585365853659</v>
      </c>
      <c r="O25" s="20">
        <v>3.6195115094339623</v>
      </c>
      <c r="P25" s="20">
        <v>5.178237880737881</v>
      </c>
      <c r="Q25" s="20">
        <v>5.3575110963160295</v>
      </c>
      <c r="R25" s="21">
        <v>0.42041652939952112</v>
      </c>
      <c r="S25" s="20">
        <v>1.622778402534319</v>
      </c>
      <c r="T25" s="21">
        <v>3.7306469999999997E-3</v>
      </c>
      <c r="U25" s="22"/>
      <c r="V25" s="21">
        <v>0.90930695525678151</v>
      </c>
      <c r="W25" s="19">
        <v>3.0543148855100655</v>
      </c>
      <c r="X25" s="16"/>
      <c r="Y25" s="20">
        <v>0.16881912563976514</v>
      </c>
      <c r="Z25" s="29"/>
      <c r="AA25" s="56"/>
    </row>
    <row r="26" spans="1:28" x14ac:dyDescent="0.25"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56"/>
    </row>
    <row r="27" spans="1:28" x14ac:dyDescent="0.25">
      <c r="B27" s="29"/>
      <c r="C27" s="29"/>
      <c r="D27" s="29"/>
      <c r="U27" s="49" t="s">
        <v>95</v>
      </c>
      <c r="V27" s="49"/>
      <c r="W27" s="49"/>
      <c r="X27" s="49"/>
      <c r="Y27" s="49"/>
      <c r="AA27" s="50"/>
    </row>
    <row r="28" spans="1:28" ht="12.75" customHeight="1" x14ac:dyDescent="0.25">
      <c r="A28" s="57"/>
      <c r="B28" s="49" t="s">
        <v>40</v>
      </c>
      <c r="C28" s="49"/>
      <c r="D28" s="49" t="s">
        <v>41</v>
      </c>
      <c r="E28" s="49"/>
      <c r="F28" s="49"/>
      <c r="G28" s="49" t="s">
        <v>42</v>
      </c>
      <c r="H28" s="49"/>
      <c r="J28" s="49" t="s">
        <v>43</v>
      </c>
      <c r="K28" s="49"/>
      <c r="P28" s="49" t="s">
        <v>44</v>
      </c>
      <c r="Q28" s="49"/>
      <c r="R28" s="49"/>
      <c r="S28" s="49"/>
      <c r="U28" s="349" t="s">
        <v>45</v>
      </c>
      <c r="V28" s="349"/>
      <c r="W28" s="349"/>
      <c r="X28" s="349"/>
      <c r="Y28" s="349"/>
      <c r="AA28" s="31"/>
    </row>
    <row r="29" spans="1:28" s="2" customFormat="1" ht="3.75" customHeight="1" x14ac:dyDescent="0.25">
      <c r="A29" s="57"/>
      <c r="B29" s="8" t="s">
        <v>37</v>
      </c>
      <c r="C29" s="58"/>
      <c r="D29" s="8" t="s">
        <v>37</v>
      </c>
      <c r="E29" s="58"/>
      <c r="F29" s="58"/>
      <c r="G29" s="8" t="s">
        <v>37</v>
      </c>
      <c r="H29" s="58"/>
      <c r="I29" s="1"/>
      <c r="J29" s="8" t="s">
        <v>37</v>
      </c>
      <c r="K29" s="58"/>
      <c r="L29" s="1"/>
      <c r="M29" s="1"/>
      <c r="N29" s="1"/>
      <c r="O29" s="1"/>
      <c r="P29" s="8" t="s">
        <v>37</v>
      </c>
      <c r="Q29" s="58"/>
      <c r="R29" s="58"/>
      <c r="S29" s="58"/>
      <c r="T29" s="1"/>
      <c r="U29" s="8" t="s">
        <v>37</v>
      </c>
      <c r="V29" s="58"/>
      <c r="W29" s="58"/>
      <c r="X29" s="58"/>
      <c r="Y29" s="8"/>
      <c r="Z29" s="1"/>
      <c r="AA29" s="1"/>
      <c r="AB29" s="1"/>
    </row>
    <row r="30" spans="1:28" s="2" customFormat="1" ht="12.9" customHeight="1" x14ac:dyDescent="0.25">
      <c r="A30" s="38"/>
      <c r="D30" s="50" t="s">
        <v>46</v>
      </c>
      <c r="E30" s="50" t="s">
        <v>47</v>
      </c>
      <c r="F30" s="50" t="s">
        <v>7</v>
      </c>
      <c r="G30" s="7" t="s">
        <v>48</v>
      </c>
      <c r="H30" s="1"/>
      <c r="I30" s="1"/>
      <c r="J30" s="1"/>
      <c r="K30" s="1"/>
      <c r="L30" s="1"/>
      <c r="M30" s="1"/>
      <c r="N30" s="1"/>
      <c r="O30" s="1"/>
      <c r="P30" s="50" t="s">
        <v>49</v>
      </c>
      <c r="Q30" s="50"/>
      <c r="R30" s="50" t="s">
        <v>50</v>
      </c>
      <c r="S30" s="50" t="s">
        <v>51</v>
      </c>
      <c r="T30" s="1"/>
      <c r="U30" s="50" t="s">
        <v>52</v>
      </c>
      <c r="V30" s="50" t="s">
        <v>53</v>
      </c>
      <c r="W30" s="59" t="s">
        <v>54</v>
      </c>
      <c r="X30" s="50" t="s">
        <v>55</v>
      </c>
      <c r="Y30" s="50" t="s">
        <v>56</v>
      </c>
      <c r="Z30" s="1"/>
      <c r="AA30" s="34"/>
    </row>
    <row r="31" spans="1:28" s="2" customFormat="1" ht="12.9" customHeight="1" x14ac:dyDescent="0.25">
      <c r="A31" s="39" t="s">
        <v>21</v>
      </c>
      <c r="B31" s="2" t="s">
        <v>57</v>
      </c>
      <c r="C31" s="2" t="s">
        <v>58</v>
      </c>
      <c r="D31" s="39" t="s">
        <v>59</v>
      </c>
      <c r="E31" s="39" t="s">
        <v>60</v>
      </c>
      <c r="F31" s="39" t="s">
        <v>61</v>
      </c>
      <c r="G31" s="2" t="s">
        <v>62</v>
      </c>
      <c r="H31" s="2" t="s">
        <v>7</v>
      </c>
      <c r="I31" s="1"/>
      <c r="J31" s="39" t="s">
        <v>63</v>
      </c>
      <c r="K31" s="39" t="s">
        <v>64</v>
      </c>
      <c r="L31" s="1"/>
      <c r="M31" s="1"/>
      <c r="N31" s="1"/>
      <c r="O31" s="1"/>
      <c r="P31" s="39" t="s">
        <v>65</v>
      </c>
      <c r="Q31" s="39" t="s">
        <v>66</v>
      </c>
      <c r="R31" s="51" t="s">
        <v>67</v>
      </c>
      <c r="S31" s="39" t="s">
        <v>68</v>
      </c>
      <c r="T31" s="1"/>
      <c r="U31" s="39" t="s">
        <v>69</v>
      </c>
      <c r="V31" s="51" t="s">
        <v>70</v>
      </c>
      <c r="W31" s="39" t="s">
        <v>71</v>
      </c>
      <c r="X31" s="51" t="s">
        <v>72</v>
      </c>
      <c r="Y31" s="39" t="s">
        <v>73</v>
      </c>
      <c r="Z31" s="1"/>
      <c r="AA31" s="34"/>
    </row>
    <row r="32" spans="1:28" s="2" customFormat="1" ht="5.25" customHeight="1" x14ac:dyDescent="0.25">
      <c r="A32" s="8" t="s">
        <v>37</v>
      </c>
      <c r="B32" s="8" t="s">
        <v>37</v>
      </c>
      <c r="C32" s="8" t="s">
        <v>37</v>
      </c>
      <c r="D32" s="8" t="s">
        <v>37</v>
      </c>
      <c r="E32" s="8" t="s">
        <v>37</v>
      </c>
      <c r="F32" s="8" t="s">
        <v>37</v>
      </c>
      <c r="G32" s="8" t="s">
        <v>37</v>
      </c>
      <c r="H32" s="8" t="s">
        <v>37</v>
      </c>
      <c r="I32" s="1"/>
      <c r="J32" s="8" t="s">
        <v>37</v>
      </c>
      <c r="K32" s="8" t="s">
        <v>37</v>
      </c>
      <c r="L32" s="1"/>
      <c r="M32" s="1"/>
      <c r="N32" s="1"/>
      <c r="O32" s="1"/>
      <c r="P32" s="8" t="s">
        <v>37</v>
      </c>
      <c r="Q32" s="8" t="s">
        <v>37</v>
      </c>
      <c r="R32" s="8" t="s">
        <v>37</v>
      </c>
      <c r="S32" s="8" t="s">
        <v>37</v>
      </c>
      <c r="T32" s="1"/>
      <c r="U32" s="8" t="s">
        <v>37</v>
      </c>
      <c r="V32" s="8" t="s">
        <v>37</v>
      </c>
      <c r="W32" s="8" t="s">
        <v>37</v>
      </c>
      <c r="X32" s="8" t="s">
        <v>37</v>
      </c>
      <c r="Y32" s="8" t="s">
        <v>37</v>
      </c>
      <c r="Z32" s="1"/>
      <c r="AA32" s="34"/>
    </row>
    <row r="33" spans="1:27" s="2" customFormat="1" ht="12.9" customHeight="1" x14ac:dyDescent="0.25">
      <c r="A33" s="1" t="s">
        <v>207</v>
      </c>
      <c r="B33" s="1" t="s">
        <v>225</v>
      </c>
      <c r="C33" s="27" t="s">
        <v>226</v>
      </c>
      <c r="D33" s="27" t="s">
        <v>97</v>
      </c>
      <c r="E33" s="27" t="s">
        <v>148</v>
      </c>
      <c r="F33" s="10">
        <v>37096</v>
      </c>
      <c r="G33" s="2" t="s">
        <v>151</v>
      </c>
      <c r="H33" s="10">
        <v>37042</v>
      </c>
      <c r="J33" s="14">
        <v>0.25202331390507915</v>
      </c>
      <c r="K33" s="14">
        <v>-0.16182831661092528</v>
      </c>
      <c r="P33" s="14" t="s">
        <v>156</v>
      </c>
      <c r="Q33" s="13" t="s">
        <v>156</v>
      </c>
      <c r="R33" s="19" t="s">
        <v>156</v>
      </c>
      <c r="S33" s="19" t="s">
        <v>156</v>
      </c>
      <c r="U33" s="22">
        <v>0</v>
      </c>
      <c r="V33" s="22">
        <v>0</v>
      </c>
      <c r="W33" s="23">
        <v>0</v>
      </c>
      <c r="X33" s="22">
        <v>0</v>
      </c>
      <c r="Y33" s="22">
        <v>0</v>
      </c>
      <c r="AA33" s="34"/>
    </row>
    <row r="34" spans="1:27" s="2" customFormat="1" ht="12.9" customHeight="1" x14ac:dyDescent="0.25">
      <c r="A34" s="1" t="s">
        <v>209</v>
      </c>
      <c r="B34" s="1" t="s">
        <v>227</v>
      </c>
      <c r="C34" s="27" t="s">
        <v>228</v>
      </c>
      <c r="D34" s="27" t="s">
        <v>229</v>
      </c>
      <c r="E34" s="27" t="s">
        <v>230</v>
      </c>
      <c r="F34" s="10" t="s">
        <v>156</v>
      </c>
      <c r="G34" s="2" t="s">
        <v>231</v>
      </c>
      <c r="H34" s="10">
        <v>37039</v>
      </c>
      <c r="J34" s="14">
        <v>0.21144536439220987</v>
      </c>
      <c r="K34" s="14">
        <v>-9.0087501434984937E-2</v>
      </c>
      <c r="P34" s="14" t="s">
        <v>156</v>
      </c>
      <c r="Q34" s="13" t="s">
        <v>156</v>
      </c>
      <c r="R34" s="19" t="s">
        <v>156</v>
      </c>
      <c r="S34" s="19" t="s">
        <v>156</v>
      </c>
      <c r="U34" s="15">
        <v>0</v>
      </c>
      <c r="V34" s="15">
        <v>0</v>
      </c>
      <c r="W34" s="17">
        <v>0</v>
      </c>
      <c r="X34" s="15">
        <v>0</v>
      </c>
      <c r="Y34" s="15">
        <v>0</v>
      </c>
      <c r="Z34" s="60"/>
      <c r="AA34" s="34"/>
    </row>
    <row r="35" spans="1:27" s="2" customFormat="1" ht="12.9" customHeight="1" x14ac:dyDescent="0.25">
      <c r="A35" s="1" t="s">
        <v>211</v>
      </c>
      <c r="B35" s="1" t="s">
        <v>225</v>
      </c>
      <c r="C35" s="27" t="s">
        <v>226</v>
      </c>
      <c r="D35" s="27" t="s">
        <v>97</v>
      </c>
      <c r="E35" s="27" t="s">
        <v>144</v>
      </c>
      <c r="F35" s="10">
        <v>37084</v>
      </c>
      <c r="G35" s="2" t="s">
        <v>232</v>
      </c>
      <c r="H35" s="10">
        <v>37042</v>
      </c>
      <c r="J35" s="14">
        <v>-0.4184615384615385</v>
      </c>
      <c r="K35" s="14">
        <v>-0.45431578947368423</v>
      </c>
      <c r="N35" s="32"/>
      <c r="P35" s="14" t="s">
        <v>156</v>
      </c>
      <c r="Q35" s="13" t="s">
        <v>156</v>
      </c>
      <c r="R35" s="19" t="s">
        <v>156</v>
      </c>
      <c r="S35" s="19" t="s">
        <v>156</v>
      </c>
      <c r="T35" s="33"/>
      <c r="U35" s="22">
        <v>0</v>
      </c>
      <c r="V35" s="22">
        <v>0</v>
      </c>
      <c r="W35" s="23">
        <v>0</v>
      </c>
      <c r="X35" s="22">
        <v>0</v>
      </c>
      <c r="Y35" s="22">
        <v>0</v>
      </c>
      <c r="Z35" s="60"/>
      <c r="AA35" s="34"/>
    </row>
    <row r="36" spans="1:27" s="2" customFormat="1" ht="12.9" customHeight="1" x14ac:dyDescent="0.25">
      <c r="A36" s="1" t="s">
        <v>213</v>
      </c>
      <c r="B36" s="1" t="s">
        <v>225</v>
      </c>
      <c r="C36" s="27" t="s">
        <v>226</v>
      </c>
      <c r="D36" s="27" t="s">
        <v>97</v>
      </c>
      <c r="E36" s="27" t="s">
        <v>144</v>
      </c>
      <c r="F36" s="10">
        <v>37097</v>
      </c>
      <c r="G36" s="2" t="s">
        <v>155</v>
      </c>
      <c r="H36" s="10">
        <v>37042</v>
      </c>
      <c r="J36" s="14">
        <v>1.9900497512437811E-2</v>
      </c>
      <c r="K36" s="14">
        <v>-0.28446771378708552</v>
      </c>
      <c r="N36" s="32"/>
      <c r="P36" s="14">
        <v>0.18021964408302529</v>
      </c>
      <c r="Q36" s="13">
        <v>10.196597798765476</v>
      </c>
      <c r="R36" s="19" t="s">
        <v>156</v>
      </c>
      <c r="S36" s="19" t="s">
        <v>156</v>
      </c>
      <c r="T36" s="33"/>
      <c r="U36" s="22">
        <v>0</v>
      </c>
      <c r="V36" s="22">
        <v>0</v>
      </c>
      <c r="W36" s="23">
        <v>0</v>
      </c>
      <c r="X36" s="22">
        <v>0</v>
      </c>
      <c r="Y36" s="22">
        <v>0</v>
      </c>
      <c r="Z36" s="60"/>
    </row>
    <row r="37" spans="1:27" s="2" customFormat="1" ht="12.9" customHeight="1" x14ac:dyDescent="0.25">
      <c r="A37" s="1" t="s">
        <v>215</v>
      </c>
      <c r="B37" s="1" t="s">
        <v>225</v>
      </c>
      <c r="C37" s="27" t="s">
        <v>226</v>
      </c>
      <c r="D37" s="27" t="s">
        <v>97</v>
      </c>
      <c r="E37" s="27" t="s">
        <v>144</v>
      </c>
      <c r="F37" s="10">
        <v>37090</v>
      </c>
      <c r="G37" s="2" t="s">
        <v>155</v>
      </c>
      <c r="H37" s="10">
        <v>37042</v>
      </c>
      <c r="J37" s="14">
        <v>0.58844444444444444</v>
      </c>
      <c r="K37" s="14">
        <v>2.7257485029940107E-2</v>
      </c>
      <c r="N37" s="32"/>
      <c r="P37" s="14" t="s">
        <v>156</v>
      </c>
      <c r="Q37" s="13" t="s">
        <v>156</v>
      </c>
      <c r="R37" s="19" t="s">
        <v>156</v>
      </c>
      <c r="S37" s="19" t="s">
        <v>156</v>
      </c>
      <c r="T37" s="33"/>
      <c r="U37" s="22">
        <v>0</v>
      </c>
      <c r="V37" s="22">
        <v>0</v>
      </c>
      <c r="W37" s="23">
        <v>0</v>
      </c>
      <c r="X37" s="22">
        <v>0</v>
      </c>
      <c r="Y37" s="22">
        <v>0</v>
      </c>
      <c r="Z37" s="60"/>
    </row>
    <row r="38" spans="1:27" s="2" customFormat="1" ht="12.9" customHeight="1" x14ac:dyDescent="0.25">
      <c r="A38" s="1" t="s">
        <v>217</v>
      </c>
      <c r="B38" s="1" t="s">
        <v>225</v>
      </c>
      <c r="C38" s="27" t="s">
        <v>226</v>
      </c>
      <c r="D38" s="27" t="s">
        <v>233</v>
      </c>
      <c r="E38" s="27" t="s">
        <v>148</v>
      </c>
      <c r="F38" s="10">
        <v>37081</v>
      </c>
      <c r="G38" s="2" t="s">
        <v>234</v>
      </c>
      <c r="H38" s="10">
        <v>37042</v>
      </c>
      <c r="J38" s="14">
        <v>0.49229773462783172</v>
      </c>
      <c r="K38" s="14">
        <v>-0.14448979591836733</v>
      </c>
      <c r="N38" s="32"/>
      <c r="P38" s="14">
        <v>5.4022902241583068</v>
      </c>
      <c r="Q38" s="13">
        <v>14.585731010749639</v>
      </c>
      <c r="R38" s="19" t="s">
        <v>156</v>
      </c>
      <c r="S38" s="19" t="s">
        <v>156</v>
      </c>
      <c r="T38" s="33"/>
      <c r="U38" s="22">
        <v>0</v>
      </c>
      <c r="V38" s="22">
        <v>0</v>
      </c>
      <c r="W38" s="23">
        <v>0</v>
      </c>
      <c r="X38" s="22">
        <v>0</v>
      </c>
      <c r="Y38" s="22">
        <v>0</v>
      </c>
      <c r="Z38" s="60"/>
    </row>
    <row r="39" spans="1:27" s="2" customFormat="1" ht="12.9" customHeight="1" x14ac:dyDescent="0.25">
      <c r="A39" s="1" t="s">
        <v>219</v>
      </c>
      <c r="B39" s="1" t="s">
        <v>225</v>
      </c>
      <c r="C39" s="27" t="s">
        <v>226</v>
      </c>
      <c r="D39" s="27" t="s">
        <v>97</v>
      </c>
      <c r="E39" s="27" t="s">
        <v>148</v>
      </c>
      <c r="F39" s="10">
        <v>37102</v>
      </c>
      <c r="G39" s="2" t="s">
        <v>235</v>
      </c>
      <c r="H39" s="10">
        <v>37042</v>
      </c>
      <c r="J39" s="14">
        <v>-0.16885449000876787</v>
      </c>
      <c r="K39" s="14">
        <v>-8.8211149727374955E-2</v>
      </c>
      <c r="N39" s="32"/>
      <c r="P39" s="14" t="s">
        <v>156</v>
      </c>
      <c r="Q39" s="13" t="s">
        <v>156</v>
      </c>
      <c r="R39" s="19" t="s">
        <v>156</v>
      </c>
      <c r="S39" s="19" t="s">
        <v>156</v>
      </c>
      <c r="T39" s="33"/>
      <c r="U39" s="22">
        <v>0</v>
      </c>
      <c r="V39" s="22">
        <v>0</v>
      </c>
      <c r="W39" s="23">
        <v>0</v>
      </c>
      <c r="X39" s="22">
        <v>0</v>
      </c>
      <c r="Y39" s="22">
        <v>0</v>
      </c>
    </row>
    <row r="40" spans="1:27" s="2" customFormat="1" ht="12.9" customHeight="1" x14ac:dyDescent="0.25">
      <c r="A40" s="1" t="s">
        <v>221</v>
      </c>
      <c r="B40" s="1" t="s">
        <v>227</v>
      </c>
      <c r="C40" s="27" t="s">
        <v>228</v>
      </c>
      <c r="D40" s="27" t="s">
        <v>229</v>
      </c>
      <c r="E40" s="27" t="s">
        <v>230</v>
      </c>
      <c r="F40" s="10" t="s">
        <v>156</v>
      </c>
      <c r="G40" s="2" t="s">
        <v>236</v>
      </c>
      <c r="H40" s="10">
        <v>37039</v>
      </c>
      <c r="J40" s="14">
        <v>0.53618636008697751</v>
      </c>
      <c r="K40" s="14">
        <v>9.9319598981254018E-2</v>
      </c>
      <c r="N40" s="32"/>
      <c r="P40" s="14" t="s">
        <v>156</v>
      </c>
      <c r="Q40" s="13" t="s">
        <v>156</v>
      </c>
      <c r="R40" s="19" t="s">
        <v>156</v>
      </c>
      <c r="S40" s="19" t="s">
        <v>156</v>
      </c>
      <c r="T40" s="33"/>
      <c r="U40" s="15">
        <v>0</v>
      </c>
      <c r="V40" s="15">
        <v>0</v>
      </c>
      <c r="W40" s="17">
        <v>0</v>
      </c>
      <c r="X40" s="15">
        <v>0</v>
      </c>
      <c r="Y40" s="15">
        <v>0</v>
      </c>
    </row>
    <row r="41" spans="1:27" s="2" customFormat="1" ht="12.9" customHeight="1" x14ac:dyDescent="0.25">
      <c r="A41" s="1" t="s">
        <v>223</v>
      </c>
      <c r="B41" s="1" t="s">
        <v>227</v>
      </c>
      <c r="C41" s="27" t="s">
        <v>228</v>
      </c>
      <c r="D41" s="27" t="s">
        <v>229</v>
      </c>
      <c r="E41" s="27" t="s">
        <v>230</v>
      </c>
      <c r="F41" s="10" t="s">
        <v>156</v>
      </c>
      <c r="G41" s="2" t="s">
        <v>237</v>
      </c>
      <c r="H41" s="10">
        <v>37039</v>
      </c>
      <c r="J41" s="14">
        <v>0.36168741821531075</v>
      </c>
      <c r="K41" s="14">
        <v>6.0167478110922405E-3</v>
      </c>
      <c r="N41" s="32"/>
      <c r="P41" s="14" t="s">
        <v>156</v>
      </c>
      <c r="Q41" s="13" t="s">
        <v>156</v>
      </c>
      <c r="R41" s="19" t="s">
        <v>156</v>
      </c>
      <c r="S41" s="19" t="s">
        <v>156</v>
      </c>
      <c r="T41" s="33"/>
      <c r="U41" s="15">
        <v>0</v>
      </c>
      <c r="V41" s="15">
        <v>0</v>
      </c>
      <c r="W41" s="17">
        <v>0</v>
      </c>
      <c r="X41" s="15">
        <v>0</v>
      </c>
      <c r="Y41" s="15">
        <v>0</v>
      </c>
    </row>
    <row r="42" spans="1:27" s="2" customFormat="1" ht="12.9" customHeight="1" x14ac:dyDescent="0.25">
      <c r="A42" s="1"/>
      <c r="B42" s="1"/>
      <c r="C42" s="27"/>
      <c r="D42" s="27"/>
      <c r="E42" s="27"/>
      <c r="F42" s="10"/>
      <c r="H42" s="10"/>
      <c r="J42" s="14"/>
      <c r="K42" s="14"/>
      <c r="T42" s="33"/>
    </row>
    <row r="43" spans="1:27" s="2" customFormat="1" ht="12.9" customHeight="1" x14ac:dyDescent="0.25">
      <c r="A43" s="1"/>
      <c r="B43" s="1"/>
      <c r="C43" s="27"/>
      <c r="D43" s="27"/>
      <c r="E43" s="27"/>
      <c r="F43" s="10"/>
      <c r="H43" s="10"/>
      <c r="J43" s="14"/>
      <c r="K43" s="14"/>
      <c r="T43" s="33"/>
      <c r="Z43" s="60"/>
    </row>
    <row r="44" spans="1:27" s="2" customFormat="1" ht="12.9" customHeight="1" x14ac:dyDescent="0.25">
      <c r="B44" s="35"/>
      <c r="C44" s="35"/>
      <c r="E44" s="35"/>
      <c r="N44" s="53" t="s">
        <v>38</v>
      </c>
      <c r="P44" s="14">
        <v>2.7912549341206661</v>
      </c>
      <c r="Q44" s="13">
        <v>12.391164404757557</v>
      </c>
      <c r="R44" s="19" t="s">
        <v>156</v>
      </c>
      <c r="S44" s="27"/>
      <c r="T44" s="33"/>
      <c r="U44" s="15"/>
      <c r="V44" s="15"/>
      <c r="W44" s="17"/>
      <c r="X44" s="15"/>
      <c r="Y44" s="15"/>
      <c r="Z44" s="60"/>
    </row>
    <row r="45" spans="1:27" s="2" customFormat="1" ht="12.9" customHeight="1" x14ac:dyDescent="0.25">
      <c r="B45" s="35"/>
      <c r="C45" s="35"/>
      <c r="D45" s="35"/>
      <c r="N45" s="53" t="s">
        <v>39</v>
      </c>
      <c r="P45" s="14">
        <v>2.7912549341206661</v>
      </c>
      <c r="Q45" s="13">
        <v>12.391164404757557</v>
      </c>
      <c r="R45" s="19" t="s">
        <v>156</v>
      </c>
      <c r="S45" s="27"/>
      <c r="T45" s="33"/>
      <c r="U45" s="15"/>
      <c r="V45" s="15"/>
      <c r="W45" s="17"/>
      <c r="X45" s="15"/>
      <c r="Y45" s="15"/>
      <c r="Z45" s="60"/>
    </row>
    <row r="46" spans="1:27" s="2" customFormat="1" ht="12.9" customHeight="1" x14ac:dyDescent="0.25">
      <c r="B46" s="35"/>
      <c r="C46" s="35"/>
      <c r="D46" s="35"/>
      <c r="N46" s="55" t="s">
        <v>25</v>
      </c>
      <c r="P46" s="14">
        <v>5.4022902241583068</v>
      </c>
      <c r="Q46" s="13">
        <v>14.585731010749639</v>
      </c>
      <c r="R46" s="19" t="s">
        <v>156</v>
      </c>
      <c r="S46" s="27"/>
      <c r="T46" s="33"/>
      <c r="U46" s="15"/>
      <c r="V46" s="15"/>
      <c r="W46" s="17"/>
      <c r="X46" s="15"/>
      <c r="Y46" s="15"/>
      <c r="Z46" s="60"/>
    </row>
    <row r="47" spans="1:27" s="2" customFormat="1" ht="12.9" customHeight="1" x14ac:dyDescent="0.25">
      <c r="B47" s="35"/>
      <c r="C47" s="35"/>
      <c r="D47" s="35"/>
      <c r="N47" s="53" t="s">
        <v>26</v>
      </c>
      <c r="P47" s="14">
        <v>0.18021964408302529</v>
      </c>
      <c r="Q47" s="13">
        <v>10.196597798765476</v>
      </c>
      <c r="R47" s="19" t="s">
        <v>156</v>
      </c>
      <c r="S47" s="27"/>
      <c r="T47" s="33"/>
      <c r="U47" s="15"/>
      <c r="V47" s="15"/>
      <c r="W47" s="17"/>
      <c r="X47" s="15"/>
      <c r="Y47" s="15"/>
    </row>
    <row r="48" spans="1:27" s="2" customFormat="1" ht="12.9" customHeight="1" x14ac:dyDescent="0.25">
      <c r="A48" s="36" t="s">
        <v>74</v>
      </c>
    </row>
    <row r="49" spans="1:18" s="2" customFormat="1" ht="12.9" customHeight="1" x14ac:dyDescent="0.25">
      <c r="A49" s="9" t="s">
        <v>75</v>
      </c>
    </row>
    <row r="50" spans="1:18" s="2" customFormat="1" ht="12.9" customHeight="1" x14ac:dyDescent="0.25">
      <c r="A50" s="9" t="s">
        <v>76</v>
      </c>
    </row>
    <row r="51" spans="1:18" s="2" customFormat="1" ht="12.9" customHeight="1" x14ac:dyDescent="0.25">
      <c r="A51" s="9" t="s">
        <v>77</v>
      </c>
    </row>
    <row r="52" spans="1:18" s="2" customFormat="1" ht="12.9" customHeight="1" x14ac:dyDescent="0.25">
      <c r="A52" s="9" t="s">
        <v>78</v>
      </c>
    </row>
    <row r="53" spans="1:18" s="2" customFormat="1" ht="12.9" customHeight="1" x14ac:dyDescent="0.25">
      <c r="A53" s="9" t="s">
        <v>108</v>
      </c>
    </row>
    <row r="54" spans="1:18" s="2" customFormat="1" ht="12.9" customHeight="1" x14ac:dyDescent="0.25">
      <c r="A54" s="9" t="s">
        <v>79</v>
      </c>
    </row>
    <row r="55" spans="1:18" s="2" customFormat="1" ht="12.9" customHeight="1" x14ac:dyDescent="0.25"/>
    <row r="56" spans="1:18" s="2" customFormat="1" ht="12.9" customHeight="1" x14ac:dyDescent="0.25"/>
    <row r="57" spans="1:18" s="2" customFormat="1" ht="12.9" customHeight="1" x14ac:dyDescent="0.25"/>
    <row r="58" spans="1:18" s="2" customFormat="1" ht="12.9" customHeight="1" x14ac:dyDescent="0.25"/>
    <row r="59" spans="1:18" s="2" customFormat="1" ht="12.9" customHeight="1" x14ac:dyDescent="0.25"/>
    <row r="60" spans="1:18" s="2" customFormat="1" ht="12.9" customHeight="1" x14ac:dyDescent="0.25"/>
    <row r="61" spans="1:18" s="2" customFormat="1" ht="12.9" customHeight="1" x14ac:dyDescent="0.25"/>
    <row r="62" spans="1:18" s="2" customFormat="1" ht="12.9" customHeight="1" x14ac:dyDescent="0.25"/>
    <row r="63" spans="1:18" s="2" customFormat="1" ht="12.9" customHeight="1" x14ac:dyDescent="0.25"/>
    <row r="64" spans="1:18" s="2" customFormat="1" ht="12.9" customHeight="1" x14ac:dyDescent="0.25">
      <c r="F64" s="18">
        <v>37106</v>
      </c>
      <c r="G64" s="18">
        <v>36741</v>
      </c>
      <c r="Q64" s="18">
        <v>36892</v>
      </c>
      <c r="R64" s="18">
        <v>37106</v>
      </c>
    </row>
    <row r="65" spans="1:26" s="2" customFormat="1" ht="12.9" customHeight="1" x14ac:dyDescent="0.25">
      <c r="H65" s="2" t="s">
        <v>63</v>
      </c>
      <c r="S65" s="2" t="s">
        <v>64</v>
      </c>
    </row>
    <row r="66" spans="1:26" s="2" customFormat="1" ht="12.9" customHeight="1" x14ac:dyDescent="0.25">
      <c r="E66" s="2" t="s">
        <v>208</v>
      </c>
      <c r="F66" s="11">
        <v>46.99</v>
      </c>
      <c r="G66" s="11">
        <v>37.53125</v>
      </c>
      <c r="H66" s="106">
        <v>0.25202331390507915</v>
      </c>
      <c r="P66" s="2" t="s">
        <v>208</v>
      </c>
      <c r="Q66" s="11">
        <v>56.0625</v>
      </c>
      <c r="R66" s="11">
        <v>46.99</v>
      </c>
      <c r="S66" s="106">
        <v>-0.16182831661092528</v>
      </c>
    </row>
    <row r="67" spans="1:26" s="2" customFormat="1" ht="12.9" customHeight="1" x14ac:dyDescent="0.25">
      <c r="E67" s="2" t="s">
        <v>210</v>
      </c>
      <c r="F67" s="11">
        <v>26.473340000000004</v>
      </c>
      <c r="G67" s="11">
        <v>21.852690000000003</v>
      </c>
      <c r="H67" s="106">
        <v>0.21144536439220987</v>
      </c>
      <c r="P67" s="2" t="s">
        <v>210</v>
      </c>
      <c r="Q67" s="11">
        <v>29.094380000000001</v>
      </c>
      <c r="R67" s="11">
        <v>26.473340000000004</v>
      </c>
      <c r="S67" s="106">
        <v>-9.0087501434984937E-2</v>
      </c>
    </row>
    <row r="68" spans="1:26" ht="12.9" customHeight="1" x14ac:dyDescent="0.25">
      <c r="A68" s="2"/>
      <c r="B68" s="2"/>
      <c r="C68" s="2"/>
      <c r="D68" s="2"/>
      <c r="E68" s="2" t="s">
        <v>212</v>
      </c>
      <c r="F68" s="11">
        <v>45.36</v>
      </c>
      <c r="G68" s="11">
        <v>78</v>
      </c>
      <c r="H68" s="106">
        <v>-0.4184615384615385</v>
      </c>
      <c r="I68" s="2"/>
      <c r="J68" s="2"/>
      <c r="K68" s="2"/>
      <c r="L68" s="2"/>
      <c r="M68" s="2"/>
      <c r="N68" s="2"/>
      <c r="O68" s="2"/>
      <c r="P68" s="2" t="s">
        <v>212</v>
      </c>
      <c r="Q68" s="11">
        <v>83.125</v>
      </c>
      <c r="R68" s="11">
        <v>45.36</v>
      </c>
      <c r="S68" s="106">
        <v>-0.45431578947368423</v>
      </c>
      <c r="T68" s="2"/>
      <c r="U68" s="2"/>
      <c r="V68" s="2"/>
      <c r="W68" s="2"/>
      <c r="X68" s="2"/>
      <c r="Y68" s="2"/>
      <c r="Z68" s="2"/>
    </row>
    <row r="69" spans="1:26" ht="12.9" customHeight="1" x14ac:dyDescent="0.25">
      <c r="A69" s="2"/>
      <c r="B69" s="2"/>
      <c r="C69" s="2"/>
      <c r="D69" s="2"/>
      <c r="E69" s="2" t="s">
        <v>214</v>
      </c>
      <c r="F69" s="11">
        <v>51.25</v>
      </c>
      <c r="G69" s="11">
        <v>50.25</v>
      </c>
      <c r="H69" s="106">
        <v>1.9900497512437811E-2</v>
      </c>
      <c r="I69" s="2"/>
      <c r="J69" s="2"/>
      <c r="K69" s="2"/>
      <c r="L69" s="2"/>
      <c r="M69" s="2"/>
      <c r="N69" s="2"/>
      <c r="O69" s="2"/>
      <c r="P69" s="2" t="s">
        <v>214</v>
      </c>
      <c r="Q69" s="11">
        <v>71.625</v>
      </c>
      <c r="R69" s="11">
        <v>51.25</v>
      </c>
      <c r="S69" s="106">
        <v>-0.28446771378708552</v>
      </c>
      <c r="T69" s="2"/>
      <c r="U69" s="2"/>
      <c r="V69" s="2"/>
      <c r="W69" s="2"/>
      <c r="X69" s="2"/>
      <c r="Y69" s="2"/>
      <c r="Z69" s="2"/>
    </row>
    <row r="70" spans="1:26" ht="12.9" customHeight="1" x14ac:dyDescent="0.25">
      <c r="A70" s="2"/>
      <c r="B70" s="2"/>
      <c r="C70" s="2"/>
      <c r="D70" s="2"/>
      <c r="E70" s="2" t="s">
        <v>216</v>
      </c>
      <c r="F70" s="11">
        <v>53.61</v>
      </c>
      <c r="G70" s="11">
        <v>33.75</v>
      </c>
      <c r="H70" s="106">
        <v>0.58844444444444444</v>
      </c>
      <c r="I70" s="2"/>
      <c r="J70" s="2"/>
      <c r="K70" s="2"/>
      <c r="L70" s="2"/>
      <c r="M70" s="2"/>
      <c r="N70" s="2"/>
      <c r="O70" s="2"/>
      <c r="P70" s="2" t="s">
        <v>216</v>
      </c>
      <c r="Q70" s="11">
        <v>52.1875</v>
      </c>
      <c r="R70" s="11">
        <v>53.61</v>
      </c>
      <c r="S70" s="106">
        <v>2.7257485029940107E-2</v>
      </c>
      <c r="T70" s="2"/>
      <c r="U70" s="2"/>
      <c r="V70" s="2"/>
      <c r="W70" s="2"/>
      <c r="X70" s="2"/>
      <c r="Y70" s="2"/>
      <c r="Z70" s="2"/>
    </row>
    <row r="71" spans="1:26" ht="12.9" customHeight="1" x14ac:dyDescent="0.25">
      <c r="A71" s="2"/>
      <c r="B71" s="2"/>
      <c r="C71" s="2"/>
      <c r="D71" s="2"/>
      <c r="E71" s="2" t="s">
        <v>218</v>
      </c>
      <c r="F71" s="11">
        <v>28.82</v>
      </c>
      <c r="G71" s="11">
        <v>19.3125</v>
      </c>
      <c r="H71" s="106">
        <v>0.49229773462783172</v>
      </c>
      <c r="I71" s="2"/>
      <c r="J71" s="2"/>
      <c r="K71" s="2"/>
      <c r="L71" s="2"/>
      <c r="M71" s="2"/>
      <c r="N71" s="2"/>
      <c r="O71" s="2"/>
      <c r="P71" s="2" t="s">
        <v>218</v>
      </c>
      <c r="Q71" s="11">
        <v>33.6875</v>
      </c>
      <c r="R71" s="11">
        <v>28.82</v>
      </c>
      <c r="S71" s="106">
        <v>-0.14448979591836733</v>
      </c>
      <c r="T71" s="2"/>
      <c r="U71" s="2"/>
      <c r="V71" s="2"/>
      <c r="W71" s="2"/>
      <c r="X71" s="2"/>
      <c r="Y71" s="2"/>
      <c r="Z71" s="2"/>
    </row>
    <row r="72" spans="1:26" ht="12.9" customHeight="1" x14ac:dyDescent="0.25">
      <c r="A72" s="2"/>
      <c r="B72" s="2"/>
      <c r="C72" s="2"/>
      <c r="D72" s="2"/>
      <c r="E72" s="2" t="s">
        <v>220</v>
      </c>
      <c r="F72" s="11">
        <v>33.51</v>
      </c>
      <c r="G72" s="11">
        <v>40.31785</v>
      </c>
      <c r="H72" s="106">
        <v>-0.16885449000876787</v>
      </c>
      <c r="I72" s="2"/>
      <c r="J72" s="2"/>
      <c r="K72" s="2"/>
      <c r="L72" s="2"/>
      <c r="M72" s="2"/>
      <c r="N72" s="2"/>
      <c r="O72" s="2"/>
      <c r="P72" s="2" t="s">
        <v>220</v>
      </c>
      <c r="Q72" s="11">
        <v>36.751930000000002</v>
      </c>
      <c r="R72" s="11">
        <v>33.51</v>
      </c>
      <c r="S72" s="106">
        <v>-8.8211149727374955E-2</v>
      </c>
      <c r="T72" s="2"/>
      <c r="U72" s="2"/>
      <c r="V72" s="2"/>
      <c r="W72" s="2"/>
      <c r="X72" s="2"/>
      <c r="Y72" s="2"/>
    </row>
    <row r="73" spans="1:26" ht="12.9" customHeight="1" x14ac:dyDescent="0.25">
      <c r="E73" s="2" t="s">
        <v>222</v>
      </c>
      <c r="F73" s="11">
        <v>12.588676999999999</v>
      </c>
      <c r="G73" s="11">
        <v>8.1947589999999995</v>
      </c>
      <c r="H73" s="106">
        <v>0.53618636008697751</v>
      </c>
      <c r="P73" s="2" t="s">
        <v>222</v>
      </c>
      <c r="Q73" s="11">
        <v>11.451335</v>
      </c>
      <c r="R73" s="11">
        <v>12.588676999999999</v>
      </c>
      <c r="S73" s="106">
        <v>9.9319598981254018E-2</v>
      </c>
    </row>
    <row r="74" spans="1:26" ht="12.9" customHeight="1" x14ac:dyDescent="0.25">
      <c r="E74" s="2" t="s">
        <v>224</v>
      </c>
      <c r="F74" s="11">
        <v>24.246070000000003</v>
      </c>
      <c r="G74" s="11">
        <v>17.805900000000001</v>
      </c>
      <c r="H74" s="106">
        <v>0.36168741821531075</v>
      </c>
      <c r="P74" s="2" t="s">
        <v>224</v>
      </c>
      <c r="Q74" s="11">
        <v>24.10106</v>
      </c>
      <c r="R74" s="11">
        <v>24.246070000000003</v>
      </c>
      <c r="S74" s="106">
        <v>6.0167478110922405E-3</v>
      </c>
    </row>
    <row r="75" spans="1:26" ht="12.9" customHeight="1" x14ac:dyDescent="0.25">
      <c r="E75" s="2">
        <v>0</v>
      </c>
      <c r="F75" s="11" t="e">
        <v>#N/A</v>
      </c>
      <c r="G75" s="11" t="e">
        <v>#N/A</v>
      </c>
      <c r="H75" s="106" t="e">
        <v>#N/A</v>
      </c>
    </row>
    <row r="76" spans="1:26" ht="12.9" customHeight="1" x14ac:dyDescent="0.25"/>
    <row r="77" spans="1:26" ht="12.9" customHeight="1" x14ac:dyDescent="0.25"/>
    <row r="78" spans="1:26" ht="12.9" customHeight="1" x14ac:dyDescent="0.25"/>
    <row r="79" spans="1:26" ht="12.9" customHeight="1" x14ac:dyDescent="0.25"/>
    <row r="80" spans="1:26" ht="12.9" customHeight="1" x14ac:dyDescent="0.25"/>
    <row r="81" ht="12.9" customHeight="1" x14ac:dyDescent="0.25"/>
    <row r="82" ht="12.9" customHeight="1" x14ac:dyDescent="0.25"/>
    <row r="83" ht="12.9" customHeight="1" x14ac:dyDescent="0.25"/>
    <row r="84" ht="12.9" customHeight="1" x14ac:dyDescent="0.25"/>
    <row r="85" ht="12.9" customHeight="1" x14ac:dyDescent="0.25"/>
    <row r="86" ht="12.9" customHeight="1" x14ac:dyDescent="0.25"/>
    <row r="87" ht="12.9" customHeight="1" x14ac:dyDescent="0.25"/>
    <row r="88" ht="12.9" customHeight="1" x14ac:dyDescent="0.25"/>
    <row r="89" ht="12.9" customHeight="1" x14ac:dyDescent="0.25"/>
    <row r="90" ht="12.9" customHeight="1" x14ac:dyDescent="0.25"/>
    <row r="91" ht="12.9" customHeight="1" x14ac:dyDescent="0.25"/>
    <row r="92" ht="12.9" customHeight="1" x14ac:dyDescent="0.25"/>
    <row r="93" ht="12.9" customHeight="1" x14ac:dyDescent="0.25"/>
    <row r="94" ht="12.9" customHeight="1" x14ac:dyDescent="0.25"/>
    <row r="95" ht="12.9" customHeight="1" x14ac:dyDescent="0.25"/>
    <row r="96" ht="12.9" customHeight="1" x14ac:dyDescent="0.25"/>
    <row r="97" ht="12.9" customHeight="1" x14ac:dyDescent="0.25"/>
    <row r="98" ht="12.9" customHeight="1" x14ac:dyDescent="0.25"/>
    <row r="99" ht="12.9" customHeight="1" x14ac:dyDescent="0.25"/>
    <row r="100" ht="12.9" customHeight="1" x14ac:dyDescent="0.25"/>
    <row r="101" ht="12.9" customHeight="1" x14ac:dyDescent="0.25"/>
    <row r="102" ht="12.9" customHeight="1" x14ac:dyDescent="0.25"/>
    <row r="103" ht="12.9" customHeight="1" x14ac:dyDescent="0.25"/>
    <row r="104" ht="12.9" customHeight="1" x14ac:dyDescent="0.25"/>
    <row r="105" ht="12.9" customHeight="1" x14ac:dyDescent="0.25"/>
    <row r="106" ht="12.9" customHeight="1" x14ac:dyDescent="0.25"/>
    <row r="107" ht="12.9" customHeight="1" x14ac:dyDescent="0.25"/>
    <row r="108" ht="12.9" customHeight="1" x14ac:dyDescent="0.25"/>
  </sheetData>
  <mergeCells count="4">
    <mergeCell ref="I8:K8"/>
    <mergeCell ref="L8:N8"/>
    <mergeCell ref="O8:Q8"/>
    <mergeCell ref="U28:Y28"/>
  </mergeCells>
  <phoneticPr fontId="0" type="noConversion"/>
  <pageMargins left="0" right="0" top="0" bottom="0" header="0.5" footer="0.5"/>
  <pageSetup scale="53" orientation="landscape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11"/>
  <sheetViews>
    <sheetView zoomScale="50" workbookViewId="0"/>
  </sheetViews>
  <sheetFormatPr defaultColWidth="9.109375" defaultRowHeight="13.2" outlineLevelCol="1" x14ac:dyDescent="0.25"/>
  <cols>
    <col min="1" max="1" width="29.6640625" style="38" customWidth="1"/>
    <col min="2" max="2" width="14.88671875" style="38" customWidth="1"/>
    <col min="3" max="3" width="12.6640625" style="38" customWidth="1"/>
    <col min="4" max="4" width="10.6640625" style="38" customWidth="1"/>
    <col min="5" max="5" width="11.6640625" style="38" customWidth="1"/>
    <col min="6" max="6" width="10.6640625" style="38" customWidth="1"/>
    <col min="7" max="7" width="11.6640625" style="38" customWidth="1"/>
    <col min="8" max="8" width="10.6640625" style="38" customWidth="1"/>
    <col min="9" max="9" width="8.6640625" style="38" hidden="1" customWidth="1" outlineLevel="1"/>
    <col min="10" max="10" width="8.6640625" style="38" customWidth="1" collapsed="1"/>
    <col min="11" max="11" width="8.6640625" style="38" customWidth="1"/>
    <col min="12" max="12" width="8.6640625" style="38" hidden="1" customWidth="1" outlineLevel="1"/>
    <col min="13" max="13" width="8.6640625" style="38" customWidth="1" collapsed="1"/>
    <col min="14" max="14" width="8.6640625" style="38" customWidth="1"/>
    <col min="15" max="15" width="8.6640625" style="38" hidden="1" customWidth="1" outlineLevel="1"/>
    <col min="16" max="16" width="8.6640625" style="38" customWidth="1" collapsed="1"/>
    <col min="17" max="17" width="8.6640625" style="38" customWidth="1"/>
    <col min="18" max="25" width="9.6640625" style="38" customWidth="1"/>
    <col min="26" max="26" width="10.6640625" style="38" customWidth="1"/>
    <col min="27" max="27" width="9.109375" style="38"/>
    <col min="28" max="30" width="10.6640625" style="38" customWidth="1"/>
    <col min="31" max="31" width="15.6640625" style="38" customWidth="1"/>
    <col min="32" max="16384" width="9.109375" style="38"/>
  </cols>
  <sheetData>
    <row r="1" spans="1:33" ht="17.399999999999999" x14ac:dyDescent="0.3">
      <c r="A1" s="145" t="s">
        <v>598</v>
      </c>
      <c r="B1" s="145"/>
      <c r="C1" s="145"/>
    </row>
    <row r="2" spans="1:33" ht="15" customHeight="1" x14ac:dyDescent="0.3">
      <c r="A2" s="44" t="s">
        <v>0</v>
      </c>
      <c r="B2" s="44"/>
      <c r="C2" s="44"/>
      <c r="AG2" s="57"/>
    </row>
    <row r="3" spans="1:33" x14ac:dyDescent="0.25">
      <c r="A3" s="146" t="s">
        <v>1</v>
      </c>
      <c r="B3" s="146"/>
      <c r="C3" s="146"/>
      <c r="AG3" s="57"/>
    </row>
    <row r="4" spans="1:33" x14ac:dyDescent="0.25">
      <c r="A4" s="146"/>
      <c r="B4" s="146"/>
      <c r="C4" s="146"/>
      <c r="AG4" s="57"/>
    </row>
    <row r="5" spans="1:33" x14ac:dyDescent="0.25">
      <c r="A5" s="146"/>
      <c r="B5" s="146"/>
      <c r="C5" s="146"/>
      <c r="AG5" s="57"/>
    </row>
    <row r="6" spans="1:33" x14ac:dyDescent="0.25">
      <c r="A6" s="147" t="s">
        <v>2</v>
      </c>
      <c r="B6" s="45">
        <v>37108.516976967592</v>
      </c>
      <c r="C6" s="149"/>
    </row>
    <row r="7" spans="1:33" x14ac:dyDescent="0.25">
      <c r="H7" s="39" t="s">
        <v>3</v>
      </c>
      <c r="U7" s="47" t="s">
        <v>4</v>
      </c>
      <c r="V7" s="47"/>
      <c r="W7" s="47"/>
      <c r="X7" s="47" t="s">
        <v>5</v>
      </c>
      <c r="Y7" s="47"/>
      <c r="Z7" s="39" t="s">
        <v>6</v>
      </c>
    </row>
    <row r="8" spans="1:33" x14ac:dyDescent="0.25">
      <c r="C8" s="39" t="s">
        <v>7</v>
      </c>
      <c r="D8" s="39" t="s">
        <v>8</v>
      </c>
      <c r="E8" s="48" t="s">
        <v>9</v>
      </c>
      <c r="F8" s="48"/>
      <c r="G8" s="39" t="s">
        <v>10</v>
      </c>
      <c r="H8" s="39" t="s">
        <v>10</v>
      </c>
      <c r="I8" s="347" t="s">
        <v>11</v>
      </c>
      <c r="J8" s="347"/>
      <c r="K8" s="347"/>
      <c r="L8" s="347" t="s">
        <v>12</v>
      </c>
      <c r="M8" s="347"/>
      <c r="N8" s="347"/>
      <c r="O8" s="347" t="s">
        <v>13</v>
      </c>
      <c r="P8" s="347"/>
      <c r="Q8" s="347"/>
      <c r="R8" s="49" t="s">
        <v>14</v>
      </c>
      <c r="S8" s="50" t="s">
        <v>15</v>
      </c>
      <c r="T8" s="39" t="s">
        <v>16</v>
      </c>
      <c r="U8" s="39" t="s">
        <v>17</v>
      </c>
      <c r="V8" s="39"/>
      <c r="W8" s="51" t="s">
        <v>18</v>
      </c>
      <c r="X8" s="39" t="s">
        <v>17</v>
      </c>
      <c r="Y8" s="39" t="s">
        <v>19</v>
      </c>
      <c r="Z8" s="39" t="s">
        <v>20</v>
      </c>
      <c r="AA8" s="50"/>
    </row>
    <row r="9" spans="1:33" x14ac:dyDescent="0.25">
      <c r="A9" s="39" t="s">
        <v>21</v>
      </c>
      <c r="B9" s="39" t="s">
        <v>22</v>
      </c>
      <c r="C9" s="39" t="s">
        <v>23</v>
      </c>
      <c r="D9" s="39" t="s">
        <v>24</v>
      </c>
      <c r="E9" s="39" t="s">
        <v>25</v>
      </c>
      <c r="F9" s="39" t="s">
        <v>26</v>
      </c>
      <c r="G9" s="39" t="s">
        <v>27</v>
      </c>
      <c r="H9" s="39" t="s">
        <v>27</v>
      </c>
      <c r="I9" s="39" t="s">
        <v>28</v>
      </c>
      <c r="J9" s="51" t="s">
        <v>111</v>
      </c>
      <c r="K9" s="51" t="s">
        <v>112</v>
      </c>
      <c r="L9" s="39" t="s">
        <v>28</v>
      </c>
      <c r="M9" s="51" t="s">
        <v>111</v>
      </c>
      <c r="N9" s="51" t="s">
        <v>112</v>
      </c>
      <c r="O9" s="39" t="s">
        <v>28</v>
      </c>
      <c r="P9" s="51" t="s">
        <v>111</v>
      </c>
      <c r="Q9" s="51" t="s">
        <v>112</v>
      </c>
      <c r="R9" s="39" t="s">
        <v>29</v>
      </c>
      <c r="S9" s="39" t="s">
        <v>30</v>
      </c>
      <c r="T9" s="39" t="s">
        <v>31</v>
      </c>
      <c r="U9" s="39" t="s">
        <v>32</v>
      </c>
      <c r="V9" s="39" t="s">
        <v>33</v>
      </c>
      <c r="W9" s="39" t="s">
        <v>34</v>
      </c>
      <c r="X9" s="39" t="s">
        <v>35</v>
      </c>
      <c r="Y9" s="39" t="s">
        <v>5</v>
      </c>
      <c r="Z9" s="39" t="s">
        <v>36</v>
      </c>
      <c r="AA9" s="50"/>
    </row>
    <row r="10" spans="1:33" ht="4.95" customHeight="1" x14ac:dyDescent="0.25">
      <c r="A10" s="150" t="s">
        <v>37</v>
      </c>
      <c r="B10" s="150" t="s">
        <v>37</v>
      </c>
      <c r="C10" s="150" t="s">
        <v>37</v>
      </c>
      <c r="D10" s="150" t="s">
        <v>37</v>
      </c>
      <c r="E10" s="150" t="s">
        <v>37</v>
      </c>
      <c r="F10" s="150" t="s">
        <v>37</v>
      </c>
      <c r="G10" s="150" t="s">
        <v>37</v>
      </c>
      <c r="H10" s="150" t="s">
        <v>37</v>
      </c>
      <c r="I10" s="150" t="s">
        <v>37</v>
      </c>
      <c r="J10" s="150" t="s">
        <v>37</v>
      </c>
      <c r="K10" s="150" t="s">
        <v>37</v>
      </c>
      <c r="L10" s="150" t="s">
        <v>37</v>
      </c>
      <c r="M10" s="150" t="s">
        <v>37</v>
      </c>
      <c r="N10" s="150" t="s">
        <v>37</v>
      </c>
      <c r="O10" s="150" t="s">
        <v>37</v>
      </c>
      <c r="P10" s="150" t="s">
        <v>37</v>
      </c>
      <c r="Q10" s="150" t="s">
        <v>37</v>
      </c>
      <c r="R10" s="150" t="s">
        <v>37</v>
      </c>
      <c r="S10" s="150" t="s">
        <v>37</v>
      </c>
      <c r="T10" s="150" t="s">
        <v>37</v>
      </c>
      <c r="U10" s="150" t="s">
        <v>37</v>
      </c>
      <c r="V10" s="150" t="s">
        <v>37</v>
      </c>
      <c r="W10" s="150" t="s">
        <v>37</v>
      </c>
      <c r="X10" s="150" t="s">
        <v>37</v>
      </c>
      <c r="Y10" s="150" t="s">
        <v>37</v>
      </c>
      <c r="Z10" s="150" t="s">
        <v>37</v>
      </c>
      <c r="AA10" s="55"/>
    </row>
    <row r="11" spans="1:33" ht="12.75" customHeight="1" thickBot="1" x14ac:dyDescent="0.3">
      <c r="A11" s="38" t="s">
        <v>599</v>
      </c>
      <c r="B11" s="39" t="s">
        <v>600</v>
      </c>
      <c r="C11" s="126">
        <v>37108</v>
      </c>
      <c r="D11" s="151">
        <v>39.08</v>
      </c>
      <c r="E11" s="151">
        <v>44.25</v>
      </c>
      <c r="F11" s="151">
        <v>30.625</v>
      </c>
      <c r="G11" s="152">
        <v>2734.4866340862632</v>
      </c>
      <c r="H11" s="152">
        <v>4812.4866340862627</v>
      </c>
      <c r="I11" s="153">
        <v>8.7363790226398184</v>
      </c>
      <c r="J11" s="153">
        <v>8.5055798933709372</v>
      </c>
      <c r="K11" s="153">
        <v>8.5826336926028191</v>
      </c>
      <c r="L11" s="153" t="s">
        <v>169</v>
      </c>
      <c r="M11" s="153">
        <v>4.9345734175972771</v>
      </c>
      <c r="N11" s="153">
        <v>4.6242518212766317</v>
      </c>
      <c r="O11" s="153">
        <v>3.1796356210305388</v>
      </c>
      <c r="P11" s="153">
        <v>5.0115453773450138</v>
      </c>
      <c r="Q11" s="153">
        <v>5.2598565731813176</v>
      </c>
      <c r="R11" s="155">
        <v>0.51678657074340528</v>
      </c>
      <c r="S11" s="153">
        <v>1.3570653270899569</v>
      </c>
      <c r="T11" s="155">
        <v>2.7424569999999999E-2</v>
      </c>
      <c r="U11" s="156">
        <v>0</v>
      </c>
      <c r="V11" s="155" t="s">
        <v>156</v>
      </c>
      <c r="W11" s="151" t="s">
        <v>156</v>
      </c>
      <c r="X11" s="152" t="s">
        <v>156</v>
      </c>
      <c r="Y11" s="153" t="s">
        <v>156</v>
      </c>
      <c r="Z11" s="157">
        <v>69.971510595861389</v>
      </c>
      <c r="AA11" s="55"/>
    </row>
    <row r="12" spans="1:33" ht="12.9" customHeight="1" x14ac:dyDescent="0.25">
      <c r="A12" s="38" t="s">
        <v>601</v>
      </c>
      <c r="B12" s="39" t="s">
        <v>602</v>
      </c>
      <c r="C12" s="169">
        <v>37108</v>
      </c>
      <c r="D12" s="159">
        <v>9.85</v>
      </c>
      <c r="E12" s="159">
        <v>11.4</v>
      </c>
      <c r="F12" s="159">
        <v>5.125</v>
      </c>
      <c r="G12" s="160">
        <v>88.460246769999998</v>
      </c>
      <c r="H12" s="160">
        <v>324.46124677</v>
      </c>
      <c r="I12" s="339" t="s">
        <v>156</v>
      </c>
      <c r="J12" s="154">
        <v>7.3859298981421588</v>
      </c>
      <c r="K12" s="154">
        <v>6.8085442946367687</v>
      </c>
      <c r="L12" s="339" t="s">
        <v>156</v>
      </c>
      <c r="M12" s="154">
        <v>2.0199348470117973</v>
      </c>
      <c r="N12" s="154">
        <v>2.3062791175935891</v>
      </c>
      <c r="O12" s="154">
        <v>1.2425413561726573</v>
      </c>
      <c r="P12" s="154">
        <v>4.2682531034705411</v>
      </c>
      <c r="Q12" s="154">
        <v>4.0362910695181178</v>
      </c>
      <c r="R12" s="128">
        <v>0.66744644112659746</v>
      </c>
      <c r="S12" s="154">
        <v>0.6875879052179118</v>
      </c>
      <c r="T12" s="128">
        <v>0</v>
      </c>
      <c r="U12" s="161">
        <v>0</v>
      </c>
      <c r="V12" s="128" t="s">
        <v>156</v>
      </c>
      <c r="W12" s="159" t="s">
        <v>156</v>
      </c>
      <c r="X12" s="160" t="s">
        <v>156</v>
      </c>
      <c r="Y12" s="154" t="s">
        <v>156</v>
      </c>
      <c r="Z12" s="162">
        <v>8.9807357126903558</v>
      </c>
      <c r="AE12" s="158" t="s">
        <v>180</v>
      </c>
    </row>
    <row r="13" spans="1:33" ht="12.9" customHeight="1" thickBot="1" x14ac:dyDescent="0.3">
      <c r="A13" s="38" t="s">
        <v>603</v>
      </c>
      <c r="B13" s="39" t="s">
        <v>604</v>
      </c>
      <c r="C13" s="169">
        <v>37108</v>
      </c>
      <c r="D13" s="159">
        <v>17.62</v>
      </c>
      <c r="E13" s="159">
        <v>25.065000000000001</v>
      </c>
      <c r="F13" s="159">
        <v>5.96875</v>
      </c>
      <c r="G13" s="160">
        <v>135.75882268000001</v>
      </c>
      <c r="H13" s="160">
        <v>145.03882268000001</v>
      </c>
      <c r="I13" s="339" t="s">
        <v>156</v>
      </c>
      <c r="J13" s="154">
        <v>4.2560386473429954</v>
      </c>
      <c r="K13" s="154">
        <v>9.3723404255319149</v>
      </c>
      <c r="L13" s="154" t="s">
        <v>156</v>
      </c>
      <c r="M13" s="154" t="s">
        <v>156</v>
      </c>
      <c r="N13" s="154" t="s">
        <v>156</v>
      </c>
      <c r="O13" s="154">
        <v>1.039477061629517</v>
      </c>
      <c r="P13" s="154">
        <v>1.8552792940810807</v>
      </c>
      <c r="Q13" s="154">
        <v>2.8955075340336371</v>
      </c>
      <c r="R13" s="128">
        <v>0.21072122789081321</v>
      </c>
      <c r="S13" s="154">
        <v>0.75472302314333528</v>
      </c>
      <c r="T13" s="128">
        <v>2.298851E-2</v>
      </c>
      <c r="U13" s="161">
        <v>0</v>
      </c>
      <c r="V13" s="128" t="s">
        <v>156</v>
      </c>
      <c r="W13" s="159" t="s">
        <v>156</v>
      </c>
      <c r="X13" s="160" t="s">
        <v>156</v>
      </c>
      <c r="Y13" s="154" t="s">
        <v>156</v>
      </c>
      <c r="Z13" s="162">
        <v>7.7048139999999998</v>
      </c>
      <c r="AA13" s="163"/>
      <c r="AE13" s="164">
        <v>50</v>
      </c>
    </row>
    <row r="14" spans="1:33" ht="12.9" customHeight="1" x14ac:dyDescent="0.25">
      <c r="A14" s="38" t="s">
        <v>605</v>
      </c>
      <c r="B14" s="39" t="s">
        <v>606</v>
      </c>
      <c r="C14" s="126">
        <v>37108</v>
      </c>
      <c r="D14" s="151">
        <v>35.14</v>
      </c>
      <c r="E14" s="151">
        <v>42.73</v>
      </c>
      <c r="F14" s="151">
        <v>24.5625</v>
      </c>
      <c r="G14" s="152">
        <v>2967.74092458</v>
      </c>
      <c r="H14" s="152">
        <v>4253.74092458</v>
      </c>
      <c r="I14" s="153">
        <v>4.881152836480263</v>
      </c>
      <c r="J14" s="153">
        <v>7.2586612605166128</v>
      </c>
      <c r="K14" s="153">
        <v>8.1372225003482104</v>
      </c>
      <c r="L14" s="153" t="e">
        <v>#REF!</v>
      </c>
      <c r="M14" s="153">
        <v>3.4116173026739793</v>
      </c>
      <c r="N14" s="153">
        <v>3.5972342009397371</v>
      </c>
      <c r="O14" s="153">
        <v>2.8729340993030008</v>
      </c>
      <c r="P14" s="153">
        <v>4.0564068819075665</v>
      </c>
      <c r="Q14" s="153">
        <v>4.4007339106481904</v>
      </c>
      <c r="R14" s="155">
        <v>0.42426229508196722</v>
      </c>
      <c r="S14" s="153">
        <v>1.6900574741343963</v>
      </c>
      <c r="T14" s="155">
        <v>2.823264E-2</v>
      </c>
      <c r="U14" s="156">
        <v>0</v>
      </c>
      <c r="V14" s="155" t="s">
        <v>156</v>
      </c>
      <c r="W14" s="151" t="s">
        <v>156</v>
      </c>
      <c r="X14" s="152" t="s">
        <v>156</v>
      </c>
      <c r="Y14" s="153" t="s">
        <v>156</v>
      </c>
      <c r="Z14" s="157">
        <v>84.45477873022196</v>
      </c>
      <c r="AA14" s="163"/>
    </row>
    <row r="15" spans="1:33" ht="12.9" customHeight="1" x14ac:dyDescent="0.25">
      <c r="A15" s="38" t="s">
        <v>607</v>
      </c>
      <c r="B15" s="39" t="s">
        <v>608</v>
      </c>
      <c r="C15" s="169">
        <v>37108</v>
      </c>
      <c r="D15" s="159">
        <v>44.7</v>
      </c>
      <c r="E15" s="159">
        <v>52.44</v>
      </c>
      <c r="F15" s="159">
        <v>26.5</v>
      </c>
      <c r="G15" s="160">
        <v>7065.8656844000006</v>
      </c>
      <c r="H15" s="160">
        <v>9189.3656843999997</v>
      </c>
      <c r="I15" s="154">
        <v>13.278507585393045</v>
      </c>
      <c r="J15" s="154">
        <v>11.598818801101476</v>
      </c>
      <c r="K15" s="154">
        <v>12.088092783966182</v>
      </c>
      <c r="L15" s="154">
        <v>6.6669928369509153</v>
      </c>
      <c r="M15" s="154">
        <v>7.1101929202191316</v>
      </c>
      <c r="N15" s="154">
        <v>7.4608736274731839</v>
      </c>
      <c r="O15" s="154">
        <v>4.8997057654809035</v>
      </c>
      <c r="P15" s="154">
        <v>6.1073385821836936</v>
      </c>
      <c r="Q15" s="154">
        <v>6.3607032929459715</v>
      </c>
      <c r="R15" s="128">
        <v>0.41663901305900958</v>
      </c>
      <c r="S15" s="154">
        <v>2.364351910456751</v>
      </c>
      <c r="T15" s="128">
        <v>7.0796459999999993E-3</v>
      </c>
      <c r="U15" s="161">
        <v>0</v>
      </c>
      <c r="V15" s="128" t="s">
        <v>156</v>
      </c>
      <c r="W15" s="159" t="s">
        <v>156</v>
      </c>
      <c r="X15" s="160" t="s">
        <v>156</v>
      </c>
      <c r="Y15" s="154" t="s">
        <v>156</v>
      </c>
      <c r="Z15" s="162">
        <v>158.07305781655481</v>
      </c>
      <c r="AA15" s="163"/>
    </row>
    <row r="16" spans="1:33" ht="12.9" customHeight="1" x14ac:dyDescent="0.25">
      <c r="A16" s="38" t="s">
        <v>609</v>
      </c>
      <c r="B16" s="39" t="s">
        <v>610</v>
      </c>
      <c r="C16" s="169">
        <v>37108</v>
      </c>
      <c r="D16" s="159">
        <v>35.6</v>
      </c>
      <c r="E16" s="159">
        <v>52.6</v>
      </c>
      <c r="F16" s="159">
        <v>25.9375</v>
      </c>
      <c r="G16" s="160">
        <v>2241.5509368100002</v>
      </c>
      <c r="H16" s="160">
        <v>3330.4359368100004</v>
      </c>
      <c r="I16" s="154">
        <v>5.0019523947460449</v>
      </c>
      <c r="J16" s="154">
        <v>4.8879375453538421</v>
      </c>
      <c r="K16" s="154">
        <v>10.337745117030357</v>
      </c>
      <c r="L16" s="154">
        <v>3.019321517110265</v>
      </c>
      <c r="M16" s="154">
        <v>3.0854424941434702</v>
      </c>
      <c r="N16" s="154">
        <v>4.9739091212206077</v>
      </c>
      <c r="O16" s="154">
        <v>2.4615056679890293</v>
      </c>
      <c r="P16" s="154">
        <v>3.3300219039066126</v>
      </c>
      <c r="Q16" s="154">
        <v>5.5789026421458905</v>
      </c>
      <c r="R16" s="128">
        <v>0.35697271093652055</v>
      </c>
      <c r="S16" s="154">
        <v>1.3149131976448838</v>
      </c>
      <c r="T16" s="128">
        <v>9.0677239999999992E-3</v>
      </c>
      <c r="U16" s="161">
        <v>0</v>
      </c>
      <c r="V16" s="128" t="s">
        <v>156</v>
      </c>
      <c r="W16" s="159" t="s">
        <v>156</v>
      </c>
      <c r="X16" s="160" t="s">
        <v>156</v>
      </c>
      <c r="Y16" s="154" t="s">
        <v>156</v>
      </c>
      <c r="Z16" s="162">
        <v>62.964913955337082</v>
      </c>
      <c r="AA16" s="163"/>
    </row>
    <row r="17" spans="1:31" ht="12.9" customHeight="1" thickBot="1" x14ac:dyDescent="0.3">
      <c r="A17" s="38" t="s">
        <v>611</v>
      </c>
      <c r="B17" s="39" t="s">
        <v>612</v>
      </c>
      <c r="C17" s="169">
        <v>37108</v>
      </c>
      <c r="D17" s="159">
        <v>47.61</v>
      </c>
      <c r="E17" s="159">
        <v>56.25</v>
      </c>
      <c r="F17" s="159">
        <v>23.1875</v>
      </c>
      <c r="G17" s="160">
        <v>3484.7690244599999</v>
      </c>
      <c r="H17" s="160">
        <v>5412.6690244599995</v>
      </c>
      <c r="I17" s="154">
        <v>6.8648896707787284</v>
      </c>
      <c r="J17" s="154">
        <v>7.2671810306309226</v>
      </c>
      <c r="K17" s="154">
        <v>10.48103102947552</v>
      </c>
      <c r="L17" s="154">
        <v>4.0370354778267181</v>
      </c>
      <c r="M17" s="154">
        <v>4.2723078075442285</v>
      </c>
      <c r="N17" s="154">
        <v>4.9952590268529242</v>
      </c>
      <c r="O17" s="154">
        <v>15.591807715704798</v>
      </c>
      <c r="P17" s="154">
        <v>29.658460407999996</v>
      </c>
      <c r="Q17" s="154">
        <v>5.8884631364744591</v>
      </c>
      <c r="R17" s="128">
        <v>0.5450234275166832</v>
      </c>
      <c r="S17" s="154">
        <v>2.4852153932819854</v>
      </c>
      <c r="T17" s="128">
        <v>1.0477790000000001E-2</v>
      </c>
      <c r="U17" s="161">
        <v>0</v>
      </c>
      <c r="V17" s="128" t="s">
        <v>156</v>
      </c>
      <c r="W17" s="159" t="s">
        <v>156</v>
      </c>
      <c r="X17" s="160" t="s">
        <v>156</v>
      </c>
      <c r="Y17" s="154" t="s">
        <v>156</v>
      </c>
      <c r="Z17" s="162">
        <v>73.194056384373027</v>
      </c>
      <c r="AA17" s="163"/>
      <c r="AB17" s="39"/>
      <c r="AC17" s="166"/>
      <c r="AD17" s="167"/>
      <c r="AE17" s="53"/>
    </row>
    <row r="18" spans="1:31" ht="12.9" customHeight="1" x14ac:dyDescent="0.25">
      <c r="A18" s="38" t="s">
        <v>613</v>
      </c>
      <c r="B18" s="39" t="s">
        <v>614</v>
      </c>
      <c r="C18" s="169">
        <v>37108</v>
      </c>
      <c r="D18" s="159">
        <v>11.1</v>
      </c>
      <c r="E18" s="159">
        <v>16.5</v>
      </c>
      <c r="F18" s="159">
        <v>8.9375</v>
      </c>
      <c r="G18" s="160">
        <v>343.04598840000006</v>
      </c>
      <c r="H18" s="160">
        <v>691.24598839999999</v>
      </c>
      <c r="I18" s="154" t="s">
        <v>169</v>
      </c>
      <c r="J18" s="154">
        <v>7.2077922077922087</v>
      </c>
      <c r="K18" s="154">
        <v>8.8095238095238102</v>
      </c>
      <c r="L18" s="154" t="s">
        <v>169</v>
      </c>
      <c r="M18" s="154">
        <v>2.8244274809160306</v>
      </c>
      <c r="N18" s="154">
        <v>4.6835443037974684</v>
      </c>
      <c r="O18" s="154" t="s">
        <v>169</v>
      </c>
      <c r="P18" s="154">
        <v>3.7876492515068492</v>
      </c>
      <c r="Q18" s="154">
        <v>4.4510366284610425</v>
      </c>
      <c r="R18" s="128">
        <v>0.33637937668333978</v>
      </c>
      <c r="S18" s="154">
        <v>0.49724016292216272</v>
      </c>
      <c r="T18" s="128">
        <v>0</v>
      </c>
      <c r="U18" s="161">
        <v>0</v>
      </c>
      <c r="V18" s="128" t="s">
        <v>156</v>
      </c>
      <c r="W18" s="159" t="s">
        <v>156</v>
      </c>
      <c r="X18" s="160" t="s">
        <v>156</v>
      </c>
      <c r="Y18" s="154" t="s">
        <v>156</v>
      </c>
      <c r="Z18" s="162">
        <v>30.905044</v>
      </c>
      <c r="AA18" s="163"/>
      <c r="AB18" s="39"/>
      <c r="AC18" s="166"/>
      <c r="AD18" s="167"/>
      <c r="AE18" s="158" t="s">
        <v>180</v>
      </c>
    </row>
    <row r="19" spans="1:31" ht="12.9" customHeight="1" thickBot="1" x14ac:dyDescent="0.3">
      <c r="A19" s="108"/>
      <c r="B19" s="165"/>
      <c r="C19" s="168"/>
      <c r="D19" s="159"/>
      <c r="E19" s="159"/>
      <c r="F19" s="159"/>
      <c r="G19" s="160"/>
      <c r="H19" s="160"/>
      <c r="I19" s="154"/>
      <c r="J19" s="154"/>
      <c r="K19" s="154"/>
      <c r="L19" s="154"/>
      <c r="M19" s="154"/>
      <c r="N19" s="154"/>
      <c r="O19" s="154"/>
      <c r="P19" s="154"/>
      <c r="Q19" s="154"/>
      <c r="R19" s="128"/>
      <c r="S19" s="154"/>
      <c r="T19" s="128"/>
      <c r="U19" s="161"/>
      <c r="V19" s="128"/>
      <c r="W19" s="159"/>
      <c r="X19" s="160"/>
      <c r="Y19" s="154"/>
      <c r="Z19" s="162"/>
      <c r="AE19" s="164">
        <v>50</v>
      </c>
    </row>
    <row r="20" spans="1:31" ht="12.9" customHeight="1" x14ac:dyDescent="0.25">
      <c r="B20" s="39"/>
      <c r="C20" s="169"/>
      <c r="D20" s="159"/>
      <c r="E20" s="159"/>
      <c r="F20" s="159"/>
      <c r="G20" s="160"/>
      <c r="H20" s="160"/>
      <c r="I20" s="154"/>
      <c r="J20" s="154"/>
      <c r="K20" s="154"/>
      <c r="L20" s="154"/>
      <c r="M20" s="154"/>
      <c r="N20" s="154"/>
      <c r="O20" s="154"/>
      <c r="P20" s="154"/>
      <c r="Q20" s="154"/>
      <c r="R20" s="128"/>
      <c r="S20" s="154"/>
      <c r="T20" s="128"/>
      <c r="U20" s="161"/>
      <c r="V20" s="128"/>
      <c r="W20" s="159"/>
      <c r="X20" s="170"/>
      <c r="Y20" s="154"/>
      <c r="Z20" s="162"/>
    </row>
    <row r="21" spans="1:31" ht="12.9" customHeight="1" x14ac:dyDescent="0.25">
      <c r="B21" s="52"/>
      <c r="C21" s="52"/>
      <c r="D21" s="52"/>
      <c r="E21" s="52"/>
      <c r="F21" s="52"/>
      <c r="G21" s="52"/>
      <c r="H21" s="53" t="s">
        <v>38</v>
      </c>
      <c r="I21" s="52"/>
      <c r="J21" s="154">
        <v>7.2959924105313947</v>
      </c>
      <c r="K21" s="154">
        <v>9.3271417066394484</v>
      </c>
      <c r="L21" s="154" t="e">
        <v>#REF!</v>
      </c>
      <c r="M21" s="154">
        <v>3.9512137528722735</v>
      </c>
      <c r="N21" s="154">
        <v>4.6630501741648782</v>
      </c>
      <c r="O21" s="154">
        <v>4.4696581839014922</v>
      </c>
      <c r="P21" s="154">
        <v>7.2593693503001688</v>
      </c>
      <c r="Q21" s="154">
        <v>4.8589368484260778</v>
      </c>
      <c r="R21" s="128">
        <v>0.43427888287979199</v>
      </c>
      <c r="S21" s="154">
        <v>1.3938942992364227</v>
      </c>
      <c r="T21" s="128">
        <v>1.315886E-2</v>
      </c>
      <c r="U21" s="161"/>
      <c r="V21" s="160" t="s">
        <v>156</v>
      </c>
      <c r="W21" s="159" t="s">
        <v>156</v>
      </c>
      <c r="Y21" s="160" t="s">
        <v>156</v>
      </c>
      <c r="Z21" s="52"/>
    </row>
    <row r="22" spans="1:31" ht="12.9" customHeight="1" x14ac:dyDescent="0.25">
      <c r="B22" s="52"/>
      <c r="C22" s="52"/>
      <c r="D22" s="52"/>
      <c r="E22" s="52"/>
      <c r="F22" s="52"/>
      <c r="G22" s="52"/>
      <c r="H22" s="53" t="s">
        <v>39</v>
      </c>
      <c r="I22" s="52"/>
      <c r="J22" s="154">
        <v>7.2629211455737677</v>
      </c>
      <c r="K22" s="154">
        <v>9.0909321175278635</v>
      </c>
      <c r="L22" s="154" t="e">
        <v>#REF!</v>
      </c>
      <c r="M22" s="154">
        <v>3.4116173026739793</v>
      </c>
      <c r="N22" s="154">
        <v>4.6835443037974684</v>
      </c>
      <c r="O22" s="154">
        <v>2.8729340993030008</v>
      </c>
      <c r="P22" s="154">
        <v>4.1623299926890542</v>
      </c>
      <c r="Q22" s="154">
        <v>4.8554466008211801</v>
      </c>
      <c r="R22" s="128">
        <v>0.42045065407048843</v>
      </c>
      <c r="S22" s="154">
        <v>1.3359892623674203</v>
      </c>
      <c r="T22" s="128">
        <v>9.772757E-3</v>
      </c>
      <c r="U22" s="161"/>
      <c r="V22" s="160" t="s">
        <v>156</v>
      </c>
      <c r="W22" s="159" t="s">
        <v>156</v>
      </c>
      <c r="Y22" s="160" t="s">
        <v>156</v>
      </c>
      <c r="Z22" s="52"/>
    </row>
    <row r="23" spans="1:31" ht="12.9" customHeight="1" x14ac:dyDescent="0.25">
      <c r="B23" s="52"/>
      <c r="C23" s="52"/>
      <c r="D23" s="52"/>
      <c r="E23" s="52"/>
      <c r="F23" s="52"/>
      <c r="G23" s="54"/>
      <c r="H23" s="55" t="s">
        <v>25</v>
      </c>
      <c r="I23" s="52"/>
      <c r="J23" s="154">
        <v>11.598818801101476</v>
      </c>
      <c r="K23" s="154">
        <v>12.088092783966182</v>
      </c>
      <c r="L23" s="154" t="e">
        <v>#REF!</v>
      </c>
      <c r="M23" s="154">
        <v>7.1101929202191316</v>
      </c>
      <c r="N23" s="154">
        <v>7.4608736274731839</v>
      </c>
      <c r="O23" s="154">
        <v>15.591807715704798</v>
      </c>
      <c r="P23" s="154">
        <v>29.658460407999996</v>
      </c>
      <c r="Q23" s="154">
        <v>6.3607032929459715</v>
      </c>
      <c r="R23" s="128">
        <v>0.66744644112659746</v>
      </c>
      <c r="S23" s="154">
        <v>2.4852153932819854</v>
      </c>
      <c r="T23" s="128">
        <v>2.823264E-2</v>
      </c>
      <c r="U23" s="161"/>
      <c r="V23" s="160" t="s">
        <v>156</v>
      </c>
      <c r="W23" s="159" t="s">
        <v>156</v>
      </c>
      <c r="Y23" s="160" t="s">
        <v>156</v>
      </c>
      <c r="Z23" s="52"/>
    </row>
    <row r="24" spans="1:31" ht="12.9" customHeight="1" x14ac:dyDescent="0.25">
      <c r="B24" s="52"/>
      <c r="C24" s="52"/>
      <c r="D24" s="52"/>
      <c r="E24" s="52"/>
      <c r="F24" s="52"/>
      <c r="G24" s="52"/>
      <c r="H24" s="53" t="s">
        <v>26</v>
      </c>
      <c r="I24" s="52"/>
      <c r="J24" s="154">
        <v>4.2560386473429954</v>
      </c>
      <c r="K24" s="154">
        <v>6.8085442946367687</v>
      </c>
      <c r="L24" s="154" t="e">
        <v>#REF!</v>
      </c>
      <c r="M24" s="154">
        <v>2.0199348470117973</v>
      </c>
      <c r="N24" s="154">
        <v>2.3062791175935891</v>
      </c>
      <c r="O24" s="154">
        <v>1.039477061629517</v>
      </c>
      <c r="P24" s="154">
        <v>1.8552792940810807</v>
      </c>
      <c r="Q24" s="154">
        <v>2.8955075340336371</v>
      </c>
      <c r="R24" s="128">
        <v>0.21072122789081321</v>
      </c>
      <c r="S24" s="154">
        <v>0.49724016292216272</v>
      </c>
      <c r="T24" s="128">
        <v>0</v>
      </c>
      <c r="U24" s="161"/>
      <c r="V24" s="160" t="s">
        <v>156</v>
      </c>
      <c r="W24" s="159" t="s">
        <v>156</v>
      </c>
      <c r="Y24" s="160" t="s">
        <v>156</v>
      </c>
      <c r="Z24" s="52"/>
    </row>
    <row r="25" spans="1:31" ht="12.9" customHeight="1" x14ac:dyDescent="0.25"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spans="1:31" ht="12.9" customHeight="1" x14ac:dyDescent="0.25">
      <c r="B26" s="52"/>
      <c r="C26" s="52"/>
      <c r="D26" s="52"/>
      <c r="U26" s="49" t="s">
        <v>95</v>
      </c>
      <c r="V26" s="49"/>
      <c r="W26" s="49"/>
      <c r="X26" s="49"/>
      <c r="Y26" s="49"/>
      <c r="AA26" s="56"/>
    </row>
    <row r="27" spans="1:31" ht="12.75" customHeight="1" x14ac:dyDescent="0.25">
      <c r="A27" s="57"/>
      <c r="B27" s="49" t="s">
        <v>40</v>
      </c>
      <c r="C27" s="49"/>
      <c r="D27" s="49" t="s">
        <v>41</v>
      </c>
      <c r="E27" s="49"/>
      <c r="F27" s="49"/>
      <c r="G27" s="49" t="s">
        <v>42</v>
      </c>
      <c r="H27" s="49"/>
      <c r="J27" s="49" t="s">
        <v>43</v>
      </c>
      <c r="K27" s="49"/>
      <c r="P27" s="49" t="s">
        <v>44</v>
      </c>
      <c r="Q27" s="49"/>
      <c r="R27" s="49"/>
      <c r="S27" s="49"/>
      <c r="U27" s="49" t="s">
        <v>45</v>
      </c>
      <c r="V27" s="49"/>
      <c r="W27" s="49"/>
      <c r="X27" s="49"/>
      <c r="Y27" s="49"/>
      <c r="AA27" s="56"/>
    </row>
    <row r="28" spans="1:31" ht="3.75" customHeight="1" x14ac:dyDescent="0.25">
      <c r="A28" s="57"/>
      <c r="B28" s="150" t="s">
        <v>37</v>
      </c>
      <c r="C28" s="58"/>
      <c r="D28" s="150" t="s">
        <v>37</v>
      </c>
      <c r="E28" s="58"/>
      <c r="F28" s="58"/>
      <c r="G28" s="150" t="s">
        <v>37</v>
      </c>
      <c r="H28" s="58"/>
      <c r="J28" s="150" t="s">
        <v>37</v>
      </c>
      <c r="K28" s="58"/>
      <c r="P28" s="150" t="s">
        <v>37</v>
      </c>
      <c r="Q28" s="58"/>
      <c r="R28" s="58"/>
      <c r="S28" s="58"/>
      <c r="U28" s="150" t="s">
        <v>37</v>
      </c>
      <c r="V28" s="58"/>
      <c r="W28" s="58"/>
      <c r="X28" s="58"/>
      <c r="Y28" s="58"/>
      <c r="AA28" s="56"/>
    </row>
    <row r="29" spans="1:31" x14ac:dyDescent="0.25">
      <c r="B29" s="39"/>
      <c r="C29" s="39"/>
      <c r="D29" s="50" t="s">
        <v>46</v>
      </c>
      <c r="E29" s="50" t="s">
        <v>47</v>
      </c>
      <c r="F29" s="50" t="s">
        <v>7</v>
      </c>
      <c r="G29" s="51" t="s">
        <v>48</v>
      </c>
      <c r="P29" s="50" t="s">
        <v>49</v>
      </c>
      <c r="Q29" s="50"/>
      <c r="R29" s="50" t="s">
        <v>50</v>
      </c>
      <c r="S29" s="50" t="s">
        <v>51</v>
      </c>
      <c r="U29" s="50" t="s">
        <v>52</v>
      </c>
      <c r="V29" s="50" t="s">
        <v>53</v>
      </c>
      <c r="W29" s="59" t="s">
        <v>54</v>
      </c>
      <c r="X29" s="50" t="s">
        <v>55</v>
      </c>
      <c r="Y29" s="50" t="s">
        <v>56</v>
      </c>
      <c r="AA29" s="50"/>
    </row>
    <row r="30" spans="1:31" ht="10.5" customHeight="1" x14ac:dyDescent="0.25">
      <c r="A30" s="39" t="s">
        <v>21</v>
      </c>
      <c r="B30" s="39" t="s">
        <v>57</v>
      </c>
      <c r="C30" s="39" t="s">
        <v>58</v>
      </c>
      <c r="D30" s="39" t="s">
        <v>59</v>
      </c>
      <c r="E30" s="39" t="s">
        <v>60</v>
      </c>
      <c r="F30" s="39" t="s">
        <v>61</v>
      </c>
      <c r="G30" s="39" t="s">
        <v>62</v>
      </c>
      <c r="H30" s="39" t="s">
        <v>7</v>
      </c>
      <c r="J30" s="39" t="s">
        <v>63</v>
      </c>
      <c r="K30" s="39" t="s">
        <v>64</v>
      </c>
      <c r="P30" s="39" t="s">
        <v>65</v>
      </c>
      <c r="Q30" s="39" t="s">
        <v>66</v>
      </c>
      <c r="R30" s="51" t="s">
        <v>67</v>
      </c>
      <c r="S30" s="39" t="s">
        <v>68</v>
      </c>
      <c r="U30" s="39" t="s">
        <v>69</v>
      </c>
      <c r="V30" s="51" t="s">
        <v>70</v>
      </c>
      <c r="W30" s="39" t="s">
        <v>71</v>
      </c>
      <c r="X30" s="51" t="s">
        <v>72</v>
      </c>
      <c r="Y30" s="39" t="s">
        <v>73</v>
      </c>
      <c r="AA30" s="56"/>
    </row>
    <row r="31" spans="1:31" ht="4.5" customHeight="1" x14ac:dyDescent="0.25">
      <c r="A31" s="150" t="s">
        <v>37</v>
      </c>
      <c r="B31" s="150" t="s">
        <v>37</v>
      </c>
      <c r="C31" s="150" t="s">
        <v>37</v>
      </c>
      <c r="D31" s="150" t="s">
        <v>37</v>
      </c>
      <c r="E31" s="150" t="s">
        <v>37</v>
      </c>
      <c r="F31" s="150" t="s">
        <v>37</v>
      </c>
      <c r="G31" s="150" t="s">
        <v>37</v>
      </c>
      <c r="H31" s="150" t="s">
        <v>37</v>
      </c>
      <c r="J31" s="150" t="s">
        <v>37</v>
      </c>
      <c r="K31" s="150" t="s">
        <v>37</v>
      </c>
      <c r="P31" s="150" t="s">
        <v>37</v>
      </c>
      <c r="Q31" s="150" t="s">
        <v>37</v>
      </c>
      <c r="R31" s="150" t="s">
        <v>37</v>
      </c>
      <c r="S31" s="150" t="s">
        <v>37</v>
      </c>
      <c r="U31" s="150" t="s">
        <v>37</v>
      </c>
      <c r="V31" s="150" t="s">
        <v>37</v>
      </c>
      <c r="W31" s="150" t="s">
        <v>37</v>
      </c>
      <c r="X31" s="150" t="s">
        <v>37</v>
      </c>
      <c r="Y31" s="150" t="s">
        <v>37</v>
      </c>
      <c r="AA31" s="56"/>
    </row>
    <row r="32" spans="1:31" s="39" customFormat="1" ht="12.9" customHeight="1" x14ac:dyDescent="0.25">
      <c r="A32" s="38" t="s">
        <v>599</v>
      </c>
      <c r="B32" s="38" t="s">
        <v>596</v>
      </c>
      <c r="C32" s="53" t="s">
        <v>597</v>
      </c>
      <c r="D32" s="53" t="s">
        <v>97</v>
      </c>
      <c r="E32" s="53" t="s">
        <v>148</v>
      </c>
      <c r="F32" s="126">
        <v>37033</v>
      </c>
      <c r="G32" s="39" t="s">
        <v>155</v>
      </c>
      <c r="H32" s="126">
        <v>37036</v>
      </c>
      <c r="J32" s="155">
        <v>0.18200378071833642</v>
      </c>
      <c r="K32" s="155">
        <v>8.8882697130119745E-2</v>
      </c>
      <c r="P32" s="155" t="s">
        <v>156</v>
      </c>
      <c r="Q32" s="153" t="s">
        <v>156</v>
      </c>
      <c r="R32" s="53" t="s">
        <v>156</v>
      </c>
      <c r="S32" s="53" t="s">
        <v>156</v>
      </c>
      <c r="U32" s="156">
        <v>7</v>
      </c>
      <c r="V32" s="156">
        <v>935</v>
      </c>
      <c r="W32" s="157">
        <v>8.57</v>
      </c>
      <c r="X32" s="156">
        <v>7034</v>
      </c>
      <c r="Y32" s="156">
        <v>301</v>
      </c>
      <c r="Z32" s="38"/>
      <c r="AA32" s="59"/>
    </row>
    <row r="33" spans="1:27" s="39" customFormat="1" ht="12.9" customHeight="1" x14ac:dyDescent="0.25">
      <c r="A33" s="38" t="s">
        <v>601</v>
      </c>
      <c r="B33" s="38" t="s">
        <v>596</v>
      </c>
      <c r="C33" s="53" t="s">
        <v>597</v>
      </c>
      <c r="D33" s="53" t="s">
        <v>615</v>
      </c>
      <c r="E33" s="53" t="s">
        <v>157</v>
      </c>
      <c r="F33" s="126" t="s">
        <v>156</v>
      </c>
      <c r="G33" s="39" t="s">
        <v>616</v>
      </c>
      <c r="H33" s="126">
        <v>36984</v>
      </c>
      <c r="J33" s="155">
        <v>0</v>
      </c>
      <c r="K33" s="155">
        <v>0</v>
      </c>
      <c r="N33" s="303"/>
      <c r="P33" s="155" t="s">
        <v>156</v>
      </c>
      <c r="Q33" s="153" t="s">
        <v>156</v>
      </c>
      <c r="R33" s="53" t="s">
        <v>156</v>
      </c>
      <c r="S33" s="53" t="s">
        <v>156</v>
      </c>
      <c r="T33" s="174"/>
      <c r="U33" s="156">
        <v>2</v>
      </c>
      <c r="V33" s="156">
        <v>37.6</v>
      </c>
      <c r="W33" s="157">
        <v>7.2770000000000001</v>
      </c>
      <c r="X33" s="156">
        <v>172</v>
      </c>
      <c r="Y33" s="156">
        <v>52</v>
      </c>
      <c r="Z33" s="38"/>
      <c r="AA33" s="59"/>
    </row>
    <row r="34" spans="1:27" s="39" customFormat="1" ht="12.9" customHeight="1" x14ac:dyDescent="0.25">
      <c r="A34" s="38" t="s">
        <v>603</v>
      </c>
      <c r="B34" s="38" t="s">
        <v>596</v>
      </c>
      <c r="C34" s="53" t="s">
        <v>597</v>
      </c>
      <c r="D34" s="53" t="s">
        <v>615</v>
      </c>
      <c r="E34" s="53" t="s">
        <v>157</v>
      </c>
      <c r="F34" s="126" t="s">
        <v>156</v>
      </c>
      <c r="G34" s="39" t="s">
        <v>166</v>
      </c>
      <c r="H34" s="126">
        <v>36619</v>
      </c>
      <c r="J34" s="155">
        <v>0</v>
      </c>
      <c r="K34" s="155">
        <v>0</v>
      </c>
      <c r="N34" s="303"/>
      <c r="P34" s="155" t="s">
        <v>156</v>
      </c>
      <c r="Q34" s="153" t="s">
        <v>156</v>
      </c>
      <c r="R34" s="53" t="s">
        <v>156</v>
      </c>
      <c r="S34" s="53" t="s">
        <v>156</v>
      </c>
      <c r="T34" s="174"/>
      <c r="U34" s="156">
        <v>2</v>
      </c>
      <c r="V34" s="156">
        <v>67</v>
      </c>
      <c r="W34" s="157">
        <v>7.74</v>
      </c>
      <c r="X34" s="156" t="s">
        <v>156</v>
      </c>
      <c r="Y34" s="156" t="s">
        <v>156</v>
      </c>
      <c r="Z34" s="38"/>
      <c r="AA34" s="59"/>
    </row>
    <row r="35" spans="1:27" s="39" customFormat="1" ht="12.9" customHeight="1" x14ac:dyDescent="0.25">
      <c r="A35" s="38" t="s">
        <v>605</v>
      </c>
      <c r="B35" s="38" t="s">
        <v>596</v>
      </c>
      <c r="C35" s="53" t="s">
        <v>597</v>
      </c>
      <c r="D35" s="53" t="s">
        <v>97</v>
      </c>
      <c r="E35" s="53" t="s">
        <v>148</v>
      </c>
      <c r="F35" s="126">
        <v>37034</v>
      </c>
      <c r="G35" s="39" t="s">
        <v>155</v>
      </c>
      <c r="H35" s="126">
        <v>37036</v>
      </c>
      <c r="J35" s="155">
        <v>0.36135593220338985</v>
      </c>
      <c r="K35" s="155">
        <v>4.3116883116883137E-2</v>
      </c>
      <c r="P35" s="155" t="s">
        <v>156</v>
      </c>
      <c r="Q35" s="153" t="s">
        <v>156</v>
      </c>
      <c r="R35" s="53" t="s">
        <v>156</v>
      </c>
      <c r="S35" s="53" t="s">
        <v>156</v>
      </c>
      <c r="U35" s="156">
        <v>5</v>
      </c>
      <c r="V35" s="156">
        <v>730</v>
      </c>
      <c r="W35" s="157">
        <v>7.42</v>
      </c>
      <c r="X35" s="156">
        <v>3635</v>
      </c>
      <c r="Y35" s="156">
        <v>1798</v>
      </c>
      <c r="AA35" s="176"/>
    </row>
    <row r="36" spans="1:27" s="39" customFormat="1" ht="12.9" customHeight="1" x14ac:dyDescent="0.25">
      <c r="A36" s="38" t="s">
        <v>607</v>
      </c>
      <c r="B36" s="38" t="s">
        <v>596</v>
      </c>
      <c r="C36" s="53" t="s">
        <v>597</v>
      </c>
      <c r="D36" s="53" t="s">
        <v>97</v>
      </c>
      <c r="E36" s="53" t="s">
        <v>148</v>
      </c>
      <c r="F36" s="126">
        <v>37033</v>
      </c>
      <c r="G36" s="39" t="s">
        <v>155</v>
      </c>
      <c r="H36" s="126">
        <v>37036</v>
      </c>
      <c r="J36" s="155">
        <v>0.6</v>
      </c>
      <c r="K36" s="155">
        <v>0.31712707182320449</v>
      </c>
      <c r="N36" s="303"/>
      <c r="P36" s="155" t="s">
        <v>156</v>
      </c>
      <c r="Q36" s="153" t="s">
        <v>156</v>
      </c>
      <c r="R36" s="53" t="s">
        <v>156</v>
      </c>
      <c r="S36" s="53" t="s">
        <v>156</v>
      </c>
      <c r="T36" s="174"/>
      <c r="U36" s="156">
        <v>9</v>
      </c>
      <c r="V36" s="156">
        <v>1350</v>
      </c>
      <c r="W36" s="157">
        <v>8.3699999999999992</v>
      </c>
      <c r="X36" s="156">
        <v>4182</v>
      </c>
      <c r="Y36" s="156">
        <v>2126</v>
      </c>
      <c r="Z36" s="60"/>
      <c r="AA36" s="176"/>
    </row>
    <row r="37" spans="1:27" s="39" customFormat="1" ht="12.9" customHeight="1" x14ac:dyDescent="0.25">
      <c r="A37" s="38" t="s">
        <v>609</v>
      </c>
      <c r="B37" s="38" t="s">
        <v>596</v>
      </c>
      <c r="C37" s="53" t="s">
        <v>597</v>
      </c>
      <c r="D37" s="53" t="s">
        <v>97</v>
      </c>
      <c r="E37" s="53" t="s">
        <v>148</v>
      </c>
      <c r="F37" s="126">
        <v>37033</v>
      </c>
      <c r="G37" s="39" t="s">
        <v>160</v>
      </c>
      <c r="H37" s="126">
        <v>37048</v>
      </c>
      <c r="J37" s="155">
        <v>0.3339578454332553</v>
      </c>
      <c r="K37" s="155">
        <v>-4.2689075630252066E-2</v>
      </c>
      <c r="N37" s="303"/>
      <c r="P37" s="155" t="s">
        <v>156</v>
      </c>
      <c r="Q37" s="153" t="s">
        <v>156</v>
      </c>
      <c r="R37" s="53" t="s">
        <v>156</v>
      </c>
      <c r="S37" s="53" t="s">
        <v>156</v>
      </c>
      <c r="T37" s="174"/>
      <c r="U37" s="156">
        <v>6</v>
      </c>
      <c r="V37" s="156">
        <v>985</v>
      </c>
      <c r="W37" s="157">
        <v>9.6</v>
      </c>
      <c r="X37" s="156">
        <v>350</v>
      </c>
      <c r="Y37" s="156">
        <v>0</v>
      </c>
      <c r="Z37" s="60"/>
      <c r="AA37" s="176"/>
    </row>
    <row r="38" spans="1:27" s="39" customFormat="1" ht="12.9" customHeight="1" x14ac:dyDescent="0.25">
      <c r="A38" s="38" t="s">
        <v>611</v>
      </c>
      <c r="B38" s="38" t="s">
        <v>596</v>
      </c>
      <c r="C38" s="53" t="s">
        <v>597</v>
      </c>
      <c r="D38" s="53" t="s">
        <v>97</v>
      </c>
      <c r="E38" s="53" t="s">
        <v>148</v>
      </c>
      <c r="F38" s="126">
        <v>37033</v>
      </c>
      <c r="G38" s="39" t="s">
        <v>155</v>
      </c>
      <c r="H38" s="126">
        <v>37036</v>
      </c>
      <c r="J38" s="155">
        <v>1.0046315789473683</v>
      </c>
      <c r="K38" s="155">
        <v>0.54202429149797571</v>
      </c>
      <c r="N38" s="303"/>
      <c r="P38" s="155" t="s">
        <v>156</v>
      </c>
      <c r="Q38" s="153" t="s">
        <v>156</v>
      </c>
      <c r="R38" s="53" t="s">
        <v>156</v>
      </c>
      <c r="S38" s="53" t="s">
        <v>156</v>
      </c>
      <c r="T38" s="174"/>
      <c r="U38" s="156">
        <v>6</v>
      </c>
      <c r="V38" s="156">
        <v>850</v>
      </c>
      <c r="W38" s="157">
        <v>8.8780000000000001</v>
      </c>
      <c r="X38" s="156">
        <v>5002</v>
      </c>
      <c r="Y38" s="156" t="s">
        <v>156</v>
      </c>
      <c r="Z38" s="60"/>
      <c r="AA38" s="176"/>
    </row>
    <row r="39" spans="1:27" s="39" customFormat="1" ht="12.9" customHeight="1" x14ac:dyDescent="0.25">
      <c r="A39" s="38" t="s">
        <v>613</v>
      </c>
      <c r="B39" s="38" t="s">
        <v>596</v>
      </c>
      <c r="C39" s="53" t="s">
        <v>597</v>
      </c>
      <c r="D39" s="53" t="s">
        <v>617</v>
      </c>
      <c r="E39" s="53" t="s">
        <v>148</v>
      </c>
      <c r="F39" s="126">
        <v>37013</v>
      </c>
      <c r="G39" s="39" t="s">
        <v>204</v>
      </c>
      <c r="H39" s="126">
        <v>36811</v>
      </c>
      <c r="J39" s="155">
        <v>0.6</v>
      </c>
      <c r="K39" s="155">
        <v>0.31712707182320449</v>
      </c>
      <c r="N39" s="303"/>
      <c r="P39" s="155" t="s">
        <v>156</v>
      </c>
      <c r="Q39" s="153" t="s">
        <v>156</v>
      </c>
      <c r="R39" s="53" t="s">
        <v>156</v>
      </c>
      <c r="S39" s="53" t="s">
        <v>156</v>
      </c>
      <c r="U39" s="156">
        <v>3</v>
      </c>
      <c r="V39" s="156">
        <v>275.2</v>
      </c>
      <c r="W39" s="157">
        <v>5.27</v>
      </c>
      <c r="X39" s="156">
        <v>270</v>
      </c>
      <c r="Y39" s="156">
        <v>40</v>
      </c>
      <c r="Z39" s="60"/>
      <c r="AA39" s="176"/>
    </row>
    <row r="40" spans="1:27" s="39" customFormat="1" ht="12.9" customHeight="1" x14ac:dyDescent="0.25">
      <c r="A40" s="38"/>
      <c r="B40" s="38"/>
      <c r="C40" s="53"/>
      <c r="D40" s="53"/>
      <c r="E40" s="53"/>
      <c r="F40" s="126"/>
      <c r="H40" s="126"/>
      <c r="J40" s="155"/>
      <c r="K40" s="155"/>
      <c r="T40" s="174"/>
      <c r="Z40" s="60"/>
    </row>
    <row r="41" spans="1:27" s="39" customFormat="1" ht="12.9" customHeight="1" x14ac:dyDescent="0.25">
      <c r="A41" s="38"/>
      <c r="B41" s="38"/>
      <c r="C41" s="53"/>
      <c r="D41" s="53"/>
      <c r="E41" s="53"/>
      <c r="F41" s="126"/>
      <c r="H41" s="126"/>
      <c r="J41" s="155"/>
      <c r="K41" s="155"/>
      <c r="T41" s="174"/>
    </row>
    <row r="42" spans="1:27" s="39" customFormat="1" ht="12.9" customHeight="1" x14ac:dyDescent="0.25">
      <c r="B42" s="175"/>
      <c r="C42" s="175"/>
      <c r="E42" s="175"/>
      <c r="N42" s="53" t="s">
        <v>38</v>
      </c>
      <c r="P42" s="155" t="s">
        <v>156</v>
      </c>
      <c r="Q42" s="153" t="s">
        <v>156</v>
      </c>
      <c r="R42" s="53" t="s">
        <v>156</v>
      </c>
      <c r="S42" s="53"/>
      <c r="T42" s="174"/>
      <c r="U42" s="156"/>
      <c r="V42" s="156"/>
      <c r="W42" s="157"/>
      <c r="X42" s="156"/>
      <c r="Y42" s="156"/>
    </row>
    <row r="43" spans="1:27" s="39" customFormat="1" ht="12.9" customHeight="1" x14ac:dyDescent="0.25">
      <c r="B43" s="175"/>
      <c r="C43" s="175"/>
      <c r="D43" s="175"/>
      <c r="N43" s="53" t="s">
        <v>39</v>
      </c>
      <c r="P43" s="155" t="s">
        <v>156</v>
      </c>
      <c r="Q43" s="153" t="s">
        <v>156</v>
      </c>
      <c r="R43" s="53" t="s">
        <v>156</v>
      </c>
      <c r="S43" s="53"/>
      <c r="T43" s="174"/>
      <c r="U43" s="156"/>
      <c r="V43" s="156"/>
      <c r="W43" s="157"/>
      <c r="X43" s="156"/>
      <c r="Y43" s="156"/>
      <c r="Z43" s="60"/>
    </row>
    <row r="44" spans="1:27" s="39" customFormat="1" ht="12.9" customHeight="1" x14ac:dyDescent="0.25">
      <c r="B44" s="175"/>
      <c r="C44" s="175"/>
      <c r="D44" s="175"/>
      <c r="N44" s="55" t="s">
        <v>25</v>
      </c>
      <c r="P44" s="155" t="s">
        <v>156</v>
      </c>
      <c r="Q44" s="153" t="s">
        <v>156</v>
      </c>
      <c r="R44" s="53" t="s">
        <v>156</v>
      </c>
      <c r="S44" s="53"/>
      <c r="T44" s="174"/>
      <c r="U44" s="156"/>
      <c r="V44" s="156"/>
      <c r="W44" s="157"/>
      <c r="X44" s="156"/>
      <c r="Y44" s="156"/>
      <c r="Z44" s="60"/>
    </row>
    <row r="45" spans="1:27" s="39" customFormat="1" ht="12.9" customHeight="1" x14ac:dyDescent="0.25">
      <c r="B45" s="175"/>
      <c r="C45" s="175"/>
      <c r="D45" s="175"/>
      <c r="N45" s="53" t="s">
        <v>26</v>
      </c>
      <c r="P45" s="155" t="s">
        <v>156</v>
      </c>
      <c r="Q45" s="153" t="s">
        <v>156</v>
      </c>
      <c r="R45" s="53" t="s">
        <v>156</v>
      </c>
      <c r="S45" s="53"/>
      <c r="T45" s="174"/>
      <c r="U45" s="156"/>
      <c r="V45" s="156"/>
      <c r="W45" s="157"/>
      <c r="X45" s="156"/>
      <c r="Y45" s="156"/>
      <c r="Z45" s="60"/>
    </row>
    <row r="46" spans="1:27" s="39" customFormat="1" ht="12.9" customHeight="1" x14ac:dyDescent="0.25">
      <c r="A46" s="122" t="s">
        <v>74</v>
      </c>
      <c r="Z46" s="60"/>
    </row>
    <row r="47" spans="1:27" s="39" customFormat="1" ht="12.9" customHeight="1" x14ac:dyDescent="0.25">
      <c r="A47" s="55" t="s">
        <v>75</v>
      </c>
    </row>
    <row r="48" spans="1:27" s="39" customFormat="1" ht="12.9" customHeight="1" x14ac:dyDescent="0.25">
      <c r="A48" s="55" t="s">
        <v>76</v>
      </c>
    </row>
    <row r="49" spans="1:19" s="39" customFormat="1" ht="12.9" customHeight="1" x14ac:dyDescent="0.25">
      <c r="A49" s="55" t="s">
        <v>77</v>
      </c>
    </row>
    <row r="50" spans="1:19" s="39" customFormat="1" ht="12.9" customHeight="1" x14ac:dyDescent="0.25">
      <c r="A50" s="55" t="s">
        <v>78</v>
      </c>
    </row>
    <row r="51" spans="1:19" s="39" customFormat="1" ht="12.9" customHeight="1" x14ac:dyDescent="0.25">
      <c r="A51" s="55" t="s">
        <v>77</v>
      </c>
    </row>
    <row r="52" spans="1:19" s="39" customFormat="1" ht="12.9" customHeight="1" x14ac:dyDescent="0.25">
      <c r="A52" s="55" t="s">
        <v>79</v>
      </c>
    </row>
    <row r="53" spans="1:19" s="39" customFormat="1" ht="12.9" customHeight="1" x14ac:dyDescent="0.25"/>
    <row r="54" spans="1:19" s="39" customFormat="1" ht="12.9" customHeight="1" x14ac:dyDescent="0.25"/>
    <row r="55" spans="1:19" s="39" customFormat="1" ht="12.9" customHeight="1" x14ac:dyDescent="0.25"/>
    <row r="56" spans="1:19" s="39" customFormat="1" ht="12.9" customHeight="1" x14ac:dyDescent="0.25"/>
    <row r="57" spans="1:19" s="39" customFormat="1" ht="12.9" customHeight="1" x14ac:dyDescent="0.25"/>
    <row r="58" spans="1:19" s="39" customFormat="1" ht="12.9" customHeight="1" x14ac:dyDescent="0.25"/>
    <row r="59" spans="1:19" s="39" customFormat="1" ht="12.9" customHeight="1" x14ac:dyDescent="0.25"/>
    <row r="60" spans="1:19" s="39" customFormat="1" ht="12.9" customHeight="1" x14ac:dyDescent="0.25"/>
    <row r="61" spans="1:19" s="39" customFormat="1" ht="12.9" customHeight="1" x14ac:dyDescent="0.25"/>
    <row r="62" spans="1:19" s="39" customFormat="1" ht="12.9" customHeight="1" x14ac:dyDescent="0.25">
      <c r="F62" s="169">
        <v>37108.516976967592</v>
      </c>
      <c r="G62" s="169">
        <v>36743.516976967592</v>
      </c>
      <c r="Q62" s="169">
        <v>36892</v>
      </c>
      <c r="R62" s="169">
        <v>37108.516976967592</v>
      </c>
    </row>
    <row r="63" spans="1:19" s="39" customFormat="1" ht="12.9" customHeight="1" x14ac:dyDescent="0.25">
      <c r="H63" s="39" t="s">
        <v>63</v>
      </c>
      <c r="S63" s="39" t="s">
        <v>64</v>
      </c>
    </row>
    <row r="64" spans="1:19" s="39" customFormat="1" ht="12.9" customHeight="1" x14ac:dyDescent="0.25">
      <c r="E64" s="39" t="s">
        <v>600</v>
      </c>
      <c r="F64" s="151">
        <v>39.08</v>
      </c>
      <c r="G64" s="151">
        <v>33.0625</v>
      </c>
      <c r="H64" s="177">
        <v>0.18200378071833642</v>
      </c>
      <c r="P64" s="39" t="s">
        <v>600</v>
      </c>
      <c r="Q64" s="151">
        <v>35.89</v>
      </c>
      <c r="R64" s="151">
        <v>39.08</v>
      </c>
      <c r="S64" s="177">
        <v>8.8882697130119745E-2</v>
      </c>
    </row>
    <row r="65" spans="5:26" s="39" customFormat="1" ht="12.9" customHeight="1" x14ac:dyDescent="0.25">
      <c r="E65" s="39" t="s">
        <v>606</v>
      </c>
      <c r="F65" s="159">
        <v>35.14</v>
      </c>
      <c r="G65" s="159">
        <v>25.8125</v>
      </c>
      <c r="H65" s="177">
        <v>0.36135593220338985</v>
      </c>
      <c r="P65" s="39" t="s">
        <v>606</v>
      </c>
      <c r="Q65" s="159">
        <v>33.6875</v>
      </c>
      <c r="R65" s="159">
        <v>35.14</v>
      </c>
      <c r="S65" s="177">
        <v>4.3116883116883137E-2</v>
      </c>
    </row>
    <row r="66" spans="5:26" s="39" customFormat="1" ht="12.9" customHeight="1" x14ac:dyDescent="0.25">
      <c r="E66" s="39" t="s">
        <v>608</v>
      </c>
      <c r="F66" s="159">
        <v>44.7</v>
      </c>
      <c r="G66" s="159">
        <v>27.9375</v>
      </c>
      <c r="H66" s="177">
        <v>0.6</v>
      </c>
      <c r="P66" s="39" t="s">
        <v>608</v>
      </c>
      <c r="Q66" s="159">
        <v>33.9375</v>
      </c>
      <c r="R66" s="159">
        <v>44.7</v>
      </c>
      <c r="S66" s="177">
        <v>0.31712707182320449</v>
      </c>
    </row>
    <row r="67" spans="5:26" s="39" customFormat="1" ht="12.9" customHeight="1" x14ac:dyDescent="0.25">
      <c r="E67" s="39" t="s">
        <v>610</v>
      </c>
      <c r="F67" s="159">
        <v>35.6</v>
      </c>
      <c r="G67" s="159">
        <v>26.6875</v>
      </c>
      <c r="H67" s="177">
        <v>0.3339578454332553</v>
      </c>
      <c r="P67" s="39" t="s">
        <v>610</v>
      </c>
      <c r="Q67" s="159">
        <v>37.1875</v>
      </c>
      <c r="R67" s="159">
        <v>35.6</v>
      </c>
      <c r="S67" s="177">
        <v>-4.2689075630252066E-2</v>
      </c>
    </row>
    <row r="68" spans="5:26" s="39" customFormat="1" ht="12.9" customHeight="1" x14ac:dyDescent="0.25">
      <c r="E68" s="39" t="s">
        <v>612</v>
      </c>
      <c r="F68" s="159">
        <v>47.61</v>
      </c>
      <c r="G68" s="159">
        <v>23.75</v>
      </c>
      <c r="H68" s="177">
        <v>1.0046315789473683</v>
      </c>
      <c r="P68" s="39" t="s">
        <v>612</v>
      </c>
      <c r="Q68" s="159">
        <v>30.875</v>
      </c>
      <c r="R68" s="159">
        <v>47.61</v>
      </c>
      <c r="S68" s="177">
        <v>0.54202429149797571</v>
      </c>
    </row>
    <row r="69" spans="5:26" s="39" customFormat="1" ht="12.9" customHeight="1" x14ac:dyDescent="0.25">
      <c r="F69" s="159"/>
      <c r="G69" s="159"/>
      <c r="H69" s="177"/>
      <c r="Q69" s="159"/>
      <c r="R69" s="159"/>
      <c r="S69" s="177"/>
    </row>
    <row r="70" spans="5:26" s="39" customFormat="1" ht="12.9" customHeight="1" x14ac:dyDescent="0.25">
      <c r="F70" s="159"/>
      <c r="G70" s="159"/>
      <c r="H70" s="177"/>
      <c r="Q70" s="159"/>
      <c r="R70" s="159"/>
      <c r="S70" s="177"/>
    </row>
    <row r="71" spans="5:26" ht="12.9" customHeight="1" x14ac:dyDescent="0.25">
      <c r="E71" s="39"/>
      <c r="F71" s="159"/>
      <c r="G71" s="159"/>
      <c r="H71" s="177"/>
      <c r="P71" s="39"/>
      <c r="Q71" s="159"/>
      <c r="R71" s="159"/>
      <c r="S71" s="177"/>
      <c r="Z71" s="39"/>
    </row>
    <row r="72" spans="5:26" ht="12.9" customHeight="1" x14ac:dyDescent="0.25">
      <c r="E72" s="39"/>
      <c r="F72" s="159"/>
      <c r="G72" s="159"/>
      <c r="H72" s="177"/>
      <c r="P72" s="39"/>
      <c r="Q72" s="159"/>
      <c r="R72" s="159"/>
      <c r="S72" s="177"/>
    </row>
    <row r="73" spans="5:26" ht="12.9" customHeight="1" x14ac:dyDescent="0.25">
      <c r="E73" s="39"/>
      <c r="F73" s="159"/>
      <c r="G73" s="159"/>
      <c r="H73" s="177"/>
      <c r="P73" s="39"/>
      <c r="Q73" s="159"/>
      <c r="R73" s="159"/>
      <c r="S73" s="177"/>
    </row>
    <row r="74" spans="5:26" ht="12.9" customHeight="1" x14ac:dyDescent="0.25">
      <c r="E74" s="39"/>
      <c r="F74" s="159"/>
      <c r="G74" s="159"/>
      <c r="H74" s="177"/>
      <c r="P74" s="39"/>
      <c r="Q74" s="159"/>
      <c r="R74" s="159"/>
      <c r="S74" s="177"/>
    </row>
    <row r="75" spans="5:26" ht="12.9" customHeight="1" x14ac:dyDescent="0.25">
      <c r="E75" s="39"/>
      <c r="F75" s="159"/>
      <c r="G75" s="159"/>
      <c r="H75" s="177"/>
      <c r="P75" s="165"/>
      <c r="Q75" s="159"/>
      <c r="R75" s="159"/>
      <c r="S75" s="177"/>
    </row>
    <row r="76" spans="5:26" ht="12.9" customHeight="1" x14ac:dyDescent="0.25">
      <c r="E76" s="39"/>
      <c r="F76" s="159"/>
      <c r="G76" s="159"/>
      <c r="H76" s="177"/>
      <c r="P76" s="165"/>
      <c r="Q76" s="159"/>
      <c r="R76" s="159"/>
      <c r="S76" s="177"/>
    </row>
    <row r="77" spans="5:26" ht="12.9" customHeight="1" x14ac:dyDescent="0.25">
      <c r="E77" s="39"/>
      <c r="F77" s="159"/>
      <c r="G77" s="159"/>
      <c r="H77" s="177"/>
      <c r="P77" s="165"/>
      <c r="Q77" s="159"/>
      <c r="R77" s="159"/>
      <c r="S77" s="177"/>
    </row>
    <row r="78" spans="5:26" ht="12.9" customHeight="1" x14ac:dyDescent="0.25">
      <c r="E78" s="39"/>
      <c r="F78" s="159"/>
      <c r="G78" s="159"/>
      <c r="H78" s="177"/>
      <c r="P78" s="165"/>
      <c r="Q78" s="159"/>
      <c r="R78" s="159"/>
      <c r="S78" s="177"/>
    </row>
    <row r="79" spans="5:26" ht="12.9" customHeight="1" x14ac:dyDescent="0.25">
      <c r="E79" s="39"/>
    </row>
    <row r="80" spans="5:26" ht="12.9" customHeight="1" x14ac:dyDescent="0.25"/>
    <row r="81" ht="12.9" customHeight="1" x14ac:dyDescent="0.25"/>
    <row r="82" ht="12.9" customHeight="1" x14ac:dyDescent="0.25"/>
    <row r="83" ht="12.9" customHeight="1" x14ac:dyDescent="0.25"/>
    <row r="84" ht="12.9" customHeight="1" x14ac:dyDescent="0.25"/>
    <row r="85" ht="12.9" customHeight="1" x14ac:dyDescent="0.25"/>
    <row r="86" ht="12.9" customHeight="1" x14ac:dyDescent="0.25"/>
    <row r="87" ht="12.9" customHeight="1" x14ac:dyDescent="0.25"/>
    <row r="88" ht="12.9" customHeight="1" x14ac:dyDescent="0.25"/>
    <row r="89" ht="12.9" customHeight="1" x14ac:dyDescent="0.25"/>
    <row r="90" ht="12.9" customHeight="1" x14ac:dyDescent="0.25"/>
    <row r="91" ht="12.9" customHeight="1" x14ac:dyDescent="0.25"/>
    <row r="92" ht="12.9" customHeight="1" x14ac:dyDescent="0.25"/>
    <row r="93" ht="12.9" customHeight="1" x14ac:dyDescent="0.25"/>
    <row r="94" ht="12.9" customHeight="1" x14ac:dyDescent="0.25"/>
    <row r="95" ht="12.9" customHeight="1" x14ac:dyDescent="0.25"/>
    <row r="96" ht="12.9" customHeight="1" x14ac:dyDescent="0.25"/>
    <row r="97" ht="12.9" customHeight="1" x14ac:dyDescent="0.25"/>
    <row r="98" ht="12.9" customHeight="1" x14ac:dyDescent="0.25"/>
    <row r="99" ht="12.9" customHeight="1" x14ac:dyDescent="0.25"/>
    <row r="100" ht="12.9" customHeight="1" x14ac:dyDescent="0.25"/>
    <row r="101" ht="12.9" customHeight="1" x14ac:dyDescent="0.25"/>
    <row r="102" ht="12.9" customHeight="1" x14ac:dyDescent="0.25"/>
    <row r="103" ht="12.9" customHeight="1" x14ac:dyDescent="0.25"/>
    <row r="104" ht="12.9" customHeight="1" x14ac:dyDescent="0.25"/>
    <row r="105" ht="12.9" customHeight="1" x14ac:dyDescent="0.25"/>
    <row r="106" ht="12.9" customHeight="1" x14ac:dyDescent="0.25"/>
    <row r="107" ht="12.9" customHeight="1" x14ac:dyDescent="0.25"/>
    <row r="108" ht="12.9" customHeight="1" x14ac:dyDescent="0.25"/>
    <row r="109" ht="12.9" customHeight="1" x14ac:dyDescent="0.25"/>
    <row r="110" ht="12.9" customHeight="1" x14ac:dyDescent="0.25"/>
    <row r="111" ht="12.9" customHeight="1" x14ac:dyDescent="0.25"/>
  </sheetData>
  <mergeCells count="3">
    <mergeCell ref="I8:K8"/>
    <mergeCell ref="L8:N8"/>
    <mergeCell ref="O8:Q8"/>
  </mergeCells>
  <phoneticPr fontId="0" type="noConversion"/>
  <pageMargins left="0" right="0" top="0" bottom="0" header="0.5" footer="0.5"/>
  <pageSetup scale="54" orientation="landscape" verticalDpi="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15"/>
  <sheetViews>
    <sheetView zoomScale="50" workbookViewId="0"/>
  </sheetViews>
  <sheetFormatPr defaultColWidth="9.109375" defaultRowHeight="13.2" outlineLevelCol="1" x14ac:dyDescent="0.25"/>
  <cols>
    <col min="1" max="1" width="29.6640625" style="38" customWidth="1"/>
    <col min="2" max="2" width="12.88671875" style="38" customWidth="1"/>
    <col min="3" max="3" width="12.6640625" style="38" customWidth="1"/>
    <col min="4" max="4" width="10.6640625" style="38" customWidth="1"/>
    <col min="5" max="5" width="11.6640625" style="38" customWidth="1"/>
    <col min="6" max="6" width="10.6640625" style="38" customWidth="1"/>
    <col min="7" max="7" width="11.6640625" style="38" customWidth="1"/>
    <col min="8" max="8" width="10.6640625" style="38" customWidth="1"/>
    <col min="9" max="9" width="8.6640625" style="38" hidden="1" customWidth="1" outlineLevel="1"/>
    <col min="10" max="10" width="8.6640625" style="38" customWidth="1" collapsed="1"/>
    <col min="11" max="11" width="8.6640625" style="38" customWidth="1"/>
    <col min="12" max="12" width="8.6640625" style="38" hidden="1" customWidth="1" outlineLevel="1"/>
    <col min="13" max="13" width="8.6640625" style="38" customWidth="1" collapsed="1"/>
    <col min="14" max="14" width="8.6640625" style="38" customWidth="1"/>
    <col min="15" max="15" width="8.6640625" style="38" hidden="1" customWidth="1" outlineLevel="1"/>
    <col min="16" max="16" width="8.6640625" style="38" customWidth="1" collapsed="1"/>
    <col min="17" max="17" width="8.6640625" style="38" customWidth="1"/>
    <col min="18" max="25" width="9.6640625" style="38" customWidth="1"/>
    <col min="26" max="26" width="10.6640625" style="38" customWidth="1"/>
    <col min="27" max="27" width="9.109375" style="38"/>
    <col min="28" max="30" width="10.6640625" style="38" customWidth="1"/>
    <col min="31" max="31" width="15.6640625" style="38" customWidth="1"/>
    <col min="32" max="16384" width="9.109375" style="38"/>
  </cols>
  <sheetData>
    <row r="1" spans="1:33" ht="17.399999999999999" x14ac:dyDescent="0.3">
      <c r="A1" s="145" t="s">
        <v>592</v>
      </c>
      <c r="B1" s="145"/>
      <c r="C1" s="145"/>
    </row>
    <row r="2" spans="1:33" ht="15" customHeight="1" x14ac:dyDescent="0.3">
      <c r="A2" s="44" t="s">
        <v>0</v>
      </c>
      <c r="B2" s="44"/>
      <c r="C2" s="44"/>
      <c r="AG2" s="57"/>
    </row>
    <row r="3" spans="1:33" x14ac:dyDescent="0.25">
      <c r="A3" s="146" t="s">
        <v>1</v>
      </c>
      <c r="B3" s="146"/>
      <c r="C3" s="146"/>
      <c r="AG3" s="57"/>
    </row>
    <row r="4" spans="1:33" x14ac:dyDescent="0.25">
      <c r="A4" s="146"/>
      <c r="B4" s="146"/>
      <c r="C4" s="146"/>
      <c r="AG4" s="57"/>
    </row>
    <row r="5" spans="1:33" x14ac:dyDescent="0.25">
      <c r="A5" s="146"/>
      <c r="B5" s="146"/>
      <c r="C5" s="146"/>
      <c r="AG5" s="57"/>
    </row>
    <row r="6" spans="1:33" x14ac:dyDescent="0.25">
      <c r="A6" s="147" t="s">
        <v>2</v>
      </c>
      <c r="B6" s="45">
        <v>37111</v>
      </c>
      <c r="C6" s="149"/>
    </row>
    <row r="7" spans="1:33" x14ac:dyDescent="0.25">
      <c r="H7" s="39" t="s">
        <v>3</v>
      </c>
      <c r="U7" s="47" t="s">
        <v>4</v>
      </c>
      <c r="V7" s="47"/>
      <c r="W7" s="47"/>
      <c r="X7" s="47" t="s">
        <v>5</v>
      </c>
      <c r="Y7" s="47"/>
      <c r="Z7" s="39" t="s">
        <v>6</v>
      </c>
    </row>
    <row r="8" spans="1:33" x14ac:dyDescent="0.25">
      <c r="C8" s="39" t="s">
        <v>7</v>
      </c>
      <c r="D8" s="39" t="s">
        <v>8</v>
      </c>
      <c r="E8" s="48" t="s">
        <v>9</v>
      </c>
      <c r="F8" s="48"/>
      <c r="G8" s="39" t="s">
        <v>10</v>
      </c>
      <c r="H8" s="39" t="s">
        <v>10</v>
      </c>
      <c r="I8" s="347" t="s">
        <v>11</v>
      </c>
      <c r="J8" s="347"/>
      <c r="K8" s="347"/>
      <c r="L8" s="347" t="s">
        <v>12</v>
      </c>
      <c r="M8" s="347"/>
      <c r="N8" s="347"/>
      <c r="O8" s="347" t="s">
        <v>13</v>
      </c>
      <c r="P8" s="347"/>
      <c r="Q8" s="347"/>
      <c r="R8" s="49" t="s">
        <v>14</v>
      </c>
      <c r="S8" s="50" t="s">
        <v>15</v>
      </c>
      <c r="T8" s="39" t="s">
        <v>16</v>
      </c>
      <c r="U8" s="39" t="s">
        <v>17</v>
      </c>
      <c r="V8" s="39"/>
      <c r="W8" s="51" t="s">
        <v>18</v>
      </c>
      <c r="X8" s="39" t="s">
        <v>17</v>
      </c>
      <c r="Y8" s="39" t="s">
        <v>19</v>
      </c>
      <c r="Z8" s="39" t="s">
        <v>20</v>
      </c>
      <c r="AA8" s="50"/>
    </row>
    <row r="9" spans="1:33" x14ac:dyDescent="0.25">
      <c r="A9" s="39" t="s">
        <v>21</v>
      </c>
      <c r="B9" s="39" t="s">
        <v>22</v>
      </c>
      <c r="C9" s="39" t="s">
        <v>23</v>
      </c>
      <c r="D9" s="39" t="s">
        <v>24</v>
      </c>
      <c r="E9" s="39" t="s">
        <v>25</v>
      </c>
      <c r="F9" s="39" t="s">
        <v>26</v>
      </c>
      <c r="G9" s="39" t="s">
        <v>27</v>
      </c>
      <c r="H9" s="39" t="s">
        <v>27</v>
      </c>
      <c r="I9" s="39" t="s">
        <v>28</v>
      </c>
      <c r="J9" s="51" t="str">
        <f>TEXT([2]output!$AK$16-365,"YYYY")&amp;"E"</f>
        <v>2001E</v>
      </c>
      <c r="K9" s="51" t="str">
        <f>TEXT([2]output!$AK$16,"YYYY")&amp;"E"</f>
        <v>2002E</v>
      </c>
      <c r="L9" s="39" t="s">
        <v>28</v>
      </c>
      <c r="M9" s="51" t="str">
        <f>TEXT([2]output!$AK$16-365,"YYYY")&amp;"E"</f>
        <v>2001E</v>
      </c>
      <c r="N9" s="51" t="str">
        <f>TEXT([2]output!$AK$16,"YYYY")&amp;"E"</f>
        <v>2002E</v>
      </c>
      <c r="O9" s="39" t="s">
        <v>28</v>
      </c>
      <c r="P9" s="51" t="str">
        <f>TEXT([2]output!$AK$16-365,"YYYY")&amp;"E"</f>
        <v>2001E</v>
      </c>
      <c r="Q9" s="51" t="str">
        <f>TEXT([2]output!$AK$16,"YYYY")&amp;"E"</f>
        <v>2002E</v>
      </c>
      <c r="R9" s="39" t="s">
        <v>29</v>
      </c>
      <c r="S9" s="39" t="s">
        <v>30</v>
      </c>
      <c r="T9" s="39" t="s">
        <v>31</v>
      </c>
      <c r="U9" s="39" t="s">
        <v>32</v>
      </c>
      <c r="V9" s="39" t="s">
        <v>33</v>
      </c>
      <c r="W9" s="39" t="s">
        <v>34</v>
      </c>
      <c r="X9" s="39" t="s">
        <v>35</v>
      </c>
      <c r="Y9" s="39" t="s">
        <v>5</v>
      </c>
      <c r="Z9" s="39" t="s">
        <v>36</v>
      </c>
      <c r="AA9" s="50"/>
    </row>
    <row r="10" spans="1:33" ht="4.95" customHeight="1" x14ac:dyDescent="0.25">
      <c r="A10" s="150" t="s">
        <v>37</v>
      </c>
      <c r="B10" s="150" t="s">
        <v>37</v>
      </c>
      <c r="C10" s="150" t="s">
        <v>37</v>
      </c>
      <c r="D10" s="150" t="s">
        <v>37</v>
      </c>
      <c r="E10" s="150" t="s">
        <v>37</v>
      </c>
      <c r="F10" s="150" t="s">
        <v>37</v>
      </c>
      <c r="G10" s="150" t="s">
        <v>37</v>
      </c>
      <c r="H10" s="150" t="s">
        <v>37</v>
      </c>
      <c r="I10" s="150" t="s">
        <v>37</v>
      </c>
      <c r="J10" s="150" t="s">
        <v>37</v>
      </c>
      <c r="K10" s="150" t="s">
        <v>37</v>
      </c>
      <c r="L10" s="150" t="s">
        <v>37</v>
      </c>
      <c r="M10" s="150" t="s">
        <v>37</v>
      </c>
      <c r="N10" s="150" t="s">
        <v>37</v>
      </c>
      <c r="O10" s="150" t="s">
        <v>37</v>
      </c>
      <c r="P10" s="150" t="s">
        <v>37</v>
      </c>
      <c r="Q10" s="150" t="s">
        <v>37</v>
      </c>
      <c r="R10" s="150" t="s">
        <v>37</v>
      </c>
      <c r="S10" s="150" t="s">
        <v>37</v>
      </c>
      <c r="T10" s="150" t="s">
        <v>37</v>
      </c>
      <c r="U10" s="150" t="s">
        <v>37</v>
      </c>
      <c r="V10" s="150" t="s">
        <v>37</v>
      </c>
      <c r="W10" s="150" t="s">
        <v>37</v>
      </c>
      <c r="X10" s="150" t="s">
        <v>37</v>
      </c>
      <c r="Y10" s="150" t="s">
        <v>37</v>
      </c>
      <c r="Z10" s="150" t="s">
        <v>37</v>
      </c>
      <c r="AA10" s="55"/>
    </row>
    <row r="11" spans="1:33" ht="12.75" customHeight="1" x14ac:dyDescent="0.25">
      <c r="A11" s="38" t="str">
        <f>[6]CASY!$D$305</f>
        <v>Casey's General Stores, Inc.</v>
      </c>
      <c r="B11" s="39" t="str">
        <f>[6]CASY!$E$305</f>
        <v>CASY</v>
      </c>
      <c r="C11" s="169">
        <f>[6]CASY!$D$9</f>
        <v>37099</v>
      </c>
      <c r="D11" s="159">
        <f>_xll.FDS(B11,"ib_price",$B$6)</f>
        <v>14.100000000000001</v>
      </c>
      <c r="E11" s="159">
        <f>_xll.FDS(B11,"ib_price_high_52w",$B$6)</f>
        <v>15</v>
      </c>
      <c r="F11" s="159">
        <f>_xll.FDS(B11,"ib_price_low_52w",$B$6)</f>
        <v>10.25</v>
      </c>
      <c r="G11" s="160">
        <f t="shared" ref="G11:G18" si="0">D11*Z11</f>
        <v>701.0574729931036</v>
      </c>
      <c r="H11" s="160">
        <f>G11+[6]CASY!$J$123</f>
        <v>874.60347299310365</v>
      </c>
      <c r="I11" s="339" t="str">
        <f>IF(ISERROR(IF(OR(#REF!/[6]CASY!$O$46&lt;=0,G11/[6]CASY!$O$46&gt;=$AE$13),"NM",#REF!/[6]CASY!$O$46)),"NA",IF(OR(#REF!/[6]CASY!$O$46&lt;=0,G11/[6]CASY!$O$46&gt;=$AE$13),"NM",#REF!/[6]CASY!$O$46))</f>
        <v>NA</v>
      </c>
      <c r="J11" s="154" t="str">
        <f>IF(OR(D11/[6]CASY!$P$58&lt;=0,D11/[6]CASY!$P$58&gt;=AE18),"NM",D11/[6]CASY!$P$58)</f>
        <v>NM</v>
      </c>
      <c r="K11" s="154">
        <f>IF(OR($D11/[6]CASY!$Q$58&lt;=0,$D11/[6]CASY!$Q$58&gt;=$AE$13),"NM",$D11/[6]CASY!$Q$58)</f>
        <v>14.557994507196401</v>
      </c>
      <c r="L11" s="154" t="str">
        <f>IF(ISERROR(IF(OR(#REF!/[6]CASY!$O$52&lt;=0,J11/[6]CASY!$O$52&gt;=$AE$13),"NM",#REF!/[6]CASY!$O$52)),"NA",IF(OR(#REF!/[6]CASY!$O$52&lt;=0,J11/[6]CASY!$O$52&gt;=$AE$13),"NM",#REF!/[6]CASY!$O$52))</f>
        <v>NA</v>
      </c>
      <c r="M11" s="154">
        <f>IF(OR($D11/[6]CASY!$P$59&lt;=0,$D11/[6]CASY!$P$59&gt;=$AE$13),"NM",$D11/[6]CASY!$P$59)</f>
        <v>8.088665542284792</v>
      </c>
      <c r="N11" s="154">
        <f>IF(OR($D11/[6]CASY!$Q$59&lt;=0,$D11/[6]CASY!$Q$59&gt;=$AE$13),"NM",$D11/[6]CASY!$Q$59)</f>
        <v>6.8133716041866004</v>
      </c>
      <c r="O11" s="154">
        <f>IF(G11/[6]CASY!O$28&gt;=$AE$13,"NM",G11/[6]CASY!O$28)</f>
        <v>5.9842209882382491</v>
      </c>
      <c r="P11" s="154">
        <f>IF(H11/[6]CASY!P$28&gt;=$AE$13,"NM",H11/[6]CASY!P$28)</f>
        <v>7.4985079605365677</v>
      </c>
      <c r="Q11" s="154">
        <f>IF(H11/[6]CASY!$Q$28&gt;=$AE$13,"NM",H11/[6]CASY!$Q$28)</f>
        <v>6.3695540965195807</v>
      </c>
      <c r="R11" s="128">
        <f>[6]CASY!$J$132</f>
        <v>0.3801269624747653</v>
      </c>
      <c r="S11" s="154">
        <f>IF(G11/[6]CASY!$I$97&lt;=0,"NM",G11/[6]CASY!$I$97)</f>
        <v>2.0624918301219846</v>
      </c>
      <c r="T11" s="128">
        <f>_xll.FDS(B11,"ib_div_yld",0)/100</f>
        <v>5.6100999999999998E-3</v>
      </c>
      <c r="U11" s="161">
        <f>[6]CASY!$S$305</f>
        <v>0</v>
      </c>
      <c r="V11" s="128" t="str">
        <f>[6]CASY!$T$305</f>
        <v>NA</v>
      </c>
      <c r="W11" s="159" t="str">
        <f>IF(ISERROR(((([6]CASY!$Q$282/[6]CASY!$Q$285)*H11)/U11)),"NA",((([6]CASY!$Q$282/[6]CASY!$Q$285)*H11)/U11))</f>
        <v>NA</v>
      </c>
      <c r="X11" s="160">
        <f>[6]CASY!$V$305</f>
        <v>0</v>
      </c>
      <c r="Y11" s="154" t="str">
        <f>IF(ISERROR(((([6]CASY!$Q$282/[6]CASY!$Q$285)*G11)/X11)),"NA",((([6]CASY!$Q$282/[6]CASY!$Q$285)*G11)/X11))</f>
        <v>NA</v>
      </c>
      <c r="Z11" s="162">
        <f>[6]CASY!$S$56</f>
        <v>49.720388155539254</v>
      </c>
      <c r="AA11" s="55"/>
    </row>
    <row r="12" spans="1:33" ht="12.75" customHeight="1" thickBot="1" x14ac:dyDescent="0.3">
      <c r="A12" s="38" t="str">
        <f>[7]DMC!$D$305</f>
        <v>Dairy Mart Convenience Stores</v>
      </c>
      <c r="B12" s="39" t="str">
        <f>[7]DMC!$E$305</f>
        <v>DMC</v>
      </c>
      <c r="C12" s="169">
        <f>[7]DMC!$D$9</f>
        <v>37099</v>
      </c>
      <c r="D12" s="159">
        <f>_xll.FDS(B12,"ib_price",$B$6)</f>
        <v>1.1000000000000001</v>
      </c>
      <c r="E12" s="159">
        <f>_xll.FDS(B12,"ib_price_high_52w",$B$6)</f>
        <v>5.875</v>
      </c>
      <c r="F12" s="159">
        <f>_xll.FDS(B12,"ib_price_low_52w",$B$6)</f>
        <v>0.9</v>
      </c>
      <c r="G12" s="160">
        <f t="shared" si="0"/>
        <v>5.5022286000000005</v>
      </c>
      <c r="H12" s="160">
        <f>G12+[7]DMC!$J$123</f>
        <v>132.43522859999999</v>
      </c>
      <c r="I12" s="154" t="str">
        <f>IF(OR($G$13/[7]DMC!$O$46&lt;=0,$G$13/[7]DMC!$O$46&gt;=$AE$13),"NM",$G$13/[7]DMC!$O$46)</f>
        <v>NM</v>
      </c>
      <c r="J12" s="154" t="str">
        <f>IF(ISERROR(IF(OR(D12/[7]DMC!$P$58&lt;=0,D12/[7]DMC!$P$58&gt;=AE18),"NM",D12/[7]DMC!$P$58)),"NA",IF(OR(D12/[7]DMC!$P$58&lt;=0,D12/[7]DMC!$P$58&gt;=AE18),"NM",D12/[7]DMC!$P$58))</f>
        <v>NA</v>
      </c>
      <c r="K12" s="154" t="str">
        <f>IF(ISERROR(IF(OR($D12/[7]DMC!$Q$58&lt;=0,$D12/[7]DMC!$Q$58&gt;=$AE$13),"NM",$D12/[7]DMC!$Q$58)),"NA",IF(OR($D12/[7]DMC!$Q$58&lt;=0,$D12/[7]DMC!$Q$58&gt;=$AE$13),"NM",$D12/[7]DMC!$Q$58))</f>
        <v>NA</v>
      </c>
      <c r="L12" s="154" t="str">
        <f>IF(OR($G$13/[7]DMC!$O$52&lt;=0,$G$13/[7]DMC!$O$52&gt;=$AE$13),"NM",$G$13/[7]DMC!$O$52)</f>
        <v>NM</v>
      </c>
      <c r="M12" s="154" t="str">
        <f>IF(ISERROR(IF(OR($D12/[7]DMC!$P$59&lt;=0,$D12/[7]DMC!$P$59&gt;=$AE$13),"NM",$D12/[7]DMC!$P$59)),"NA",IF(OR($D12/[7]DMC!$P$59&lt;=0,$D12/[7]DMC!$P$59&gt;=$AE$13),"NM",$D12/[7]DMC!$P$59))</f>
        <v>NA</v>
      </c>
      <c r="N12" s="154" t="str">
        <f>IF(ISERROR(IF(OR($D12/[7]DMC!$Q$59&lt;=0,$D12/[7]DMC!$Q$59&gt;=$AE$13),"NM",$D12/[7]DMC!$Q$59)),"NA",IF(OR($D12/[7]DMC!$Q$59&lt;=0,$D12/[7]DMC!$Q$59&gt;=$AE$13),"NM",$D12/[7]DMC!$Q$59))</f>
        <v>NA</v>
      </c>
      <c r="O12" s="154">
        <f>IF(G12/[7]DMC!O$28&gt;=$AE$13,"NM",G12/[7]DMC!O$28)</f>
        <v>1.0476444402132503</v>
      </c>
      <c r="P12" s="154" t="str">
        <f>IF(ISERROR(IF(H12/[7]DMC!P$28&gt;=$AE$13,"NM",H12/[7]DMC!P$28)),"NA",IF(H12/[7]DMC!P$28&gt;=$AE$13,"NM",H12/[7]DMC!P$28))</f>
        <v>NA</v>
      </c>
      <c r="Q12" s="154" t="str">
        <f>IF(ISERROR(IF(H12/[7]DMC!$Q$28&gt;=$AE$13,"NM",H12/[7]DMC!$Q$28)),"NA",IF(H12/[7]DMC!$Q$28&gt;=$AE$13,"NM",H12/[7]DMC!$Q$28))</f>
        <v>NA</v>
      </c>
      <c r="R12" s="128">
        <f>[7]DMC!$J$132</f>
        <v>1.1965268953833121</v>
      </c>
      <c r="S12" s="154">
        <f>G12/[7]DMC!$I$97</f>
        <v>-0.24704690193965514</v>
      </c>
      <c r="T12" s="128">
        <f>_xll.FDS(B12,"ib_div_yld",0)/100</f>
        <v>0</v>
      </c>
      <c r="U12" s="161">
        <f>[7]DMC!$S$305</f>
        <v>0</v>
      </c>
      <c r="V12" s="128" t="str">
        <f>[7]DMC!$T$305</f>
        <v>NA</v>
      </c>
      <c r="W12" s="159" t="str">
        <f>IF(ISERROR(((([7]DMC!$Q$282/[7]DMC!$Q$285)*H12)/U12)),"NA",((([7]DMC!$Q$282/[7]DMC!$Q$285)*H12)/U12))</f>
        <v>NA</v>
      </c>
      <c r="X12" s="160">
        <f>[7]DMC!$V$305</f>
        <v>0</v>
      </c>
      <c r="Y12" s="154" t="str">
        <f>IF(ISERROR(((([7]DMC!$Q$282/[7]DMC!$Q$285)*G12)/X12)),"NA",((([7]DMC!$Q$282/[7]DMC!$Q$285)*G12)/X12))</f>
        <v>NA</v>
      </c>
      <c r="Z12" s="162">
        <f>[7]DMC!$S$56</f>
        <v>5.0020259999999999</v>
      </c>
      <c r="AA12" s="55"/>
    </row>
    <row r="13" spans="1:33" ht="12.75" customHeight="1" x14ac:dyDescent="0.25">
      <c r="A13" s="38" t="str">
        <f>[8]lubrizol!$D$305</f>
        <v>Lubrizol Corp.</v>
      </c>
      <c r="B13" s="39" t="str">
        <f>[8]lubrizol!$E$305</f>
        <v>LZ</v>
      </c>
      <c r="C13" s="169">
        <f>[8]lubrizol!$D$9</f>
        <v>37099</v>
      </c>
      <c r="D13" s="159">
        <f>_xll.FDS(B13,"ib_price",$B$6)</f>
        <v>35.54</v>
      </c>
      <c r="E13" s="159">
        <f>_xll.FDS(B13,"ib_price_high_52w",$B$6)</f>
        <v>36.25</v>
      </c>
      <c r="F13" s="159">
        <f>_xll.FDS(B13,"ib_price_low_52w",$B$6)</f>
        <v>18.25</v>
      </c>
      <c r="G13" s="160">
        <f t="shared" si="0"/>
        <v>1833.5216541980137</v>
      </c>
      <c r="H13" s="160">
        <f>G13+[8]lubrizol!$J$123</f>
        <v>2165.3866541980137</v>
      </c>
      <c r="I13" s="154">
        <f>IF(OR($G$13/[8]lubrizol!$O$46&lt;=0,$G$13/[8]lubrizol!$O$46&gt;=$AE$14),"NM",$G$13/[8]lubrizol!$O$46)</f>
        <v>20.006997229039136</v>
      </c>
      <c r="J13" s="154">
        <f>IF(OR(D13/[8]lubrizol!$P$58&lt;=0,D13/[8]lubrizol!$P$58&gt;=AE14),"NM",D13/[8]lubrizol!$P$58)</f>
        <v>17.302823758519963</v>
      </c>
      <c r="K13" s="154">
        <f>IF(OR($D13/[8]lubrizol!$Q$58&lt;=0,$D13/[8]lubrizol!$Q$58&gt;=$AE$14),"NM",$D13/[8]lubrizol!$Q$58)</f>
        <v>15.123404255319148</v>
      </c>
      <c r="L13" s="154">
        <f>IF(OR($G$13/[8]lubrizol!$O$52&lt;=0,$G$13/[8]lubrizol!$O$52&gt;=$AE$14),"NM",$G$13/[8]lubrizol!$O$52)</f>
        <v>8.9172988018910893</v>
      </c>
      <c r="M13" s="154">
        <f>IF(OR($D13/[8]lubrizol!$P$59&lt;=0,$D13/[8]lubrizol!$P$59&gt;=$AE$14),"NM",$D13/[8]lubrizol!$P$59)</f>
        <v>8.5216020471132836</v>
      </c>
      <c r="N13" s="154">
        <f>IF(OR($D13/[8]lubrizol!$Q$59&lt;=0,$D13/[8]lubrizol!$Q$59&gt;=$AE$14),"NM",$D13/[8]lubrizol!$Q$59)</f>
        <v>7.9568756267859326</v>
      </c>
      <c r="O13" s="154">
        <f>IF(G13/[8]lubrizol!O$28&gt;=$AE$14,"NM",G13/[8]lubrizol!O$28)</f>
        <v>6.8754913441380383</v>
      </c>
      <c r="P13" s="154">
        <f>IF(H13/[8]lubrizol!P$28&gt;=$AE$14,"NM",H13/[8]lubrizol!P$28)</f>
        <v>7.0600022189156704</v>
      </c>
      <c r="Q13" s="154">
        <f>IF(H13/[8]lubrizol!$Q$28&gt;=$AE$14,"NM",H13/[8]lubrizol!$Q$28)</f>
        <v>6.5351986088172316</v>
      </c>
      <c r="R13" s="128">
        <f>[8]lubrizol!$J$132</f>
        <v>0.34457879506097649</v>
      </c>
      <c r="S13" s="154">
        <f>G13/[8]lubrizol!$I$97</f>
        <v>2.4399100619957572</v>
      </c>
      <c r="T13" s="128">
        <f>_xll.FDS(B13,"ib_div_yld",0)/100</f>
        <v>2.8729279999999999E-2</v>
      </c>
      <c r="U13" s="161">
        <f>[8]lubrizol!$S$305</f>
        <v>0</v>
      </c>
      <c r="V13" s="128" t="str">
        <f>[8]lubrizol!$T$305</f>
        <v>NA</v>
      </c>
      <c r="W13" s="159" t="str">
        <f>IF(ISERROR(((([8]lubrizol!$Q$282/[8]lubrizol!$Q$285)*H13)/U13)),"NA",((([8]lubrizol!$Q$282/[8]lubrizol!$Q$285)*H13)/U13))</f>
        <v>NA</v>
      </c>
      <c r="X13" s="160">
        <f>[8]lubrizol!$V$305</f>
        <v>0</v>
      </c>
      <c r="Y13" s="154" t="str">
        <f>IF(ISERROR(((([8]lubrizol!$Q$282/[8]lubrizol!$Q$285)*G13)/X13)),"NA",((([8]lubrizol!$Q$282/[8]lubrizol!$Q$285)*G13)/X13))</f>
        <v>NA</v>
      </c>
      <c r="Z13" s="162">
        <f>[8]lubrizol!$S$56</f>
        <v>51.590367310017271</v>
      </c>
      <c r="AE13" s="158" t="s">
        <v>180</v>
      </c>
    </row>
    <row r="14" spans="1:33" ht="12.75" customHeight="1" thickBot="1" x14ac:dyDescent="0.3">
      <c r="A14" s="38" t="str">
        <f>[9]PZL!$D$305</f>
        <v>Pennzoil Quaker State Co.</v>
      </c>
      <c r="B14" s="39" t="str">
        <f>[9]PZL!$E$305</f>
        <v>PZL</v>
      </c>
      <c r="C14" s="169">
        <f>[9]PZL!$D$9</f>
        <v>37099</v>
      </c>
      <c r="D14" s="159">
        <f>_xll.FDS(B14,"ib_price",$B$6)</f>
        <v>11.24</v>
      </c>
      <c r="E14" s="159">
        <f>_xll.FDS(B14,"ib_price_high_52w",$B$6)</f>
        <v>16</v>
      </c>
      <c r="F14" s="159">
        <f>_xll.FDS(B14,"ib_price_low_52w",$B$6)</f>
        <v>9</v>
      </c>
      <c r="G14" s="160">
        <f t="shared" si="0"/>
        <v>886.10226983872781</v>
      </c>
      <c r="H14" s="160">
        <f>G14+[9]PZL!$J$123</f>
        <v>2123.5572698387277</v>
      </c>
      <c r="I14" s="154">
        <f>IF(OR($G$14/[9]PZL!$O$46&lt;=0,$G$14/[9]PZL!$O$46&gt;=$AE$14),"NM",$G$14/[9]PZL!$O$46)</f>
        <v>20.468396604918862</v>
      </c>
      <c r="J14" s="154">
        <f>IF(OR(D14/[9]PZL!$P$58&lt;=0,D14/[9]PZL!$P$58&gt;=AE14),"NM",D14/[9]PZL!$P$58)</f>
        <v>17.47150078015536</v>
      </c>
      <c r="K14" s="154">
        <f>IF(OR($D14/[9]PZL!$Q$58&lt;=0,$D14/[9]PZL!$Q$58&gt;=$AE$14),"NM",$D14/[9]PZL!$Q$58)</f>
        <v>12.60560700539787</v>
      </c>
      <c r="L14" s="154">
        <f>IF(OR($G$14/[9]PZL!$O$52&lt;=0,$G$14/[9]PZL!$O$52&gt;=$AE$14),"NM",$G$14/[9]PZL!$O$52)</f>
        <v>4.3146206388345432</v>
      </c>
      <c r="M14" s="154">
        <f>IF(OR($D14/[9]PZL!$P$59&lt;=0,$D14/[9]PZL!$P$59&gt;=$AE$14),"NM",$D14/[9]PZL!$P$59)</f>
        <v>4.6833333333333327</v>
      </c>
      <c r="N14" s="154">
        <f>IF(OR($D14/[9]PZL!$Q$59&lt;=0,$D14/[9]PZL!$Q$59&gt;=$AE$14),"NM",$D14/[9]PZL!$Q$59)</f>
        <v>4.0286738351254483</v>
      </c>
      <c r="O14" s="154">
        <f>IF(G14/[9]PZL!O$28&gt;=$AE$14,"NM",G14/[9]PZL!O$28)</f>
        <v>3.0875719357424574</v>
      </c>
      <c r="P14" s="154">
        <f>IF(H14/[9]PZL!P$28&gt;=$AE$14,"NM",H14/[9]PZL!P$28)</f>
        <v>7.7062041103394519</v>
      </c>
      <c r="Q14" s="154">
        <f>IF(H14/[9]PZL!$Q$28&gt;=$AE$14,"NM",H14/[9]PZL!$Q$28)</f>
        <v>6.9139515198736996</v>
      </c>
      <c r="R14" s="128">
        <f>[9]PZL!$J$132</f>
        <v>0.60913708496870178</v>
      </c>
      <c r="S14" s="154">
        <f>G14/[9]PZL!$I$97</f>
        <v>1.0841810665088232</v>
      </c>
      <c r="T14" s="128">
        <f>_xll.FDS(B14,"ib_div_yld",0)/100</f>
        <v>6.6195939999999995E-2</v>
      </c>
      <c r="U14" s="161">
        <f>[9]PZL!$S$305</f>
        <v>0</v>
      </c>
      <c r="V14" s="128" t="str">
        <f>[9]PZL!$T$305</f>
        <v>NA</v>
      </c>
      <c r="W14" s="159" t="str">
        <f>IF(ISERROR(((([9]PZL!$Q$282/[9]PZL!$Q$285)*H14)/U14)),"NA",((([9]PZL!$Q$282/[9]PZL!$Q$285)*H14)/U14))</f>
        <v>NA</v>
      </c>
      <c r="X14" s="160">
        <f>[9]PZL!$V$305</f>
        <v>0</v>
      </c>
      <c r="Y14" s="154" t="str">
        <f>IF(ISERROR(((([9]PZL!$Q$282/[9]PZL!$Q$285)*G14)/X14)),"NA",((([9]PZL!$Q$282/[9]PZL!$Q$285)*G14)/X14))</f>
        <v>NA</v>
      </c>
      <c r="Z14" s="162">
        <f>[9]PZL!$S$56</f>
        <v>78.834721515901052</v>
      </c>
      <c r="AA14" s="163"/>
      <c r="AE14" s="164">
        <v>50</v>
      </c>
    </row>
    <row r="15" spans="1:33" ht="12.75" customHeight="1" x14ac:dyDescent="0.25">
      <c r="A15" s="38" t="str">
        <f>[10]SE!$D$305</f>
        <v>7 Eleven, Inc.</v>
      </c>
      <c r="B15" s="39" t="str">
        <f>[10]SE!$E$305</f>
        <v>SE</v>
      </c>
      <c r="C15" s="126">
        <f>[10]SE!$D$9</f>
        <v>37099</v>
      </c>
      <c r="D15" s="151">
        <f>_xll.FDS(B15,"ib_price",$B$6)</f>
        <v>12.38</v>
      </c>
      <c r="E15" s="151">
        <f>_xll.FDS(B15,"ib_price_high_52w",$B$6)</f>
        <v>14.375</v>
      </c>
      <c r="F15" s="151">
        <f>_xll.FDS(B15,"ib_price_low_52w",$B$6)</f>
        <v>8</v>
      </c>
      <c r="G15" s="152">
        <f t="shared" si="0"/>
        <v>1301.3611614531037</v>
      </c>
      <c r="H15" s="152">
        <f>G15+[10]SE!$J$123</f>
        <v>2967.1191614531035</v>
      </c>
      <c r="I15" s="340" t="str">
        <f>IF(ISERROR(IF(OR(#REF!/[10]SE!$O$46&lt;=0,$G15/[10]SE!$O$46&gt;=AE18),"NM",#REF!/[10]SE!$O$46)),"NA",IF(OR(#REF!/[10]SE!$O$46&lt;=0,$G15/[10]SE!$O$46&gt;=AE18),"NM",#REF!/[10]SE!$O$46))</f>
        <v>NA</v>
      </c>
      <c r="J15" s="153" t="str">
        <f>IF(OR(D15/[10]SE!$P$58&lt;=0,D15/[10]SE!$P$58&gt;=AE18),"NM",D15/[10]SE!$P$58)</f>
        <v>NM</v>
      </c>
      <c r="K15" s="153">
        <f>IF(OR($D15/[10]SE!$Q$58&lt;=0,$D15/[10]SE!$Q$58&gt;=$AE$13),"NM",$D15/[10]SE!$Q$58)</f>
        <v>14.100227790432802</v>
      </c>
      <c r="L15" s="153" t="str">
        <f>IF(ISERROR(IF(OR(#REF!/[10]SE!$O$52&lt;=0,$G15/[10]SE!$O$52&gt;=AH23),"NM",#REF!/[10]SE!$O$52)),"NA",IF(OR(#REF!/[10]SE!$O$52&lt;=0,$G15/[10]SE!$O$52&gt;=AH23),"NM",#REF!/[10]SE!$O$52))</f>
        <v>NA</v>
      </c>
      <c r="M15" s="153" t="str">
        <f>IF(ISERROR(IF(OR($D15/[10]SE!$P$59&lt;=0,$D15/[10]SE!$P$59&gt;=$AE$13),"NM",$D15/[10]SE!$P$59)),"NA",IF(OR($D15/[10]SE!$P$59&lt;=0,$D15/[10]SE!$P$59&gt;=$AE$13),"NM",$D15/[10]SE!$P$59))</f>
        <v>NA</v>
      </c>
      <c r="N15" s="153" t="str">
        <f>IF(ISERROR(IF(OR($D15/[10]SE!$Q$59&lt;=0,$D15/[10]SE!$Q$59&gt;=$AE$13),"NM",$D15/[10]SE!$Q$59)),"NA",IF(OR($D15/[10]SE!$Q$59&lt;=0,$D15/[10]SE!$Q$59&gt;=$AE$13),"NM",$D15/[10]SE!$Q$59))</f>
        <v>NA</v>
      </c>
      <c r="O15" s="153">
        <f>IF(G15/[10]SE!O$28&gt;=$AE$13,"NM",G15/[10]SE!O$28)</f>
        <v>2.7663461659285611</v>
      </c>
      <c r="P15" s="153">
        <f>IF(H15/[10]SE!P$28&gt;=$AE$13,"NM",H15/[10]SE!P$28)</f>
        <v>6.6852194461774985</v>
      </c>
      <c r="Q15" s="153">
        <f>IF(H15/[10]SE!$Q$28&gt;=$AE$13,"NM",H15/[10]SE!$Q$28)</f>
        <v>6.4551725970233989</v>
      </c>
      <c r="R15" s="155">
        <f>[10]SE!$J$132</f>
        <v>0.96336058512728517</v>
      </c>
      <c r="S15" s="153">
        <f>G15/[10]SE!$I$97</f>
        <v>19.438968145267882</v>
      </c>
      <c r="T15" s="155">
        <f>_xll.FDS(B15,"ib_div_yld",0)/100</f>
        <v>0</v>
      </c>
      <c r="U15" s="156">
        <f>[10]SE!$S$305</f>
        <v>0</v>
      </c>
      <c r="V15" s="155" t="str">
        <f>[10]SE!$T$305</f>
        <v>NA</v>
      </c>
      <c r="W15" s="151" t="str">
        <f>IF(ISERROR(((([10]SE!$Q$282/[10]SE!$Q$285)*H15)/U15)),"NA",((([10]SE!$Q$282/[10]SE!$Q$285)*H15)/U15))</f>
        <v>NA</v>
      </c>
      <c r="X15" s="152">
        <f>[10]SE!$V$305</f>
        <v>0</v>
      </c>
      <c r="Y15" s="153" t="str">
        <f>IF(ISERROR(((([10]SE!$Q$282/[10]SE!$Q$285)*G15)/X15)),"NA",((([10]SE!$Q$282/[10]SE!$Q$285)*G15)/X15))</f>
        <v>NA</v>
      </c>
      <c r="Z15" s="157">
        <f>[10]SE!$S$56</f>
        <v>105.11802596551725</v>
      </c>
      <c r="AA15" s="163"/>
    </row>
    <row r="16" spans="1:33" ht="12.75" customHeight="1" x14ac:dyDescent="0.25">
      <c r="A16" s="38" t="str">
        <f>[11]PTRY!$D$305</f>
        <v>The Pantry, Inc.</v>
      </c>
      <c r="B16" s="39" t="str">
        <f>[11]PTRY!$E$305</f>
        <v>PTRY</v>
      </c>
      <c r="C16" s="169">
        <f>[11]PTRY!$D$9</f>
        <v>37099</v>
      </c>
      <c r="D16" s="159">
        <f>_xll.FDS(B16,"ib_price",$B$6)</f>
        <v>8.479000000000001</v>
      </c>
      <c r="E16" s="159">
        <f>_xll.FDS(B16,"ib_price_high_52w",$B$6)</f>
        <v>13.5</v>
      </c>
      <c r="F16" s="159">
        <f>_xll.FDS(B16,"ib_price_low_52w",$B$6)</f>
        <v>6</v>
      </c>
      <c r="G16" s="160">
        <f t="shared" si="0"/>
        <v>153.89695876036501</v>
      </c>
      <c r="H16" s="160">
        <f>G16+[11]PTRY!$J$123</f>
        <v>757.47695876036494</v>
      </c>
      <c r="I16" s="154">
        <f>IF(OR($G$14/[11]PTRY!$O$46&lt;=0,$G$14/[11]PTRY!$O$46&gt;=$AE$13),"NM",$G$14/[11]PTRY!$O$46)</f>
        <v>66.987496972597057</v>
      </c>
      <c r="J16" s="154" t="str">
        <f>IF(OR(D16/[11]PTRY!$P$58&lt;=0,D16/[11]PTRY!$P$58&gt;=AE18),"NM",D16/[11]PTRY!$P$58)</f>
        <v>NM</v>
      </c>
      <c r="K16" s="154">
        <f>IF(OR($D16/[11]PTRY!$Q$58&lt;=0,$D16/[11]PTRY!$Q$58&gt;=$AE$13),"NM",$D16/[11]PTRY!$Q$58)</f>
        <v>6.7832000000000008</v>
      </c>
      <c r="L16" s="154">
        <f>IF(OR($G$14/[11]PTRY!$O$52&lt;=0,$G$14/[11]PTRY!$O$52&gt;=$AE$13),"NM",$G$14/[11]PTRY!$O$52)</f>
        <v>11.194255259195678</v>
      </c>
      <c r="M16" s="154">
        <f>IF(OR($D16/[11]PTRY!$P$59&lt;=0,$D16/[11]PTRY!$P$59&gt;=$AE$13),"NM",$D16/[11]PTRY!$P$59)</f>
        <v>1.9857142857142862</v>
      </c>
      <c r="N16" s="154">
        <f>IF(OR($D16/[11]PTRY!$Q$59&lt;=0,$D16/[11]PTRY!$Q$59&gt;=$AE$13),"NM",$D16/[11]PTRY!$Q$59)</f>
        <v>1.8195278969957083</v>
      </c>
      <c r="O16" s="154">
        <f>IF(G16/[11]PTRY!O$28&gt;=$AE$13,"NM",G16/[11]PTRY!O$28)</f>
        <v>1.1160687984826221</v>
      </c>
      <c r="P16" s="154">
        <f>IF(H16/[11]PTRY!P$28&gt;=$AE$13,"NM",H16/[11]PTRY!P$28)</f>
        <v>5.1692794133102904</v>
      </c>
      <c r="Q16" s="154">
        <f>IF(H16/[11]PTRY!$Q$28&gt;=$AE$13,"NM",H16/[11]PTRY!$Q$28)</f>
        <v>4.9012113474532404</v>
      </c>
      <c r="R16" s="128">
        <f>[11]PTRY!$J$132</f>
        <v>0.84921026984796055</v>
      </c>
      <c r="S16" s="154">
        <f>G16/[11]PTRY!$I$97</f>
        <v>1.3700554510443876</v>
      </c>
      <c r="T16" s="128">
        <f>_xll.FDS(B16,"ib_div_yld",0)/100</f>
        <v>0</v>
      </c>
      <c r="U16" s="161">
        <f>[11]PTRY!$S$305</f>
        <v>0</v>
      </c>
      <c r="V16" s="128" t="str">
        <f>[11]PTRY!$T$305</f>
        <v>NA</v>
      </c>
      <c r="W16" s="159" t="str">
        <f>IF(ISERROR(((([11]PTRY!$Q$282/[11]PTRY!$Q$285)*H16)/U16)),"NA",((([11]PTRY!$Q$282/[11]PTRY!$Q$285)*H16)/U16))</f>
        <v>NA</v>
      </c>
      <c r="X16" s="160">
        <f>[11]PTRY!$V$305</f>
        <v>0</v>
      </c>
      <c r="Y16" s="154" t="str">
        <f>IF(ISERROR(((([11]PTRY!$Q$282/[11]PTRY!$Q$285)*G16)/X16)),"NA",((([11]PTRY!$Q$282/[11]PTRY!$Q$285)*G16)/X16))</f>
        <v>NA</v>
      </c>
      <c r="Z16" s="162">
        <f>[11]PTRY!$S$56</f>
        <v>18.150366642335769</v>
      </c>
      <c r="AA16" s="163"/>
    </row>
    <row r="17" spans="1:31" ht="12.75" customHeight="1" x14ac:dyDescent="0.25">
      <c r="A17" s="38" t="str">
        <f>[12]UNI!$D$305</f>
        <v>Uni-Marts Inc.</v>
      </c>
      <c r="B17" s="39" t="str">
        <f>[12]UNI!$E$305</f>
        <v>UNI</v>
      </c>
      <c r="C17" s="169">
        <f>[12]UNI!$D$9</f>
        <v>37099</v>
      </c>
      <c r="D17" s="159">
        <f>_xll.FDS(B17,"ib_price",$B$6)</f>
        <v>2.29</v>
      </c>
      <c r="E17" s="159">
        <f>_xll.FDS(B17,"ib_price_high_52w",$B$6)</f>
        <v>2.99</v>
      </c>
      <c r="F17" s="159">
        <f>_xll.FDS(B17,"ib_price_low_52w",$B$6)</f>
        <v>0.75</v>
      </c>
      <c r="G17" s="160">
        <f t="shared" si="0"/>
        <v>16.168549580000001</v>
      </c>
      <c r="H17" s="160">
        <f>G17+[12]UNI!$J$123</f>
        <v>94.597630580000015</v>
      </c>
      <c r="I17" s="154" t="e">
        <f>IF(OR(#REF!/[12]UNI!$O$46&lt;=0,#REF!/[12]UNI!$O$46&gt;=$AE$13),"NM",#REF!/[12]UNI!$O$46)</f>
        <v>#REF!</v>
      </c>
      <c r="J17" s="154" t="str">
        <f>IF(ISERROR(IF(OR(D17/[12]UNI!$P$58&lt;=0,D17/[12]UNI!$P$58&gt;=AE18),"NM",D17/[12]UNI!$P$58)),"NA",IF(OR(D17/[12]UNI!$P$58&lt;=0,D17/[12]UNI!$P$58&gt;=AE18),"NM",D17/[12]UNI!$P$58))</f>
        <v>NA</v>
      </c>
      <c r="K17" s="154" t="str">
        <f>IF(ISERROR(IF(OR($D17/[12]UNI!$Q$58&lt;=0,$D17/[12]UNI!$Q$58&gt;=$AE$13),"NM",$D17/[12]UNI!$Q$58)),"NA",IF(OR($D17/[12]UNI!$Q$58&lt;=0,$D17/[12]UNI!$Q$58&gt;=$AE$13),"NM",$D17/[12]UNI!$Q$58))</f>
        <v>NA</v>
      </c>
      <c r="L17" s="154" t="e">
        <f>IF(OR(#REF!/[12]UNI!$O$52&lt;=0,#REF!/[12]UNI!$O$52&gt;=$AE$13),"NM",#REF!/[12]UNI!$O$52)</f>
        <v>#REF!</v>
      </c>
      <c r="M17" s="154" t="str">
        <f>IF(ISERROR(IF(OR($D17/[12]UNI!$P$59&lt;=0,$D17/[12]UNI!$P$59&gt;=$AE$13),"NM",$D17/[12]UNI!$P$59)),"NA",IF(OR($D17/[12]UNI!$P$59&lt;=0,$D17/[12]UNI!$P$59&gt;=$AE$13),"NM",$D17/[12]UNI!$P$59))</f>
        <v>NA</v>
      </c>
      <c r="N17" s="154" t="str">
        <f>IF(ISERROR(IF(OR($D17/[12]UNI!$Q$59&lt;=0,$D17/[12]UNI!$Q$59&gt;=$AE$13),"NM",$D17/[12]UNI!$Q$59)),"NA",IF(OR($D17/[12]UNI!$Q$59&lt;=0,$D17/[12]UNI!$Q$59&gt;=$AE$13),"NM",$D17/[12]UNI!$Q$59))</f>
        <v>NA</v>
      </c>
      <c r="O17" s="154">
        <f>IF(G17/[6]CASY!O$28&gt;=$AE$13,"NM",G17/[6]CASY!O$28)</f>
        <v>0.13801461003320414</v>
      </c>
      <c r="P17" s="154">
        <f>IF(H17/[6]CASY!P$28&gt;=$AE$13,"NM",H17/[6]CASY!P$28)</f>
        <v>0.8110430702092819</v>
      </c>
      <c r="Q17" s="154" t="str">
        <f>IF(ISERROR(IF(H17/[12]UNI!$Q$28&gt;=$AE$13,"NM",H17/[12]UNI!$Q$28)),"NA",IF(H17/[12]UNI!$Q$28&gt;=$AE$13,"NM",H17/[12]UNI!$Q$28))</f>
        <v>NA</v>
      </c>
      <c r="R17" s="128">
        <f>[12]UNI!$J$132</f>
        <v>0.74364904253743624</v>
      </c>
      <c r="S17" s="154">
        <f>G17/[12]UNI!$I$97</f>
        <v>0.57075277996011364</v>
      </c>
      <c r="T17" s="128">
        <f>_xll.FDS(B17,"ib_div_yld",0)/100</f>
        <v>0</v>
      </c>
      <c r="U17" s="161">
        <f>[12]UNI!$S$305</f>
        <v>0</v>
      </c>
      <c r="V17" s="128" t="str">
        <f>[12]UNI!$T$305</f>
        <v>NA</v>
      </c>
      <c r="W17" s="159" t="str">
        <f>IF(ISERROR(((([12]UNI!$Q$282/[12]UNI!$Q$285)*H17)/U17)),"NA",((([12]UNI!$Q$282/[12]UNI!$Q$285)*H17)/U17))</f>
        <v>NA</v>
      </c>
      <c r="X17" s="160">
        <f>[12]UNI!$V$305</f>
        <v>0</v>
      </c>
      <c r="Y17" s="154" t="str">
        <f>IF(ISERROR(((([12]UNI!$Q$282/[12]UNI!$Q$285)*G17)/X17)),"NA",((([12]UNI!$Q$282/[12]UNI!$Q$285)*G17)/X17))</f>
        <v>NA</v>
      </c>
      <c r="Z17" s="162">
        <f>[12]UNI!$S$56</f>
        <v>7.0605019999999996</v>
      </c>
      <c r="AA17" s="163"/>
    </row>
    <row r="18" spans="1:31" ht="12.75" customHeight="1" x14ac:dyDescent="0.25">
      <c r="A18" s="38" t="str">
        <f>[13]WD!$D$305</f>
        <v>WD-40 Co.</v>
      </c>
      <c r="B18" s="39" t="str">
        <f>[13]WD!$B$13</f>
        <v>WDFC</v>
      </c>
      <c r="C18" s="169">
        <f>[13]WD!$D$9</f>
        <v>37099</v>
      </c>
      <c r="D18" s="159">
        <f>_xll.FDS(B18,"ib_price",$B$6)</f>
        <v>21.88</v>
      </c>
      <c r="E18" s="159">
        <f>_xll.FDS(B18,"ib_price_high_52w",$B$6)</f>
        <v>26.1</v>
      </c>
      <c r="F18" s="159">
        <f>_xll.FDS(B18,"ib_price_low_52w",$B$6)</f>
        <v>17.68</v>
      </c>
      <c r="G18" s="160">
        <f t="shared" si="0"/>
        <v>337.8374886216393</v>
      </c>
      <c r="H18" s="160">
        <f>G18+[13]WD!$J$123</f>
        <v>347.60948862163929</v>
      </c>
      <c r="I18" s="154">
        <f>IF(OR($G$18/[13]WD!$O$46&lt;=0,$G$18/[13]WD!$O$46&gt;=$AE$14),"NM",$G$18/[13]WD!$O$46)</f>
        <v>16.926528524630349</v>
      </c>
      <c r="J18" s="154">
        <f>IF(OR(D18/[13]WD!$P$58&lt;=0,D18/[13]WD!$P$58&gt;=AE14),"NM",D18/[13]WD!$P$58)</f>
        <v>19.711711711711708</v>
      </c>
      <c r="K18" s="154">
        <f>IF(OR($D18/[13]WD!$Q$58&lt;=0,$D18/[13]WD!$Q$58&gt;=$AE$14),"NM",$D18/[13]WD!$Q$58)</f>
        <v>17.228346456692911</v>
      </c>
      <c r="L18" s="154">
        <f>IF(OR($G$18/[13]WD!$O$52&lt;=0,$G$18/[13]WD!$O$52&gt;=$AE$14),"NM",$G$18/[13]WD!$O$52)</f>
        <v>14.399928307848386</v>
      </c>
      <c r="M18" s="154" t="str">
        <f>IF(ISERROR(IF(OR($D18/[13]WD!$P$59&lt;=0,$D18/[13]WD!$P$59&gt;=$AE$14),"NM",$D18/[13]WD!$P$59)),"NA",IF(OR($D18/[13]WD!$P$59&lt;=0,$D18/[13]WD!$P$59&gt;=$AE$14),"NM",$D18/[13]WD!$P$59))</f>
        <v>NA</v>
      </c>
      <c r="N18" s="154" t="str">
        <f>IF(ISERROR(IF(OR($D18/[13]WD!$Q$59&lt;=0,$D18/[13]WD!$Q$59&gt;=$AE$14),"NM",$D18/[13]WD!$Q$59)),"NA",IF(OR($D18/[13]WD!$Q$59&lt;=0,$D18/[13]WD!$Q$59&gt;=$AE$14),"NM",$D18/[13]WD!$Q$59))</f>
        <v>NA</v>
      </c>
      <c r="O18" s="154">
        <f>IF(G18/[14]TSO!O$28&gt;=$AE$14,"NM",G18/[14]TSO!O$28)</f>
        <v>1.6504029732371315</v>
      </c>
      <c r="P18" s="154">
        <f>IF(H18/[14]TSO!P$28&gt;=$AE$14,"NM",H18/[14]TSO!P$28)</f>
        <v>2.0177894170262909</v>
      </c>
      <c r="Q18" s="154">
        <f>IF(H18/[13]WD!$Q$28&gt;=$AE$14,"NM",H18/[13]WD!$Q$28)</f>
        <v>9.7987005168240735</v>
      </c>
      <c r="R18" s="128">
        <f>[13]WD!$J$132</f>
        <v>0.20251132020938373</v>
      </c>
      <c r="S18" s="154">
        <f>G18/[13]WD!$I$97</f>
        <v>6.8021883908838907</v>
      </c>
      <c r="T18" s="128">
        <f>_xll.FDS(B18,"ib_div_yld",0)/100</f>
        <v>4.9541290000000002E-2</v>
      </c>
      <c r="U18" s="161">
        <f>[13]WD!$S$305</f>
        <v>0</v>
      </c>
      <c r="V18" s="128" t="str">
        <f>[13]WD!$T$305</f>
        <v>NA</v>
      </c>
      <c r="W18" s="159" t="str">
        <f>IF(ISERROR(((([13]WD!$Q$282/[13]WD!$Q$285)*H18)/U18)),"NA",((([13]WD!$Q$282/[13]WD!$Q$285)*H18)/U18))</f>
        <v>NA</v>
      </c>
      <c r="X18" s="160">
        <f>[13]WD!$V$305</f>
        <v>0</v>
      </c>
      <c r="Y18" s="154" t="str">
        <f>IF(ISERROR(((([13]WD!$Q$282/[13]WD!$Q$285)*G18)/X18)),"NA",((([13]WD!$Q$282/[13]WD!$Q$285)*G18)/X18))</f>
        <v>NA</v>
      </c>
      <c r="Z18" s="162">
        <f>[13]WD!$S$56</f>
        <v>15.440470229508195</v>
      </c>
      <c r="AA18" s="163"/>
    </row>
    <row r="19" spans="1:31" ht="12.9" customHeight="1" x14ac:dyDescent="0.25">
      <c r="AA19" s="163"/>
    </row>
    <row r="20" spans="1:31" ht="12.9" customHeight="1" x14ac:dyDescent="0.25">
      <c r="AA20" s="163"/>
    </row>
    <row r="21" spans="1:31" ht="12.9" customHeight="1" x14ac:dyDescent="0.25">
      <c r="AA21" s="163"/>
    </row>
    <row r="22" spans="1:31" ht="12.9" customHeight="1" x14ac:dyDescent="0.25">
      <c r="B22" s="39"/>
      <c r="C22" s="169"/>
      <c r="D22" s="159"/>
      <c r="E22" s="159"/>
      <c r="F22" s="159"/>
      <c r="G22" s="160"/>
      <c r="H22" s="160"/>
      <c r="I22" s="154"/>
      <c r="J22" s="154"/>
      <c r="K22" s="154"/>
      <c r="L22" s="154"/>
      <c r="M22" s="154"/>
      <c r="N22" s="154"/>
      <c r="O22" s="154"/>
      <c r="P22" s="154"/>
      <c r="Q22" s="154"/>
      <c r="R22" s="128"/>
      <c r="S22" s="154"/>
      <c r="T22" s="128"/>
      <c r="U22" s="161"/>
      <c r="V22" s="128"/>
      <c r="W22" s="159"/>
      <c r="X22" s="170"/>
      <c r="Y22" s="154"/>
      <c r="Z22" s="162"/>
      <c r="AA22" s="163"/>
      <c r="AB22" s="39"/>
      <c r="AC22" s="166"/>
      <c r="AD22" s="167"/>
      <c r="AE22" s="53"/>
    </row>
    <row r="23" spans="1:31" ht="12.9" customHeight="1" x14ac:dyDescent="0.25">
      <c r="B23" s="52"/>
      <c r="C23" s="52"/>
      <c r="D23" s="52"/>
      <c r="E23" s="52"/>
      <c r="F23" s="52"/>
      <c r="G23" s="52"/>
      <c r="H23" s="53" t="s">
        <v>38</v>
      </c>
      <c r="I23" s="52"/>
      <c r="J23" s="154">
        <f>IF(ISERROR(AVERAGE(J11:J18)),"NA",AVERAGE(J11:J18))</f>
        <v>18.162012083462344</v>
      </c>
      <c r="K23" s="154">
        <f>IF(ISERROR(AVERAGE(K11:K18)),"NA",AVERAGE(K11:K18))</f>
        <v>13.39979666917319</v>
      </c>
      <c r="L23" s="154" t="e">
        <f t="shared" ref="L23:T23" si="1">AVERAGE(L11:L18)</f>
        <v>#REF!</v>
      </c>
      <c r="M23" s="154">
        <f t="shared" si="1"/>
        <v>5.8198288021114246</v>
      </c>
      <c r="N23" s="154">
        <f t="shared" si="1"/>
        <v>5.1546122407734227</v>
      </c>
      <c r="O23" s="154">
        <f t="shared" si="1"/>
        <v>2.8332201570016888</v>
      </c>
      <c r="P23" s="154">
        <f t="shared" si="1"/>
        <v>5.2782922337878651</v>
      </c>
      <c r="Q23" s="154">
        <f t="shared" si="1"/>
        <v>6.8289647810852045</v>
      </c>
      <c r="R23" s="128">
        <f t="shared" si="1"/>
        <v>0.66113761945122762</v>
      </c>
      <c r="S23" s="154">
        <f t="shared" si="1"/>
        <v>4.1901876029803979</v>
      </c>
      <c r="T23" s="128">
        <f t="shared" si="1"/>
        <v>1.875957625E-2</v>
      </c>
      <c r="U23" s="161"/>
      <c r="V23" s="159" t="s">
        <v>156</v>
      </c>
      <c r="W23" s="159" t="s">
        <v>156</v>
      </c>
      <c r="X23" s="160"/>
      <c r="Y23" s="154" t="s">
        <v>156</v>
      </c>
      <c r="Z23" s="52"/>
    </row>
    <row r="24" spans="1:31" ht="12.9" customHeight="1" x14ac:dyDescent="0.25">
      <c r="B24" s="52"/>
      <c r="C24" s="52"/>
      <c r="D24" s="52"/>
      <c r="E24" s="52"/>
      <c r="F24" s="52"/>
      <c r="G24" s="52"/>
      <c r="H24" s="53" t="s">
        <v>39</v>
      </c>
      <c r="I24" s="52"/>
      <c r="J24" s="154">
        <f t="shared" ref="J24:T24" si="2">MEDIAN(J11:J18)</f>
        <v>17.47150078015536</v>
      </c>
      <c r="K24" s="154">
        <f t="shared" si="2"/>
        <v>14.329111148814601</v>
      </c>
      <c r="L24" s="154" t="e">
        <f t="shared" si="2"/>
        <v>#REF!</v>
      </c>
      <c r="M24" s="154">
        <f t="shared" si="2"/>
        <v>6.3859994378090619</v>
      </c>
      <c r="N24" s="154">
        <f t="shared" si="2"/>
        <v>5.4210227196560243</v>
      </c>
      <c r="O24" s="154">
        <f t="shared" si="2"/>
        <v>2.2083745695828463</v>
      </c>
      <c r="P24" s="154">
        <f t="shared" si="2"/>
        <v>6.6852194461774985</v>
      </c>
      <c r="Q24" s="154">
        <f t="shared" si="2"/>
        <v>6.4951856029203157</v>
      </c>
      <c r="R24" s="128">
        <f t="shared" si="2"/>
        <v>0.67639306375306907</v>
      </c>
      <c r="S24" s="154">
        <f t="shared" si="2"/>
        <v>1.7162736405831862</v>
      </c>
      <c r="T24" s="128">
        <f t="shared" si="2"/>
        <v>2.8050499999999999E-3</v>
      </c>
      <c r="U24" s="161"/>
      <c r="V24" s="159" t="s">
        <v>156</v>
      </c>
      <c r="W24" s="159" t="s">
        <v>156</v>
      </c>
      <c r="X24" s="160"/>
      <c r="Y24" s="154" t="s">
        <v>156</v>
      </c>
      <c r="Z24" s="52"/>
    </row>
    <row r="25" spans="1:31" ht="12.9" customHeight="1" x14ac:dyDescent="0.25">
      <c r="B25" s="52"/>
      <c r="C25" s="52"/>
      <c r="D25" s="52"/>
      <c r="E25" s="52"/>
      <c r="F25" s="52"/>
      <c r="G25" s="54"/>
      <c r="H25" s="55" t="s">
        <v>25</v>
      </c>
      <c r="I25" s="52"/>
      <c r="J25" s="154">
        <f t="shared" ref="J25:T25" si="3">MAX(J11:J18)</f>
        <v>19.711711711711708</v>
      </c>
      <c r="K25" s="154">
        <f t="shared" si="3"/>
        <v>17.228346456692911</v>
      </c>
      <c r="L25" s="154" t="e">
        <f t="shared" si="3"/>
        <v>#REF!</v>
      </c>
      <c r="M25" s="154">
        <f t="shared" si="3"/>
        <v>8.5216020471132836</v>
      </c>
      <c r="N25" s="154">
        <f t="shared" si="3"/>
        <v>7.9568756267859326</v>
      </c>
      <c r="O25" s="154">
        <f t="shared" si="3"/>
        <v>6.8754913441380383</v>
      </c>
      <c r="P25" s="154">
        <f t="shared" si="3"/>
        <v>7.7062041103394519</v>
      </c>
      <c r="Q25" s="154">
        <f t="shared" si="3"/>
        <v>9.7987005168240735</v>
      </c>
      <c r="R25" s="128">
        <f t="shared" si="3"/>
        <v>1.1965268953833121</v>
      </c>
      <c r="S25" s="154">
        <f t="shared" si="3"/>
        <v>19.438968145267882</v>
      </c>
      <c r="T25" s="128">
        <f t="shared" si="3"/>
        <v>6.6195939999999995E-2</v>
      </c>
      <c r="U25" s="161"/>
      <c r="V25" s="159" t="s">
        <v>156</v>
      </c>
      <c r="W25" s="159" t="s">
        <v>156</v>
      </c>
      <c r="X25" s="160"/>
      <c r="Y25" s="154" t="s">
        <v>156</v>
      </c>
      <c r="Z25" s="52"/>
    </row>
    <row r="26" spans="1:31" ht="12.9" customHeight="1" x14ac:dyDescent="0.25">
      <c r="B26" s="52"/>
      <c r="C26" s="52"/>
      <c r="D26" s="52"/>
      <c r="E26" s="52"/>
      <c r="F26" s="52"/>
      <c r="G26" s="52"/>
      <c r="H26" s="53" t="s">
        <v>26</v>
      </c>
      <c r="I26" s="52"/>
      <c r="J26" s="154">
        <f t="shared" ref="J26:T26" si="4">MIN(J11:J18)</f>
        <v>17.302823758519963</v>
      </c>
      <c r="K26" s="154">
        <f t="shared" si="4"/>
        <v>6.7832000000000008</v>
      </c>
      <c r="L26" s="154" t="e">
        <f t="shared" si="4"/>
        <v>#REF!</v>
      </c>
      <c r="M26" s="154">
        <f t="shared" si="4"/>
        <v>1.9857142857142862</v>
      </c>
      <c r="N26" s="154">
        <f t="shared" si="4"/>
        <v>1.8195278969957083</v>
      </c>
      <c r="O26" s="154">
        <f t="shared" si="4"/>
        <v>0.13801461003320414</v>
      </c>
      <c r="P26" s="154">
        <f t="shared" si="4"/>
        <v>0.8110430702092819</v>
      </c>
      <c r="Q26" s="154">
        <f t="shared" si="4"/>
        <v>4.9012113474532404</v>
      </c>
      <c r="R26" s="128">
        <f t="shared" si="4"/>
        <v>0.20251132020938373</v>
      </c>
      <c r="S26" s="154">
        <f t="shared" si="4"/>
        <v>-0.24704690193965514</v>
      </c>
      <c r="T26" s="128">
        <f t="shared" si="4"/>
        <v>0</v>
      </c>
      <c r="U26" s="161"/>
      <c r="V26" s="159" t="s">
        <v>156</v>
      </c>
      <c r="W26" s="159" t="s">
        <v>156</v>
      </c>
      <c r="X26" s="160"/>
      <c r="Y26" s="154" t="s">
        <v>156</v>
      </c>
      <c r="Z26" s="52"/>
    </row>
    <row r="27" spans="1:31" ht="12.9" customHeight="1" x14ac:dyDescent="0.25">
      <c r="B27" s="52"/>
      <c r="C27" s="52"/>
      <c r="D27" s="52"/>
      <c r="E27" s="52"/>
      <c r="F27" s="52"/>
      <c r="G27" s="52"/>
      <c r="H27" s="53"/>
      <c r="I27" s="52"/>
      <c r="J27" s="341"/>
      <c r="K27" s="341"/>
      <c r="L27" s="52"/>
      <c r="M27" s="341"/>
      <c r="N27" s="341"/>
      <c r="O27" s="341"/>
      <c r="P27" s="341"/>
      <c r="Q27" s="341"/>
      <c r="R27" s="177"/>
      <c r="S27" s="341"/>
      <c r="T27" s="342"/>
      <c r="U27" s="343"/>
      <c r="V27" s="342"/>
      <c r="W27" s="344"/>
      <c r="X27" s="345"/>
      <c r="Y27" s="341"/>
      <c r="Z27" s="52"/>
    </row>
    <row r="28" spans="1:31" ht="12.9" customHeight="1" x14ac:dyDescent="0.25">
      <c r="B28" s="52"/>
      <c r="C28" s="52"/>
      <c r="D28" s="52"/>
      <c r="U28" s="49" t="s">
        <v>593</v>
      </c>
      <c r="V28" s="49"/>
      <c r="W28" s="49"/>
      <c r="X28" s="49"/>
      <c r="Y28" s="49"/>
    </row>
    <row r="29" spans="1:31" ht="12.9" customHeight="1" x14ac:dyDescent="0.25">
      <c r="B29" s="49" t="s">
        <v>40</v>
      </c>
      <c r="C29" s="49"/>
      <c r="D29" s="49" t="s">
        <v>41</v>
      </c>
      <c r="E29" s="49"/>
      <c r="F29" s="49"/>
      <c r="G29" s="49" t="s">
        <v>42</v>
      </c>
      <c r="H29" s="49"/>
      <c r="J29" s="49" t="s">
        <v>43</v>
      </c>
      <c r="K29" s="49"/>
      <c r="P29" s="49" t="s">
        <v>44</v>
      </c>
      <c r="Q29" s="49"/>
      <c r="R29" s="49"/>
      <c r="S29" s="49"/>
      <c r="U29" s="49" t="s">
        <v>45</v>
      </c>
      <c r="V29" s="49"/>
      <c r="W29" s="49"/>
      <c r="X29" s="49"/>
      <c r="Y29" s="49"/>
    </row>
    <row r="30" spans="1:31" ht="4.5" customHeight="1" x14ac:dyDescent="0.25">
      <c r="A30" s="57"/>
      <c r="B30" s="150" t="s">
        <v>37</v>
      </c>
      <c r="C30" s="58"/>
      <c r="D30" s="150" t="s">
        <v>37</v>
      </c>
      <c r="E30" s="58"/>
      <c r="F30" s="58"/>
      <c r="G30" s="150" t="s">
        <v>37</v>
      </c>
      <c r="H30" s="58"/>
      <c r="J30" s="150" t="s">
        <v>37</v>
      </c>
      <c r="K30" s="58"/>
      <c r="P30" s="150" t="s">
        <v>37</v>
      </c>
      <c r="Q30" s="58"/>
      <c r="R30" s="58"/>
      <c r="S30" s="58"/>
      <c r="U30" s="150" t="s">
        <v>37</v>
      </c>
      <c r="V30" s="58"/>
      <c r="W30" s="58"/>
      <c r="X30" s="58"/>
      <c r="Y30" s="58"/>
      <c r="AA30" s="56"/>
    </row>
    <row r="31" spans="1:31" ht="12.9" customHeight="1" x14ac:dyDescent="0.25">
      <c r="B31" s="39"/>
      <c r="C31" s="39"/>
      <c r="D31" s="50" t="s">
        <v>46</v>
      </c>
      <c r="E31" s="50" t="s">
        <v>47</v>
      </c>
      <c r="F31" s="50" t="s">
        <v>7</v>
      </c>
      <c r="G31" s="51" t="s">
        <v>48</v>
      </c>
      <c r="P31" s="50" t="s">
        <v>49</v>
      </c>
      <c r="Q31" s="50"/>
      <c r="R31" s="50" t="s">
        <v>50</v>
      </c>
      <c r="S31" s="50" t="s">
        <v>51</v>
      </c>
      <c r="U31" s="50" t="s">
        <v>52</v>
      </c>
      <c r="V31" s="50" t="s">
        <v>53</v>
      </c>
      <c r="W31" s="59" t="s">
        <v>54</v>
      </c>
      <c r="X31" s="50" t="s">
        <v>55</v>
      </c>
      <c r="Y31" s="50" t="s">
        <v>56</v>
      </c>
      <c r="AA31" s="56"/>
    </row>
    <row r="32" spans="1:31" ht="10.5" customHeight="1" x14ac:dyDescent="0.25">
      <c r="A32" s="39" t="s">
        <v>21</v>
      </c>
      <c r="B32" s="39" t="s">
        <v>57</v>
      </c>
      <c r="C32" s="39" t="s">
        <v>58</v>
      </c>
      <c r="D32" s="39" t="s">
        <v>59</v>
      </c>
      <c r="E32" s="39" t="s">
        <v>60</v>
      </c>
      <c r="F32" s="39" t="s">
        <v>61</v>
      </c>
      <c r="G32" s="39" t="s">
        <v>62</v>
      </c>
      <c r="H32" s="39" t="s">
        <v>7</v>
      </c>
      <c r="J32" s="39" t="s">
        <v>63</v>
      </c>
      <c r="K32" s="39" t="s">
        <v>64</v>
      </c>
      <c r="P32" s="39" t="s">
        <v>65</v>
      </c>
      <c r="Q32" s="39" t="s">
        <v>66</v>
      </c>
      <c r="R32" s="51" t="s">
        <v>67</v>
      </c>
      <c r="S32" s="39" t="s">
        <v>68</v>
      </c>
      <c r="U32" s="39" t="s">
        <v>69</v>
      </c>
      <c r="V32" s="51" t="s">
        <v>70</v>
      </c>
      <c r="W32" s="39" t="s">
        <v>71</v>
      </c>
      <c r="X32" s="51" t="s">
        <v>72</v>
      </c>
      <c r="Y32" s="39" t="s">
        <v>73</v>
      </c>
      <c r="AA32" s="56"/>
    </row>
    <row r="33" spans="1:27" ht="5.25" customHeight="1" x14ac:dyDescent="0.25">
      <c r="A33" s="150" t="s">
        <v>37</v>
      </c>
      <c r="B33" s="150" t="s">
        <v>37</v>
      </c>
      <c r="C33" s="150" t="s">
        <v>37</v>
      </c>
      <c r="D33" s="150" t="s">
        <v>37</v>
      </c>
      <c r="E33" s="150" t="s">
        <v>37</v>
      </c>
      <c r="F33" s="150" t="s">
        <v>37</v>
      </c>
      <c r="G33" s="150" t="s">
        <v>37</v>
      </c>
      <c r="H33" s="150" t="s">
        <v>37</v>
      </c>
      <c r="J33" s="150" t="s">
        <v>37</v>
      </c>
      <c r="K33" s="150" t="s">
        <v>37</v>
      </c>
      <c r="P33" s="150" t="s">
        <v>37</v>
      </c>
      <c r="Q33" s="150" t="s">
        <v>37</v>
      </c>
      <c r="R33" s="150" t="s">
        <v>37</v>
      </c>
      <c r="S33" s="150" t="s">
        <v>37</v>
      </c>
      <c r="U33" s="150" t="s">
        <v>37</v>
      </c>
      <c r="V33" s="150" t="s">
        <v>37</v>
      </c>
      <c r="W33" s="150" t="s">
        <v>37</v>
      </c>
      <c r="X33" s="150" t="s">
        <v>37</v>
      </c>
      <c r="Y33" s="150" t="s">
        <v>37</v>
      </c>
      <c r="AA33" s="50"/>
    </row>
    <row r="34" spans="1:27" ht="12.75" customHeight="1" x14ac:dyDescent="0.25">
      <c r="A34" s="38" t="str">
        <f>[6]CASY!$D$305</f>
        <v>Casey's General Stores, Inc.</v>
      </c>
      <c r="B34" s="38" t="s">
        <v>594</v>
      </c>
      <c r="C34" s="53" t="s">
        <v>595</v>
      </c>
      <c r="D34" s="53" t="str">
        <f>[6]CASY!$V$16</f>
        <v>Merrill Lynch</v>
      </c>
      <c r="E34" s="53" t="str">
        <f>[6]CASY!$U$11</f>
        <v>NR</v>
      </c>
      <c r="F34" s="126"/>
      <c r="G34" s="39" t="str">
        <f>[6]CASY!$F$113</f>
        <v>NR / Ba3</v>
      </c>
      <c r="H34" s="126">
        <f>[6]CASY!$F$114</f>
        <v>37004</v>
      </c>
      <c r="I34" s="39"/>
      <c r="J34" s="155">
        <f>H66</f>
        <v>0.28914285714285726</v>
      </c>
      <c r="K34" s="155">
        <f>S66</f>
        <v>-5.6066945606694465E-2</v>
      </c>
      <c r="L34" s="39"/>
      <c r="M34" s="39"/>
      <c r="N34" s="303"/>
      <c r="O34" s="39"/>
      <c r="P34" s="128" t="s">
        <v>156</v>
      </c>
      <c r="Q34" s="128" t="s">
        <v>156</v>
      </c>
      <c r="R34" s="128" t="s">
        <v>156</v>
      </c>
      <c r="S34" s="128" t="s">
        <v>156</v>
      </c>
      <c r="T34" s="174"/>
      <c r="U34" s="156">
        <v>0</v>
      </c>
      <c r="V34" s="156">
        <v>0</v>
      </c>
      <c r="W34" s="156">
        <v>0</v>
      </c>
      <c r="X34" s="156">
        <f>[6]CASY!$E$160</f>
        <v>1246</v>
      </c>
      <c r="Y34" s="156">
        <v>0</v>
      </c>
      <c r="AA34" s="56"/>
    </row>
    <row r="35" spans="1:27" ht="12.75" customHeight="1" x14ac:dyDescent="0.25">
      <c r="A35" s="38" t="str">
        <f>[7]DMC!$D$305</f>
        <v>Dairy Mart Convenience Stores</v>
      </c>
      <c r="B35" s="38" t="s">
        <v>594</v>
      </c>
      <c r="C35" s="53" t="s">
        <v>595</v>
      </c>
      <c r="D35" s="53" t="str">
        <f>[7]DMC!$V$16</f>
        <v>No Research</v>
      </c>
      <c r="E35" s="53" t="str">
        <f>[7]DMC!$U$11</f>
        <v>NR</v>
      </c>
      <c r="F35" s="126"/>
      <c r="G35" s="39" t="str">
        <f>[7]DMC!$F$113</f>
        <v>NR/B3</v>
      </c>
      <c r="H35" s="126">
        <f>[7]DMC!$F$114</f>
        <v>37012</v>
      </c>
      <c r="I35" s="39"/>
      <c r="J35" s="155">
        <f t="shared" ref="J35:J41" si="5">H67</f>
        <v>-0.80444444444444452</v>
      </c>
      <c r="K35" s="155">
        <f t="shared" ref="K35:K41" si="6">S67</f>
        <v>-0.68571428571428572</v>
      </c>
      <c r="L35" s="39"/>
      <c r="M35" s="39"/>
      <c r="N35" s="303"/>
      <c r="O35" s="39"/>
      <c r="P35" s="128" t="s">
        <v>156</v>
      </c>
      <c r="Q35" s="128" t="s">
        <v>156</v>
      </c>
      <c r="R35" s="128" t="s">
        <v>156</v>
      </c>
      <c r="S35" s="128" t="s">
        <v>156</v>
      </c>
      <c r="T35" s="174"/>
      <c r="U35" s="156">
        <v>0</v>
      </c>
      <c r="V35" s="156">
        <v>0</v>
      </c>
      <c r="W35" s="156">
        <v>0</v>
      </c>
      <c r="X35" s="156">
        <f>[7]DMC!$E$160</f>
        <v>276</v>
      </c>
      <c r="Y35" s="156">
        <v>0</v>
      </c>
      <c r="Z35" s="39"/>
      <c r="AA35" s="56"/>
    </row>
    <row r="36" spans="1:27" ht="12.75" customHeight="1" x14ac:dyDescent="0.25">
      <c r="A36" s="38" t="str">
        <f>[8]lubrizol!$D$305</f>
        <v>Lubrizol Corp.</v>
      </c>
      <c r="B36" s="38" t="s">
        <v>596</v>
      </c>
      <c r="C36" s="53" t="s">
        <v>597</v>
      </c>
      <c r="D36" s="53" t="str">
        <f>[8]lubrizol!$V$16</f>
        <v>No Research</v>
      </c>
      <c r="E36" s="53" t="str">
        <f>[8]lubrizol!$U$11</f>
        <v>NA</v>
      </c>
      <c r="F36" s="126"/>
      <c r="G36" s="39" t="str">
        <f>[8]lubrizol!$F$113</f>
        <v>A2/A+</v>
      </c>
      <c r="H36" s="126">
        <f>[8]lubrizol!$F$114</f>
        <v>36983</v>
      </c>
      <c r="I36" s="39"/>
      <c r="J36" s="155">
        <f t="shared" si="5"/>
        <v>0.63873198847262247</v>
      </c>
      <c r="K36" s="155">
        <f t="shared" si="6"/>
        <v>0.38019417475728151</v>
      </c>
      <c r="L36" s="39"/>
      <c r="M36" s="39"/>
      <c r="N36" s="303"/>
      <c r="O36" s="39"/>
      <c r="P36" s="128" t="s">
        <v>156</v>
      </c>
      <c r="Q36" s="128" t="s">
        <v>156</v>
      </c>
      <c r="R36" s="128" t="s">
        <v>156</v>
      </c>
      <c r="S36" s="128" t="s">
        <v>156</v>
      </c>
      <c r="T36" s="174"/>
      <c r="U36" s="156">
        <v>0</v>
      </c>
      <c r="V36" s="156">
        <v>0</v>
      </c>
      <c r="W36" s="156">
        <v>0</v>
      </c>
      <c r="X36" s="156" t="e">
        <f>[8]lubrizol!$E$160</f>
        <v>#REF!</v>
      </c>
      <c r="Y36" s="156">
        <v>0</v>
      </c>
      <c r="Z36" s="60"/>
      <c r="AA36" s="59"/>
    </row>
    <row r="37" spans="1:27" s="39" customFormat="1" ht="12.75" customHeight="1" x14ac:dyDescent="0.25">
      <c r="A37" s="38" t="str">
        <f>[9]PZL!$D$305</f>
        <v>Pennzoil Quaker State Co.</v>
      </c>
      <c r="B37" s="38" t="s">
        <v>596</v>
      </c>
      <c r="C37" s="53" t="s">
        <v>597</v>
      </c>
      <c r="D37" s="112" t="str">
        <f>[9]PZL!$V$16</f>
        <v>No Research</v>
      </c>
      <c r="E37" s="112" t="str">
        <f>[9]PZL!$U$11</f>
        <v>NA</v>
      </c>
      <c r="F37" s="126"/>
      <c r="G37" s="39" t="str">
        <f>[9]PZL!$F$113</f>
        <v>Ba1 / BB+</v>
      </c>
      <c r="H37" s="126">
        <f>[9]PZL!$F$114</f>
        <v>36985</v>
      </c>
      <c r="J37" s="155">
        <f t="shared" si="5"/>
        <v>-2.7891891891891875E-2</v>
      </c>
      <c r="K37" s="155">
        <f t="shared" si="6"/>
        <v>-0.1269902912621359</v>
      </c>
      <c r="N37" s="303"/>
      <c r="P37" s="128" t="s">
        <v>156</v>
      </c>
      <c r="Q37" s="128" t="s">
        <v>156</v>
      </c>
      <c r="R37" s="128" t="s">
        <v>156</v>
      </c>
      <c r="S37" s="128" t="s">
        <v>156</v>
      </c>
      <c r="T37" s="174"/>
      <c r="U37" s="156">
        <v>0</v>
      </c>
      <c r="V37" s="156">
        <v>0</v>
      </c>
      <c r="W37" s="156">
        <v>0</v>
      </c>
      <c r="X37" s="156">
        <f>[9]PZL!$E$160</f>
        <v>0</v>
      </c>
      <c r="Y37" s="156">
        <v>0</v>
      </c>
      <c r="Z37" s="60"/>
      <c r="AA37" s="176"/>
    </row>
    <row r="38" spans="1:27" s="39" customFormat="1" ht="12.75" customHeight="1" x14ac:dyDescent="0.25">
      <c r="A38" s="38" t="str">
        <f>[10]SE!$D$305</f>
        <v>7 Eleven, Inc.</v>
      </c>
      <c r="B38" s="38" t="s">
        <v>594</v>
      </c>
      <c r="C38" s="53" t="s">
        <v>595</v>
      </c>
      <c r="D38" s="53" t="str">
        <f>[10]SE!$V$16</f>
        <v>Salomon Smith Barney</v>
      </c>
      <c r="E38" s="53" t="str">
        <f>[10]SE!$U$11</f>
        <v>NR</v>
      </c>
      <c r="F38" s="126"/>
      <c r="G38" s="39" t="str">
        <f>[10]SE!$F$113</f>
        <v>BBB / Baa2</v>
      </c>
      <c r="H38" s="126">
        <f>[10]SE!$F$114</f>
        <v>37012</v>
      </c>
      <c r="J38" s="155">
        <f t="shared" si="5"/>
        <v>-6.5660377358490507E-2</v>
      </c>
      <c r="K38" s="155">
        <f t="shared" si="6"/>
        <v>0.41485714285714292</v>
      </c>
      <c r="P38" s="128" t="s">
        <v>156</v>
      </c>
      <c r="Q38" s="128" t="s">
        <v>156</v>
      </c>
      <c r="R38" s="128" t="s">
        <v>156</v>
      </c>
      <c r="S38" s="128" t="s">
        <v>156</v>
      </c>
      <c r="U38" s="156">
        <v>0</v>
      </c>
      <c r="V38" s="156">
        <v>0</v>
      </c>
      <c r="W38" s="156">
        <v>0</v>
      </c>
      <c r="X38" s="156">
        <f>[10]SE!$E$160</f>
        <v>2334</v>
      </c>
      <c r="Y38" s="156">
        <v>0</v>
      </c>
      <c r="Z38" s="60"/>
      <c r="AA38" s="176"/>
    </row>
    <row r="39" spans="1:27" s="39" customFormat="1" ht="12.75" customHeight="1" x14ac:dyDescent="0.25">
      <c r="A39" s="38" t="str">
        <f>[11]PTRY!$D$305</f>
        <v>The Pantry, Inc.</v>
      </c>
      <c r="B39" s="38" t="s">
        <v>594</v>
      </c>
      <c r="C39" s="53" t="s">
        <v>595</v>
      </c>
      <c r="D39" s="53" t="str">
        <f>[11]PTRY!$V$16</f>
        <v>Merril Lynch</v>
      </c>
      <c r="E39" s="53" t="str">
        <f>[11]PTRY!$U$11</f>
        <v>NR</v>
      </c>
      <c r="F39" s="126"/>
      <c r="G39" s="39" t="str">
        <f>[11]PTRY!$F$113</f>
        <v>BB-/ B2</v>
      </c>
      <c r="H39" s="126">
        <f>[11]PTRY!$F$114</f>
        <v>37012</v>
      </c>
      <c r="J39" s="155">
        <f t="shared" si="5"/>
        <v>-0.2934166666666666</v>
      </c>
      <c r="K39" s="155">
        <f t="shared" si="6"/>
        <v>-0.1520999999999999</v>
      </c>
      <c r="N39" s="303"/>
      <c r="P39" s="128" t="s">
        <v>156</v>
      </c>
      <c r="Q39" s="128" t="s">
        <v>156</v>
      </c>
      <c r="R39" s="128" t="s">
        <v>156</v>
      </c>
      <c r="S39" s="128" t="s">
        <v>156</v>
      </c>
      <c r="T39" s="174"/>
      <c r="U39" s="156">
        <v>0</v>
      </c>
      <c r="V39" s="156">
        <v>0</v>
      </c>
      <c r="W39" s="156">
        <v>0</v>
      </c>
      <c r="X39" s="156">
        <f>[11]PTRY!$E$160</f>
        <v>1292</v>
      </c>
      <c r="Y39" s="156">
        <v>0</v>
      </c>
      <c r="Z39" s="60"/>
      <c r="AA39" s="176"/>
    </row>
    <row r="40" spans="1:27" s="39" customFormat="1" ht="12.75" customHeight="1" x14ac:dyDescent="0.25">
      <c r="A40" s="38" t="str">
        <f>[12]UNI!$D$305</f>
        <v>Uni-Marts Inc.</v>
      </c>
      <c r="B40" s="38" t="s">
        <v>594</v>
      </c>
      <c r="C40" s="53" t="s">
        <v>595</v>
      </c>
      <c r="D40" s="53" t="str">
        <f>[12]UNI!$V$16</f>
        <v>No Research</v>
      </c>
      <c r="E40" s="53" t="str">
        <f>[12]UNI!$U$11</f>
        <v>NR</v>
      </c>
      <c r="F40" s="126"/>
      <c r="G40" s="39" t="str">
        <f>[12]UNI!$F$113</f>
        <v>NR / NR</v>
      </c>
      <c r="H40" s="126">
        <f>[12]UNI!$F$114</f>
        <v>37012</v>
      </c>
      <c r="J40" s="155">
        <f t="shared" si="5"/>
        <v>7.764705882352943E-2</v>
      </c>
      <c r="K40" s="155">
        <f t="shared" si="6"/>
        <v>0.52666666666666673</v>
      </c>
      <c r="N40" s="303"/>
      <c r="P40" s="128" t="s">
        <v>156</v>
      </c>
      <c r="Q40" s="128" t="s">
        <v>156</v>
      </c>
      <c r="R40" s="128" t="s">
        <v>156</v>
      </c>
      <c r="S40" s="128" t="s">
        <v>156</v>
      </c>
      <c r="T40" s="174"/>
      <c r="U40" s="156">
        <v>0</v>
      </c>
      <c r="V40" s="156">
        <v>0</v>
      </c>
      <c r="W40" s="156">
        <v>0</v>
      </c>
      <c r="X40" s="156">
        <f>[12]UNI!$E$160</f>
        <v>238</v>
      </c>
      <c r="Y40" s="156">
        <v>0</v>
      </c>
      <c r="Z40" s="60"/>
      <c r="AA40" s="176"/>
    </row>
    <row r="41" spans="1:27" s="39" customFormat="1" ht="12.75" customHeight="1" x14ac:dyDescent="0.25">
      <c r="A41" s="38" t="str">
        <f>[13]WD!$D$305</f>
        <v>WD-40 Co.</v>
      </c>
      <c r="B41" s="38" t="s">
        <v>596</v>
      </c>
      <c r="C41" s="53" t="s">
        <v>597</v>
      </c>
      <c r="D41" s="53" t="str">
        <f>[13]WD!$V$16</f>
        <v>No Research</v>
      </c>
      <c r="E41" s="53" t="str">
        <f>[13]WD!$U$11</f>
        <v>NA</v>
      </c>
      <c r="F41" s="126"/>
      <c r="G41" s="39" t="str">
        <f>[13]WD!$F$113</f>
        <v>NA/NA</v>
      </c>
      <c r="H41" s="126">
        <f>[13]WD!$F$114</f>
        <v>36985</v>
      </c>
      <c r="J41" s="155">
        <f t="shared" si="5"/>
        <v>0.20302405498281781</v>
      </c>
      <c r="K41" s="155">
        <f t="shared" si="6"/>
        <v>0.12565916398713822</v>
      </c>
      <c r="N41" s="303"/>
      <c r="P41" s="128" t="s">
        <v>156</v>
      </c>
      <c r="Q41" s="128" t="s">
        <v>156</v>
      </c>
      <c r="R41" s="128" t="s">
        <v>156</v>
      </c>
      <c r="S41" s="128" t="s">
        <v>156</v>
      </c>
      <c r="U41" s="156">
        <v>0</v>
      </c>
      <c r="V41" s="156">
        <v>0</v>
      </c>
      <c r="W41" s="156">
        <v>0</v>
      </c>
      <c r="X41" s="156" t="e">
        <f>[13]WD!$E$160</f>
        <v>#REF!</v>
      </c>
      <c r="Y41" s="156">
        <v>0</v>
      </c>
      <c r="Z41" s="60"/>
      <c r="AA41" s="176"/>
    </row>
    <row r="42" spans="1:27" s="39" customFormat="1" ht="12.9" customHeight="1" x14ac:dyDescent="0.25">
      <c r="A42" s="38"/>
      <c r="B42" s="38"/>
      <c r="C42" s="53"/>
      <c r="D42" s="53"/>
      <c r="E42" s="53"/>
      <c r="F42" s="126"/>
      <c r="H42" s="126"/>
      <c r="J42" s="155"/>
      <c r="K42" s="155"/>
      <c r="P42" s="128"/>
      <c r="Q42" s="128"/>
      <c r="R42" s="128"/>
      <c r="S42" s="128"/>
      <c r="T42" s="174"/>
      <c r="Z42" s="60"/>
      <c r="AA42" s="176"/>
    </row>
    <row r="43" spans="1:27" s="39" customFormat="1" ht="12.9" customHeight="1" x14ac:dyDescent="0.25">
      <c r="P43" s="128"/>
      <c r="Q43" s="128"/>
      <c r="R43" s="128"/>
      <c r="S43" s="128"/>
      <c r="Z43" s="60"/>
      <c r="AA43" s="176"/>
    </row>
    <row r="44" spans="1:27" s="39" customFormat="1" ht="12.9" customHeight="1" x14ac:dyDescent="0.25">
      <c r="B44" s="175"/>
      <c r="C44" s="175"/>
      <c r="E44" s="175"/>
      <c r="N44" s="53" t="s">
        <v>38</v>
      </c>
      <c r="P44" s="128" t="s">
        <v>156</v>
      </c>
      <c r="Q44" s="128" t="s">
        <v>156</v>
      </c>
      <c r="R44" s="128" t="s">
        <v>156</v>
      </c>
      <c r="S44" s="128"/>
      <c r="T44" s="346"/>
      <c r="U44" s="346"/>
      <c r="V44" s="346"/>
      <c r="W44" s="346"/>
      <c r="X44" s="346"/>
      <c r="Y44" s="346"/>
      <c r="Z44" s="60"/>
      <c r="AA44" s="176"/>
    </row>
    <row r="45" spans="1:27" s="39" customFormat="1" ht="12.9" customHeight="1" x14ac:dyDescent="0.25">
      <c r="B45" s="175"/>
      <c r="C45" s="175"/>
      <c r="D45" s="175"/>
      <c r="N45" s="53" t="s">
        <v>39</v>
      </c>
      <c r="P45" s="128" t="s">
        <v>156</v>
      </c>
      <c r="Q45" s="128" t="s">
        <v>156</v>
      </c>
      <c r="R45" s="128" t="s">
        <v>156</v>
      </c>
      <c r="S45" s="128"/>
      <c r="T45" s="174"/>
      <c r="U45" s="156"/>
      <c r="V45" s="156"/>
      <c r="W45" s="60"/>
      <c r="X45" s="156"/>
      <c r="Y45" s="60"/>
      <c r="Z45" s="60"/>
      <c r="AA45" s="176"/>
    </row>
    <row r="46" spans="1:27" s="39" customFormat="1" ht="12.9" customHeight="1" x14ac:dyDescent="0.25">
      <c r="B46" s="175"/>
      <c r="C46" s="175"/>
      <c r="D46" s="175"/>
      <c r="N46" s="55" t="s">
        <v>25</v>
      </c>
      <c r="P46" s="128" t="s">
        <v>156</v>
      </c>
      <c r="Q46" s="128" t="s">
        <v>156</v>
      </c>
      <c r="R46" s="128" t="s">
        <v>156</v>
      </c>
      <c r="S46" s="128"/>
      <c r="T46" s="346"/>
      <c r="U46" s="346"/>
      <c r="V46" s="346"/>
      <c r="W46" s="346"/>
      <c r="X46" s="346"/>
      <c r="Y46" s="346"/>
      <c r="Z46" s="60"/>
    </row>
    <row r="47" spans="1:27" s="39" customFormat="1" ht="12.9" customHeight="1" x14ac:dyDescent="0.25">
      <c r="B47" s="175"/>
      <c r="C47" s="175"/>
      <c r="D47" s="175"/>
      <c r="N47" s="53" t="s">
        <v>26</v>
      </c>
      <c r="P47" s="128" t="s">
        <v>156</v>
      </c>
      <c r="Q47" s="128" t="s">
        <v>156</v>
      </c>
      <c r="R47" s="128" t="s">
        <v>156</v>
      </c>
      <c r="S47" s="128"/>
      <c r="T47" s="346"/>
      <c r="U47" s="346"/>
      <c r="V47" s="346"/>
      <c r="W47" s="346"/>
      <c r="X47" s="346"/>
      <c r="Y47" s="346"/>
      <c r="Z47" s="60"/>
    </row>
    <row r="48" spans="1:27" s="39" customFormat="1" ht="12.9" customHeight="1" x14ac:dyDescent="0.25">
      <c r="A48" s="122" t="s">
        <v>74</v>
      </c>
    </row>
    <row r="49" spans="1:18" s="39" customFormat="1" ht="12.9" customHeight="1" x14ac:dyDescent="0.25">
      <c r="A49" s="55" t="s">
        <v>75</v>
      </c>
    </row>
    <row r="50" spans="1:18" s="39" customFormat="1" ht="12.9" customHeight="1" x14ac:dyDescent="0.25">
      <c r="A50" s="55" t="s">
        <v>76</v>
      </c>
    </row>
    <row r="51" spans="1:18" s="39" customFormat="1" ht="12.9" customHeight="1" x14ac:dyDescent="0.25">
      <c r="A51" s="55" t="s">
        <v>77</v>
      </c>
    </row>
    <row r="52" spans="1:18" s="39" customFormat="1" ht="12.9" customHeight="1" x14ac:dyDescent="0.25">
      <c r="A52" s="55" t="s">
        <v>78</v>
      </c>
    </row>
    <row r="53" spans="1:18" s="39" customFormat="1" ht="12.9" customHeight="1" x14ac:dyDescent="0.25">
      <c r="A53" s="55" t="s">
        <v>77</v>
      </c>
    </row>
    <row r="54" spans="1:18" s="39" customFormat="1" ht="12.9" customHeight="1" x14ac:dyDescent="0.25">
      <c r="A54" s="55" t="s">
        <v>79</v>
      </c>
    </row>
    <row r="55" spans="1:18" s="39" customFormat="1" ht="12.9" customHeight="1" x14ac:dyDescent="0.25"/>
    <row r="56" spans="1:18" s="39" customFormat="1" ht="12.9" customHeight="1" x14ac:dyDescent="0.25"/>
    <row r="57" spans="1:18" s="39" customFormat="1" ht="12.9" customHeight="1" x14ac:dyDescent="0.25"/>
    <row r="58" spans="1:18" s="39" customFormat="1" ht="12.9" customHeight="1" x14ac:dyDescent="0.25"/>
    <row r="59" spans="1:18" s="39" customFormat="1" ht="12.9" customHeight="1" x14ac:dyDescent="0.25"/>
    <row r="60" spans="1:18" s="39" customFormat="1" ht="12.9" customHeight="1" x14ac:dyDescent="0.25"/>
    <row r="61" spans="1:18" s="39" customFormat="1" ht="12.9" customHeight="1" x14ac:dyDescent="0.25"/>
    <row r="62" spans="1:18" s="39" customFormat="1" ht="12.9" customHeight="1" x14ac:dyDescent="0.25"/>
    <row r="63" spans="1:18" s="39" customFormat="1" ht="12.9" customHeight="1" x14ac:dyDescent="0.25"/>
    <row r="64" spans="1:18" s="39" customFormat="1" ht="12.9" customHeight="1" x14ac:dyDescent="0.25">
      <c r="F64" s="169">
        <f>B6</f>
        <v>37111</v>
      </c>
      <c r="G64" s="169">
        <f>F64-365</f>
        <v>36746</v>
      </c>
      <c r="Q64" s="169">
        <v>36892</v>
      </c>
      <c r="R64" s="169">
        <f>F64</f>
        <v>37111</v>
      </c>
    </row>
    <row r="65" spans="1:26" s="39" customFormat="1" ht="12.9" customHeight="1" x14ac:dyDescent="0.25">
      <c r="H65" s="39" t="s">
        <v>63</v>
      </c>
      <c r="S65" s="39" t="s">
        <v>64</v>
      </c>
    </row>
    <row r="66" spans="1:26" s="39" customFormat="1" ht="12.9" customHeight="1" x14ac:dyDescent="0.25">
      <c r="E66" s="39" t="str">
        <f>B11</f>
        <v>CASY</v>
      </c>
      <c r="F66" s="151">
        <f>_xll.FDS(E66,"ib_price",$F$64)</f>
        <v>14.100000000000001</v>
      </c>
      <c r="G66" s="151">
        <f>_xll.FDS(E66,"ib_price",$G$64)</f>
        <v>10.9375</v>
      </c>
      <c r="H66" s="177">
        <f>(F66-G66)/G66</f>
        <v>0.28914285714285726</v>
      </c>
      <c r="P66" s="39" t="str">
        <f>E66</f>
        <v>CASY</v>
      </c>
      <c r="Q66" s="151">
        <f>_xll.FDS(P66,"ib_price",$Q$64)</f>
        <v>14.9375</v>
      </c>
      <c r="R66" s="151">
        <f>_xll.FDS(P66,"ib_price",$R$64)</f>
        <v>14.100000000000001</v>
      </c>
      <c r="S66" s="177">
        <f>(R66-Q66)/Q66</f>
        <v>-5.6066945606694465E-2</v>
      </c>
    </row>
    <row r="67" spans="1:26" s="39" customFormat="1" ht="12.9" customHeight="1" x14ac:dyDescent="0.25">
      <c r="E67" s="39" t="str">
        <f t="shared" ref="E67:E73" si="7">B12</f>
        <v>DMC</v>
      </c>
      <c r="F67" s="151">
        <f>_xll.FDS(E67,"ib_price",$F$64)</f>
        <v>1.1000000000000001</v>
      </c>
      <c r="G67" s="151">
        <f>_xll.FDS(E67,"ib_price",$G$64)</f>
        <v>5.625</v>
      </c>
      <c r="H67" s="177">
        <f t="shared" ref="H67:H73" si="8">(F67-G67)/G67</f>
        <v>-0.80444444444444452</v>
      </c>
      <c r="P67" s="39" t="str">
        <f t="shared" ref="P67:P73" si="9">E67</f>
        <v>DMC</v>
      </c>
      <c r="Q67" s="151">
        <f>_xll.FDS(P67,"ib_price",$Q$64)</f>
        <v>3.5</v>
      </c>
      <c r="R67" s="151">
        <f>_xll.FDS(P67,"ib_price",$R$64)</f>
        <v>1.1000000000000001</v>
      </c>
      <c r="S67" s="177">
        <f t="shared" ref="S67:S73" si="10">(R67-Q67)/Q67</f>
        <v>-0.68571428571428572</v>
      </c>
    </row>
    <row r="68" spans="1:26" s="39" customFormat="1" ht="12.9" customHeight="1" x14ac:dyDescent="0.25">
      <c r="E68" s="39" t="str">
        <f t="shared" si="7"/>
        <v>LZ</v>
      </c>
      <c r="F68" s="151">
        <f>_xll.FDS(E68,"ib_price",$F$64)</f>
        <v>35.54</v>
      </c>
      <c r="G68" s="151">
        <f>_xll.FDS(E68,"ib_price",$G$64)</f>
        <v>21.6875</v>
      </c>
      <c r="H68" s="177">
        <f t="shared" si="8"/>
        <v>0.63873198847262247</v>
      </c>
      <c r="P68" s="39" t="str">
        <f t="shared" si="9"/>
        <v>LZ</v>
      </c>
      <c r="Q68" s="151">
        <f>_xll.FDS(P68,"ib_price",$Q$64)</f>
        <v>25.75</v>
      </c>
      <c r="R68" s="151">
        <f>_xll.FDS(P68,"ib_price",$R$64)</f>
        <v>35.54</v>
      </c>
      <c r="S68" s="177">
        <f t="shared" si="10"/>
        <v>0.38019417475728151</v>
      </c>
    </row>
    <row r="69" spans="1:26" s="39" customFormat="1" ht="12.9" customHeight="1" x14ac:dyDescent="0.25">
      <c r="E69" s="39" t="str">
        <f t="shared" si="7"/>
        <v>PZL</v>
      </c>
      <c r="F69" s="151">
        <f>_xll.FDS(E69,"ib_price",$F$64)</f>
        <v>11.24</v>
      </c>
      <c r="G69" s="151">
        <f>_xll.FDS(E69,"ib_price",$G$64)</f>
        <v>11.5625</v>
      </c>
      <c r="H69" s="177">
        <f t="shared" si="8"/>
        <v>-2.7891891891891875E-2</v>
      </c>
      <c r="P69" s="39" t="str">
        <f t="shared" si="9"/>
        <v>PZL</v>
      </c>
      <c r="Q69" s="151">
        <f>_xll.FDS(P69,"ib_price",$Q$64)</f>
        <v>12.875</v>
      </c>
      <c r="R69" s="151">
        <f>_xll.FDS(P69,"ib_price",$R$64)</f>
        <v>11.24</v>
      </c>
      <c r="S69" s="177">
        <f t="shared" si="10"/>
        <v>-0.1269902912621359</v>
      </c>
    </row>
    <row r="70" spans="1:26" s="39" customFormat="1" ht="12.9" customHeight="1" x14ac:dyDescent="0.25">
      <c r="E70" s="39" t="str">
        <f t="shared" si="7"/>
        <v>SE</v>
      </c>
      <c r="F70" s="151">
        <f>_xll.FDS(E70,"ib_price",$F$64)</f>
        <v>12.38</v>
      </c>
      <c r="G70" s="151">
        <f>_xll.FDS(E70,"ib_price",$G$64)</f>
        <v>13.25</v>
      </c>
      <c r="H70" s="177">
        <f t="shared" si="8"/>
        <v>-6.5660377358490507E-2</v>
      </c>
      <c r="P70" s="39" t="str">
        <f t="shared" si="9"/>
        <v>SE</v>
      </c>
      <c r="Q70" s="151">
        <f>_xll.FDS(P70,"ib_price",$Q$64)</f>
        <v>8.75</v>
      </c>
      <c r="R70" s="151">
        <f>_xll.FDS(P70,"ib_price",$R$64)</f>
        <v>12.38</v>
      </c>
      <c r="S70" s="177">
        <f t="shared" si="10"/>
        <v>0.41485714285714292</v>
      </c>
    </row>
    <row r="71" spans="1:26" s="39" customFormat="1" ht="12.9" customHeight="1" x14ac:dyDescent="0.25">
      <c r="E71" s="39" t="str">
        <f t="shared" si="7"/>
        <v>PTRY</v>
      </c>
      <c r="F71" s="151">
        <f>_xll.FDS(E71,"ib_price",$F$64)</f>
        <v>8.479000000000001</v>
      </c>
      <c r="G71" s="151">
        <f>_xll.FDS(E71,"ib_price",$G$64)</f>
        <v>12</v>
      </c>
      <c r="H71" s="177">
        <f t="shared" si="8"/>
        <v>-0.2934166666666666</v>
      </c>
      <c r="P71" s="39" t="str">
        <f t="shared" si="9"/>
        <v>PTRY</v>
      </c>
      <c r="Q71" s="151">
        <f>_xll.FDS(P71,"ib_price",$Q$64)</f>
        <v>10</v>
      </c>
      <c r="R71" s="151">
        <f>_xll.FDS(P71,"ib_price",$R$64)</f>
        <v>8.479000000000001</v>
      </c>
      <c r="S71" s="177">
        <f t="shared" si="10"/>
        <v>-0.1520999999999999</v>
      </c>
    </row>
    <row r="72" spans="1:26" s="39" customFormat="1" ht="12.9" customHeight="1" x14ac:dyDescent="0.25">
      <c r="E72" s="39" t="str">
        <f t="shared" si="7"/>
        <v>UNI</v>
      </c>
      <c r="F72" s="151">
        <f>_xll.FDS(E72,"ib_price",$F$64)</f>
        <v>2.29</v>
      </c>
      <c r="G72" s="151">
        <f>_xll.FDS(E72,"ib_price",$G$64)</f>
        <v>2.125</v>
      </c>
      <c r="H72" s="177">
        <f t="shared" si="8"/>
        <v>7.764705882352943E-2</v>
      </c>
      <c r="I72" s="38"/>
      <c r="J72" s="38"/>
      <c r="K72" s="38"/>
      <c r="L72" s="38"/>
      <c r="M72" s="38"/>
      <c r="N72" s="38"/>
      <c r="O72" s="38"/>
      <c r="P72" s="39" t="str">
        <f t="shared" si="9"/>
        <v>UNI</v>
      </c>
      <c r="Q72" s="151">
        <f>_xll.FDS(P72,"ib_price",$Q$64)</f>
        <v>1.5</v>
      </c>
      <c r="R72" s="151">
        <f>_xll.FDS(P72,"ib_price",$R$64)</f>
        <v>2.29</v>
      </c>
      <c r="S72" s="177">
        <f t="shared" si="10"/>
        <v>0.52666666666666673</v>
      </c>
    </row>
    <row r="73" spans="1:26" s="39" customFormat="1" ht="12.9" customHeight="1" x14ac:dyDescent="0.25">
      <c r="A73" s="38"/>
      <c r="B73" s="38"/>
      <c r="C73" s="38"/>
      <c r="D73" s="38"/>
      <c r="E73" s="39" t="str">
        <f t="shared" si="7"/>
        <v>WDFC</v>
      </c>
      <c r="F73" s="151">
        <f>_xll.FDS(E73,"ib_price",$F$64)</f>
        <v>21.88</v>
      </c>
      <c r="G73" s="151">
        <f>_xll.FDS(E73,"ib_price",$G$64)</f>
        <v>18.1875</v>
      </c>
      <c r="H73" s="177">
        <f t="shared" si="8"/>
        <v>0.20302405498281781</v>
      </c>
      <c r="I73" s="38"/>
      <c r="J73" s="38"/>
      <c r="K73" s="38"/>
      <c r="L73" s="38"/>
      <c r="M73" s="38"/>
      <c r="N73" s="38"/>
      <c r="O73" s="38"/>
      <c r="P73" s="39" t="str">
        <f t="shared" si="9"/>
        <v>WDFC</v>
      </c>
      <c r="Q73" s="151">
        <f>_xll.FDS(P73,"ib_price",$Q$64)</f>
        <v>19.4375</v>
      </c>
      <c r="R73" s="151">
        <f>_xll.FDS(P73,"ib_price",$R$64)</f>
        <v>21.88</v>
      </c>
      <c r="S73" s="177">
        <f t="shared" si="10"/>
        <v>0.12565916398713822</v>
      </c>
      <c r="T73" s="38"/>
      <c r="U73" s="38"/>
      <c r="V73" s="38"/>
      <c r="W73" s="38"/>
      <c r="X73" s="38"/>
      <c r="Y73" s="38"/>
      <c r="Z73" s="38"/>
    </row>
    <row r="74" spans="1:26" s="39" customFormat="1" ht="12.9" customHeight="1" x14ac:dyDescent="0.2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</row>
    <row r="75" spans="1:26" ht="12.9" customHeight="1" x14ac:dyDescent="0.25"/>
    <row r="76" spans="1:26" ht="12.9" customHeight="1" x14ac:dyDescent="0.25"/>
    <row r="77" spans="1:26" ht="12.9" customHeight="1" x14ac:dyDescent="0.25"/>
    <row r="78" spans="1:26" ht="12.9" customHeight="1" x14ac:dyDescent="0.25"/>
    <row r="79" spans="1:26" ht="12.9" customHeight="1" x14ac:dyDescent="0.25"/>
    <row r="80" spans="1:26" ht="12.9" customHeight="1" x14ac:dyDescent="0.25">
      <c r="E80" s="39"/>
      <c r="F80" s="151"/>
      <c r="G80" s="151"/>
      <c r="H80" s="177"/>
      <c r="P80" s="39"/>
      <c r="Q80" s="151"/>
      <c r="R80" s="151"/>
      <c r="S80" s="177"/>
    </row>
    <row r="81" spans="5:19" ht="12.9" customHeight="1" x14ac:dyDescent="0.25">
      <c r="E81" s="39"/>
      <c r="F81" s="151"/>
      <c r="G81" s="151"/>
      <c r="H81" s="177"/>
      <c r="P81" s="39"/>
      <c r="Q81" s="151"/>
      <c r="R81" s="151"/>
      <c r="S81" s="177"/>
    </row>
    <row r="82" spans="5:19" ht="12.9" customHeight="1" x14ac:dyDescent="0.25">
      <c r="E82" s="39"/>
      <c r="F82" s="151"/>
      <c r="G82" s="151"/>
      <c r="H82" s="177"/>
      <c r="P82" s="39"/>
      <c r="Q82" s="151"/>
      <c r="R82" s="151"/>
      <c r="S82" s="177"/>
    </row>
    <row r="83" spans="5:19" ht="12.9" customHeight="1" x14ac:dyDescent="0.25">
      <c r="E83" s="39"/>
      <c r="F83" s="151"/>
      <c r="G83" s="151"/>
      <c r="H83" s="177"/>
      <c r="P83" s="39"/>
      <c r="Q83" s="151"/>
      <c r="R83" s="151"/>
      <c r="S83" s="177"/>
    </row>
    <row r="84" spans="5:19" ht="12.9" customHeight="1" x14ac:dyDescent="0.25"/>
    <row r="85" spans="5:19" ht="12.9" customHeight="1" x14ac:dyDescent="0.25"/>
    <row r="86" spans="5:19" ht="12.9" customHeight="1" x14ac:dyDescent="0.25"/>
    <row r="87" spans="5:19" ht="12.9" customHeight="1" x14ac:dyDescent="0.25"/>
    <row r="88" spans="5:19" ht="12.9" customHeight="1" x14ac:dyDescent="0.25"/>
    <row r="89" spans="5:19" ht="12.9" customHeight="1" x14ac:dyDescent="0.25"/>
    <row r="90" spans="5:19" ht="12.9" customHeight="1" x14ac:dyDescent="0.25"/>
    <row r="91" spans="5:19" ht="12.9" customHeight="1" x14ac:dyDescent="0.25"/>
    <row r="92" spans="5:19" ht="12.9" customHeight="1" x14ac:dyDescent="0.25"/>
    <row r="93" spans="5:19" ht="12.9" customHeight="1" x14ac:dyDescent="0.25"/>
    <row r="94" spans="5:19" ht="12.9" customHeight="1" x14ac:dyDescent="0.25"/>
    <row r="95" spans="5:19" ht="12.9" customHeight="1" x14ac:dyDescent="0.25"/>
    <row r="96" spans="5:19" ht="12.9" customHeight="1" x14ac:dyDescent="0.25"/>
    <row r="97" ht="12.9" customHeight="1" x14ac:dyDescent="0.25"/>
    <row r="98" ht="12.9" customHeight="1" x14ac:dyDescent="0.25"/>
    <row r="99" ht="12.9" customHeight="1" x14ac:dyDescent="0.25"/>
    <row r="100" ht="12.9" customHeight="1" x14ac:dyDescent="0.25"/>
    <row r="101" ht="12.9" customHeight="1" x14ac:dyDescent="0.25"/>
    <row r="102" ht="12.9" customHeight="1" x14ac:dyDescent="0.25"/>
    <row r="103" ht="12.9" customHeight="1" x14ac:dyDescent="0.25"/>
    <row r="104" ht="12.9" customHeight="1" x14ac:dyDescent="0.25"/>
    <row r="105" ht="12.9" customHeight="1" x14ac:dyDescent="0.25"/>
    <row r="106" ht="12.9" customHeight="1" x14ac:dyDescent="0.25"/>
    <row r="107" ht="12.9" customHeight="1" x14ac:dyDescent="0.25"/>
    <row r="108" ht="12.9" customHeight="1" x14ac:dyDescent="0.25"/>
    <row r="109" ht="12.9" customHeight="1" x14ac:dyDescent="0.25"/>
    <row r="110" ht="12.9" customHeight="1" x14ac:dyDescent="0.25"/>
    <row r="111" ht="12.9" customHeight="1" x14ac:dyDescent="0.25"/>
    <row r="112" ht="12.9" customHeight="1" x14ac:dyDescent="0.25"/>
    <row r="113" ht="12.9" customHeight="1" x14ac:dyDescent="0.25"/>
    <row r="114" ht="12.9" customHeight="1" x14ac:dyDescent="0.25"/>
    <row r="115" ht="12.9" customHeight="1" x14ac:dyDescent="0.25"/>
  </sheetData>
  <mergeCells count="3">
    <mergeCell ref="I8:K8"/>
    <mergeCell ref="L8:N8"/>
    <mergeCell ref="O8:Q8"/>
  </mergeCells>
  <phoneticPr fontId="0" type="noConversion"/>
  <pageMargins left="0" right="0" top="0" bottom="0" header="0.5" footer="0.5"/>
  <pageSetup scale="53" orientation="landscape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09"/>
  <sheetViews>
    <sheetView zoomScale="50" workbookViewId="0"/>
  </sheetViews>
  <sheetFormatPr defaultColWidth="9.109375" defaultRowHeight="13.2" outlineLevelCol="1" x14ac:dyDescent="0.25"/>
  <cols>
    <col min="1" max="1" width="29.6640625" style="1" customWidth="1"/>
    <col min="2" max="2" width="12.88671875" style="1" customWidth="1"/>
    <col min="3" max="3" width="12.6640625" style="1" customWidth="1"/>
    <col min="4" max="4" width="10.6640625" style="1" customWidth="1"/>
    <col min="5" max="5" width="11.6640625" style="1" customWidth="1"/>
    <col min="6" max="6" width="10.6640625" style="1" customWidth="1"/>
    <col min="7" max="7" width="11.6640625" style="1" customWidth="1"/>
    <col min="8" max="8" width="10.6640625" style="1" customWidth="1"/>
    <col min="9" max="9" width="8.6640625" style="1" hidden="1" customWidth="1" outlineLevel="1"/>
    <col min="10" max="10" width="8.6640625" style="1" customWidth="1" collapsed="1"/>
    <col min="11" max="11" width="8.6640625" style="1" customWidth="1"/>
    <col min="12" max="12" width="8.6640625" style="1" hidden="1" customWidth="1" outlineLevel="1"/>
    <col min="13" max="13" width="8.6640625" style="1" customWidth="1" collapsed="1"/>
    <col min="14" max="14" width="8.6640625" style="1" customWidth="1"/>
    <col min="15" max="15" width="8.6640625" style="1" hidden="1" customWidth="1" outlineLevel="1"/>
    <col min="16" max="16" width="8.6640625" style="1" customWidth="1" collapsed="1"/>
    <col min="17" max="17" width="8.6640625" style="1" customWidth="1"/>
    <col min="18" max="25" width="9.6640625" style="1" customWidth="1"/>
    <col min="26" max="26" width="10.6640625" style="1" customWidth="1"/>
    <col min="27" max="27" width="9.109375" style="1"/>
    <col min="28" max="30" width="10.6640625" style="1" customWidth="1"/>
    <col min="31" max="31" width="15.6640625" style="1" customWidth="1"/>
    <col min="32" max="16384" width="9.109375" style="1"/>
  </cols>
  <sheetData>
    <row r="1" spans="1:33" ht="17.399999999999999" x14ac:dyDescent="0.3">
      <c r="A1" s="3" t="s">
        <v>80</v>
      </c>
      <c r="B1" s="3"/>
      <c r="C1" s="3"/>
    </row>
    <row r="2" spans="1:33" ht="15" customHeight="1" x14ac:dyDescent="0.3">
      <c r="A2" s="44" t="s">
        <v>0</v>
      </c>
      <c r="B2" s="44"/>
      <c r="C2" s="44"/>
      <c r="AG2" s="4"/>
    </row>
    <row r="3" spans="1:33" x14ac:dyDescent="0.25">
      <c r="A3" s="5" t="s">
        <v>1</v>
      </c>
      <c r="B3" s="5"/>
      <c r="C3" s="5"/>
      <c r="AG3" s="4"/>
    </row>
    <row r="4" spans="1:33" x14ac:dyDescent="0.25">
      <c r="A4" s="5"/>
      <c r="B4" s="5"/>
      <c r="C4" s="5"/>
      <c r="AG4" s="4"/>
    </row>
    <row r="5" spans="1:33" x14ac:dyDescent="0.25">
      <c r="A5" s="5"/>
      <c r="B5" s="5"/>
      <c r="C5" s="5"/>
      <c r="AG5" s="4"/>
    </row>
    <row r="6" spans="1:33" x14ac:dyDescent="0.25">
      <c r="A6" s="6" t="s">
        <v>2</v>
      </c>
      <c r="B6" s="45">
        <f ca="1">NOW()-5</f>
        <v>37106.632410763887</v>
      </c>
      <c r="C6" s="46"/>
    </row>
    <row r="7" spans="1:33" x14ac:dyDescent="0.25">
      <c r="D7" s="38"/>
      <c r="E7" s="38"/>
      <c r="F7" s="38"/>
      <c r="G7" s="38"/>
      <c r="H7" s="39" t="s">
        <v>3</v>
      </c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47" t="s">
        <v>4</v>
      </c>
      <c r="V7" s="47"/>
      <c r="W7" s="47"/>
      <c r="X7" s="47" t="s">
        <v>5</v>
      </c>
      <c r="Y7" s="47"/>
      <c r="Z7" s="39" t="s">
        <v>6</v>
      </c>
    </row>
    <row r="8" spans="1:33" x14ac:dyDescent="0.25">
      <c r="A8" s="38"/>
      <c r="B8" s="38"/>
      <c r="C8" s="39" t="s">
        <v>7</v>
      </c>
      <c r="D8" s="39" t="s">
        <v>8</v>
      </c>
      <c r="E8" s="48" t="s">
        <v>9</v>
      </c>
      <c r="F8" s="48"/>
      <c r="G8" s="39" t="s">
        <v>10</v>
      </c>
      <c r="H8" s="39" t="s">
        <v>10</v>
      </c>
      <c r="I8" s="347" t="s">
        <v>11</v>
      </c>
      <c r="J8" s="347"/>
      <c r="K8" s="347"/>
      <c r="L8" s="347" t="s">
        <v>12</v>
      </c>
      <c r="M8" s="347"/>
      <c r="N8" s="347"/>
      <c r="O8" s="347" t="s">
        <v>13</v>
      </c>
      <c r="P8" s="347"/>
      <c r="Q8" s="347"/>
      <c r="R8" s="49" t="s">
        <v>14</v>
      </c>
      <c r="S8" s="50" t="s">
        <v>15</v>
      </c>
      <c r="T8" s="39" t="s">
        <v>16</v>
      </c>
      <c r="U8" s="39" t="s">
        <v>17</v>
      </c>
      <c r="V8" s="39"/>
      <c r="W8" s="51" t="s">
        <v>18</v>
      </c>
      <c r="X8" s="39" t="s">
        <v>17</v>
      </c>
      <c r="Y8" s="39" t="s">
        <v>19</v>
      </c>
      <c r="Z8" s="39" t="s">
        <v>20</v>
      </c>
      <c r="AA8" s="50"/>
    </row>
    <row r="9" spans="1:33" x14ac:dyDescent="0.25">
      <c r="A9" s="39" t="s">
        <v>21</v>
      </c>
      <c r="B9" s="39" t="s">
        <v>22</v>
      </c>
      <c r="C9" s="39" t="s">
        <v>23</v>
      </c>
      <c r="D9" s="39" t="s">
        <v>24</v>
      </c>
      <c r="E9" s="39" t="s">
        <v>25</v>
      </c>
      <c r="F9" s="39" t="s">
        <v>26</v>
      </c>
      <c r="G9" s="39" t="s">
        <v>27</v>
      </c>
      <c r="H9" s="39" t="s">
        <v>27</v>
      </c>
      <c r="I9" s="39" t="s">
        <v>28</v>
      </c>
      <c r="J9" s="51" t="str">
        <f>TEXT([1]output!$AK$16-365,"YYYY")&amp;"E"</f>
        <v>2001E</v>
      </c>
      <c r="K9" s="51" t="str">
        <f>TEXT([1]output!$AK$16,"YYYY")&amp;"E"</f>
        <v>2002E</v>
      </c>
      <c r="L9" s="39" t="s">
        <v>28</v>
      </c>
      <c r="M9" s="51" t="str">
        <f>TEXT([1]output!$AK$16-365,"YYYY")&amp;"E"</f>
        <v>2001E</v>
      </c>
      <c r="N9" s="51" t="str">
        <f>TEXT([1]output!$AK$16,"YYYY")&amp;"E"</f>
        <v>2002E</v>
      </c>
      <c r="O9" s="39" t="s">
        <v>28</v>
      </c>
      <c r="P9" s="51" t="str">
        <f>TEXT([1]output!$AK$16-365,"YYYY")&amp;"E"</f>
        <v>2001E</v>
      </c>
      <c r="Q9" s="51" t="str">
        <f>TEXT([1]output!$AK$16,"YYYY")&amp;"E"</f>
        <v>2002E</v>
      </c>
      <c r="R9" s="39" t="s">
        <v>29</v>
      </c>
      <c r="S9" s="39" t="s">
        <v>30</v>
      </c>
      <c r="T9" s="39" t="s">
        <v>31</v>
      </c>
      <c r="U9" s="39" t="s">
        <v>32</v>
      </c>
      <c r="V9" s="39" t="s">
        <v>33</v>
      </c>
      <c r="W9" s="39" t="s">
        <v>34</v>
      </c>
      <c r="X9" s="39" t="s">
        <v>35</v>
      </c>
      <c r="Y9" s="39" t="s">
        <v>5</v>
      </c>
      <c r="Z9" s="39" t="s">
        <v>36</v>
      </c>
      <c r="AA9" s="50"/>
      <c r="AE9" s="2"/>
    </row>
    <row r="10" spans="1:33" ht="4.95" customHeight="1" x14ac:dyDescent="0.25">
      <c r="A10" s="8" t="s">
        <v>37</v>
      </c>
      <c r="B10" s="8" t="s">
        <v>37</v>
      </c>
      <c r="C10" s="8" t="s">
        <v>37</v>
      </c>
      <c r="D10" s="8" t="s">
        <v>37</v>
      </c>
      <c r="E10" s="8" t="s">
        <v>37</v>
      </c>
      <c r="F10" s="8" t="s">
        <v>37</v>
      </c>
      <c r="G10" s="8" t="s">
        <v>37</v>
      </c>
      <c r="H10" s="8" t="s">
        <v>37</v>
      </c>
      <c r="I10" s="8" t="s">
        <v>37</v>
      </c>
      <c r="J10" s="8" t="s">
        <v>37</v>
      </c>
      <c r="K10" s="8" t="s">
        <v>37</v>
      </c>
      <c r="L10" s="8" t="s">
        <v>37</v>
      </c>
      <c r="M10" s="8" t="s">
        <v>37</v>
      </c>
      <c r="N10" s="8" t="s">
        <v>37</v>
      </c>
      <c r="O10" s="8" t="s">
        <v>37</v>
      </c>
      <c r="P10" s="8" t="s">
        <v>37</v>
      </c>
      <c r="Q10" s="8" t="s">
        <v>37</v>
      </c>
      <c r="R10" s="8" t="s">
        <v>37</v>
      </c>
      <c r="S10" s="8" t="s">
        <v>37</v>
      </c>
      <c r="T10" s="8" t="s">
        <v>37</v>
      </c>
      <c r="U10" s="8" t="s">
        <v>37</v>
      </c>
      <c r="V10" s="8" t="s">
        <v>37</v>
      </c>
      <c r="W10" s="8" t="s">
        <v>37</v>
      </c>
      <c r="X10" s="8" t="s">
        <v>37</v>
      </c>
      <c r="Y10" s="8" t="s">
        <v>37</v>
      </c>
      <c r="Z10" s="8" t="s">
        <v>37</v>
      </c>
      <c r="AA10" s="9"/>
      <c r="AE10" s="2"/>
    </row>
    <row r="11" spans="1:33" ht="12.9" customHeight="1" x14ac:dyDescent="0.25">
      <c r="A11" s="1" t="s">
        <v>81</v>
      </c>
      <c r="B11" s="2" t="s">
        <v>82</v>
      </c>
      <c r="C11" s="10">
        <v>37106.420541203704</v>
      </c>
      <c r="D11" s="11">
        <v>51</v>
      </c>
      <c r="E11" s="11">
        <v>74.1875</v>
      </c>
      <c r="F11" s="11">
        <v>44.3</v>
      </c>
      <c r="G11" s="12">
        <v>6421.1521124482151</v>
      </c>
      <c r="H11" s="12">
        <v>9162.9341124482144</v>
      </c>
      <c r="I11" s="13">
        <v>7.4133727477529687</v>
      </c>
      <c r="J11" s="13">
        <v>8.9160839160839167</v>
      </c>
      <c r="K11" s="13">
        <v>11.61731207289294</v>
      </c>
      <c r="L11" s="13">
        <v>4.1736906501067708</v>
      </c>
      <c r="M11" s="13">
        <v>3.3707865168539324</v>
      </c>
      <c r="N11" s="13">
        <v>3.8812785388127851</v>
      </c>
      <c r="O11" s="13">
        <v>2.9265313164467597</v>
      </c>
      <c r="P11" s="13">
        <v>4.2558913666735787</v>
      </c>
      <c r="Q11" s="13">
        <v>4.8635531382421524</v>
      </c>
      <c r="R11" s="14">
        <v>0.40531811952194996</v>
      </c>
      <c r="S11" s="13">
        <v>1.7232574974278463</v>
      </c>
      <c r="T11" s="14">
        <v>2.7618859999999999E-3</v>
      </c>
      <c r="U11" s="15">
        <v>1086.4180000000001</v>
      </c>
      <c r="V11" s="14">
        <v>0.51908657625333898</v>
      </c>
      <c r="W11" s="11">
        <v>8.4034476970811323</v>
      </c>
      <c r="X11" s="12">
        <v>11947.65</v>
      </c>
      <c r="Y11" s="13">
        <v>0.53548875661798556</v>
      </c>
      <c r="Z11" s="17">
        <v>125.90494338133755</v>
      </c>
      <c r="AE11" s="2"/>
    </row>
    <row r="12" spans="1:33" ht="12.9" customHeight="1" x14ac:dyDescent="0.25">
      <c r="A12" s="1" t="s">
        <v>83</v>
      </c>
      <c r="B12" s="2" t="s">
        <v>84</v>
      </c>
      <c r="C12" s="10">
        <v>37106.420541203704</v>
      </c>
      <c r="D12" s="11">
        <v>56.01</v>
      </c>
      <c r="E12" s="11">
        <v>75.95</v>
      </c>
      <c r="F12" s="11">
        <v>46.52</v>
      </c>
      <c r="G12" s="12">
        <v>14169.761443029998</v>
      </c>
      <c r="H12" s="12">
        <v>18567.761443029998</v>
      </c>
      <c r="I12" s="13">
        <v>4.3874114219278022</v>
      </c>
      <c r="J12" s="13">
        <v>10.854651162790697</v>
      </c>
      <c r="K12" s="13">
        <v>18.185064935064933</v>
      </c>
      <c r="L12" s="13">
        <v>2.3311159440226734</v>
      </c>
      <c r="M12" s="13">
        <v>4.5759803921568629</v>
      </c>
      <c r="N12" s="13">
        <v>5.6291457286432163</v>
      </c>
      <c r="O12" s="13">
        <v>4.4954826913166235</v>
      </c>
      <c r="P12" s="13">
        <v>5.2011410396337183</v>
      </c>
      <c r="Q12" s="13">
        <v>6.6942453709787317</v>
      </c>
      <c r="R12" s="14">
        <v>0.40353437094682232</v>
      </c>
      <c r="S12" s="13">
        <v>1.9035144335075227</v>
      </c>
      <c r="T12" s="14">
        <v>3.5587189999999997E-3</v>
      </c>
      <c r="U12" s="15">
        <v>2156.5</v>
      </c>
      <c r="V12" s="14">
        <v>0.50173892881984694</v>
      </c>
      <c r="W12" s="11">
        <v>7.4977217337004021</v>
      </c>
      <c r="X12" s="12">
        <v>21405</v>
      </c>
      <c r="Y12" s="13">
        <v>0.57645649860618675</v>
      </c>
      <c r="Z12" s="17">
        <v>252.98627821871094</v>
      </c>
      <c r="AA12" s="24"/>
      <c r="AE12" s="2"/>
    </row>
    <row r="13" spans="1:33" ht="12.9" customHeight="1" x14ac:dyDescent="0.25">
      <c r="A13" s="1" t="s">
        <v>85</v>
      </c>
      <c r="B13" s="2" t="s">
        <v>86</v>
      </c>
      <c r="C13" s="18">
        <v>37106.420541203704</v>
      </c>
      <c r="D13" s="19">
        <v>41.64</v>
      </c>
      <c r="E13" s="19">
        <v>53.625</v>
      </c>
      <c r="F13" s="19">
        <v>33.6875</v>
      </c>
      <c r="G13" s="16">
        <v>8827.1318588743543</v>
      </c>
      <c r="H13" s="16">
        <v>10694.131858874354</v>
      </c>
      <c r="I13" s="20">
        <v>9.450890641193098</v>
      </c>
      <c r="J13" s="20">
        <v>13.432258064516127</v>
      </c>
      <c r="K13" s="20">
        <v>14.067567567567568</v>
      </c>
      <c r="L13" s="20">
        <v>4.142248643300964</v>
      </c>
      <c r="M13" s="20">
        <v>5.0048076923076925</v>
      </c>
      <c r="N13" s="20">
        <v>4.8644859813084107</v>
      </c>
      <c r="O13" s="20">
        <v>3.5056123347396166</v>
      </c>
      <c r="P13" s="20">
        <v>4.9233387775475475</v>
      </c>
      <c r="Q13" s="20">
        <v>5.1144847360646386</v>
      </c>
      <c r="R13" s="21">
        <v>0.39267969526333224</v>
      </c>
      <c r="S13" s="20">
        <v>2.4071807632599822</v>
      </c>
      <c r="T13" s="21">
        <v>1.3198939999999999E-2</v>
      </c>
      <c r="U13" s="22">
        <v>1769.7333333333333</v>
      </c>
      <c r="V13" s="21">
        <v>0.80369923905673168</v>
      </c>
      <c r="W13" s="19">
        <v>5.5311626575245727</v>
      </c>
      <c r="X13" s="16">
        <v>18804</v>
      </c>
      <c r="Y13" s="20">
        <v>0.42968292728100321</v>
      </c>
      <c r="Z13" s="23">
        <v>211.98683618814493</v>
      </c>
      <c r="AA13" s="24"/>
      <c r="AE13" s="2"/>
    </row>
    <row r="14" spans="1:33" ht="12.9" customHeight="1" x14ac:dyDescent="0.25">
      <c r="A14" s="1" t="s">
        <v>87</v>
      </c>
      <c r="B14" s="2" t="s">
        <v>88</v>
      </c>
      <c r="C14" s="18">
        <v>37106.420541319443</v>
      </c>
      <c r="D14" s="19">
        <v>51.9</v>
      </c>
      <c r="E14" s="19">
        <v>66.75</v>
      </c>
      <c r="F14" s="19">
        <v>47.2</v>
      </c>
      <c r="G14" s="16">
        <v>6797.4967927503858</v>
      </c>
      <c r="H14" s="16">
        <v>8056.9677927503853</v>
      </c>
      <c r="I14" s="20">
        <v>5.457494004080246</v>
      </c>
      <c r="J14" s="20">
        <v>9.6648044692737436</v>
      </c>
      <c r="K14" s="20">
        <v>14.828571428571431</v>
      </c>
      <c r="L14" s="20">
        <v>2.9244451409650489</v>
      </c>
      <c r="M14" s="20">
        <v>3.7772925764192142</v>
      </c>
      <c r="N14" s="20">
        <v>4.5406824146981632</v>
      </c>
      <c r="O14" s="20">
        <v>2.7050643894173878</v>
      </c>
      <c r="P14" s="20">
        <v>3.6958567856653142</v>
      </c>
      <c r="Q14" s="20">
        <v>4.7116770717838508</v>
      </c>
      <c r="R14" s="21">
        <v>0.33777862350150584</v>
      </c>
      <c r="S14" s="20">
        <v>1.8556936565004689</v>
      </c>
      <c r="T14" s="21">
        <v>3.8993949999999999E-3</v>
      </c>
      <c r="U14" s="22">
        <v>1097.365</v>
      </c>
      <c r="V14" s="21">
        <v>0.52522542636224046</v>
      </c>
      <c r="W14" s="19">
        <v>7.0768763136110699</v>
      </c>
      <c r="X14" s="16">
        <v>9629.3479999999981</v>
      </c>
      <c r="Y14" s="20">
        <v>0.68041395354043155</v>
      </c>
      <c r="Z14" s="23">
        <v>130.97296325145251</v>
      </c>
      <c r="AA14" s="24"/>
      <c r="AE14" s="2"/>
    </row>
    <row r="15" spans="1:33" ht="12.9" customHeight="1" x14ac:dyDescent="0.25">
      <c r="A15" s="1" t="s">
        <v>89</v>
      </c>
      <c r="B15" s="2" t="s">
        <v>90</v>
      </c>
      <c r="C15" s="18">
        <v>37106.420541319443</v>
      </c>
      <c r="D15" s="19">
        <v>34.369999999999997</v>
      </c>
      <c r="E15" s="19">
        <v>56.6875</v>
      </c>
      <c r="F15" s="19">
        <v>30.75</v>
      </c>
      <c r="G15" s="16">
        <v>4039.4850648646229</v>
      </c>
      <c r="H15" s="16">
        <v>4653.5070648646233</v>
      </c>
      <c r="I15" s="20">
        <v>7.2151550303375664</v>
      </c>
      <c r="J15" s="20">
        <v>9.6816901408450704</v>
      </c>
      <c r="K15" s="20">
        <v>13.519490908901449</v>
      </c>
      <c r="L15" s="20">
        <v>3.5281559192889658</v>
      </c>
      <c r="M15" s="20">
        <v>3.8617977528089882</v>
      </c>
      <c r="N15" s="13">
        <v>4.216295469770186</v>
      </c>
      <c r="O15" s="13">
        <v>2.8005789512884123</v>
      </c>
      <c r="P15" s="13">
        <v>3.5823764933522888</v>
      </c>
      <c r="Q15" s="13">
        <v>4.4832425529168702</v>
      </c>
      <c r="R15" s="14">
        <v>0.27743379621702502</v>
      </c>
      <c r="S15" s="13">
        <v>2.6362680988286842</v>
      </c>
      <c r="T15" s="14">
        <v>4.7604880000000002E-3</v>
      </c>
      <c r="U15" s="15">
        <v>636.83533333333321</v>
      </c>
      <c r="V15" s="14">
        <v>0.88473943552127032</v>
      </c>
      <c r="W15" s="11">
        <v>8.2619768638537074</v>
      </c>
      <c r="X15" s="12">
        <v>7913.4370000000008</v>
      </c>
      <c r="Y15" s="13">
        <v>0.57715386143861214</v>
      </c>
      <c r="Z15" s="17">
        <v>117.52938797976792</v>
      </c>
      <c r="AA15" s="24"/>
      <c r="AE15" s="2"/>
    </row>
    <row r="16" spans="1:33" ht="12.9" customHeight="1" x14ac:dyDescent="0.25">
      <c r="A16" s="1" t="s">
        <v>91</v>
      </c>
      <c r="B16" s="2" t="s">
        <v>92</v>
      </c>
      <c r="C16" s="18">
        <v>37106.420541319443</v>
      </c>
      <c r="D16" s="19">
        <v>61.71</v>
      </c>
      <c r="E16" s="19">
        <v>74.099999999999994</v>
      </c>
      <c r="F16" s="19">
        <v>55.5</v>
      </c>
      <c r="G16" s="16">
        <v>5863.7843661496127</v>
      </c>
      <c r="H16" s="16">
        <v>7658.1843661496123</v>
      </c>
      <c r="I16" s="20">
        <v>5.7953986619387337</v>
      </c>
      <c r="J16" s="20">
        <v>9.6121495327102799</v>
      </c>
      <c r="K16" s="20">
        <v>13.682926829268293</v>
      </c>
      <c r="L16" s="20">
        <v>2.6105352889990261</v>
      </c>
      <c r="M16" s="20">
        <v>3.5982507288629741</v>
      </c>
      <c r="N16" s="20">
        <v>4.0412573673870336</v>
      </c>
      <c r="O16" s="20">
        <v>2.4258581690177112</v>
      </c>
      <c r="P16" s="20">
        <v>3.5886524677364631</v>
      </c>
      <c r="Q16" s="20">
        <v>3.6294712635780151</v>
      </c>
      <c r="R16" s="21">
        <v>0.42314666222046221</v>
      </c>
      <c r="S16" s="20">
        <v>2.1185722834560345</v>
      </c>
      <c r="T16" s="21">
        <v>2.9330279999999997E-2</v>
      </c>
      <c r="U16" s="22">
        <v>1087.8333333333333</v>
      </c>
      <c r="V16" s="21">
        <v>0.35651907461314541</v>
      </c>
      <c r="W16" s="19">
        <v>5.6405120782308273</v>
      </c>
      <c r="X16" s="16">
        <v>7226</v>
      </c>
      <c r="Y16" s="20">
        <v>0.65018225491696102</v>
      </c>
      <c r="Z16" s="23">
        <v>95.021623175329978</v>
      </c>
      <c r="AA16" s="24"/>
      <c r="AE16" s="2"/>
    </row>
    <row r="17" spans="1:31" ht="12.9" customHeight="1" x14ac:dyDescent="0.25">
      <c r="A17" s="40" t="s">
        <v>93</v>
      </c>
      <c r="B17" s="41" t="s">
        <v>94</v>
      </c>
      <c r="C17" s="42">
        <v>37106</v>
      </c>
      <c r="D17" s="19">
        <v>35.590000000000003</v>
      </c>
      <c r="E17" s="19">
        <v>40.125</v>
      </c>
      <c r="F17" s="19">
        <v>30</v>
      </c>
      <c r="G17" s="16">
        <v>8682.2023094780834</v>
      </c>
      <c r="H17" s="16">
        <v>11768.202309478083</v>
      </c>
      <c r="I17" s="20">
        <v>10.228889011828121</v>
      </c>
      <c r="J17" s="20">
        <v>12.27241379310345</v>
      </c>
      <c r="K17" s="20">
        <v>16.104072398190048</v>
      </c>
      <c r="L17" s="20">
        <v>4.3480747977800958</v>
      </c>
      <c r="M17" s="20">
        <v>4.1287703016241304</v>
      </c>
      <c r="N17" s="20">
        <v>4.568677792041079</v>
      </c>
      <c r="O17" s="20">
        <v>3.255512835973899</v>
      </c>
      <c r="P17" s="20">
        <v>4.3699228776376096</v>
      </c>
      <c r="Q17" s="20">
        <v>5.072141245101812</v>
      </c>
      <c r="R17" s="21">
        <v>0.41761926535589089</v>
      </c>
      <c r="S17" s="20">
        <v>3.0063027387389485</v>
      </c>
      <c r="T17" s="21">
        <v>2.2453000000000004E-2</v>
      </c>
      <c r="U17" s="22">
        <v>1715</v>
      </c>
      <c r="V17" s="21">
        <v>0.63556851311953355</v>
      </c>
      <c r="W17" s="19">
        <v>5.0859103059245356</v>
      </c>
      <c r="X17" s="16">
        <v>12116</v>
      </c>
      <c r="Y17" s="20">
        <v>0.53112082723105514</v>
      </c>
      <c r="Z17" s="23">
        <v>243.9506127979231</v>
      </c>
      <c r="AA17" s="24"/>
      <c r="AE17" s="2"/>
    </row>
    <row r="18" spans="1:31" ht="12.9" customHeight="1" x14ac:dyDescent="0.25">
      <c r="A18" s="40"/>
      <c r="B18" s="41"/>
      <c r="C18" s="42"/>
      <c r="D18" s="19"/>
      <c r="E18" s="19"/>
      <c r="F18" s="19"/>
      <c r="G18" s="16"/>
      <c r="H18" s="16"/>
      <c r="I18" s="20"/>
      <c r="J18" s="20"/>
      <c r="K18" s="20"/>
      <c r="L18" s="20"/>
      <c r="M18" s="20"/>
      <c r="N18" s="20"/>
      <c r="O18" s="20"/>
      <c r="P18" s="20"/>
      <c r="Q18" s="20"/>
      <c r="R18" s="21"/>
      <c r="S18" s="20"/>
      <c r="T18" s="21"/>
      <c r="U18" s="22"/>
      <c r="V18" s="21"/>
      <c r="W18" s="19"/>
      <c r="X18" s="16"/>
      <c r="Y18" s="20"/>
      <c r="Z18" s="23"/>
      <c r="AA18" s="24"/>
      <c r="AB18" s="2"/>
      <c r="AC18" s="25"/>
      <c r="AD18" s="26"/>
      <c r="AE18" s="2"/>
    </row>
    <row r="19" spans="1:31" ht="12.9" customHeight="1" x14ac:dyDescent="0.25">
      <c r="B19" s="2"/>
      <c r="C19" s="18"/>
      <c r="D19" s="19"/>
      <c r="E19" s="19"/>
      <c r="F19" s="19"/>
      <c r="G19" s="16"/>
      <c r="H19" s="16"/>
      <c r="I19" s="20"/>
      <c r="J19" s="20"/>
      <c r="K19" s="20"/>
      <c r="L19" s="20"/>
      <c r="M19" s="20"/>
      <c r="N19" s="20"/>
      <c r="O19" s="20"/>
      <c r="P19" s="20"/>
      <c r="Q19" s="20"/>
      <c r="R19" s="21"/>
      <c r="S19" s="20"/>
      <c r="T19" s="21"/>
      <c r="U19" s="22"/>
      <c r="V19" s="21"/>
      <c r="W19" s="19"/>
      <c r="X19" s="28"/>
      <c r="Y19" s="20"/>
      <c r="Z19" s="23"/>
      <c r="AE19" s="2"/>
    </row>
    <row r="20" spans="1:31" ht="12.9" customHeight="1" x14ac:dyDescent="0.25">
      <c r="B20" s="29"/>
      <c r="C20" s="29"/>
      <c r="D20" s="29"/>
      <c r="E20" s="29"/>
      <c r="F20" s="29"/>
      <c r="G20" s="52"/>
      <c r="H20" s="53" t="s">
        <v>38</v>
      </c>
      <c r="I20" s="29"/>
      <c r="J20" s="20">
        <v>10.633435868474757</v>
      </c>
      <c r="K20" s="20">
        <v>14.57214373435095</v>
      </c>
      <c r="L20" s="20">
        <v>3.4368951977805069</v>
      </c>
      <c r="M20" s="20">
        <v>4.0453837087191138</v>
      </c>
      <c r="N20" s="20">
        <v>4.5345461846658397</v>
      </c>
      <c r="O20" s="20">
        <v>3.1592343840286299</v>
      </c>
      <c r="P20" s="20">
        <v>4.2310256868923597</v>
      </c>
      <c r="Q20" s="20">
        <v>4.9384021969522962</v>
      </c>
      <c r="R20" s="21">
        <v>0.37964436186099837</v>
      </c>
      <c r="S20" s="20">
        <v>2.2358270673884979</v>
      </c>
      <c r="T20" s="21">
        <v>1.1423243999999999E-2</v>
      </c>
      <c r="U20" s="22"/>
      <c r="V20" s="21">
        <v>0.60379674196372957</v>
      </c>
      <c r="W20" s="19">
        <v>6.7853725214180347</v>
      </c>
      <c r="X20" s="16"/>
      <c r="Y20" s="20">
        <v>0.56864272566174789</v>
      </c>
      <c r="Z20" s="29"/>
      <c r="AE20" s="2"/>
    </row>
    <row r="21" spans="1:31" ht="12.9" customHeight="1" x14ac:dyDescent="0.25">
      <c r="B21" s="29"/>
      <c r="C21" s="29"/>
      <c r="D21" s="29"/>
      <c r="E21" s="29"/>
      <c r="F21" s="29"/>
      <c r="G21" s="52"/>
      <c r="H21" s="53" t="s">
        <v>39</v>
      </c>
      <c r="I21" s="29"/>
      <c r="J21" s="20">
        <v>9.6816901408450704</v>
      </c>
      <c r="K21" s="20">
        <v>14.067567567567568</v>
      </c>
      <c r="L21" s="20">
        <v>3.5281559192889658</v>
      </c>
      <c r="M21" s="20">
        <v>3.8617977528089882</v>
      </c>
      <c r="N21" s="20">
        <v>4.5406824146981632</v>
      </c>
      <c r="O21" s="20">
        <v>2.9265313164467597</v>
      </c>
      <c r="P21" s="20">
        <v>4.2558913666735787</v>
      </c>
      <c r="Q21" s="20">
        <v>4.8635531382421524</v>
      </c>
      <c r="R21" s="21">
        <v>0.40353437094682232</v>
      </c>
      <c r="S21" s="20">
        <v>2.1185722834560345</v>
      </c>
      <c r="T21" s="21">
        <v>4.7604880000000002E-3</v>
      </c>
      <c r="U21" s="22"/>
      <c r="V21" s="21">
        <v>0.52522542636224046</v>
      </c>
      <c r="W21" s="19">
        <v>7.0768763136110699</v>
      </c>
      <c r="X21" s="16"/>
      <c r="Y21" s="20">
        <v>0.57645649860618675</v>
      </c>
      <c r="Z21" s="29"/>
      <c r="AE21" s="2"/>
    </row>
    <row r="22" spans="1:31" ht="12.9" customHeight="1" x14ac:dyDescent="0.25">
      <c r="B22" s="29"/>
      <c r="C22" s="29"/>
      <c r="D22" s="29"/>
      <c r="E22" s="29"/>
      <c r="F22" s="29"/>
      <c r="G22" s="54"/>
      <c r="H22" s="55" t="s">
        <v>25</v>
      </c>
      <c r="I22" s="29"/>
      <c r="J22" s="20">
        <v>13.432258064516127</v>
      </c>
      <c r="K22" s="20">
        <v>18.185064935064933</v>
      </c>
      <c r="L22" s="20">
        <v>4.3480747977800958</v>
      </c>
      <c r="M22" s="20">
        <v>5.0048076923076925</v>
      </c>
      <c r="N22" s="20">
        <v>5.6291457286432163</v>
      </c>
      <c r="O22" s="20">
        <v>4.4954826913166235</v>
      </c>
      <c r="P22" s="20">
        <v>5.2011410396337183</v>
      </c>
      <c r="Q22" s="20">
        <v>6.6942453709787317</v>
      </c>
      <c r="R22" s="21">
        <v>0.42314666222046221</v>
      </c>
      <c r="S22" s="20">
        <v>3.0063027387389485</v>
      </c>
      <c r="T22" s="21">
        <v>2.9330279999999997E-2</v>
      </c>
      <c r="U22" s="22"/>
      <c r="V22" s="21">
        <v>0.88473943552127032</v>
      </c>
      <c r="W22" s="19">
        <v>8.4034476970811323</v>
      </c>
      <c r="X22" s="16"/>
      <c r="Y22" s="20">
        <v>0.68041395354043155</v>
      </c>
      <c r="Z22" s="29"/>
      <c r="AE22" s="2"/>
    </row>
    <row r="23" spans="1:31" ht="12.9" customHeight="1" x14ac:dyDescent="0.25">
      <c r="B23" s="29"/>
      <c r="C23" s="29"/>
      <c r="D23" s="29"/>
      <c r="E23" s="29"/>
      <c r="F23" s="29"/>
      <c r="G23" s="52"/>
      <c r="H23" s="53" t="s">
        <v>26</v>
      </c>
      <c r="I23" s="29"/>
      <c r="J23" s="20">
        <v>8.9160839160839167</v>
      </c>
      <c r="K23" s="20">
        <v>11.61731207289294</v>
      </c>
      <c r="L23" s="20">
        <v>2.3311159440226734</v>
      </c>
      <c r="M23" s="20">
        <v>3.3707865168539324</v>
      </c>
      <c r="N23" s="20">
        <v>3.8812785388127851</v>
      </c>
      <c r="O23" s="20">
        <v>2.4258581690177112</v>
      </c>
      <c r="P23" s="20">
        <v>3.5823764933522888</v>
      </c>
      <c r="Q23" s="20">
        <v>3.6294712635780151</v>
      </c>
      <c r="R23" s="21">
        <v>0.27743379621702502</v>
      </c>
      <c r="S23" s="20">
        <v>1.7232574974278463</v>
      </c>
      <c r="T23" s="21">
        <v>2.7618859999999999E-3</v>
      </c>
      <c r="U23" s="22"/>
      <c r="V23" s="21">
        <v>0.35651907461314541</v>
      </c>
      <c r="W23" s="19">
        <v>5.0859103059245356</v>
      </c>
      <c r="X23" s="16"/>
      <c r="Y23" s="20">
        <v>0.42968292728100321</v>
      </c>
      <c r="Z23" s="29"/>
      <c r="AE23" s="2"/>
    </row>
    <row r="24" spans="1:31" ht="12.9" customHeight="1" x14ac:dyDescent="0.25"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E24" s="2"/>
    </row>
    <row r="25" spans="1:31" ht="12.9" customHeight="1" x14ac:dyDescent="0.25">
      <c r="B25" s="29"/>
      <c r="C25" s="29"/>
      <c r="D25" s="29"/>
      <c r="U25" s="350" t="s">
        <v>95</v>
      </c>
      <c r="V25" s="350"/>
      <c r="W25" s="350"/>
      <c r="X25" s="350"/>
      <c r="Y25" s="350"/>
      <c r="AE25" s="2"/>
    </row>
    <row r="26" spans="1:31" ht="12.9" customHeight="1" x14ac:dyDescent="0.25">
      <c r="A26" s="57"/>
      <c r="B26" s="49" t="s">
        <v>40</v>
      </c>
      <c r="C26" s="49"/>
      <c r="D26" s="49" t="s">
        <v>41</v>
      </c>
      <c r="E26" s="49"/>
      <c r="F26" s="49"/>
      <c r="G26" s="49" t="s">
        <v>42</v>
      </c>
      <c r="H26" s="49"/>
      <c r="J26" s="49" t="s">
        <v>43</v>
      </c>
      <c r="K26" s="49"/>
      <c r="P26" s="49" t="s">
        <v>44</v>
      </c>
      <c r="Q26" s="49"/>
      <c r="R26" s="49"/>
      <c r="S26" s="49"/>
      <c r="U26" s="49" t="s">
        <v>45</v>
      </c>
      <c r="V26" s="49"/>
      <c r="W26" s="49"/>
      <c r="X26" s="49"/>
      <c r="Y26" s="49"/>
      <c r="AA26" s="56"/>
      <c r="AE26" s="2"/>
    </row>
    <row r="27" spans="1:31" ht="3.6" customHeight="1" x14ac:dyDescent="0.25">
      <c r="A27" s="57"/>
      <c r="B27" s="8" t="s">
        <v>37</v>
      </c>
      <c r="C27" s="58"/>
      <c r="D27" s="8" t="s">
        <v>37</v>
      </c>
      <c r="E27" s="58"/>
      <c r="F27" s="58"/>
      <c r="G27" s="8" t="s">
        <v>37</v>
      </c>
      <c r="H27" s="58"/>
      <c r="J27" s="8" t="s">
        <v>37</v>
      </c>
      <c r="K27" s="58"/>
      <c r="P27" s="8" t="s">
        <v>37</v>
      </c>
      <c r="Q27" s="58"/>
      <c r="R27" s="58"/>
      <c r="S27" s="58"/>
      <c r="U27" s="8" t="s">
        <v>37</v>
      </c>
      <c r="V27" s="58"/>
      <c r="W27" s="58"/>
      <c r="X27" s="58"/>
      <c r="Y27" s="58"/>
      <c r="AA27" s="56"/>
      <c r="AE27" s="2"/>
    </row>
    <row r="28" spans="1:31" x14ac:dyDescent="0.25">
      <c r="A28" s="38"/>
      <c r="B28" s="2"/>
      <c r="C28" s="2"/>
      <c r="D28" s="50" t="s">
        <v>46</v>
      </c>
      <c r="E28" s="50" t="s">
        <v>47</v>
      </c>
      <c r="F28" s="50" t="s">
        <v>7</v>
      </c>
      <c r="G28" s="7" t="s">
        <v>48</v>
      </c>
      <c r="P28" s="50" t="s">
        <v>49</v>
      </c>
      <c r="Q28" s="50"/>
      <c r="R28" s="50" t="s">
        <v>50</v>
      </c>
      <c r="S28" s="50" t="s">
        <v>51</v>
      </c>
      <c r="U28" s="50" t="s">
        <v>52</v>
      </c>
      <c r="V28" s="50" t="s">
        <v>53</v>
      </c>
      <c r="W28" s="59" t="s">
        <v>54</v>
      </c>
      <c r="X28" s="50" t="s">
        <v>55</v>
      </c>
      <c r="Y28" s="50" t="s">
        <v>56</v>
      </c>
      <c r="AA28" s="56"/>
      <c r="AE28" s="2"/>
    </row>
    <row r="29" spans="1:31" x14ac:dyDescent="0.25">
      <c r="A29" s="39" t="s">
        <v>21</v>
      </c>
      <c r="B29" s="2" t="s">
        <v>57</v>
      </c>
      <c r="C29" s="2" t="s">
        <v>58</v>
      </c>
      <c r="D29" s="39" t="s">
        <v>59</v>
      </c>
      <c r="E29" s="39" t="s">
        <v>60</v>
      </c>
      <c r="F29" s="39" t="s">
        <v>61</v>
      </c>
      <c r="G29" s="2" t="s">
        <v>62</v>
      </c>
      <c r="H29" s="2" t="s">
        <v>7</v>
      </c>
      <c r="J29" s="39" t="s">
        <v>63</v>
      </c>
      <c r="K29" s="39" t="s">
        <v>64</v>
      </c>
      <c r="P29" s="39" t="s">
        <v>65</v>
      </c>
      <c r="Q29" s="39" t="s">
        <v>66</v>
      </c>
      <c r="R29" s="51" t="s">
        <v>67</v>
      </c>
      <c r="S29" s="39" t="s">
        <v>68</v>
      </c>
      <c r="U29" s="39" t="s">
        <v>69</v>
      </c>
      <c r="V29" s="51" t="s">
        <v>70</v>
      </c>
      <c r="W29" s="39" t="s">
        <v>71</v>
      </c>
      <c r="X29" s="51" t="s">
        <v>72</v>
      </c>
      <c r="Y29" s="39" t="s">
        <v>73</v>
      </c>
      <c r="AA29" s="50"/>
      <c r="AE29" s="2"/>
    </row>
    <row r="30" spans="1:31" ht="3.6" customHeight="1" x14ac:dyDescent="0.25">
      <c r="A30" s="8" t="s">
        <v>37</v>
      </c>
      <c r="B30" s="8" t="s">
        <v>37</v>
      </c>
      <c r="C30" s="8" t="s">
        <v>37</v>
      </c>
      <c r="D30" s="8" t="s">
        <v>37</v>
      </c>
      <c r="E30" s="8" t="s">
        <v>37</v>
      </c>
      <c r="F30" s="8" t="s">
        <v>37</v>
      </c>
      <c r="G30" s="8" t="s">
        <v>37</v>
      </c>
      <c r="H30" s="8" t="s">
        <v>37</v>
      </c>
      <c r="J30" s="8" t="s">
        <v>37</v>
      </c>
      <c r="K30" s="8" t="s">
        <v>37</v>
      </c>
      <c r="P30" s="8" t="s">
        <v>37</v>
      </c>
      <c r="Q30" s="8" t="s">
        <v>37</v>
      </c>
      <c r="R30" s="8" t="s">
        <v>37</v>
      </c>
      <c r="S30" s="8" t="s">
        <v>37</v>
      </c>
      <c r="U30" s="8" t="s">
        <v>37</v>
      </c>
      <c r="V30" s="8" t="s">
        <v>37</v>
      </c>
      <c r="W30" s="8" t="s">
        <v>37</v>
      </c>
      <c r="X30" s="8" t="s">
        <v>37</v>
      </c>
      <c r="Y30" s="8" t="s">
        <v>37</v>
      </c>
      <c r="AA30" s="31"/>
      <c r="AE30" s="2"/>
    </row>
    <row r="31" spans="1:31" s="2" customFormat="1" ht="12.9" customHeight="1" x14ac:dyDescent="0.25">
      <c r="A31" s="1" t="s">
        <v>81</v>
      </c>
      <c r="B31" s="1" t="s">
        <v>96</v>
      </c>
      <c r="C31" s="27" t="s">
        <v>109</v>
      </c>
      <c r="D31" s="27" t="s">
        <v>97</v>
      </c>
      <c r="E31" s="37" t="s">
        <v>101</v>
      </c>
      <c r="F31" s="10">
        <v>37088</v>
      </c>
      <c r="G31" s="43" t="s">
        <v>99</v>
      </c>
      <c r="H31" s="10">
        <v>37088</v>
      </c>
      <c r="J31" s="14">
        <v>-2.9726516052318668E-2</v>
      </c>
      <c r="K31" s="14">
        <v>-0.27207850133809097</v>
      </c>
      <c r="P31" s="14">
        <v>3.1454229006019858</v>
      </c>
      <c r="Q31" s="13">
        <v>11.408198982127733</v>
      </c>
      <c r="R31" s="11">
        <v>5.3997026092541773</v>
      </c>
      <c r="S31" s="27" t="s">
        <v>100</v>
      </c>
      <c r="U31" s="15">
        <v>0</v>
      </c>
      <c r="V31" s="15">
        <v>0</v>
      </c>
      <c r="W31" s="17">
        <v>0</v>
      </c>
      <c r="X31" s="15">
        <v>0</v>
      </c>
      <c r="Y31" s="15">
        <v>0</v>
      </c>
      <c r="AA31" s="30"/>
    </row>
    <row r="32" spans="1:31" s="2" customFormat="1" ht="12.9" customHeight="1" x14ac:dyDescent="0.25">
      <c r="A32" s="1" t="s">
        <v>83</v>
      </c>
      <c r="B32" s="1" t="s">
        <v>96</v>
      </c>
      <c r="C32" s="27" t="s">
        <v>109</v>
      </c>
      <c r="D32" s="27" t="s">
        <v>97</v>
      </c>
      <c r="E32" s="37" t="s">
        <v>101</v>
      </c>
      <c r="F32" s="10">
        <v>37088</v>
      </c>
      <c r="G32" s="43" t="s">
        <v>102</v>
      </c>
      <c r="H32" s="10">
        <v>37088</v>
      </c>
      <c r="J32" s="14">
        <v>0.14598465473145775</v>
      </c>
      <c r="K32" s="14">
        <v>-0.21201463140123805</v>
      </c>
      <c r="P32" s="14">
        <v>6.1497778524575608</v>
      </c>
      <c r="Q32" s="13">
        <v>17.659342159137434</v>
      </c>
      <c r="R32" s="11">
        <v>5.9065343502458854</v>
      </c>
      <c r="S32" s="27" t="s">
        <v>103</v>
      </c>
      <c r="T32" s="33"/>
      <c r="U32" s="15">
        <v>0</v>
      </c>
      <c r="V32" s="15">
        <v>0</v>
      </c>
      <c r="W32" s="17">
        <v>0</v>
      </c>
      <c r="X32" s="15">
        <v>0</v>
      </c>
      <c r="Y32" s="15">
        <v>0</v>
      </c>
      <c r="Z32" s="60"/>
      <c r="AA32" s="34"/>
    </row>
    <row r="33" spans="1:31" s="2" customFormat="1" ht="12.9" customHeight="1" x14ac:dyDescent="0.25">
      <c r="A33" s="1" t="s">
        <v>85</v>
      </c>
      <c r="B33" s="1" t="s">
        <v>96</v>
      </c>
      <c r="C33" s="27" t="s">
        <v>109</v>
      </c>
      <c r="D33" s="27" t="s">
        <v>97</v>
      </c>
      <c r="E33" s="37" t="s">
        <v>98</v>
      </c>
      <c r="F33" s="10">
        <v>37088</v>
      </c>
      <c r="G33" s="43" t="s">
        <v>99</v>
      </c>
      <c r="H33" s="10">
        <v>37088</v>
      </c>
      <c r="J33" s="14">
        <v>0.22245871559633029</v>
      </c>
      <c r="K33" s="14">
        <v>-0.17544554455445543</v>
      </c>
      <c r="N33" s="32"/>
      <c r="P33" s="14">
        <v>1.4068847811405936</v>
      </c>
      <c r="Q33" s="13">
        <v>11.94296095654812</v>
      </c>
      <c r="R33" s="11">
        <v>5.0819796774314936</v>
      </c>
      <c r="S33" s="27" t="s">
        <v>103</v>
      </c>
      <c r="T33" s="33"/>
      <c r="U33" s="15">
        <v>0</v>
      </c>
      <c r="V33" s="15">
        <v>0</v>
      </c>
      <c r="W33" s="17">
        <v>0</v>
      </c>
      <c r="X33" s="15">
        <v>0</v>
      </c>
      <c r="Y33" s="15">
        <v>0</v>
      </c>
      <c r="Z33" s="60"/>
      <c r="AA33" s="34"/>
    </row>
    <row r="34" spans="1:31" s="2" customFormat="1" ht="12.9" customHeight="1" x14ac:dyDescent="0.25">
      <c r="A34" s="1" t="s">
        <v>87</v>
      </c>
      <c r="B34" s="1" t="s">
        <v>96</v>
      </c>
      <c r="C34" s="27" t="s">
        <v>109</v>
      </c>
      <c r="D34" s="27" t="s">
        <v>97</v>
      </c>
      <c r="E34" s="27" t="s">
        <v>101</v>
      </c>
      <c r="F34" s="10">
        <v>37088</v>
      </c>
      <c r="G34" s="43" t="s">
        <v>104</v>
      </c>
      <c r="H34" s="10">
        <v>37088</v>
      </c>
      <c r="J34" s="14">
        <v>7.8441558441558562E-2</v>
      </c>
      <c r="K34" s="14">
        <v>-0.1487616860751188</v>
      </c>
      <c r="N34" s="32"/>
      <c r="P34" s="14">
        <v>3.3772208481889829</v>
      </c>
      <c r="Q34" s="13">
        <v>9.0702316534235532</v>
      </c>
      <c r="R34" s="11">
        <v>5.8581812305993726</v>
      </c>
      <c r="S34" s="27" t="s">
        <v>105</v>
      </c>
      <c r="T34" s="33"/>
      <c r="U34" s="15">
        <v>0</v>
      </c>
      <c r="V34" s="15">
        <v>0</v>
      </c>
      <c r="W34" s="17">
        <v>0</v>
      </c>
      <c r="X34" s="15">
        <v>0</v>
      </c>
      <c r="Y34" s="15">
        <v>0</v>
      </c>
      <c r="Z34" s="60"/>
      <c r="AA34" s="34"/>
    </row>
    <row r="35" spans="1:31" s="2" customFormat="1" ht="12.9" customHeight="1" x14ac:dyDescent="0.25">
      <c r="A35" s="1" t="s">
        <v>89</v>
      </c>
      <c r="B35" s="1" t="s">
        <v>96</v>
      </c>
      <c r="C35" s="27" t="s">
        <v>109</v>
      </c>
      <c r="D35" s="27" t="s">
        <v>97</v>
      </c>
      <c r="E35" s="37" t="s">
        <v>98</v>
      </c>
      <c r="F35" s="10">
        <v>37088</v>
      </c>
      <c r="G35" s="43" t="s">
        <v>102</v>
      </c>
      <c r="H35" s="10">
        <v>37088</v>
      </c>
      <c r="J35" s="14">
        <v>0.41060606060606075</v>
      </c>
      <c r="K35" s="14">
        <v>-0.24</v>
      </c>
      <c r="N35" s="32"/>
      <c r="P35" s="14">
        <v>0.19581430852445406</v>
      </c>
      <c r="Q35" s="13">
        <v>9.3916510180606192</v>
      </c>
      <c r="R35" s="11">
        <v>5.5688379813338225</v>
      </c>
      <c r="S35" s="27" t="s">
        <v>106</v>
      </c>
      <c r="T35" s="33"/>
      <c r="U35" s="15">
        <v>0</v>
      </c>
      <c r="V35" s="15">
        <v>0</v>
      </c>
      <c r="W35" s="17">
        <v>0</v>
      </c>
      <c r="X35" s="15">
        <v>0</v>
      </c>
      <c r="Y35" s="15">
        <v>0</v>
      </c>
      <c r="Z35" s="60"/>
      <c r="AA35" s="34"/>
    </row>
    <row r="36" spans="1:31" s="2" customFormat="1" ht="12.9" customHeight="1" x14ac:dyDescent="0.25">
      <c r="A36" s="1" t="s">
        <v>91</v>
      </c>
      <c r="B36" s="1" t="s">
        <v>96</v>
      </c>
      <c r="C36" s="27" t="s">
        <v>109</v>
      </c>
      <c r="D36" s="27" t="s">
        <v>97</v>
      </c>
      <c r="E36" s="37" t="s">
        <v>98</v>
      </c>
      <c r="F36" s="10">
        <v>37088</v>
      </c>
      <c r="G36" s="43" t="s">
        <v>107</v>
      </c>
      <c r="H36" s="10">
        <v>37088</v>
      </c>
      <c r="J36" s="14">
        <v>7.0889370932754894E-2</v>
      </c>
      <c r="K36" s="14">
        <v>-7.8095238095238079E-2</v>
      </c>
      <c r="N36" s="32"/>
      <c r="P36" s="14">
        <v>1.6041325138063065</v>
      </c>
      <c r="Q36" s="13">
        <v>10.04153846153846</v>
      </c>
      <c r="R36" s="11">
        <v>6.5426590292432918</v>
      </c>
      <c r="S36" s="27" t="s">
        <v>103</v>
      </c>
      <c r="T36" s="33"/>
      <c r="U36" s="15">
        <v>0</v>
      </c>
      <c r="V36" s="15">
        <v>0</v>
      </c>
      <c r="W36" s="17">
        <v>0</v>
      </c>
      <c r="X36" s="15">
        <v>0</v>
      </c>
      <c r="Y36" s="15">
        <v>0</v>
      </c>
      <c r="Z36" s="60"/>
      <c r="AA36" s="34"/>
    </row>
    <row r="37" spans="1:31" s="2" customFormat="1" ht="12.9" customHeight="1" x14ac:dyDescent="0.25">
      <c r="A37" s="1" t="s">
        <v>93</v>
      </c>
      <c r="B37" s="1" t="s">
        <v>96</v>
      </c>
      <c r="C37" s="27" t="s">
        <v>109</v>
      </c>
      <c r="D37" s="27" t="s">
        <v>97</v>
      </c>
      <c r="E37" s="27" t="s">
        <v>98</v>
      </c>
      <c r="F37" s="10">
        <v>37088</v>
      </c>
      <c r="G37" s="43" t="s">
        <v>102</v>
      </c>
      <c r="H37" s="10">
        <v>37088</v>
      </c>
      <c r="J37" s="14">
        <v>0.16688524590163945</v>
      </c>
      <c r="K37" s="14">
        <v>-8.006462035541187E-2</v>
      </c>
      <c r="N37" s="32"/>
      <c r="P37" s="14">
        <v>1.5332019342115093</v>
      </c>
      <c r="Q37" s="13">
        <v>8.9868995633187776</v>
      </c>
      <c r="R37" s="11">
        <v>7.3578595317725757</v>
      </c>
      <c r="S37" s="27" t="s">
        <v>103</v>
      </c>
      <c r="T37" s="33"/>
      <c r="U37" s="15">
        <v>0</v>
      </c>
      <c r="V37" s="15">
        <v>0</v>
      </c>
      <c r="W37" s="17">
        <v>0</v>
      </c>
      <c r="X37" s="15">
        <v>0</v>
      </c>
      <c r="Y37" s="15">
        <v>0</v>
      </c>
      <c r="Z37" s="60"/>
      <c r="AA37" s="34"/>
    </row>
    <row r="38" spans="1:31" s="2" customFormat="1" ht="12.9" customHeight="1" x14ac:dyDescent="0.25">
      <c r="A38" s="1"/>
      <c r="B38" s="1"/>
      <c r="C38" s="27"/>
      <c r="D38" s="27"/>
      <c r="E38" s="27"/>
      <c r="F38" s="10"/>
      <c r="H38" s="10"/>
      <c r="J38" s="14"/>
      <c r="K38" s="14"/>
      <c r="T38" s="33"/>
    </row>
    <row r="39" spans="1:31" s="2" customFormat="1" ht="12.9" customHeight="1" x14ac:dyDescent="0.25">
      <c r="A39" s="1"/>
      <c r="B39" s="1"/>
      <c r="C39" s="27"/>
      <c r="D39" s="27"/>
      <c r="E39" s="27"/>
      <c r="F39" s="10"/>
      <c r="H39" s="10"/>
      <c r="J39" s="14"/>
      <c r="K39" s="14"/>
      <c r="T39" s="33"/>
    </row>
    <row r="40" spans="1:31" s="2" customFormat="1" ht="12.9" customHeight="1" x14ac:dyDescent="0.25">
      <c r="B40" s="35"/>
      <c r="C40" s="35"/>
      <c r="E40" s="35"/>
      <c r="N40" s="53" t="s">
        <v>38</v>
      </c>
      <c r="P40" s="14">
        <v>2.4874935912759133</v>
      </c>
      <c r="Q40" s="13">
        <v>11.214403256307815</v>
      </c>
      <c r="R40" s="11">
        <v>5.9593934871258023</v>
      </c>
      <c r="S40" s="27"/>
      <c r="T40" s="33"/>
      <c r="U40" s="15"/>
      <c r="V40" s="15"/>
      <c r="W40" s="17"/>
      <c r="X40" s="15"/>
      <c r="Y40" s="15"/>
      <c r="Z40" s="60"/>
    </row>
    <row r="41" spans="1:31" s="2" customFormat="1" ht="12.9" customHeight="1" x14ac:dyDescent="0.25">
      <c r="B41" s="35"/>
      <c r="C41" s="35"/>
      <c r="D41" s="35"/>
      <c r="N41" s="53" t="s">
        <v>39</v>
      </c>
      <c r="P41" s="14">
        <v>1.6041325138063065</v>
      </c>
      <c r="Q41" s="13">
        <v>10.04153846153846</v>
      </c>
      <c r="R41" s="11">
        <v>5.8581812305993726</v>
      </c>
      <c r="S41" s="27"/>
      <c r="T41" s="33"/>
      <c r="U41" s="15"/>
      <c r="V41" s="15"/>
      <c r="W41" s="17"/>
      <c r="X41" s="15"/>
      <c r="Y41" s="15"/>
      <c r="Z41" s="60"/>
    </row>
    <row r="42" spans="1:31" s="2" customFormat="1" ht="12.9" customHeight="1" x14ac:dyDescent="0.25">
      <c r="B42" s="35"/>
      <c r="C42" s="35"/>
      <c r="D42" s="35"/>
      <c r="N42" s="55" t="s">
        <v>25</v>
      </c>
      <c r="P42" s="14">
        <v>6.1497778524575608</v>
      </c>
      <c r="Q42" s="13">
        <v>17.659342159137434</v>
      </c>
      <c r="R42" s="11">
        <v>7.3578595317725757</v>
      </c>
      <c r="S42" s="27"/>
      <c r="T42" s="33"/>
      <c r="U42" s="15"/>
      <c r="V42" s="15"/>
      <c r="W42" s="17"/>
      <c r="X42" s="15"/>
      <c r="Y42" s="15"/>
      <c r="Z42" s="60"/>
    </row>
    <row r="43" spans="1:31" s="2" customFormat="1" ht="12.9" customHeight="1" x14ac:dyDescent="0.25">
      <c r="B43" s="35"/>
      <c r="C43" s="35"/>
      <c r="D43" s="35"/>
      <c r="N43" s="53" t="s">
        <v>26</v>
      </c>
      <c r="P43" s="14">
        <v>0.19581430852445406</v>
      </c>
      <c r="Q43" s="13">
        <v>8.9868995633187776</v>
      </c>
      <c r="R43" s="11">
        <v>5.0819796774314936</v>
      </c>
      <c r="S43" s="27"/>
      <c r="T43" s="33"/>
      <c r="U43" s="15"/>
      <c r="V43" s="15"/>
      <c r="W43" s="17"/>
      <c r="X43" s="15"/>
      <c r="Y43" s="15"/>
      <c r="Z43" s="60"/>
    </row>
    <row r="44" spans="1:31" s="2" customFormat="1" ht="12.9" customHeight="1" x14ac:dyDescent="0.25">
      <c r="A44" s="36" t="s">
        <v>74</v>
      </c>
    </row>
    <row r="45" spans="1:31" s="2" customFormat="1" ht="12.9" customHeight="1" x14ac:dyDescent="0.25">
      <c r="A45" s="9" t="s">
        <v>75</v>
      </c>
    </row>
    <row r="46" spans="1:31" s="2" customFormat="1" ht="12.9" customHeight="1" x14ac:dyDescent="0.25">
      <c r="A46" s="9" t="s">
        <v>76</v>
      </c>
    </row>
    <row r="47" spans="1:31" s="2" customFormat="1" ht="12.9" customHeight="1" x14ac:dyDescent="0.25">
      <c r="A47" s="9" t="s">
        <v>77</v>
      </c>
      <c r="AE47" s="1"/>
    </row>
    <row r="48" spans="1:31" s="2" customFormat="1" ht="12.9" customHeight="1" x14ac:dyDescent="0.25">
      <c r="A48" s="9" t="s">
        <v>78</v>
      </c>
      <c r="AE48" s="1"/>
    </row>
    <row r="49" spans="1:31" s="2" customFormat="1" ht="12.9" customHeight="1" x14ac:dyDescent="0.25">
      <c r="A49" s="9" t="s">
        <v>108</v>
      </c>
      <c r="AE49" s="1"/>
    </row>
    <row r="50" spans="1:31" s="2" customFormat="1" ht="12.9" customHeight="1" x14ac:dyDescent="0.25">
      <c r="A50" s="9" t="s">
        <v>79</v>
      </c>
      <c r="AE50" s="1"/>
    </row>
    <row r="51" spans="1:31" s="2" customFormat="1" ht="12.9" customHeight="1" x14ac:dyDescent="0.25">
      <c r="AE51" s="1"/>
    </row>
    <row r="52" spans="1:31" s="2" customFormat="1" ht="12.9" customHeight="1" x14ac:dyDescent="0.25">
      <c r="AE52" s="1"/>
    </row>
    <row r="53" spans="1:31" s="2" customFormat="1" ht="12.9" customHeight="1" x14ac:dyDescent="0.25">
      <c r="AE53" s="1"/>
    </row>
    <row r="54" spans="1:31" s="2" customFormat="1" ht="12.9" customHeight="1" x14ac:dyDescent="0.25">
      <c r="AE54" s="1"/>
    </row>
    <row r="55" spans="1:31" s="2" customFormat="1" ht="12.9" customHeight="1" x14ac:dyDescent="0.25">
      <c r="AE55" s="1"/>
    </row>
    <row r="56" spans="1:31" s="2" customFormat="1" ht="12.9" customHeight="1" x14ac:dyDescent="0.25">
      <c r="AE56" s="1"/>
    </row>
    <row r="57" spans="1:31" s="2" customFormat="1" ht="12.9" customHeight="1" x14ac:dyDescent="0.25">
      <c r="AE57" s="1"/>
    </row>
    <row r="58" spans="1:31" s="2" customFormat="1" ht="12.9" customHeight="1" x14ac:dyDescent="0.25">
      <c r="AE58" s="1"/>
    </row>
    <row r="59" spans="1:31" s="2" customFormat="1" ht="12.9" customHeight="1" x14ac:dyDescent="0.25">
      <c r="AE59" s="1"/>
    </row>
    <row r="60" spans="1:31" s="2" customFormat="1" ht="12.9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E60" s="1"/>
    </row>
    <row r="61" spans="1:31" s="2" customFormat="1" ht="12.9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E61" s="1"/>
    </row>
    <row r="62" spans="1:31" s="2" customFormat="1" ht="12.9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E62" s="1"/>
    </row>
    <row r="63" spans="1:31" s="2" customFormat="1" ht="12.9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E63" s="1"/>
    </row>
    <row r="64" spans="1:31" s="2" customFormat="1" ht="12.9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E64" s="1"/>
    </row>
    <row r="65" spans="1:31" s="2" customFormat="1" ht="12.9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E65" s="1"/>
    </row>
    <row r="66" spans="1:31" s="2" customFormat="1" ht="12.9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E66" s="1"/>
    </row>
    <row r="67" spans="1:31" s="2" customFormat="1" ht="12.9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E67" s="1"/>
    </row>
    <row r="68" spans="1:31" s="2" customFormat="1" ht="12.9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E68" s="1"/>
    </row>
    <row r="69" spans="1:31" ht="12.9" customHeight="1" x14ac:dyDescent="0.25"/>
    <row r="70" spans="1:31" ht="12.9" customHeight="1" x14ac:dyDescent="0.25"/>
    <row r="71" spans="1:31" ht="12.9" customHeight="1" x14ac:dyDescent="0.25"/>
    <row r="72" spans="1:31" ht="12.9" customHeight="1" x14ac:dyDescent="0.25"/>
    <row r="73" spans="1:31" ht="12.9" customHeight="1" x14ac:dyDescent="0.25"/>
    <row r="74" spans="1:31" ht="12.9" customHeight="1" x14ac:dyDescent="0.25"/>
    <row r="75" spans="1:31" ht="12.9" customHeight="1" x14ac:dyDescent="0.25"/>
    <row r="76" spans="1:31" ht="12.9" customHeight="1" x14ac:dyDescent="0.25"/>
    <row r="77" spans="1:31" ht="12.9" customHeight="1" x14ac:dyDescent="0.25"/>
    <row r="78" spans="1:31" ht="12.9" customHeight="1" x14ac:dyDescent="0.25"/>
    <row r="79" spans="1:31" ht="12.9" customHeight="1" x14ac:dyDescent="0.25"/>
    <row r="80" spans="1:31" ht="12.9" customHeight="1" x14ac:dyDescent="0.25"/>
    <row r="81" ht="12.9" customHeight="1" x14ac:dyDescent="0.25"/>
    <row r="82" ht="12.9" customHeight="1" x14ac:dyDescent="0.25"/>
    <row r="83" ht="12.9" customHeight="1" x14ac:dyDescent="0.25"/>
    <row r="84" ht="12.9" customHeight="1" x14ac:dyDescent="0.25"/>
    <row r="85" ht="12.9" customHeight="1" x14ac:dyDescent="0.25"/>
    <row r="86" ht="12.9" customHeight="1" x14ac:dyDescent="0.25"/>
    <row r="87" ht="12.9" customHeight="1" x14ac:dyDescent="0.25"/>
    <row r="88" ht="12.9" customHeight="1" x14ac:dyDescent="0.25"/>
    <row r="89" ht="12.9" customHeight="1" x14ac:dyDescent="0.25"/>
    <row r="90" ht="12.9" customHeight="1" x14ac:dyDescent="0.25"/>
    <row r="91" ht="12.9" customHeight="1" x14ac:dyDescent="0.25"/>
    <row r="92" ht="12.9" customHeight="1" x14ac:dyDescent="0.25"/>
    <row r="93" ht="12.9" customHeight="1" x14ac:dyDescent="0.25"/>
    <row r="94" ht="12.9" customHeight="1" x14ac:dyDescent="0.25"/>
    <row r="95" ht="12.9" customHeight="1" x14ac:dyDescent="0.25"/>
    <row r="96" ht="12.9" customHeight="1" x14ac:dyDescent="0.25"/>
    <row r="97" ht="12.9" customHeight="1" x14ac:dyDescent="0.25"/>
    <row r="98" ht="12.9" customHeight="1" x14ac:dyDescent="0.25"/>
    <row r="99" ht="12.9" customHeight="1" x14ac:dyDescent="0.25"/>
    <row r="100" ht="12.9" customHeight="1" x14ac:dyDescent="0.25"/>
    <row r="101" ht="12.9" customHeight="1" x14ac:dyDescent="0.25"/>
    <row r="102" ht="12.9" customHeight="1" x14ac:dyDescent="0.25"/>
    <row r="103" ht="12.9" customHeight="1" x14ac:dyDescent="0.25"/>
    <row r="104" ht="12.9" customHeight="1" x14ac:dyDescent="0.25"/>
    <row r="105" ht="12.9" customHeight="1" x14ac:dyDescent="0.25"/>
    <row r="106" ht="12.9" customHeight="1" x14ac:dyDescent="0.25"/>
    <row r="107" ht="12.9" customHeight="1" x14ac:dyDescent="0.25"/>
    <row r="108" ht="12.9" customHeight="1" x14ac:dyDescent="0.25"/>
    <row r="109" ht="12.9" customHeight="1" x14ac:dyDescent="0.25"/>
  </sheetData>
  <mergeCells count="4">
    <mergeCell ref="I8:K8"/>
    <mergeCell ref="L8:N8"/>
    <mergeCell ref="O8:Q8"/>
    <mergeCell ref="U25:Y25"/>
  </mergeCells>
  <phoneticPr fontId="0" type="noConversion"/>
  <pageMargins left="0" right="0" top="0" bottom="0" header="0.5" footer="0.5"/>
  <pageSetup scale="53" orientation="landscape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34"/>
  <sheetViews>
    <sheetView zoomScale="50" workbookViewId="0"/>
  </sheetViews>
  <sheetFormatPr defaultColWidth="9.109375" defaultRowHeight="13.2" outlineLevelCol="1" x14ac:dyDescent="0.25"/>
  <cols>
    <col min="1" max="1" width="29.6640625" style="1" customWidth="1"/>
    <col min="2" max="2" width="15" style="1" bestFit="1" customWidth="1"/>
    <col min="3" max="3" width="12.6640625" style="1" customWidth="1"/>
    <col min="4" max="4" width="10.6640625" style="1" customWidth="1"/>
    <col min="5" max="5" width="11.6640625" style="1" customWidth="1"/>
    <col min="6" max="6" width="10.6640625" style="1" customWidth="1"/>
    <col min="7" max="7" width="11.6640625" style="1" customWidth="1"/>
    <col min="8" max="8" width="10.6640625" style="1" customWidth="1"/>
    <col min="9" max="9" width="8.6640625" style="1" hidden="1" customWidth="1" outlineLevel="1"/>
    <col min="10" max="10" width="8.6640625" style="1" customWidth="1" collapsed="1"/>
    <col min="11" max="11" width="8.6640625" style="1" customWidth="1"/>
    <col min="12" max="12" width="8.6640625" style="1" hidden="1" customWidth="1" outlineLevel="1"/>
    <col min="13" max="13" width="8.6640625" style="1" customWidth="1" collapsed="1"/>
    <col min="14" max="14" width="8.6640625" style="1" customWidth="1"/>
    <col min="15" max="15" width="8.6640625" style="1" hidden="1" customWidth="1" outlineLevel="1"/>
    <col min="16" max="16" width="8.6640625" style="1" customWidth="1" collapsed="1"/>
    <col min="17" max="17" width="8.6640625" style="1" customWidth="1"/>
    <col min="18" max="25" width="9.6640625" style="1" customWidth="1"/>
    <col min="26" max="26" width="10.6640625" style="1" customWidth="1"/>
    <col min="27" max="27" width="9.109375" style="1"/>
    <col min="28" max="30" width="10.6640625" style="1" customWidth="1"/>
    <col min="31" max="31" width="15.6640625" style="1" customWidth="1"/>
    <col min="32" max="16384" width="9.109375" style="1"/>
  </cols>
  <sheetData>
    <row r="1" spans="1:32" ht="17.399999999999999" x14ac:dyDescent="0.3">
      <c r="A1" s="3" t="s">
        <v>110</v>
      </c>
      <c r="B1" s="3"/>
      <c r="C1" s="3"/>
    </row>
    <row r="2" spans="1:32" ht="15" customHeight="1" x14ac:dyDescent="0.3">
      <c r="A2" s="44" t="s">
        <v>0</v>
      </c>
      <c r="B2" s="44"/>
      <c r="C2" s="44"/>
      <c r="AF2" s="4"/>
    </row>
    <row r="3" spans="1:32" x14ac:dyDescent="0.25">
      <c r="A3" s="5" t="s">
        <v>1</v>
      </c>
      <c r="B3" s="5"/>
      <c r="C3" s="5"/>
      <c r="AF3" s="4"/>
    </row>
    <row r="4" spans="1:32" x14ac:dyDescent="0.25">
      <c r="A4" s="5"/>
      <c r="B4" s="5"/>
      <c r="C4" s="5"/>
      <c r="AF4" s="4"/>
    </row>
    <row r="5" spans="1:32" x14ac:dyDescent="0.25">
      <c r="A5" s="5"/>
      <c r="B5" s="5"/>
      <c r="C5" s="5"/>
      <c r="AF5" s="4"/>
    </row>
    <row r="6" spans="1:32" x14ac:dyDescent="0.25">
      <c r="A6" s="6" t="s">
        <v>2</v>
      </c>
      <c r="B6" s="45">
        <v>37106.414776967591</v>
      </c>
      <c r="C6" s="46"/>
    </row>
    <row r="7" spans="1:32" x14ac:dyDescent="0.25">
      <c r="D7" s="38"/>
      <c r="E7" s="38"/>
      <c r="F7" s="38"/>
      <c r="G7" s="38"/>
      <c r="H7" s="39" t="s">
        <v>3</v>
      </c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47" t="s">
        <v>4</v>
      </c>
      <c r="V7" s="47"/>
      <c r="W7" s="47"/>
      <c r="X7" s="47" t="s">
        <v>5</v>
      </c>
      <c r="Y7" s="47"/>
      <c r="Z7" s="39" t="s">
        <v>6</v>
      </c>
    </row>
    <row r="8" spans="1:32" x14ac:dyDescent="0.25">
      <c r="A8" s="38"/>
      <c r="B8" s="38"/>
      <c r="C8" s="39" t="s">
        <v>7</v>
      </c>
      <c r="D8" s="39" t="s">
        <v>8</v>
      </c>
      <c r="E8" s="48" t="s">
        <v>9</v>
      </c>
      <c r="F8" s="48"/>
      <c r="G8" s="39" t="s">
        <v>10</v>
      </c>
      <c r="H8" s="39" t="s">
        <v>10</v>
      </c>
      <c r="I8" s="347" t="s">
        <v>11</v>
      </c>
      <c r="J8" s="347"/>
      <c r="K8" s="347"/>
      <c r="L8" s="347" t="s">
        <v>12</v>
      </c>
      <c r="M8" s="347"/>
      <c r="N8" s="347"/>
      <c r="O8" s="347" t="s">
        <v>13</v>
      </c>
      <c r="P8" s="347"/>
      <c r="Q8" s="347"/>
      <c r="R8" s="49" t="s">
        <v>14</v>
      </c>
      <c r="S8" s="50" t="s">
        <v>15</v>
      </c>
      <c r="T8" s="39" t="s">
        <v>16</v>
      </c>
      <c r="U8" s="39" t="s">
        <v>17</v>
      </c>
      <c r="V8" s="39"/>
      <c r="W8" s="51" t="s">
        <v>18</v>
      </c>
      <c r="X8" s="39" t="s">
        <v>17</v>
      </c>
      <c r="Y8" s="39" t="s">
        <v>19</v>
      </c>
      <c r="Z8" s="39" t="s">
        <v>20</v>
      </c>
      <c r="AA8" s="50"/>
    </row>
    <row r="9" spans="1:32" x14ac:dyDescent="0.25">
      <c r="A9" s="39" t="s">
        <v>21</v>
      </c>
      <c r="B9" s="39" t="s">
        <v>22</v>
      </c>
      <c r="C9" s="39" t="s">
        <v>23</v>
      </c>
      <c r="D9" s="39" t="s">
        <v>24</v>
      </c>
      <c r="E9" s="39" t="s">
        <v>25</v>
      </c>
      <c r="F9" s="39" t="s">
        <v>26</v>
      </c>
      <c r="G9" s="39" t="s">
        <v>27</v>
      </c>
      <c r="H9" s="39" t="s">
        <v>27</v>
      </c>
      <c r="I9" s="39" t="s">
        <v>28</v>
      </c>
      <c r="J9" s="51" t="s">
        <v>111</v>
      </c>
      <c r="K9" s="51" t="s">
        <v>112</v>
      </c>
      <c r="L9" s="39" t="s">
        <v>28</v>
      </c>
      <c r="M9" s="51" t="s">
        <v>111</v>
      </c>
      <c r="N9" s="51" t="s">
        <v>112</v>
      </c>
      <c r="O9" s="39" t="s">
        <v>28</v>
      </c>
      <c r="P9" s="51" t="s">
        <v>111</v>
      </c>
      <c r="Q9" s="51" t="s">
        <v>112</v>
      </c>
      <c r="R9" s="39" t="s">
        <v>29</v>
      </c>
      <c r="S9" s="39" t="s">
        <v>30</v>
      </c>
      <c r="T9" s="39" t="s">
        <v>31</v>
      </c>
      <c r="U9" s="39" t="s">
        <v>32</v>
      </c>
      <c r="V9" s="39" t="s">
        <v>33</v>
      </c>
      <c r="W9" s="39" t="s">
        <v>34</v>
      </c>
      <c r="X9" s="39" t="s">
        <v>35</v>
      </c>
      <c r="Y9" s="39" t="s">
        <v>5</v>
      </c>
      <c r="Z9" s="39" t="s">
        <v>36</v>
      </c>
      <c r="AA9" s="50"/>
    </row>
    <row r="10" spans="1:32" ht="4.95" customHeight="1" x14ac:dyDescent="0.25">
      <c r="A10" s="8" t="s">
        <v>37</v>
      </c>
      <c r="B10" s="8" t="s">
        <v>37</v>
      </c>
      <c r="C10" s="8" t="s">
        <v>37</v>
      </c>
      <c r="D10" s="8" t="s">
        <v>37</v>
      </c>
      <c r="E10" s="8" t="s">
        <v>37</v>
      </c>
      <c r="F10" s="8" t="s">
        <v>37</v>
      </c>
      <c r="G10" s="8" t="s">
        <v>37</v>
      </c>
      <c r="H10" s="8" t="s">
        <v>37</v>
      </c>
      <c r="I10" s="8" t="s">
        <v>37</v>
      </c>
      <c r="J10" s="8" t="s">
        <v>37</v>
      </c>
      <c r="K10" s="8" t="s">
        <v>37</v>
      </c>
      <c r="L10" s="8" t="s">
        <v>37</v>
      </c>
      <c r="M10" s="8" t="s">
        <v>37</v>
      </c>
      <c r="N10" s="8" t="s">
        <v>37</v>
      </c>
      <c r="O10" s="8" t="s">
        <v>37</v>
      </c>
      <c r="P10" s="8" t="s">
        <v>37</v>
      </c>
      <c r="Q10" s="8" t="s">
        <v>37</v>
      </c>
      <c r="R10" s="8" t="s">
        <v>37</v>
      </c>
      <c r="S10" s="8" t="s">
        <v>37</v>
      </c>
      <c r="T10" s="8" t="s">
        <v>37</v>
      </c>
      <c r="U10" s="8" t="s">
        <v>37</v>
      </c>
      <c r="V10" s="8" t="s">
        <v>37</v>
      </c>
      <c r="W10" s="8" t="s">
        <v>37</v>
      </c>
      <c r="X10" s="8" t="s">
        <v>37</v>
      </c>
      <c r="Y10" s="8" t="s">
        <v>37</v>
      </c>
      <c r="Z10" s="8" t="s">
        <v>37</v>
      </c>
      <c r="AA10" s="9"/>
    </row>
    <row r="11" spans="1:32" ht="12.9" customHeight="1" x14ac:dyDescent="0.25">
      <c r="A11" s="1" t="s">
        <v>113</v>
      </c>
      <c r="B11" s="2" t="s">
        <v>114</v>
      </c>
      <c r="C11" s="18">
        <v>37106.414239467595</v>
      </c>
      <c r="D11" s="19">
        <v>6.25</v>
      </c>
      <c r="E11" s="19">
        <v>11.06</v>
      </c>
      <c r="F11" s="19">
        <v>5.4375</v>
      </c>
      <c r="G11" s="16">
        <v>1044.66669776</v>
      </c>
      <c r="H11" s="16">
        <v>2196.2555827599999</v>
      </c>
      <c r="I11" s="20">
        <v>4.1082928971079333</v>
      </c>
      <c r="J11" s="20">
        <v>5.0074768586469558</v>
      </c>
      <c r="K11" s="20">
        <v>6.3900955943265858</v>
      </c>
      <c r="L11" s="20">
        <v>2.2275293141711803</v>
      </c>
      <c r="M11" s="20">
        <v>2.0780959576981988</v>
      </c>
      <c r="N11" s="20">
        <v>2.3351132192883464</v>
      </c>
      <c r="O11" s="20">
        <v>1.8567000228562491</v>
      </c>
      <c r="P11" s="20">
        <v>3.534883469019555</v>
      </c>
      <c r="Q11" s="20">
        <v>3.985093829226444</v>
      </c>
      <c r="R11" s="21">
        <v>0.74101507224551788</v>
      </c>
      <c r="S11" s="20">
        <v>2.6182975830290207</v>
      </c>
      <c r="T11" s="21">
        <v>0</v>
      </c>
      <c r="U11" s="22">
        <v>276.05500000000001</v>
      </c>
      <c r="V11" s="21">
        <v>0.90739164296969799</v>
      </c>
      <c r="W11" s="19">
        <v>6.6383641975555721</v>
      </c>
      <c r="X11" s="16">
        <v>4920.8340000000007</v>
      </c>
      <c r="Y11" s="20">
        <v>0.17713845400360032</v>
      </c>
      <c r="Z11" s="23">
        <v>167.14667164159999</v>
      </c>
      <c r="AA11" s="24"/>
    </row>
    <row r="12" spans="1:32" ht="12.9" customHeight="1" x14ac:dyDescent="0.25">
      <c r="A12" s="40" t="s">
        <v>115</v>
      </c>
      <c r="B12" s="41" t="s">
        <v>116</v>
      </c>
      <c r="C12" s="42">
        <v>37106.411856134262</v>
      </c>
      <c r="D12" s="19">
        <v>14.4</v>
      </c>
      <c r="E12" s="19">
        <v>21.733330000000002</v>
      </c>
      <c r="F12" s="19">
        <v>8.3333329999999997</v>
      </c>
      <c r="G12" s="16">
        <v>1768.28505139</v>
      </c>
      <c r="H12" s="16">
        <v>2587.5280513900002</v>
      </c>
      <c r="I12" s="20">
        <v>10.855912414460542</v>
      </c>
      <c r="J12" s="20">
        <v>6.7461553839712396</v>
      </c>
      <c r="K12" s="20">
        <v>7.7339006797779071</v>
      </c>
      <c r="L12" s="20">
        <v>4.429984480233732</v>
      </c>
      <c r="M12" s="20">
        <v>3.4427677968157164</v>
      </c>
      <c r="N12" s="20">
        <v>3.5949997085374403</v>
      </c>
      <c r="O12" s="20">
        <v>3.4210415303017112</v>
      </c>
      <c r="P12" s="20">
        <v>4.1738362605897343</v>
      </c>
      <c r="Q12" s="20">
        <v>4.5225593325211761</v>
      </c>
      <c r="R12" s="21">
        <v>0.61628568331232025</v>
      </c>
      <c r="S12" s="20">
        <v>3.42174986433246</v>
      </c>
      <c r="T12" s="21">
        <v>2.7874569999999997E-3</v>
      </c>
      <c r="U12" s="22">
        <v>375.40416666666664</v>
      </c>
      <c r="V12" s="21">
        <v>0.78567899042143463</v>
      </c>
      <c r="W12" s="19">
        <v>6.7439171561162512</v>
      </c>
      <c r="X12" s="16">
        <v>5262.03</v>
      </c>
      <c r="Y12" s="20">
        <v>0.3287949998426723</v>
      </c>
      <c r="Z12" s="23">
        <v>122.79757301319444</v>
      </c>
      <c r="AA12" s="24"/>
    </row>
    <row r="13" spans="1:32" ht="12.9" customHeight="1" x14ac:dyDescent="0.25">
      <c r="A13" s="1" t="s">
        <v>117</v>
      </c>
      <c r="B13" s="2" t="s">
        <v>118</v>
      </c>
      <c r="C13" s="18">
        <v>37106.414092245373</v>
      </c>
      <c r="D13" s="19">
        <v>25.89</v>
      </c>
      <c r="E13" s="19">
        <v>37.85</v>
      </c>
      <c r="F13" s="19">
        <v>24.5</v>
      </c>
      <c r="G13" s="16">
        <v>1267.69485667</v>
      </c>
      <c r="H13" s="16">
        <v>1761.58885667</v>
      </c>
      <c r="I13" s="20">
        <v>5.7272612130631311</v>
      </c>
      <c r="J13" s="20">
        <v>6.4247450171065248</v>
      </c>
      <c r="K13" s="20">
        <v>8.7720993947041013</v>
      </c>
      <c r="L13" s="20">
        <v>2.5762393846151581</v>
      </c>
      <c r="M13" s="20">
        <v>2.4181766780304437</v>
      </c>
      <c r="N13" s="20">
        <v>2.9497106776251885</v>
      </c>
      <c r="O13" s="20">
        <v>2.2218938258723648</v>
      </c>
      <c r="P13" s="20">
        <v>2.8841217312657847</v>
      </c>
      <c r="Q13" s="20">
        <v>3.531428094425225</v>
      </c>
      <c r="R13" s="21">
        <v>0.35753556860083058</v>
      </c>
      <c r="S13" s="20">
        <v>1.370964098341686</v>
      </c>
      <c r="T13" s="21">
        <v>0</v>
      </c>
      <c r="U13" s="22">
        <v>229.91733333333332</v>
      </c>
      <c r="V13" s="21">
        <v>0.61185614539718625</v>
      </c>
      <c r="W13" s="19">
        <v>7.6162509706792099</v>
      </c>
      <c r="X13" s="16">
        <v>3694.4309999999996</v>
      </c>
      <c r="Y13" s="20">
        <v>0.34109517361601577</v>
      </c>
      <c r="Z13" s="23">
        <v>48.964652633062961</v>
      </c>
      <c r="AA13" s="24"/>
    </row>
    <row r="14" spans="1:32" ht="12.9" customHeight="1" x14ac:dyDescent="0.25">
      <c r="A14" s="1" t="s">
        <v>119</v>
      </c>
      <c r="B14" s="2" t="s">
        <v>120</v>
      </c>
      <c r="C14" s="18">
        <v>37106.413935648146</v>
      </c>
      <c r="D14" s="19">
        <v>31.57</v>
      </c>
      <c r="E14" s="19">
        <v>48.1875</v>
      </c>
      <c r="F14" s="19">
        <v>29.01</v>
      </c>
      <c r="G14" s="16">
        <v>1398.6017994700001</v>
      </c>
      <c r="H14" s="16">
        <v>1902.8597994700001</v>
      </c>
      <c r="I14" s="20">
        <v>8.2638274019573181</v>
      </c>
      <c r="J14" s="20">
        <v>7.3833758108014882</v>
      </c>
      <c r="K14" s="20">
        <v>12.649113637581602</v>
      </c>
      <c r="L14" s="20">
        <v>3.3258036048230193</v>
      </c>
      <c r="M14" s="20">
        <v>3.127219573325414</v>
      </c>
      <c r="N14" s="20">
        <v>3.8896496075919855</v>
      </c>
      <c r="O14" s="20">
        <v>2.8910171039636192</v>
      </c>
      <c r="P14" s="20">
        <v>3.4872551531110294</v>
      </c>
      <c r="Q14" s="20">
        <v>4.4354415274652768</v>
      </c>
      <c r="R14" s="21">
        <v>0.44645284080536152</v>
      </c>
      <c r="S14" s="20">
        <v>2.2283503273691925</v>
      </c>
      <c r="T14" s="21">
        <v>0</v>
      </c>
      <c r="U14" s="22">
        <v>301.3361666666666</v>
      </c>
      <c r="V14" s="21">
        <v>0.88963156872971882</v>
      </c>
      <c r="W14" s="19">
        <v>6.2231822898578413</v>
      </c>
      <c r="X14" s="16">
        <v>2539.8239999999996</v>
      </c>
      <c r="Y14" s="20">
        <v>0.54268454129687482</v>
      </c>
      <c r="Z14" s="23">
        <v>44.301609105796643</v>
      </c>
      <c r="AA14" s="24"/>
    </row>
    <row r="15" spans="1:32" ht="12.9" customHeight="1" x14ac:dyDescent="0.25">
      <c r="A15" s="1" t="s">
        <v>121</v>
      </c>
      <c r="B15" s="2" t="s">
        <v>122</v>
      </c>
      <c r="C15" s="18">
        <v>37106.41377939815</v>
      </c>
      <c r="D15" s="19">
        <v>46.55</v>
      </c>
      <c r="E15" s="19">
        <v>64</v>
      </c>
      <c r="F15" s="19">
        <v>32</v>
      </c>
      <c r="G15" s="16">
        <v>2348.6760937500003</v>
      </c>
      <c r="H15" s="16">
        <v>2508.3610937500002</v>
      </c>
      <c r="I15" s="20">
        <v>6.8227738413875718</v>
      </c>
      <c r="J15" s="20">
        <v>7.7274639619072474</v>
      </c>
      <c r="K15" s="20">
        <v>11.241831612842127</v>
      </c>
      <c r="L15" s="20">
        <v>3.4095708977161876</v>
      </c>
      <c r="M15" s="20">
        <v>4.0966768677490188</v>
      </c>
      <c r="N15" s="20">
        <v>4.7558996754677683</v>
      </c>
      <c r="O15" s="20">
        <v>3.2726746137416898</v>
      </c>
      <c r="P15" s="20">
        <v>3.6303602248386255</v>
      </c>
      <c r="Q15" s="20">
        <v>4.4190851163630605</v>
      </c>
      <c r="R15" s="21">
        <v>0.2757750699925518</v>
      </c>
      <c r="S15" s="20">
        <v>3.1824361849807326</v>
      </c>
      <c r="T15" s="21">
        <v>1.1516729999999999E-2</v>
      </c>
      <c r="U15" s="22">
        <v>426.33333333333337</v>
      </c>
      <c r="V15" s="21">
        <v>0.56137607505863951</v>
      </c>
      <c r="W15" s="19">
        <v>3.6878206509040421</v>
      </c>
      <c r="X15" s="16">
        <v>4528</v>
      </c>
      <c r="Y15" s="20">
        <v>0.32512153359021195</v>
      </c>
      <c r="Z15" s="23">
        <v>50.454910714285717</v>
      </c>
      <c r="AA15" s="24"/>
    </row>
    <row r="16" spans="1:32" ht="12.9" customHeight="1" x14ac:dyDescent="0.25">
      <c r="A16" s="40" t="s">
        <v>123</v>
      </c>
      <c r="B16" s="41" t="s">
        <v>124</v>
      </c>
      <c r="C16" s="42">
        <v>37106.413549652774</v>
      </c>
      <c r="D16" s="19">
        <v>33.01</v>
      </c>
      <c r="E16" s="19">
        <v>50.25</v>
      </c>
      <c r="F16" s="19">
        <v>29.39</v>
      </c>
      <c r="G16" s="16">
        <v>1498.0244401699997</v>
      </c>
      <c r="H16" s="16">
        <v>2071.5174401699996</v>
      </c>
      <c r="I16" s="20">
        <v>8.5813216902014666</v>
      </c>
      <c r="J16" s="20">
        <v>9.2946726134588307</v>
      </c>
      <c r="K16" s="20">
        <v>13.531570855074509</v>
      </c>
      <c r="L16" s="20">
        <v>3.3040312823039368</v>
      </c>
      <c r="M16" s="20">
        <v>3.3573306928514017</v>
      </c>
      <c r="N16" s="20">
        <v>3.7872218899038899</v>
      </c>
      <c r="O16" s="20">
        <v>2.9398622333364717</v>
      </c>
      <c r="P16" s="20">
        <v>3.6697506990614452</v>
      </c>
      <c r="Q16" s="20">
        <v>4.1917887849022719</v>
      </c>
      <c r="R16" s="21">
        <v>0.39261467499301667</v>
      </c>
      <c r="S16" s="20">
        <v>2.4182200385649755</v>
      </c>
      <c r="T16" s="21">
        <v>0</v>
      </c>
      <c r="U16" s="22">
        <v>114.55449999999999</v>
      </c>
      <c r="V16" s="21">
        <v>0.75615100236132149</v>
      </c>
      <c r="W16" s="19">
        <v>17.99625942912407</v>
      </c>
      <c r="X16" s="16">
        <v>2670.2580000000003</v>
      </c>
      <c r="Y16" s="20">
        <v>0.55830495123713297</v>
      </c>
      <c r="Z16" s="23">
        <v>45.380928208724626</v>
      </c>
      <c r="AA16" s="24"/>
    </row>
    <row r="17" spans="1:31" ht="12.9" customHeight="1" x14ac:dyDescent="0.25">
      <c r="A17" s="1" t="s">
        <v>125</v>
      </c>
      <c r="B17" s="2" t="s">
        <v>126</v>
      </c>
      <c r="C17" s="18">
        <v>37106.413672569448</v>
      </c>
      <c r="D17" s="19">
        <v>35.700000000000003</v>
      </c>
      <c r="E17" s="19">
        <v>51.09</v>
      </c>
      <c r="F17" s="19">
        <v>29.625</v>
      </c>
      <c r="G17" s="16">
        <v>2041.1508402000002</v>
      </c>
      <c r="H17" s="16">
        <v>2467.4228402000003</v>
      </c>
      <c r="I17" s="20">
        <v>7.5423030229799579</v>
      </c>
      <c r="J17" s="20">
        <v>8.2266227428013643</v>
      </c>
      <c r="K17" s="20">
        <v>11.735222248080051</v>
      </c>
      <c r="L17" s="20">
        <v>7.5423030229799579</v>
      </c>
      <c r="M17" s="20">
        <v>3.072285423533164</v>
      </c>
      <c r="N17" s="20">
        <v>3.5043781924319819</v>
      </c>
      <c r="O17" s="20">
        <v>2.5656651635820613</v>
      </c>
      <c r="P17" s="20">
        <v>3.0788136560105812</v>
      </c>
      <c r="Q17" s="20">
        <v>3.6183995544866625</v>
      </c>
      <c r="R17" s="21">
        <v>0.31945967780392776</v>
      </c>
      <c r="S17" s="20">
        <v>2.103355475018188</v>
      </c>
      <c r="T17" s="21">
        <v>4.545454E-3</v>
      </c>
      <c r="U17" s="22">
        <v>394.54049999999995</v>
      </c>
      <c r="V17" s="21">
        <v>0.62293097920238849</v>
      </c>
      <c r="W17" s="19">
        <v>6.181935886210618</v>
      </c>
      <c r="X17" s="16">
        <v>4074</v>
      </c>
      <c r="Y17" s="20">
        <v>0.49525239235333085</v>
      </c>
      <c r="Z17" s="23">
        <v>57.175093563025207</v>
      </c>
      <c r="AA17" s="24"/>
    </row>
    <row r="18" spans="1:31" ht="12.9" customHeight="1" x14ac:dyDescent="0.25">
      <c r="A18" s="40" t="s">
        <v>127</v>
      </c>
      <c r="B18" s="41" t="s">
        <v>128</v>
      </c>
      <c r="C18" s="42">
        <v>37106.413401273145</v>
      </c>
      <c r="D18" s="19">
        <v>19.68</v>
      </c>
      <c r="E18" s="19">
        <v>21.72</v>
      </c>
      <c r="F18" s="19">
        <v>12.59375</v>
      </c>
      <c r="G18" s="16">
        <v>3512.3812713799998</v>
      </c>
      <c r="H18" s="16">
        <v>4577.0922713800001</v>
      </c>
      <c r="I18" s="20">
        <v>11.641084331265191</v>
      </c>
      <c r="J18" s="20">
        <v>10.689944669863515</v>
      </c>
      <c r="K18" s="20">
        <v>14.265805818092549</v>
      </c>
      <c r="L18" s="20">
        <v>4.4704586831397224</v>
      </c>
      <c r="M18" s="20">
        <v>4.2018089392021301</v>
      </c>
      <c r="N18" s="20">
        <v>4.9731027846169722</v>
      </c>
      <c r="O18" s="20">
        <v>3.774996449373571</v>
      </c>
      <c r="P18" s="20">
        <v>4.4848830753507878</v>
      </c>
      <c r="Q18" s="20">
        <v>5.2124954690581937</v>
      </c>
      <c r="R18" s="21">
        <v>0.46224905779381792</v>
      </c>
      <c r="S18" s="20">
        <v>2.7392306743219543</v>
      </c>
      <c r="T18" s="21">
        <v>8.4343700000000001E-3</v>
      </c>
      <c r="U18" s="22">
        <v>460.12099999999998</v>
      </c>
      <c r="V18" s="21">
        <v>0.51828975421682555</v>
      </c>
      <c r="W18" s="19">
        <v>9.5255042530629517</v>
      </c>
      <c r="X18" s="16">
        <v>5846.9929999999986</v>
      </c>
      <c r="Y18" s="20">
        <v>0.57522723671911558</v>
      </c>
      <c r="Z18" s="23">
        <v>178.47465809857724</v>
      </c>
      <c r="AA18" s="24"/>
      <c r="AB18" s="2"/>
      <c r="AC18" s="25"/>
      <c r="AD18" s="26"/>
    </row>
    <row r="19" spans="1:31" ht="12.9" customHeight="1" x14ac:dyDescent="0.25">
      <c r="A19" s="40" t="s">
        <v>129</v>
      </c>
      <c r="B19" s="41" t="s">
        <v>130</v>
      </c>
      <c r="C19" s="42">
        <v>37106.412962962961</v>
      </c>
      <c r="D19" s="19">
        <v>17.25</v>
      </c>
      <c r="E19" s="19">
        <v>23.05</v>
      </c>
      <c r="F19" s="19">
        <v>11.1875</v>
      </c>
      <c r="G19" s="16">
        <v>1698.3807168399999</v>
      </c>
      <c r="H19" s="16">
        <v>3230.3057168400001</v>
      </c>
      <c r="I19" s="20">
        <v>9.2031706260329411</v>
      </c>
      <c r="J19" s="20">
        <v>9.2106186445886493</v>
      </c>
      <c r="K19" s="20">
        <v>11.013947346066598</v>
      </c>
      <c r="L19" s="20">
        <v>3.1848062107426527</v>
      </c>
      <c r="M19" s="20">
        <v>3.4384300366126284</v>
      </c>
      <c r="N19" s="20">
        <v>3.4899252190929055</v>
      </c>
      <c r="O19" s="20">
        <v>2.7286818775163946</v>
      </c>
      <c r="P19" s="20">
        <v>4.8863293069459308</v>
      </c>
      <c r="Q19" s="20">
        <v>5.2056211462317483</v>
      </c>
      <c r="R19" s="21">
        <v>0.64830574748599235</v>
      </c>
      <c r="S19" s="20">
        <v>2.019544903801791</v>
      </c>
      <c r="T19" s="21">
        <v>0</v>
      </c>
      <c r="U19" s="22">
        <v>628.18333333333339</v>
      </c>
      <c r="V19" s="21">
        <v>0.50291103977076757</v>
      </c>
      <c r="W19" s="19">
        <v>5.1422977106046535</v>
      </c>
      <c r="X19" s="16">
        <v>5645.5019999999986</v>
      </c>
      <c r="Y19" s="20">
        <v>0.30083785584346623</v>
      </c>
      <c r="Z19" s="23">
        <v>98.456853150144923</v>
      </c>
      <c r="AA19" s="24"/>
      <c r="AB19" s="2"/>
      <c r="AC19" s="25"/>
      <c r="AD19" s="26"/>
    </row>
    <row r="20" spans="1:31" ht="12.9" customHeight="1" x14ac:dyDescent="0.25">
      <c r="A20" s="40" t="s">
        <v>131</v>
      </c>
      <c r="B20" s="41" t="s">
        <v>132</v>
      </c>
      <c r="C20" s="42">
        <v>37106.41306608796</v>
      </c>
      <c r="D20" s="19">
        <v>24.28</v>
      </c>
      <c r="E20" s="19">
        <v>34.5</v>
      </c>
      <c r="F20" s="19">
        <v>20.125</v>
      </c>
      <c r="G20" s="16">
        <v>1310.19486041</v>
      </c>
      <c r="H20" s="16">
        <v>2086.7418604100003</v>
      </c>
      <c r="I20" s="20">
        <v>9.3243514963417304</v>
      </c>
      <c r="J20" s="20">
        <v>12.764403127715022</v>
      </c>
      <c r="K20" s="20">
        <v>15.690800492610833</v>
      </c>
      <c r="L20" s="20">
        <v>2.7182308078085855</v>
      </c>
      <c r="M20" s="20">
        <v>3.7338182372674584</v>
      </c>
      <c r="N20" s="20">
        <v>3.5929584283129277</v>
      </c>
      <c r="O20" s="20">
        <v>2.4852846753012727</v>
      </c>
      <c r="P20" s="20">
        <v>4.242466221582939</v>
      </c>
      <c r="Q20" s="20">
        <v>4.0523980665902828</v>
      </c>
      <c r="R20" s="21">
        <v>0.43327502381145067</v>
      </c>
      <c r="S20" s="20">
        <v>1.7117175908479842</v>
      </c>
      <c r="T20" s="21">
        <v>4.9607269999999998E-3</v>
      </c>
      <c r="U20" s="22">
        <v>246.48533033333331</v>
      </c>
      <c r="V20" s="21">
        <v>0.57230113103512603</v>
      </c>
      <c r="W20" s="19">
        <v>8.3482410605480624</v>
      </c>
      <c r="X20" s="16">
        <v>3166.6760000000004</v>
      </c>
      <c r="Y20" s="20">
        <v>0.40799006810955263</v>
      </c>
      <c r="Z20" s="23">
        <v>53.961897051482701</v>
      </c>
      <c r="AA20" s="24"/>
      <c r="AB20" s="2"/>
      <c r="AC20" s="25"/>
      <c r="AD20" s="26"/>
    </row>
    <row r="21" spans="1:31" ht="12.9" customHeight="1" x14ac:dyDescent="0.25">
      <c r="A21" s="40" t="s">
        <v>133</v>
      </c>
      <c r="B21" s="41" t="s">
        <v>134</v>
      </c>
      <c r="C21" s="42">
        <v>37106</v>
      </c>
      <c r="D21" s="19">
        <v>44.2</v>
      </c>
      <c r="E21" s="19">
        <v>69</v>
      </c>
      <c r="F21" s="19">
        <v>39.450000000000003</v>
      </c>
      <c r="G21" s="16">
        <v>1169.8537355799999</v>
      </c>
      <c r="H21" s="16">
        <v>1243.74573558</v>
      </c>
      <c r="I21" s="20">
        <v>7.0031448507660228</v>
      </c>
      <c r="J21" s="20">
        <v>7.7898687984982642</v>
      </c>
      <c r="K21" s="20">
        <v>11.194779573705361</v>
      </c>
      <c r="L21" s="20">
        <v>3.1675964420456375</v>
      </c>
      <c r="M21" s="20">
        <v>3.1805260268801696</v>
      </c>
      <c r="N21" s="20">
        <v>3.6915395146886931</v>
      </c>
      <c r="O21" s="20">
        <v>3.0270547359405482</v>
      </c>
      <c r="P21" s="20">
        <v>3.3418071515080565</v>
      </c>
      <c r="Q21" s="20">
        <v>3.6633655349371033</v>
      </c>
      <c r="R21" s="21">
        <v>0.15144337774104483</v>
      </c>
      <c r="S21" s="20">
        <v>1.9118006111663113</v>
      </c>
      <c r="T21" s="21">
        <v>0</v>
      </c>
      <c r="U21" s="22">
        <v>100.04566666666666</v>
      </c>
      <c r="V21" s="21">
        <v>0.66390348407560551</v>
      </c>
      <c r="W21" s="19">
        <v>12.09055529754459</v>
      </c>
      <c r="X21" s="16">
        <v>2941.79</v>
      </c>
      <c r="Y21" s="20">
        <v>0.38675222811101134</v>
      </c>
      <c r="Z21" s="23">
        <v>26.46727908552036</v>
      </c>
      <c r="AA21" s="24"/>
      <c r="AB21" s="2"/>
      <c r="AC21" s="25"/>
      <c r="AD21" s="26"/>
    </row>
    <row r="22" spans="1:31" ht="12.9" customHeight="1" x14ac:dyDescent="0.25">
      <c r="A22" s="40" t="s">
        <v>135</v>
      </c>
      <c r="B22" s="41" t="s">
        <v>136</v>
      </c>
      <c r="C22" s="42">
        <v>37106.412173842589</v>
      </c>
      <c r="D22" s="19">
        <v>23.7</v>
      </c>
      <c r="E22" s="19">
        <v>36.75</v>
      </c>
      <c r="F22" s="19">
        <v>19.125</v>
      </c>
      <c r="G22" s="16">
        <v>940.94162340000014</v>
      </c>
      <c r="H22" s="16">
        <v>1014.6876234000001</v>
      </c>
      <c r="I22" s="20">
        <v>9.7305933419314776</v>
      </c>
      <c r="J22" s="20">
        <v>14.595731707317064</v>
      </c>
      <c r="K22" s="20">
        <v>19.138690476190494</v>
      </c>
      <c r="L22" s="20">
        <v>4.213856985987273</v>
      </c>
      <c r="M22" s="20">
        <v>4.5356702984367594</v>
      </c>
      <c r="N22" s="20">
        <v>5.2423369565217417</v>
      </c>
      <c r="O22" s="20">
        <v>4.0878335892189197</v>
      </c>
      <c r="P22" s="20">
        <v>4.4155249060052215</v>
      </c>
      <c r="Q22" s="20">
        <v>4.9715219176874097</v>
      </c>
      <c r="R22" s="21">
        <v>0.17386732747237205</v>
      </c>
      <c r="S22" s="20">
        <v>1.5377074210017128</v>
      </c>
      <c r="T22" s="21">
        <v>0</v>
      </c>
      <c r="U22" s="22">
        <v>113.0085</v>
      </c>
      <c r="V22" s="21">
        <v>0.87600047784016255</v>
      </c>
      <c r="W22" s="19">
        <v>5.8668568585325742</v>
      </c>
      <c r="X22" s="16">
        <v>1475.7550000000001</v>
      </c>
      <c r="Y22" s="20">
        <v>0.41661284562327627</v>
      </c>
      <c r="Z22" s="23">
        <v>39.702178202531648</v>
      </c>
      <c r="AA22" s="24"/>
      <c r="AB22" s="2"/>
      <c r="AC22" s="25"/>
      <c r="AD22" s="26"/>
    </row>
    <row r="23" spans="1:31" ht="12.9" customHeight="1" x14ac:dyDescent="0.25">
      <c r="A23" s="40" t="s">
        <v>137</v>
      </c>
      <c r="B23" s="41" t="s">
        <v>138</v>
      </c>
      <c r="C23" s="42">
        <v>37106.413271296296</v>
      </c>
      <c r="D23" s="19">
        <v>44.87</v>
      </c>
      <c r="E23" s="19">
        <v>50.875</v>
      </c>
      <c r="F23" s="19">
        <v>16.75</v>
      </c>
      <c r="G23" s="16">
        <v>2664.1411181599997</v>
      </c>
      <c r="H23" s="16">
        <v>3086.2241181599998</v>
      </c>
      <c r="I23" s="20">
        <v>30.339970097984672</v>
      </c>
      <c r="J23" s="20">
        <v>28.718737182946558</v>
      </c>
      <c r="K23" s="20">
        <v>26.895693924997449</v>
      </c>
      <c r="L23" s="20">
        <v>19.581841069579241</v>
      </c>
      <c r="M23" s="20">
        <v>12.263970317109143</v>
      </c>
      <c r="N23" s="20">
        <v>9.6026236962719675</v>
      </c>
      <c r="O23" s="20">
        <v>8.9127046757773929</v>
      </c>
      <c r="P23" s="20">
        <v>9.0883565526827237</v>
      </c>
      <c r="Q23" s="20">
        <v>7.8720166258385387</v>
      </c>
      <c r="R23" s="21">
        <v>0.46975571271589983</v>
      </c>
      <c r="S23" s="20">
        <v>13.193716073591679</v>
      </c>
      <c r="T23" s="21">
        <v>0</v>
      </c>
      <c r="U23" s="22">
        <v>293.45716666666669</v>
      </c>
      <c r="V23" s="21">
        <v>0.33654712811580118</v>
      </c>
      <c r="W23" s="19">
        <v>7.7539791391735164</v>
      </c>
      <c r="X23" s="16">
        <v>1640.8439999999998</v>
      </c>
      <c r="Y23" s="20">
        <v>1.1971038282802335</v>
      </c>
      <c r="Z23" s="23">
        <v>59.374662762647645</v>
      </c>
      <c r="AA23" s="24"/>
      <c r="AB23" s="2"/>
      <c r="AC23" s="25"/>
      <c r="AD23" s="26"/>
    </row>
    <row r="24" spans="1:31" ht="12.9" customHeight="1" x14ac:dyDescent="0.25">
      <c r="A24" s="40" t="s">
        <v>139</v>
      </c>
      <c r="B24" s="41" t="s">
        <v>140</v>
      </c>
      <c r="C24" s="42">
        <v>37106.412055092595</v>
      </c>
      <c r="D24" s="19">
        <v>18.559999999999999</v>
      </c>
      <c r="E24" s="19">
        <v>27.9375</v>
      </c>
      <c r="F24" s="19">
        <v>15.2</v>
      </c>
      <c r="G24" s="16">
        <v>1186.6911846200001</v>
      </c>
      <c r="H24" s="16">
        <v>2091.4871846200003</v>
      </c>
      <c r="I24" s="20">
        <v>5.8644620300115413</v>
      </c>
      <c r="J24" s="20">
        <v>6.0738888888888898</v>
      </c>
      <c r="K24" s="20">
        <v>9.9439652290203977</v>
      </c>
      <c r="L24" s="20">
        <v>2.424552651155258</v>
      </c>
      <c r="M24" s="20">
        <v>2.8810075566750633</v>
      </c>
      <c r="N24" s="20">
        <v>3.4834304453488714</v>
      </c>
      <c r="O24" s="20">
        <v>1.7981409384761222</v>
      </c>
      <c r="P24" s="20">
        <v>3.7564652991720107</v>
      </c>
      <c r="Q24" s="20">
        <v>4.4301783194662168</v>
      </c>
      <c r="R24" s="21">
        <v>0.57497285652103747</v>
      </c>
      <c r="S24" s="20">
        <v>1.7068823593325462</v>
      </c>
      <c r="T24" s="21">
        <v>7.7605319999999997E-3</v>
      </c>
      <c r="U24" s="22">
        <v>567.68866666666645</v>
      </c>
      <c r="V24" s="21">
        <v>0.37868409092777383</v>
      </c>
      <c r="W24" s="19">
        <v>3.6842151471874862</v>
      </c>
      <c r="X24" s="16">
        <v>3235.9052038556465</v>
      </c>
      <c r="Y24" s="20">
        <v>0.28237602353155711</v>
      </c>
      <c r="Z24" s="23">
        <v>63.938102619612074</v>
      </c>
      <c r="AA24" s="24"/>
      <c r="AB24" s="2"/>
      <c r="AC24" s="25"/>
      <c r="AD24" s="26"/>
      <c r="AE24" s="27"/>
    </row>
    <row r="25" spans="1:31" ht="12.9" customHeight="1" x14ac:dyDescent="0.25">
      <c r="AA25" s="24"/>
      <c r="AB25" s="2"/>
      <c r="AC25" s="25"/>
      <c r="AD25" s="26"/>
      <c r="AE25" s="27"/>
    </row>
    <row r="26" spans="1:31" ht="12.9" customHeight="1" x14ac:dyDescent="0.25">
      <c r="A26" s="40"/>
      <c r="B26" s="41"/>
      <c r="C26" s="42"/>
      <c r="D26" s="19"/>
      <c r="E26" s="19"/>
      <c r="F26" s="19"/>
      <c r="G26" s="16"/>
      <c r="H26" s="16"/>
      <c r="I26" s="20"/>
      <c r="J26" s="20"/>
      <c r="K26" s="20"/>
      <c r="L26" s="20"/>
      <c r="M26" s="20"/>
      <c r="N26" s="20"/>
      <c r="O26" s="20"/>
      <c r="P26" s="20"/>
      <c r="Q26" s="20"/>
      <c r="R26" s="21"/>
      <c r="S26" s="20"/>
      <c r="T26" s="21"/>
      <c r="U26" s="22"/>
      <c r="V26" s="21"/>
      <c r="W26" s="19"/>
      <c r="X26" s="16"/>
      <c r="Y26" s="20"/>
      <c r="Z26" s="23"/>
      <c r="AA26" s="24"/>
      <c r="AB26" s="2"/>
      <c r="AC26" s="25"/>
      <c r="AD26" s="26"/>
      <c r="AE26" s="27"/>
    </row>
    <row r="27" spans="1:31" ht="12.9" customHeight="1" x14ac:dyDescent="0.25">
      <c r="B27" s="2"/>
      <c r="C27" s="18"/>
      <c r="D27" s="19"/>
      <c r="E27" s="19"/>
      <c r="F27" s="19"/>
      <c r="G27" s="16"/>
      <c r="H27" s="16"/>
      <c r="I27" s="20"/>
      <c r="J27" s="20"/>
      <c r="K27" s="20"/>
      <c r="L27" s="20"/>
      <c r="M27" s="20"/>
      <c r="N27" s="20"/>
      <c r="O27" s="20"/>
      <c r="P27" s="20"/>
      <c r="Q27" s="20"/>
      <c r="R27" s="21"/>
      <c r="S27" s="20"/>
      <c r="T27" s="21"/>
      <c r="U27" s="22"/>
      <c r="V27" s="21"/>
      <c r="W27" s="19"/>
      <c r="X27" s="28"/>
      <c r="Y27" s="20"/>
      <c r="Z27" s="23"/>
      <c r="AA27" s="24"/>
      <c r="AB27" s="2"/>
      <c r="AC27" s="25"/>
      <c r="AD27" s="26"/>
      <c r="AE27" s="27"/>
    </row>
    <row r="28" spans="1:31" ht="13.5" customHeight="1" x14ac:dyDescent="0.25">
      <c r="B28" s="29"/>
      <c r="C28" s="29"/>
      <c r="D28" s="29"/>
      <c r="E28" s="29"/>
      <c r="F28" s="29"/>
      <c r="G28" s="52"/>
      <c r="H28" s="63" t="s">
        <v>38</v>
      </c>
      <c r="I28" s="64"/>
      <c r="J28" s="65">
        <v>10.046693243465116</v>
      </c>
      <c r="K28" s="65">
        <v>12.871251205933612</v>
      </c>
      <c r="L28" s="65">
        <v>4.7554860598072528</v>
      </c>
      <c r="M28" s="65">
        <v>3.9876988858704787</v>
      </c>
      <c r="N28" s="65">
        <v>4.2066350011214775</v>
      </c>
      <c r="O28" s="65">
        <v>3.2845393882327416</v>
      </c>
      <c r="P28" s="65">
        <v>4.1910609790817448</v>
      </c>
      <c r="Q28" s="65">
        <v>4.5793852370856873</v>
      </c>
      <c r="R28" s="66">
        <v>0.43307197794965291</v>
      </c>
      <c r="S28" s="65">
        <v>3.0117123718357308</v>
      </c>
      <c r="T28" s="66">
        <v>2.8575192857142858E-3</v>
      </c>
      <c r="U28" s="67"/>
      <c r="V28" s="66">
        <v>0.64168953643731785</v>
      </c>
      <c r="W28" s="68">
        <v>7.6785271462215317</v>
      </c>
      <c r="X28" s="69"/>
      <c r="Y28" s="70">
        <v>0.45252086658271795</v>
      </c>
      <c r="Z28" s="29"/>
      <c r="AC28" s="25"/>
      <c r="AD28" s="26"/>
      <c r="AE28" s="27"/>
    </row>
    <row r="29" spans="1:31" ht="12.9" customHeight="1" x14ac:dyDescent="0.25">
      <c r="B29" s="29"/>
      <c r="C29" s="29"/>
      <c r="D29" s="29"/>
      <c r="E29" s="29"/>
      <c r="F29" s="29"/>
      <c r="G29" s="52"/>
      <c r="H29" s="71" t="s">
        <v>39</v>
      </c>
      <c r="I29" s="72"/>
      <c r="J29" s="73">
        <v>8.0082457706498147</v>
      </c>
      <c r="K29" s="73">
        <v>11.488526930461088</v>
      </c>
      <c r="L29" s="73">
        <v>3.3149174435634778</v>
      </c>
      <c r="M29" s="73">
        <v>3.397880364732015</v>
      </c>
      <c r="N29" s="73">
        <v>3.6432696116130669</v>
      </c>
      <c r="O29" s="73">
        <v>2.9154396686500457</v>
      </c>
      <c r="P29" s="73">
        <v>3.713107999116728</v>
      </c>
      <c r="Q29" s="73">
        <v>4.4246317179146386</v>
      </c>
      <c r="R29" s="74">
        <v>0.43986393230840609</v>
      </c>
      <c r="S29" s="73">
        <v>2.1658529011936904</v>
      </c>
      <c r="T29" s="74">
        <v>0</v>
      </c>
      <c r="U29" s="75"/>
      <c r="V29" s="74">
        <v>0.61739356229978737</v>
      </c>
      <c r="W29" s="76">
        <v>6.6911406768359116</v>
      </c>
      <c r="X29" s="77"/>
      <c r="Y29" s="78">
        <v>0.39737114811028196</v>
      </c>
      <c r="Z29" s="29"/>
      <c r="AC29" s="25"/>
      <c r="AD29" s="26"/>
      <c r="AE29" s="27"/>
    </row>
    <row r="30" spans="1:31" ht="12.9" customHeight="1" x14ac:dyDescent="0.25">
      <c r="B30" s="29"/>
      <c r="C30" s="29"/>
      <c r="D30" s="29"/>
      <c r="E30" s="29"/>
      <c r="F30" s="29"/>
      <c r="G30" s="54"/>
      <c r="H30" s="79" t="s">
        <v>25</v>
      </c>
      <c r="I30" s="72"/>
      <c r="J30" s="73">
        <v>28.718737182946558</v>
      </c>
      <c r="K30" s="73">
        <v>26.895693924997449</v>
      </c>
      <c r="L30" s="73">
        <v>19.581841069579241</v>
      </c>
      <c r="M30" s="73">
        <v>12.263970317109143</v>
      </c>
      <c r="N30" s="73">
        <v>9.6026236962719675</v>
      </c>
      <c r="O30" s="73">
        <v>8.9127046757773929</v>
      </c>
      <c r="P30" s="73">
        <v>9.0883565526827237</v>
      </c>
      <c r="Q30" s="73">
        <v>7.8720166258385387</v>
      </c>
      <c r="R30" s="74">
        <v>0.74101507224551788</v>
      </c>
      <c r="S30" s="73">
        <v>13.193716073591679</v>
      </c>
      <c r="T30" s="74">
        <v>1.1516729999999999E-2</v>
      </c>
      <c r="U30" s="75"/>
      <c r="V30" s="74">
        <v>0.90739164296969799</v>
      </c>
      <c r="W30" s="76">
        <v>17.99625942912407</v>
      </c>
      <c r="X30" s="77"/>
      <c r="Y30" s="78">
        <v>1.1971038282802335</v>
      </c>
      <c r="Z30" s="29"/>
      <c r="AC30" s="25"/>
      <c r="AD30" s="26"/>
      <c r="AE30" s="27"/>
    </row>
    <row r="31" spans="1:31" ht="12.9" customHeight="1" x14ac:dyDescent="0.25">
      <c r="B31" s="29"/>
      <c r="C31" s="29"/>
      <c r="D31" s="29"/>
      <c r="E31" s="29"/>
      <c r="F31" s="29"/>
      <c r="G31" s="52"/>
      <c r="H31" s="80" t="s">
        <v>26</v>
      </c>
      <c r="I31" s="81"/>
      <c r="J31" s="82">
        <v>5.0074768586469558</v>
      </c>
      <c r="K31" s="82">
        <v>6.3900955943265858</v>
      </c>
      <c r="L31" s="82">
        <v>2.2275293141711803</v>
      </c>
      <c r="M31" s="82">
        <v>2.0780959576981988</v>
      </c>
      <c r="N31" s="82">
        <v>2.3351132192883464</v>
      </c>
      <c r="O31" s="82">
        <v>1.7981409384761222</v>
      </c>
      <c r="P31" s="82">
        <v>2.8841217312657847</v>
      </c>
      <c r="Q31" s="82">
        <v>3.531428094425225</v>
      </c>
      <c r="R31" s="83">
        <v>0.15144337774104483</v>
      </c>
      <c r="S31" s="82">
        <v>1.370964098341686</v>
      </c>
      <c r="T31" s="83">
        <v>0</v>
      </c>
      <c r="U31" s="84"/>
      <c r="V31" s="83">
        <v>0.33654712811580118</v>
      </c>
      <c r="W31" s="85">
        <v>3.6842151471874862</v>
      </c>
      <c r="X31" s="86"/>
      <c r="Y31" s="87">
        <v>0.17713845400360032</v>
      </c>
      <c r="Z31" s="29"/>
      <c r="AC31" s="25"/>
      <c r="AD31" s="26"/>
      <c r="AE31" s="27"/>
    </row>
    <row r="32" spans="1:31" ht="12.9" customHeight="1" x14ac:dyDescent="0.25"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4"/>
      <c r="AB32" s="2"/>
      <c r="AC32" s="25"/>
      <c r="AD32" s="26"/>
      <c r="AE32" s="27"/>
    </row>
    <row r="33" spans="1:32" ht="12.9" customHeight="1" x14ac:dyDescent="0.25">
      <c r="B33" s="29"/>
      <c r="C33" s="29"/>
      <c r="D33" s="29"/>
      <c r="U33" s="49" t="s">
        <v>95</v>
      </c>
      <c r="V33" s="49"/>
      <c r="W33" s="49"/>
      <c r="X33" s="49"/>
      <c r="Y33" s="49"/>
      <c r="AA33" s="24"/>
      <c r="AB33" s="2"/>
      <c r="AC33" s="25"/>
      <c r="AD33" s="26"/>
      <c r="AE33" s="27"/>
    </row>
    <row r="34" spans="1:32" ht="12.9" customHeight="1" x14ac:dyDescent="0.25">
      <c r="A34" s="57"/>
      <c r="B34" s="49" t="s">
        <v>141</v>
      </c>
      <c r="C34" s="49"/>
      <c r="D34" s="49" t="s">
        <v>41</v>
      </c>
      <c r="E34" s="49"/>
      <c r="F34" s="49"/>
      <c r="G34" s="49" t="s">
        <v>42</v>
      </c>
      <c r="H34" s="49"/>
      <c r="J34" s="49" t="s">
        <v>43</v>
      </c>
      <c r="K34" s="49"/>
      <c r="P34" s="49" t="s">
        <v>44</v>
      </c>
      <c r="Q34" s="49"/>
      <c r="R34" s="49"/>
      <c r="S34" s="49"/>
      <c r="U34" s="349" t="s">
        <v>45</v>
      </c>
      <c r="V34" s="349"/>
      <c r="W34" s="349"/>
      <c r="X34" s="349"/>
      <c r="Y34" s="349"/>
      <c r="AA34" s="24"/>
      <c r="AB34" s="2"/>
      <c r="AC34" s="25"/>
      <c r="AD34" s="26"/>
      <c r="AE34" s="27"/>
    </row>
    <row r="35" spans="1:32" ht="5.25" customHeight="1" x14ac:dyDescent="0.25">
      <c r="A35" s="57"/>
      <c r="B35" s="8" t="s">
        <v>37</v>
      </c>
      <c r="C35" s="58"/>
      <c r="D35" s="8" t="s">
        <v>37</v>
      </c>
      <c r="E35" s="58"/>
      <c r="F35" s="58"/>
      <c r="G35" s="8" t="s">
        <v>37</v>
      </c>
      <c r="H35" s="58"/>
      <c r="J35" s="8" t="s">
        <v>37</v>
      </c>
      <c r="K35" s="58"/>
      <c r="P35" s="8" t="s">
        <v>37</v>
      </c>
      <c r="Q35" s="58"/>
      <c r="R35" s="58"/>
      <c r="S35" s="58"/>
      <c r="U35" s="8" t="s">
        <v>37</v>
      </c>
      <c r="V35" s="58" t="s">
        <v>37</v>
      </c>
      <c r="W35" s="58"/>
      <c r="X35" s="58"/>
      <c r="Y35" s="58"/>
    </row>
    <row r="36" spans="1:32" ht="12.9" customHeight="1" x14ac:dyDescent="0.25">
      <c r="A36" s="38"/>
      <c r="B36" s="2"/>
      <c r="C36" s="2"/>
      <c r="D36" s="50" t="s">
        <v>46</v>
      </c>
      <c r="E36" s="50" t="s">
        <v>47</v>
      </c>
      <c r="F36" s="50" t="s">
        <v>7</v>
      </c>
      <c r="G36" s="7" t="s">
        <v>48</v>
      </c>
      <c r="P36" s="50" t="s">
        <v>49</v>
      </c>
      <c r="Q36" s="50"/>
      <c r="R36" s="50" t="s">
        <v>50</v>
      </c>
      <c r="S36" s="50" t="s">
        <v>51</v>
      </c>
      <c r="U36" s="50" t="s">
        <v>52</v>
      </c>
      <c r="V36" s="50" t="s">
        <v>53</v>
      </c>
      <c r="W36" s="59" t="s">
        <v>54</v>
      </c>
      <c r="X36" s="50" t="s">
        <v>55</v>
      </c>
      <c r="Y36" s="50" t="s">
        <v>56</v>
      </c>
    </row>
    <row r="37" spans="1:32" ht="12.9" customHeight="1" x14ac:dyDescent="0.25">
      <c r="A37" s="39" t="s">
        <v>21</v>
      </c>
      <c r="B37" s="2" t="s">
        <v>57</v>
      </c>
      <c r="C37" s="2" t="s">
        <v>58</v>
      </c>
      <c r="D37" s="39" t="s">
        <v>59</v>
      </c>
      <c r="E37" s="39" t="s">
        <v>60</v>
      </c>
      <c r="F37" s="39" t="s">
        <v>61</v>
      </c>
      <c r="G37" s="2" t="s">
        <v>62</v>
      </c>
      <c r="H37" s="2" t="s">
        <v>7</v>
      </c>
      <c r="J37" s="39" t="s">
        <v>63</v>
      </c>
      <c r="K37" s="39" t="s">
        <v>64</v>
      </c>
      <c r="P37" s="39" t="s">
        <v>65</v>
      </c>
      <c r="Q37" s="39" t="s">
        <v>66</v>
      </c>
      <c r="R37" s="51" t="s">
        <v>67</v>
      </c>
      <c r="S37" s="39" t="s">
        <v>68</v>
      </c>
      <c r="U37" s="39" t="s">
        <v>69</v>
      </c>
      <c r="V37" s="51" t="s">
        <v>70</v>
      </c>
      <c r="W37" s="39" t="s">
        <v>71</v>
      </c>
      <c r="X37" s="51" t="s">
        <v>72</v>
      </c>
      <c r="Y37" s="39" t="s">
        <v>73</v>
      </c>
    </row>
    <row r="38" spans="1:32" ht="3.75" customHeight="1" x14ac:dyDescent="0.25">
      <c r="A38" s="8" t="s">
        <v>37</v>
      </c>
      <c r="B38" s="8" t="s">
        <v>37</v>
      </c>
      <c r="C38" s="8" t="s">
        <v>37</v>
      </c>
      <c r="D38" s="8" t="s">
        <v>37</v>
      </c>
      <c r="E38" s="8" t="s">
        <v>37</v>
      </c>
      <c r="F38" s="8" t="s">
        <v>37</v>
      </c>
      <c r="G38" s="8" t="s">
        <v>37</v>
      </c>
      <c r="H38" s="8" t="s">
        <v>37</v>
      </c>
      <c r="J38" s="8" t="s">
        <v>37</v>
      </c>
      <c r="K38" s="8" t="s">
        <v>37</v>
      </c>
      <c r="P38" s="8" t="s">
        <v>37</v>
      </c>
      <c r="Q38" s="8" t="s">
        <v>37</v>
      </c>
      <c r="R38" s="8" t="s">
        <v>37</v>
      </c>
      <c r="S38" s="8" t="s">
        <v>37</v>
      </c>
      <c r="U38" s="8" t="s">
        <v>37</v>
      </c>
      <c r="V38" s="8" t="s">
        <v>37</v>
      </c>
      <c r="W38" s="8" t="s">
        <v>37</v>
      </c>
      <c r="X38" s="8" t="s">
        <v>37</v>
      </c>
      <c r="Y38" s="8" t="s">
        <v>37</v>
      </c>
    </row>
    <row r="39" spans="1:32" ht="12.9" customHeight="1" x14ac:dyDescent="0.25">
      <c r="A39" s="1" t="s">
        <v>113</v>
      </c>
      <c r="B39" s="1" t="s">
        <v>142</v>
      </c>
      <c r="C39" s="27" t="s">
        <v>143</v>
      </c>
      <c r="D39" s="27" t="s">
        <v>97</v>
      </c>
      <c r="E39" s="27" t="s">
        <v>144</v>
      </c>
      <c r="F39" s="10">
        <v>37056</v>
      </c>
      <c r="G39" s="2" t="s">
        <v>145</v>
      </c>
      <c r="H39" s="10">
        <v>37033</v>
      </c>
      <c r="I39" s="2"/>
      <c r="J39" s="88">
        <v>-2.9126213592233011E-2</v>
      </c>
      <c r="K39" s="88">
        <v>-0.38271604938271603</v>
      </c>
      <c r="L39" s="2"/>
      <c r="M39" s="2"/>
      <c r="N39" s="32"/>
      <c r="O39" s="2"/>
      <c r="P39" s="89">
        <v>3.2438944380469721</v>
      </c>
      <c r="Q39" s="13">
        <v>10.268757207156938</v>
      </c>
      <c r="R39" s="11">
        <v>6.1486640217283091</v>
      </c>
      <c r="S39" s="27" t="s">
        <v>146</v>
      </c>
      <c r="T39" s="33"/>
      <c r="U39" s="15">
        <v>0</v>
      </c>
      <c r="V39" s="15">
        <v>0</v>
      </c>
      <c r="W39" s="17">
        <v>0</v>
      </c>
      <c r="X39" s="15">
        <v>0</v>
      </c>
      <c r="Y39" s="15">
        <v>0</v>
      </c>
      <c r="Z39" s="60"/>
    </row>
    <row r="40" spans="1:32" s="2" customFormat="1" ht="12.9" customHeight="1" x14ac:dyDescent="0.25">
      <c r="A40" s="1" t="s">
        <v>115</v>
      </c>
      <c r="B40" s="1" t="s">
        <v>142</v>
      </c>
      <c r="C40" s="27" t="s">
        <v>143</v>
      </c>
      <c r="D40" s="27" t="s">
        <v>147</v>
      </c>
      <c r="E40" s="27" t="s">
        <v>148</v>
      </c>
      <c r="F40" s="10">
        <v>37018</v>
      </c>
      <c r="G40" s="2" t="s">
        <v>149</v>
      </c>
      <c r="H40" s="10">
        <v>37034</v>
      </c>
      <c r="J40" s="88">
        <v>1.0068027210884284E-2</v>
      </c>
      <c r="K40" s="88">
        <v>-0.1367441860465117</v>
      </c>
      <c r="P40" s="90">
        <v>3.6289149590141832</v>
      </c>
      <c r="Q40" s="13">
        <v>13.733880064632174</v>
      </c>
      <c r="R40" s="11">
        <v>3.8137447194511052</v>
      </c>
      <c r="S40" s="27" t="s">
        <v>150</v>
      </c>
      <c r="T40" s="33"/>
      <c r="U40" s="15">
        <v>0</v>
      </c>
      <c r="V40" s="15">
        <v>0</v>
      </c>
      <c r="W40" s="17">
        <v>0</v>
      </c>
      <c r="X40" s="15">
        <v>0</v>
      </c>
      <c r="Y40" s="15">
        <v>0</v>
      </c>
    </row>
    <row r="41" spans="1:32" ht="12.9" customHeight="1" x14ac:dyDescent="0.25">
      <c r="A41" s="1" t="s">
        <v>117</v>
      </c>
      <c r="B41" s="1" t="s">
        <v>142</v>
      </c>
      <c r="C41" s="27" t="s">
        <v>143</v>
      </c>
      <c r="D41" s="27" t="s">
        <v>97</v>
      </c>
      <c r="E41" s="27" t="s">
        <v>148</v>
      </c>
      <c r="F41" s="10">
        <v>37056</v>
      </c>
      <c r="G41" s="2" t="s">
        <v>149</v>
      </c>
      <c r="H41" s="10">
        <v>37033</v>
      </c>
      <c r="I41" s="2"/>
      <c r="J41" s="88">
        <v>0.72225895311532717</v>
      </c>
      <c r="K41" s="88">
        <v>-0.22162162162162161</v>
      </c>
      <c r="L41" s="2"/>
      <c r="M41" s="2"/>
      <c r="N41" s="32"/>
      <c r="O41" s="2"/>
      <c r="P41" s="89">
        <v>4.2871360623574564</v>
      </c>
      <c r="Q41" s="13">
        <v>7.5629043222736341</v>
      </c>
      <c r="R41" s="11">
        <v>6.9867811875130394</v>
      </c>
      <c r="S41" s="27" t="s">
        <v>103</v>
      </c>
      <c r="T41" s="33"/>
      <c r="U41" s="15">
        <v>0</v>
      </c>
      <c r="V41" s="15">
        <v>0</v>
      </c>
      <c r="W41" s="17">
        <v>0</v>
      </c>
      <c r="X41" s="15">
        <v>0</v>
      </c>
      <c r="Y41" s="15">
        <v>0</v>
      </c>
      <c r="Z41" s="60"/>
    </row>
    <row r="42" spans="1:32" ht="12.75" customHeight="1" x14ac:dyDescent="0.25">
      <c r="A42" s="1" t="s">
        <v>119</v>
      </c>
      <c r="B42" s="1" t="s">
        <v>142</v>
      </c>
      <c r="C42" s="27" t="s">
        <v>143</v>
      </c>
      <c r="D42" s="27" t="s">
        <v>97</v>
      </c>
      <c r="E42" s="27" t="s">
        <v>148</v>
      </c>
      <c r="F42" s="10">
        <v>37056</v>
      </c>
      <c r="G42" s="2" t="s">
        <v>151</v>
      </c>
      <c r="H42" s="10">
        <v>37034</v>
      </c>
      <c r="I42" s="2"/>
      <c r="J42" s="88">
        <v>1.5294117647058845E-2</v>
      </c>
      <c r="K42" s="88">
        <v>-0.29789830508474574</v>
      </c>
      <c r="L42" s="2"/>
      <c r="M42" s="2"/>
      <c r="N42" s="32"/>
      <c r="O42" s="2"/>
      <c r="P42" s="89">
        <v>2.5399425850159187</v>
      </c>
      <c r="Q42" s="13">
        <v>13.195759588366235</v>
      </c>
      <c r="R42" s="11">
        <v>4.857305138323464</v>
      </c>
      <c r="S42" s="27" t="s">
        <v>152</v>
      </c>
      <c r="T42" s="33"/>
      <c r="U42" s="15">
        <v>0</v>
      </c>
      <c r="V42" s="15">
        <v>0</v>
      </c>
      <c r="W42" s="17">
        <v>0</v>
      </c>
      <c r="X42" s="15">
        <v>0</v>
      </c>
      <c r="Y42" s="15">
        <v>0</v>
      </c>
      <c r="Z42" s="60"/>
      <c r="AA42" s="56"/>
    </row>
    <row r="43" spans="1:32" x14ac:dyDescent="0.25">
      <c r="A43" s="1" t="s">
        <v>121</v>
      </c>
      <c r="B43" s="1" t="s">
        <v>153</v>
      </c>
      <c r="C43" s="27" t="s">
        <v>154</v>
      </c>
      <c r="D43" s="27" t="s">
        <v>97</v>
      </c>
      <c r="E43" s="27" t="s">
        <v>144</v>
      </c>
      <c r="F43" s="10">
        <v>37060</v>
      </c>
      <c r="G43" s="2" t="s">
        <v>155</v>
      </c>
      <c r="H43" s="10">
        <v>36667</v>
      </c>
      <c r="I43" s="2"/>
      <c r="J43" s="88">
        <v>5.4530271398747401E-2</v>
      </c>
      <c r="K43" s="88">
        <v>-0.31088676671214188</v>
      </c>
      <c r="L43" s="2"/>
      <c r="M43" s="2"/>
      <c r="N43" s="32"/>
      <c r="O43" s="2"/>
      <c r="P43" s="89">
        <v>2.3739672614749026</v>
      </c>
      <c r="Q43" s="13">
        <v>10.761464030290282</v>
      </c>
      <c r="R43" s="11">
        <v>2.3683913015422342</v>
      </c>
      <c r="S43" s="27" t="s">
        <v>156</v>
      </c>
      <c r="T43" s="33"/>
      <c r="U43" s="15">
        <v>0</v>
      </c>
      <c r="V43" s="15">
        <v>0</v>
      </c>
      <c r="W43" s="17">
        <v>0</v>
      </c>
      <c r="X43" s="15">
        <v>0</v>
      </c>
      <c r="Y43" s="15">
        <v>0</v>
      </c>
      <c r="Z43" s="60"/>
      <c r="AA43" s="56"/>
    </row>
    <row r="44" spans="1:32" ht="12" customHeight="1" x14ac:dyDescent="0.25">
      <c r="A44" s="1" t="s">
        <v>123</v>
      </c>
      <c r="B44" s="1" t="s">
        <v>142</v>
      </c>
      <c r="C44" s="27" t="s">
        <v>143</v>
      </c>
      <c r="D44" s="27" t="s">
        <v>97</v>
      </c>
      <c r="E44" s="27" t="s">
        <v>157</v>
      </c>
      <c r="F44" s="10">
        <v>37056</v>
      </c>
      <c r="G44" s="2" t="s">
        <v>158</v>
      </c>
      <c r="H44" s="10">
        <v>37032</v>
      </c>
      <c r="I44" s="2"/>
      <c r="J44" s="88">
        <v>-5.0071942446043224E-2</v>
      </c>
      <c r="K44" s="88">
        <v>-0.30413702239789203</v>
      </c>
      <c r="L44" s="2"/>
      <c r="M44" s="2"/>
      <c r="N44" s="32"/>
      <c r="O44" s="2"/>
      <c r="P44" s="89">
        <v>1.7539154244154023</v>
      </c>
      <c r="Q44" s="13">
        <v>4.9206554888962071</v>
      </c>
      <c r="R44" s="11">
        <v>8.9192320281426589</v>
      </c>
      <c r="S44" s="27" t="s">
        <v>159</v>
      </c>
      <c r="T44" s="33"/>
      <c r="U44" s="15">
        <v>0</v>
      </c>
      <c r="V44" s="15">
        <v>0</v>
      </c>
      <c r="W44" s="17">
        <v>0</v>
      </c>
      <c r="X44" s="15">
        <v>0</v>
      </c>
      <c r="Y44" s="15">
        <v>0</v>
      </c>
      <c r="Z44" s="60"/>
      <c r="AA44" s="50"/>
    </row>
    <row r="45" spans="1:32" x14ac:dyDescent="0.25">
      <c r="A45" s="1" t="s">
        <v>125</v>
      </c>
      <c r="B45" s="1" t="s">
        <v>153</v>
      </c>
      <c r="C45" s="27" t="s">
        <v>154</v>
      </c>
      <c r="D45" s="27" t="s">
        <v>97</v>
      </c>
      <c r="E45" s="27" t="s">
        <v>144</v>
      </c>
      <c r="F45" s="10">
        <v>37032</v>
      </c>
      <c r="G45" s="2" t="s">
        <v>155</v>
      </c>
      <c r="H45" s="10">
        <v>37032</v>
      </c>
      <c r="I45" s="2"/>
      <c r="J45" s="88">
        <v>0.41060606060606075</v>
      </c>
      <c r="K45" s="88">
        <v>-0.24</v>
      </c>
      <c r="L45" s="2"/>
      <c r="M45" s="2"/>
      <c r="N45" s="32"/>
      <c r="O45" s="2"/>
      <c r="P45" s="89">
        <v>1.307635894031087</v>
      </c>
      <c r="Q45" s="13">
        <v>11.542178015066188</v>
      </c>
      <c r="R45" s="11">
        <v>7.652181788061184</v>
      </c>
      <c r="S45" s="27" t="s">
        <v>103</v>
      </c>
      <c r="T45" s="33"/>
      <c r="U45" s="15">
        <v>0</v>
      </c>
      <c r="V45" s="15">
        <v>0</v>
      </c>
      <c r="W45" s="17">
        <v>0</v>
      </c>
      <c r="X45" s="15">
        <v>0</v>
      </c>
      <c r="Y45" s="15">
        <v>0</v>
      </c>
      <c r="Z45" s="60"/>
      <c r="AA45" s="56"/>
    </row>
    <row r="46" spans="1:32" s="2" customFormat="1" ht="12.9" customHeight="1" x14ac:dyDescent="0.25">
      <c r="A46" s="1" t="s">
        <v>127</v>
      </c>
      <c r="B46" s="1" t="s">
        <v>153</v>
      </c>
      <c r="C46" s="27" t="s">
        <v>154</v>
      </c>
      <c r="D46" s="27" t="s">
        <v>97</v>
      </c>
      <c r="E46" s="27" t="s">
        <v>144</v>
      </c>
      <c r="F46" s="10">
        <v>37060</v>
      </c>
      <c r="G46" s="2" t="s">
        <v>160</v>
      </c>
      <c r="H46" s="10">
        <v>37032</v>
      </c>
      <c r="J46" s="88">
        <v>0.17289527720739228</v>
      </c>
      <c r="K46" s="88">
        <v>-0.2239130434782608</v>
      </c>
      <c r="N46" s="32"/>
      <c r="P46" s="89">
        <v>1.8912230210954746</v>
      </c>
      <c r="Q46" s="13">
        <v>9.2857128442125862</v>
      </c>
      <c r="R46" s="11">
        <v>6.2190717428371798</v>
      </c>
      <c r="S46" s="27" t="s">
        <v>161</v>
      </c>
      <c r="T46" s="33"/>
      <c r="U46" s="15">
        <v>0</v>
      </c>
      <c r="V46" s="15">
        <v>0</v>
      </c>
      <c r="W46" s="17">
        <v>0</v>
      </c>
      <c r="X46" s="15">
        <v>0</v>
      </c>
      <c r="Y46" s="15">
        <v>0</v>
      </c>
      <c r="Z46" s="60"/>
      <c r="AA46" s="31"/>
      <c r="AB46" s="1"/>
      <c r="AC46" s="1"/>
      <c r="AD46" s="1"/>
      <c r="AE46" s="1"/>
      <c r="AF46" s="1"/>
    </row>
    <row r="47" spans="1:32" s="2" customFormat="1" ht="12.9" customHeight="1" x14ac:dyDescent="0.25">
      <c r="A47" s="1" t="s">
        <v>129</v>
      </c>
      <c r="B47" s="1" t="s">
        <v>142</v>
      </c>
      <c r="C47" s="27" t="s">
        <v>143</v>
      </c>
      <c r="D47" s="27" t="s">
        <v>97</v>
      </c>
      <c r="E47" s="27" t="s">
        <v>148</v>
      </c>
      <c r="F47" s="10">
        <v>37056</v>
      </c>
      <c r="G47" s="2" t="s">
        <v>162</v>
      </c>
      <c r="H47" s="10">
        <v>37033</v>
      </c>
      <c r="J47" s="88">
        <v>0.1880122324159022</v>
      </c>
      <c r="K47" s="88">
        <v>-0.2199196787148594</v>
      </c>
      <c r="N47" s="32"/>
      <c r="P47" s="89">
        <v>0.25884546089453414</v>
      </c>
      <c r="Q47" s="13">
        <v>14.422926065810268</v>
      </c>
      <c r="R47" s="11">
        <v>6.942542597014203</v>
      </c>
      <c r="S47" s="27" t="s">
        <v>103</v>
      </c>
      <c r="T47" s="33"/>
      <c r="U47" s="15">
        <v>0</v>
      </c>
      <c r="V47" s="15">
        <v>0</v>
      </c>
      <c r="W47" s="17">
        <v>0</v>
      </c>
      <c r="X47" s="15">
        <v>0</v>
      </c>
      <c r="Y47" s="15">
        <v>0</v>
      </c>
      <c r="Z47" s="60"/>
      <c r="AA47" s="34"/>
    </row>
    <row r="48" spans="1:32" s="2" customFormat="1" ht="12.9" customHeight="1" x14ac:dyDescent="0.25">
      <c r="A48" s="1" t="s">
        <v>131</v>
      </c>
      <c r="B48" s="1" t="s">
        <v>153</v>
      </c>
      <c r="C48" s="27" t="s">
        <v>154</v>
      </c>
      <c r="D48" s="27" t="s">
        <v>97</v>
      </c>
      <c r="E48" s="27" t="s">
        <v>148</v>
      </c>
      <c r="F48" s="10">
        <v>37060</v>
      </c>
      <c r="G48" s="2" t="s">
        <v>163</v>
      </c>
      <c r="H48" s="10">
        <v>37032</v>
      </c>
      <c r="J48" s="88">
        <v>0.5</v>
      </c>
      <c r="K48" s="88">
        <v>-0.12380952380952381</v>
      </c>
      <c r="N48" s="32"/>
      <c r="P48" s="89">
        <v>2.1662379305060853</v>
      </c>
      <c r="Q48" s="13">
        <v>8.9065329422817481</v>
      </c>
      <c r="R48" s="11">
        <v>6.507174217706357</v>
      </c>
      <c r="S48" s="27" t="s">
        <v>152</v>
      </c>
      <c r="T48" s="33"/>
      <c r="U48" s="15">
        <v>0</v>
      </c>
      <c r="V48" s="15">
        <v>0</v>
      </c>
      <c r="W48" s="17">
        <v>0</v>
      </c>
      <c r="X48" s="15">
        <v>0</v>
      </c>
      <c r="Y48" s="15">
        <v>0</v>
      </c>
      <c r="Z48" s="60"/>
      <c r="AA48" s="34"/>
    </row>
    <row r="49" spans="1:27" s="2" customFormat="1" ht="12.9" customHeight="1" x14ac:dyDescent="0.25">
      <c r="A49" s="1" t="s">
        <v>133</v>
      </c>
      <c r="B49" s="1" t="s">
        <v>142</v>
      </c>
      <c r="C49" s="27" t="s">
        <v>143</v>
      </c>
      <c r="D49" s="27" t="s">
        <v>97</v>
      </c>
      <c r="E49" s="27" t="s">
        <v>148</v>
      </c>
      <c r="F49" s="10">
        <v>37056</v>
      </c>
      <c r="G49" s="2" t="s">
        <v>164</v>
      </c>
      <c r="H49" s="10">
        <v>37032</v>
      </c>
      <c r="J49" s="88">
        <v>-0.11599999999999994</v>
      </c>
      <c r="K49" s="88">
        <v>-0.31525948876839655</v>
      </c>
      <c r="N49" s="32"/>
      <c r="P49" s="89">
        <v>1.3576297185340669</v>
      </c>
      <c r="Q49" s="13">
        <v>6.0674800117251069</v>
      </c>
      <c r="R49" s="11">
        <v>13.477031758669767</v>
      </c>
      <c r="S49" s="27" t="s">
        <v>152</v>
      </c>
      <c r="T49" s="33"/>
      <c r="U49" s="15">
        <v>0</v>
      </c>
      <c r="V49" s="15">
        <v>0</v>
      </c>
      <c r="W49" s="17">
        <v>0</v>
      </c>
      <c r="X49" s="15">
        <v>0</v>
      </c>
      <c r="Y49" s="15">
        <v>0</v>
      </c>
      <c r="Z49" s="60"/>
      <c r="AA49" s="34"/>
    </row>
    <row r="50" spans="1:27" s="2" customFormat="1" ht="12.9" customHeight="1" x14ac:dyDescent="0.25">
      <c r="A50" s="1" t="s">
        <v>135</v>
      </c>
      <c r="B50" s="1" t="s">
        <v>153</v>
      </c>
      <c r="C50" s="27" t="s">
        <v>154</v>
      </c>
      <c r="D50" s="27" t="s">
        <v>165</v>
      </c>
      <c r="E50" s="27" t="s">
        <v>148</v>
      </c>
      <c r="F50" s="10">
        <v>37056</v>
      </c>
      <c r="G50" s="2" t="s">
        <v>166</v>
      </c>
      <c r="H50" s="10">
        <v>37032</v>
      </c>
      <c r="J50" s="88">
        <v>0.2</v>
      </c>
      <c r="K50" s="88">
        <v>-0.27908745247148281</v>
      </c>
      <c r="N50" s="32"/>
      <c r="P50" s="89">
        <v>2.6043212949586549</v>
      </c>
      <c r="Q50" s="13">
        <v>10.886963921581222</v>
      </c>
      <c r="R50" s="11">
        <v>5.9752821450949609</v>
      </c>
      <c r="S50" s="27" t="s">
        <v>152</v>
      </c>
      <c r="T50" s="33"/>
      <c r="U50" s="15">
        <v>0</v>
      </c>
      <c r="V50" s="15">
        <v>0</v>
      </c>
      <c r="W50" s="17">
        <v>0</v>
      </c>
      <c r="X50" s="15">
        <v>0</v>
      </c>
      <c r="Y50" s="15">
        <v>0</v>
      </c>
      <c r="Z50" s="60"/>
      <c r="AA50" s="34"/>
    </row>
    <row r="51" spans="1:27" s="2" customFormat="1" ht="12.9" customHeight="1" x14ac:dyDescent="0.25">
      <c r="A51" s="1" t="s">
        <v>167</v>
      </c>
      <c r="B51" s="1" t="s">
        <v>153</v>
      </c>
      <c r="C51" s="27" t="s">
        <v>154</v>
      </c>
      <c r="D51" s="27" t="s">
        <v>97</v>
      </c>
      <c r="E51" s="27" t="s">
        <v>148</v>
      </c>
      <c r="F51" s="10">
        <v>37060</v>
      </c>
      <c r="G51" s="2" t="s">
        <v>168</v>
      </c>
      <c r="H51" s="10">
        <v>37032</v>
      </c>
      <c r="J51" s="88">
        <v>0.50660287081339705</v>
      </c>
      <c r="K51" s="88">
        <v>0.1326618705035971</v>
      </c>
      <c r="N51" s="32"/>
      <c r="P51" s="89" t="s">
        <v>169</v>
      </c>
      <c r="Q51" s="13">
        <v>26.095906450083</v>
      </c>
      <c r="R51" s="11">
        <v>8.6418611136934071</v>
      </c>
      <c r="S51" s="27" t="s">
        <v>170</v>
      </c>
      <c r="T51" s="33"/>
      <c r="U51" s="15">
        <v>0</v>
      </c>
      <c r="V51" s="15">
        <v>0</v>
      </c>
      <c r="W51" s="17">
        <v>0</v>
      </c>
      <c r="X51" s="15">
        <v>0</v>
      </c>
      <c r="Y51" s="15">
        <v>0</v>
      </c>
      <c r="Z51" s="60"/>
      <c r="AA51" s="30"/>
    </row>
    <row r="52" spans="1:27" s="2" customFormat="1" ht="12.9" customHeight="1" x14ac:dyDescent="0.25">
      <c r="A52" s="1" t="s">
        <v>139</v>
      </c>
      <c r="B52" s="1" t="s">
        <v>153</v>
      </c>
      <c r="C52" s="27" t="s">
        <v>154</v>
      </c>
      <c r="D52" s="27" t="s">
        <v>97</v>
      </c>
      <c r="E52" s="27" t="s">
        <v>148</v>
      </c>
      <c r="F52" s="10">
        <v>37060</v>
      </c>
      <c r="G52" s="2" t="s">
        <v>162</v>
      </c>
      <c r="H52" s="10">
        <v>37034</v>
      </c>
      <c r="J52" s="88">
        <v>6.2011834319526567E-2</v>
      </c>
      <c r="K52" s="88">
        <v>0.49566666666666659</v>
      </c>
      <c r="P52" s="89">
        <v>3.7843636788950068</v>
      </c>
      <c r="Q52" s="13">
        <v>15.646492997018731</v>
      </c>
      <c r="R52" s="11">
        <v>2.1656201333429399</v>
      </c>
      <c r="S52" s="27" t="s">
        <v>171</v>
      </c>
      <c r="T52" s="33"/>
      <c r="U52" s="15">
        <v>0</v>
      </c>
      <c r="V52" s="15">
        <v>0</v>
      </c>
      <c r="W52" s="17">
        <v>0</v>
      </c>
      <c r="X52" s="15">
        <v>0</v>
      </c>
      <c r="Y52" s="15">
        <v>0</v>
      </c>
      <c r="AA52" s="34"/>
    </row>
    <row r="53" spans="1:27" x14ac:dyDescent="0.25">
      <c r="P53" s="91"/>
    </row>
    <row r="54" spans="1:27" s="2" customFormat="1" ht="12.9" customHeight="1" x14ac:dyDescent="0.25">
      <c r="A54" s="1"/>
      <c r="B54" s="1"/>
      <c r="C54" s="27"/>
      <c r="D54" s="27"/>
      <c r="E54" s="27"/>
      <c r="F54" s="10"/>
      <c r="H54" s="10"/>
      <c r="J54" s="14"/>
      <c r="K54" s="14"/>
      <c r="P54" s="90"/>
      <c r="T54" s="33"/>
    </row>
    <row r="55" spans="1:27" s="2" customFormat="1" ht="12.9" customHeight="1" x14ac:dyDescent="0.25">
      <c r="A55" s="1"/>
      <c r="B55" s="1"/>
      <c r="C55" s="27"/>
      <c r="D55" s="27"/>
      <c r="E55" s="27"/>
      <c r="F55" s="10"/>
      <c r="H55" s="10"/>
      <c r="J55" s="14"/>
      <c r="K55" s="14"/>
      <c r="P55" s="90"/>
      <c r="T55" s="33"/>
    </row>
    <row r="56" spans="1:27" s="2" customFormat="1" ht="12.9" customHeight="1" x14ac:dyDescent="0.25">
      <c r="B56" s="35"/>
      <c r="C56" s="35"/>
      <c r="E56" s="35"/>
      <c r="N56" s="63" t="s">
        <v>38</v>
      </c>
      <c r="O56" s="92"/>
      <c r="P56" s="93">
        <v>2.3998482868645961</v>
      </c>
      <c r="Q56" s="94">
        <v>11.664115282099596</v>
      </c>
      <c r="R56" s="95">
        <v>6.4767774209372018</v>
      </c>
      <c r="S56" s="33"/>
      <c r="T56" s="33"/>
      <c r="U56" s="96"/>
      <c r="V56" s="97"/>
      <c r="W56" s="17"/>
      <c r="X56" s="15"/>
      <c r="Y56" s="60"/>
    </row>
    <row r="57" spans="1:27" s="2" customFormat="1" ht="12.9" customHeight="1" x14ac:dyDescent="0.25">
      <c r="B57" s="35"/>
      <c r="C57" s="35"/>
      <c r="D57" s="35"/>
      <c r="N57" s="71" t="s">
        <v>39</v>
      </c>
      <c r="O57" s="98"/>
      <c r="P57" s="99">
        <v>2.3739672614749026</v>
      </c>
      <c r="Q57" s="100">
        <v>10.824213975935752</v>
      </c>
      <c r="R57" s="101">
        <v>6.3631229802717684</v>
      </c>
      <c r="S57" s="33"/>
      <c r="T57" s="33"/>
      <c r="V57" s="97"/>
      <c r="W57" s="17"/>
      <c r="X57" s="15"/>
      <c r="Y57" s="60"/>
      <c r="Z57" s="60"/>
    </row>
    <row r="58" spans="1:27" s="2" customFormat="1" ht="12.9" customHeight="1" x14ac:dyDescent="0.25">
      <c r="B58" s="35"/>
      <c r="C58" s="35"/>
      <c r="D58" s="35"/>
      <c r="N58" s="79" t="s">
        <v>25</v>
      </c>
      <c r="O58" s="98"/>
      <c r="P58" s="99">
        <v>4.2871360623574564</v>
      </c>
      <c r="Q58" s="100">
        <v>26.095906450083</v>
      </c>
      <c r="R58" s="101">
        <v>13.477031758669767</v>
      </c>
      <c r="S58" s="33"/>
      <c r="T58" s="33"/>
      <c r="V58" s="97"/>
      <c r="W58" s="17"/>
      <c r="X58" s="15"/>
      <c r="Y58" s="60"/>
      <c r="Z58" s="60"/>
    </row>
    <row r="59" spans="1:27" s="2" customFormat="1" ht="12.9" customHeight="1" x14ac:dyDescent="0.25">
      <c r="B59" s="35"/>
      <c r="C59" s="35"/>
      <c r="D59" s="35"/>
      <c r="N59" s="80" t="s">
        <v>26</v>
      </c>
      <c r="O59" s="102"/>
      <c r="P59" s="103">
        <v>0.25884546089453414</v>
      </c>
      <c r="Q59" s="104">
        <v>4.9206554888962071</v>
      </c>
      <c r="R59" s="105">
        <v>2.1656201333429399</v>
      </c>
      <c r="S59" s="33"/>
      <c r="T59" s="33"/>
      <c r="V59" s="97"/>
      <c r="W59" s="17"/>
      <c r="X59" s="15"/>
      <c r="Y59" s="60"/>
      <c r="Z59" s="60"/>
    </row>
    <row r="60" spans="1:27" s="2" customFormat="1" ht="12.9" customHeight="1" x14ac:dyDescent="0.25">
      <c r="A60" s="36" t="s">
        <v>74</v>
      </c>
      <c r="Z60" s="60"/>
    </row>
    <row r="61" spans="1:27" s="2" customFormat="1" ht="12.9" customHeight="1" x14ac:dyDescent="0.25">
      <c r="A61" s="9" t="s">
        <v>172</v>
      </c>
    </row>
    <row r="62" spans="1:27" s="2" customFormat="1" ht="12.9" customHeight="1" x14ac:dyDescent="0.25">
      <c r="A62" s="9" t="s">
        <v>173</v>
      </c>
    </row>
    <row r="63" spans="1:27" s="2" customFormat="1" ht="12.9" customHeight="1" x14ac:dyDescent="0.25">
      <c r="A63" s="9" t="s">
        <v>174</v>
      </c>
    </row>
    <row r="64" spans="1:27" s="2" customFormat="1" ht="12.9" customHeight="1" x14ac:dyDescent="0.25">
      <c r="A64" s="9" t="s">
        <v>175</v>
      </c>
    </row>
    <row r="65" spans="1:1" s="2" customFormat="1" ht="12.9" customHeight="1" x14ac:dyDescent="0.25">
      <c r="A65" s="9" t="s">
        <v>176</v>
      </c>
    </row>
    <row r="66" spans="1:1" s="2" customFormat="1" ht="12.9" customHeight="1" x14ac:dyDescent="0.25">
      <c r="A66" s="9"/>
    </row>
    <row r="67" spans="1:1" s="2" customFormat="1" ht="12.9" customHeight="1" x14ac:dyDescent="0.25"/>
    <row r="68" spans="1:1" s="2" customFormat="1" ht="12.9" customHeight="1" x14ac:dyDescent="0.25"/>
    <row r="69" spans="1:1" s="2" customFormat="1" ht="12.9" customHeight="1" x14ac:dyDescent="0.25"/>
    <row r="70" spans="1:1" s="2" customFormat="1" ht="12.9" customHeight="1" x14ac:dyDescent="0.25"/>
    <row r="71" spans="1:1" s="2" customFormat="1" ht="12.9" customHeight="1" x14ac:dyDescent="0.25"/>
    <row r="72" spans="1:1" s="2" customFormat="1" ht="12.9" customHeight="1" x14ac:dyDescent="0.25"/>
    <row r="73" spans="1:1" s="2" customFormat="1" ht="12.9" customHeight="1" x14ac:dyDescent="0.25"/>
    <row r="74" spans="1:1" s="2" customFormat="1" ht="12.9" customHeight="1" x14ac:dyDescent="0.25"/>
    <row r="75" spans="1:1" s="2" customFormat="1" ht="12.9" customHeight="1" x14ac:dyDescent="0.25"/>
    <row r="76" spans="1:1" s="2" customFormat="1" ht="12.9" customHeight="1" x14ac:dyDescent="0.25"/>
    <row r="77" spans="1:1" s="2" customFormat="1" ht="12.9" customHeight="1" x14ac:dyDescent="0.25"/>
    <row r="78" spans="1:1" s="2" customFormat="1" ht="12.9" customHeight="1" x14ac:dyDescent="0.25"/>
    <row r="79" spans="1:1" s="2" customFormat="1" ht="12.9" customHeight="1" x14ac:dyDescent="0.25"/>
    <row r="80" spans="1:1" s="2" customFormat="1" ht="12.9" customHeight="1" x14ac:dyDescent="0.25"/>
    <row r="81" spans="1:10" s="2" customFormat="1" ht="12.9" customHeight="1" x14ac:dyDescent="0.25"/>
    <row r="82" spans="1:10" s="2" customFormat="1" ht="12.9" customHeight="1" x14ac:dyDescent="0.25"/>
    <row r="83" spans="1:10" s="2" customFormat="1" ht="12.9" customHeight="1" x14ac:dyDescent="0.25"/>
    <row r="84" spans="1:10" s="2" customFormat="1" ht="12.9" customHeight="1" x14ac:dyDescent="0.25"/>
    <row r="85" spans="1:10" s="2" customFormat="1" ht="12.9" customHeight="1" x14ac:dyDescent="0.25">
      <c r="A85" s="1"/>
      <c r="B85" s="1"/>
      <c r="C85" s="1"/>
    </row>
    <row r="86" spans="1:10" s="2" customFormat="1" ht="12.9" customHeight="1" x14ac:dyDescent="0.25">
      <c r="A86" s="1"/>
      <c r="B86" s="1"/>
      <c r="C86" s="1"/>
      <c r="D86" s="1"/>
    </row>
    <row r="87" spans="1:10" s="2" customFormat="1" ht="12.9" customHeight="1" x14ac:dyDescent="0.25">
      <c r="A87" s="1"/>
      <c r="B87" s="1"/>
      <c r="C87" s="1"/>
      <c r="D87" s="1"/>
    </row>
    <row r="88" spans="1:10" s="2" customFormat="1" ht="12.9" customHeight="1" x14ac:dyDescent="0.25">
      <c r="A88" s="1"/>
      <c r="B88" s="1"/>
      <c r="C88" s="1"/>
      <c r="D88" s="1"/>
    </row>
    <row r="89" spans="1:10" s="2" customFormat="1" ht="12.9" customHeight="1" x14ac:dyDescent="0.25">
      <c r="A89" s="1"/>
      <c r="B89" s="1"/>
      <c r="C89" s="1"/>
      <c r="D89" s="1"/>
    </row>
    <row r="90" spans="1:10" s="2" customFormat="1" ht="12.9" customHeight="1" x14ac:dyDescent="0.25">
      <c r="A90" s="1"/>
      <c r="B90" s="1"/>
      <c r="C90" s="1"/>
      <c r="D90" s="1"/>
    </row>
    <row r="91" spans="1:10" s="2" customFormat="1" ht="12.9" customHeight="1" x14ac:dyDescent="0.25">
      <c r="A91" s="1"/>
      <c r="B91" s="1"/>
      <c r="C91" s="1"/>
      <c r="D91" s="1"/>
    </row>
    <row r="92" spans="1:10" s="2" customFormat="1" ht="12.9" customHeight="1" x14ac:dyDescent="0.25">
      <c r="A92" s="1"/>
      <c r="B92" s="1"/>
      <c r="C92" s="1"/>
      <c r="D92" s="1"/>
    </row>
    <row r="93" spans="1:10" s="2" customFormat="1" ht="12.9" customHeight="1" x14ac:dyDescent="0.25">
      <c r="A93" s="1"/>
      <c r="B93" s="1"/>
      <c r="C93" s="1"/>
      <c r="D93" s="1"/>
    </row>
    <row r="94" spans="1:10" ht="12.9" customHeight="1" x14ac:dyDescent="0.25">
      <c r="E94" s="2"/>
      <c r="F94" s="2"/>
      <c r="G94" s="2"/>
      <c r="H94" s="2"/>
      <c r="I94" s="2"/>
      <c r="J94" s="2"/>
    </row>
    <row r="95" spans="1:10" ht="12.9" customHeight="1" x14ac:dyDescent="0.25"/>
    <row r="96" spans="1:10" ht="12.9" customHeight="1" x14ac:dyDescent="0.25"/>
    <row r="97" ht="12.9" customHeight="1" x14ac:dyDescent="0.25"/>
    <row r="98" ht="12.9" customHeight="1" x14ac:dyDescent="0.25"/>
    <row r="99" ht="12.9" customHeight="1" x14ac:dyDescent="0.25"/>
    <row r="100" ht="12.9" customHeight="1" x14ac:dyDescent="0.25"/>
    <row r="101" ht="12.9" customHeight="1" x14ac:dyDescent="0.25"/>
    <row r="102" ht="12.9" customHeight="1" x14ac:dyDescent="0.25"/>
    <row r="103" ht="12.9" customHeight="1" x14ac:dyDescent="0.25"/>
    <row r="104" ht="12.9" customHeight="1" x14ac:dyDescent="0.25"/>
    <row r="105" ht="12.9" customHeight="1" x14ac:dyDescent="0.25"/>
    <row r="106" ht="12.9" customHeight="1" x14ac:dyDescent="0.25"/>
    <row r="107" ht="12.9" customHeight="1" x14ac:dyDescent="0.25"/>
    <row r="108" ht="12.9" customHeight="1" x14ac:dyDescent="0.25"/>
    <row r="109" ht="12.9" customHeight="1" x14ac:dyDescent="0.25"/>
    <row r="110" ht="12.9" customHeight="1" x14ac:dyDescent="0.25"/>
    <row r="111" ht="12.9" customHeight="1" x14ac:dyDescent="0.25"/>
    <row r="112" ht="12.9" customHeight="1" x14ac:dyDescent="0.25"/>
    <row r="113" ht="12.9" customHeight="1" x14ac:dyDescent="0.25"/>
    <row r="114" ht="12.9" customHeight="1" x14ac:dyDescent="0.25"/>
    <row r="115" ht="12.9" customHeight="1" x14ac:dyDescent="0.25"/>
    <row r="116" ht="12.9" customHeight="1" x14ac:dyDescent="0.25"/>
    <row r="117" ht="12.9" customHeight="1" x14ac:dyDescent="0.25"/>
    <row r="118" ht="12.9" customHeight="1" x14ac:dyDescent="0.25"/>
    <row r="119" ht="12.9" customHeight="1" x14ac:dyDescent="0.25"/>
    <row r="120" ht="12.9" customHeight="1" x14ac:dyDescent="0.25"/>
    <row r="121" ht="12.9" customHeight="1" x14ac:dyDescent="0.25"/>
    <row r="122" ht="12.9" customHeight="1" x14ac:dyDescent="0.25"/>
    <row r="123" ht="12.9" customHeight="1" x14ac:dyDescent="0.25"/>
    <row r="124" ht="12.9" customHeight="1" x14ac:dyDescent="0.25"/>
    <row r="125" ht="12.9" customHeight="1" x14ac:dyDescent="0.25"/>
    <row r="126" ht="12.9" customHeight="1" x14ac:dyDescent="0.25"/>
    <row r="127" ht="12.9" customHeight="1" x14ac:dyDescent="0.25"/>
    <row r="128" ht="12.9" customHeight="1" x14ac:dyDescent="0.25"/>
    <row r="129" ht="12.9" customHeight="1" x14ac:dyDescent="0.25"/>
    <row r="130" ht="12.9" customHeight="1" x14ac:dyDescent="0.25"/>
    <row r="131" ht="12.9" customHeight="1" x14ac:dyDescent="0.25"/>
    <row r="132" ht="12.9" customHeight="1" x14ac:dyDescent="0.25"/>
    <row r="133" ht="12.9" customHeight="1" x14ac:dyDescent="0.25"/>
    <row r="134" ht="12.9" customHeight="1" x14ac:dyDescent="0.25"/>
  </sheetData>
  <mergeCells count="4">
    <mergeCell ref="I8:K8"/>
    <mergeCell ref="L8:N8"/>
    <mergeCell ref="O8:Q8"/>
    <mergeCell ref="U34:Y34"/>
  </mergeCells>
  <phoneticPr fontId="0" type="noConversion"/>
  <pageMargins left="0" right="0" top="0" bottom="0" header="0.5" footer="0.5"/>
  <pageSetup scale="54" orientation="landscape" verticalDpi="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40"/>
  <sheetViews>
    <sheetView zoomScale="50" workbookViewId="0"/>
  </sheetViews>
  <sheetFormatPr defaultColWidth="9.109375" defaultRowHeight="13.2" outlineLevelCol="1" x14ac:dyDescent="0.25"/>
  <cols>
    <col min="1" max="1" width="29.6640625" style="1" customWidth="1"/>
    <col min="2" max="2" width="12.88671875" style="1" customWidth="1"/>
    <col min="3" max="3" width="12.6640625" style="1" customWidth="1"/>
    <col min="4" max="4" width="10.6640625" style="1" customWidth="1"/>
    <col min="5" max="5" width="11.6640625" style="1" customWidth="1"/>
    <col min="6" max="6" width="10.6640625" style="1" customWidth="1"/>
    <col min="7" max="7" width="11.6640625" style="1" customWidth="1"/>
    <col min="8" max="8" width="10.6640625" style="1" customWidth="1"/>
    <col min="9" max="9" width="8.6640625" style="1" hidden="1" customWidth="1" outlineLevel="1"/>
    <col min="10" max="10" width="13.6640625" style="1" customWidth="1" collapsed="1"/>
    <col min="11" max="11" width="13.6640625" style="1" customWidth="1"/>
    <col min="12" max="12" width="13.6640625" style="1" hidden="1" customWidth="1" outlineLevel="1"/>
    <col min="13" max="13" width="13.6640625" style="1" customWidth="1" collapsed="1"/>
    <col min="14" max="14" width="13.6640625" style="1" customWidth="1"/>
    <col min="15" max="15" width="13.6640625" style="1" hidden="1" customWidth="1" outlineLevel="1"/>
    <col min="16" max="16" width="13.6640625" style="1" customWidth="1" collapsed="1"/>
    <col min="17" max="17" width="13.6640625" style="1" customWidth="1"/>
    <col min="18" max="25" width="9.6640625" style="1" customWidth="1"/>
    <col min="26" max="26" width="10.6640625" style="1" customWidth="1"/>
    <col min="27" max="27" width="9.109375" style="1"/>
    <col min="28" max="30" width="10.6640625" style="1" customWidth="1"/>
    <col min="31" max="31" width="15.6640625" style="1" customWidth="1"/>
    <col min="32" max="16384" width="9.109375" style="1"/>
  </cols>
  <sheetData>
    <row r="1" spans="1:32" ht="17.399999999999999" x14ac:dyDescent="0.3">
      <c r="A1" s="3" t="s">
        <v>618</v>
      </c>
      <c r="B1" s="3"/>
      <c r="C1" s="3"/>
    </row>
    <row r="2" spans="1:32" ht="15" customHeight="1" x14ac:dyDescent="0.3">
      <c r="A2" s="44" t="s">
        <v>0</v>
      </c>
      <c r="B2" s="44"/>
      <c r="C2" s="44"/>
      <c r="AF2" s="4"/>
    </row>
    <row r="3" spans="1:32" x14ac:dyDescent="0.25">
      <c r="A3" s="5" t="s">
        <v>1</v>
      </c>
      <c r="B3" s="5"/>
      <c r="C3" s="5"/>
      <c r="AF3" s="4"/>
    </row>
    <row r="4" spans="1:32" x14ac:dyDescent="0.25">
      <c r="A4" s="5"/>
      <c r="B4" s="5"/>
      <c r="C4" s="5"/>
      <c r="AF4" s="4"/>
    </row>
    <row r="5" spans="1:32" x14ac:dyDescent="0.25">
      <c r="A5" s="5"/>
      <c r="B5" s="5"/>
      <c r="C5" s="5"/>
      <c r="AF5" s="4"/>
    </row>
    <row r="6" spans="1:32" x14ac:dyDescent="0.25">
      <c r="A6" s="6" t="s">
        <v>2</v>
      </c>
      <c r="B6" s="45">
        <v>37106</v>
      </c>
      <c r="C6" s="46"/>
    </row>
    <row r="7" spans="1:32" x14ac:dyDescent="0.25">
      <c r="D7" s="38"/>
      <c r="E7" s="38"/>
      <c r="F7" s="38"/>
      <c r="G7" s="38"/>
      <c r="H7" s="39" t="s">
        <v>3</v>
      </c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47" t="s">
        <v>4</v>
      </c>
      <c r="V7" s="47"/>
      <c r="W7" s="47"/>
      <c r="X7" s="47" t="s">
        <v>5</v>
      </c>
      <c r="Y7" s="47"/>
      <c r="Z7" s="39" t="s">
        <v>6</v>
      </c>
    </row>
    <row r="8" spans="1:32" x14ac:dyDescent="0.25">
      <c r="A8" s="38"/>
      <c r="B8" s="38"/>
      <c r="C8" s="39" t="s">
        <v>7</v>
      </c>
      <c r="D8" s="39" t="s">
        <v>8</v>
      </c>
      <c r="E8" s="48" t="s">
        <v>9</v>
      </c>
      <c r="F8" s="48"/>
      <c r="G8" s="39" t="s">
        <v>10</v>
      </c>
      <c r="H8" s="39" t="s">
        <v>10</v>
      </c>
      <c r="I8" s="347" t="s">
        <v>11</v>
      </c>
      <c r="J8" s="347"/>
      <c r="K8" s="347"/>
      <c r="L8" s="347" t="s">
        <v>12</v>
      </c>
      <c r="M8" s="347"/>
      <c r="N8" s="347"/>
      <c r="O8" s="347" t="s">
        <v>13</v>
      </c>
      <c r="P8" s="347"/>
      <c r="Q8" s="347"/>
      <c r="R8" s="49" t="s">
        <v>14</v>
      </c>
      <c r="S8" s="50" t="s">
        <v>15</v>
      </c>
      <c r="T8" s="39" t="s">
        <v>16</v>
      </c>
      <c r="U8" s="39" t="s">
        <v>17</v>
      </c>
      <c r="V8" s="39"/>
      <c r="W8" s="51" t="s">
        <v>18</v>
      </c>
      <c r="X8" s="39" t="s">
        <v>17</v>
      </c>
      <c r="Y8" s="39" t="s">
        <v>19</v>
      </c>
      <c r="Z8" s="39" t="s">
        <v>20</v>
      </c>
      <c r="AA8" s="50"/>
    </row>
    <row r="9" spans="1:32" x14ac:dyDescent="0.25">
      <c r="A9" s="39" t="s">
        <v>21</v>
      </c>
      <c r="B9" s="39" t="s">
        <v>22</v>
      </c>
      <c r="C9" s="39" t="s">
        <v>23</v>
      </c>
      <c r="D9" s="39" t="s">
        <v>24</v>
      </c>
      <c r="E9" s="39" t="s">
        <v>25</v>
      </c>
      <c r="F9" s="39" t="s">
        <v>26</v>
      </c>
      <c r="G9" s="39" t="s">
        <v>27</v>
      </c>
      <c r="H9" s="39" t="s">
        <v>27</v>
      </c>
      <c r="I9" s="39" t="s">
        <v>28</v>
      </c>
      <c r="J9" s="51" t="s">
        <v>111</v>
      </c>
      <c r="K9" s="51" t="s">
        <v>112</v>
      </c>
      <c r="L9" s="39" t="s">
        <v>28</v>
      </c>
      <c r="M9" s="51" t="s">
        <v>111</v>
      </c>
      <c r="N9" s="51" t="s">
        <v>112</v>
      </c>
      <c r="O9" s="39" t="s">
        <v>28</v>
      </c>
      <c r="P9" s="51" t="s">
        <v>111</v>
      </c>
      <c r="Q9" s="51" t="s">
        <v>112</v>
      </c>
      <c r="R9" s="39" t="s">
        <v>29</v>
      </c>
      <c r="S9" s="39" t="s">
        <v>30</v>
      </c>
      <c r="T9" s="39" t="s">
        <v>31</v>
      </c>
      <c r="U9" s="39" t="s">
        <v>32</v>
      </c>
      <c r="V9" s="39" t="s">
        <v>33</v>
      </c>
      <c r="W9" s="39" t="s">
        <v>34</v>
      </c>
      <c r="X9" s="39" t="s">
        <v>35</v>
      </c>
      <c r="Y9" s="39" t="s">
        <v>5</v>
      </c>
      <c r="Z9" s="39" t="s">
        <v>36</v>
      </c>
      <c r="AA9" s="50"/>
    </row>
    <row r="10" spans="1:32" ht="4.95" customHeight="1" x14ac:dyDescent="0.25">
      <c r="A10" s="8" t="s">
        <v>37</v>
      </c>
      <c r="B10" s="8" t="s">
        <v>37</v>
      </c>
      <c r="C10" s="8" t="s">
        <v>37</v>
      </c>
      <c r="D10" s="8" t="s">
        <v>37</v>
      </c>
      <c r="E10" s="8" t="s">
        <v>37</v>
      </c>
      <c r="F10" s="8" t="s">
        <v>37</v>
      </c>
      <c r="G10" s="8" t="s">
        <v>37</v>
      </c>
      <c r="H10" s="8" t="s">
        <v>37</v>
      </c>
      <c r="I10" s="8" t="s">
        <v>37</v>
      </c>
      <c r="J10" s="8" t="s">
        <v>37</v>
      </c>
      <c r="K10" s="8" t="s">
        <v>37</v>
      </c>
      <c r="L10" s="8" t="s">
        <v>37</v>
      </c>
      <c r="M10" s="8" t="s">
        <v>37</v>
      </c>
      <c r="N10" s="8" t="s">
        <v>37</v>
      </c>
      <c r="O10" s="8" t="s">
        <v>37</v>
      </c>
      <c r="P10" s="8" t="s">
        <v>37</v>
      </c>
      <c r="Q10" s="8" t="s">
        <v>37</v>
      </c>
      <c r="R10" s="8" t="s">
        <v>37</v>
      </c>
      <c r="S10" s="8" t="s">
        <v>37</v>
      </c>
      <c r="T10" s="8" t="s">
        <v>37</v>
      </c>
      <c r="U10" s="8" t="s">
        <v>37</v>
      </c>
      <c r="V10" s="8" t="s">
        <v>37</v>
      </c>
      <c r="W10" s="8" t="s">
        <v>37</v>
      </c>
      <c r="X10" s="8" t="s">
        <v>37</v>
      </c>
      <c r="Y10" s="8" t="s">
        <v>37</v>
      </c>
      <c r="Z10" s="8" t="s">
        <v>37</v>
      </c>
      <c r="AA10" s="9"/>
    </row>
    <row r="11" spans="1:32" ht="12.9" customHeight="1" x14ac:dyDescent="0.25">
      <c r="A11" s="1" t="s">
        <v>626</v>
      </c>
      <c r="B11" s="2" t="s">
        <v>627</v>
      </c>
      <c r="C11" s="10">
        <v>37106</v>
      </c>
      <c r="D11" s="11">
        <v>8.7799999999999994</v>
      </c>
      <c r="E11" s="11">
        <v>12.75</v>
      </c>
      <c r="F11" s="11">
        <v>7.9</v>
      </c>
      <c r="G11" s="12">
        <v>288.28721719999999</v>
      </c>
      <c r="H11" s="12">
        <v>773.18771719999995</v>
      </c>
      <c r="I11" s="13" t="s">
        <v>169</v>
      </c>
      <c r="J11" s="13">
        <v>6.0443368421052597</v>
      </c>
      <c r="K11" s="13">
        <v>8.2547008547008538</v>
      </c>
      <c r="L11" s="13" t="s">
        <v>169</v>
      </c>
      <c r="M11" s="13">
        <v>3.2222895622895611</v>
      </c>
      <c r="N11" s="13">
        <v>2.3729729729729732</v>
      </c>
      <c r="O11" s="13">
        <v>1.7126515921296515</v>
      </c>
      <c r="P11" s="13">
        <v>6.2555640550161797</v>
      </c>
      <c r="Q11" s="13">
        <v>4.8966923191893601</v>
      </c>
      <c r="R11" s="14">
        <v>0.85499875935436398</v>
      </c>
      <c r="S11" s="13">
        <v>4.147361096804822</v>
      </c>
      <c r="T11" s="14">
        <v>0</v>
      </c>
      <c r="U11" s="15">
        <v>121.04483333333332</v>
      </c>
      <c r="V11" s="14">
        <v>0.52504375100685829</v>
      </c>
      <c r="W11" s="11">
        <v>6.3876143731867954</v>
      </c>
      <c r="X11" s="12">
        <v>1666.0040000000006</v>
      </c>
      <c r="Y11" s="13">
        <v>0.46409715534896656</v>
      </c>
      <c r="Z11" s="17">
        <v>32.834534988610478</v>
      </c>
    </row>
    <row r="12" spans="1:32" ht="12.9" customHeight="1" x14ac:dyDescent="0.25">
      <c r="A12" s="1" t="s">
        <v>628</v>
      </c>
      <c r="B12" s="2" t="s">
        <v>629</v>
      </c>
      <c r="C12" s="18">
        <v>37106</v>
      </c>
      <c r="D12" s="19">
        <v>24.72</v>
      </c>
      <c r="E12" s="19">
        <v>34.35</v>
      </c>
      <c r="F12" s="19">
        <v>17.125</v>
      </c>
      <c r="G12" s="16">
        <v>730.73976714999992</v>
      </c>
      <c r="H12" s="16">
        <v>1092.6287671499999</v>
      </c>
      <c r="I12" s="20">
        <v>10.116953568901321</v>
      </c>
      <c r="J12" s="20">
        <v>9.8947540983606537</v>
      </c>
      <c r="K12" s="20">
        <v>15.587770700636932</v>
      </c>
      <c r="L12" s="20">
        <v>3.903179642018328</v>
      </c>
      <c r="M12" s="20">
        <v>3.1085665236051501</v>
      </c>
      <c r="N12" s="20">
        <v>3.4911269614835945</v>
      </c>
      <c r="O12" s="20">
        <v>3.4747988185756333</v>
      </c>
      <c r="P12" s="20">
        <v>4.121572112976235</v>
      </c>
      <c r="Q12" s="20">
        <v>4.4488141984934844</v>
      </c>
      <c r="R12" s="21">
        <v>0.56106821705426357</v>
      </c>
      <c r="S12" s="20">
        <v>2.5811069409171665</v>
      </c>
      <c r="T12" s="21">
        <v>6.6225149999999998E-3</v>
      </c>
      <c r="U12" s="22">
        <v>194.41</v>
      </c>
      <c r="V12" s="21">
        <v>0.89173396430224783</v>
      </c>
      <c r="W12" s="11">
        <v>5.6202292430944887</v>
      </c>
      <c r="X12" s="16">
        <v>2409.8319999999999</v>
      </c>
      <c r="Y12" s="13">
        <v>0.45340453905085498</v>
      </c>
      <c r="Z12" s="23">
        <v>29.560670192152102</v>
      </c>
      <c r="AA12" s="24"/>
    </row>
    <row r="13" spans="1:32" ht="12.9" customHeight="1" x14ac:dyDescent="0.25">
      <c r="A13" s="1" t="s">
        <v>630</v>
      </c>
      <c r="B13" s="2" t="s">
        <v>631</v>
      </c>
      <c r="C13" s="18">
        <v>37106</v>
      </c>
      <c r="D13" s="19">
        <v>9</v>
      </c>
      <c r="E13" s="19">
        <v>17.625</v>
      </c>
      <c r="F13" s="19">
        <v>8.8000000000000007</v>
      </c>
      <c r="G13" s="16">
        <v>120.23595899999999</v>
      </c>
      <c r="H13" s="16">
        <v>261.07495899999998</v>
      </c>
      <c r="I13" s="20">
        <v>9.4500072983607879</v>
      </c>
      <c r="J13" s="20">
        <v>11.413043891776955</v>
      </c>
      <c r="K13" s="20">
        <v>15.989846092401413</v>
      </c>
      <c r="L13" s="20">
        <v>3.7148847247111156</v>
      </c>
      <c r="M13" s="20">
        <v>3.5202081459963304</v>
      </c>
      <c r="N13" s="20">
        <v>3.882099767375955</v>
      </c>
      <c r="O13" s="20">
        <v>2.2125381189849658</v>
      </c>
      <c r="P13" s="20">
        <v>5.020003935127713</v>
      </c>
      <c r="Q13" s="20">
        <v>5.1369563898974135</v>
      </c>
      <c r="R13" s="21">
        <v>0.57516181520165577</v>
      </c>
      <c r="S13" s="20">
        <v>0.84654729601284218</v>
      </c>
      <c r="T13" s="21">
        <v>0</v>
      </c>
      <c r="U13" s="22">
        <v>55.035666666666671</v>
      </c>
      <c r="V13" s="21">
        <v>0.39344788531073793</v>
      </c>
      <c r="W13" s="11">
        <v>4.7437411920754409</v>
      </c>
      <c r="X13" s="16">
        <v>671.19699999999989</v>
      </c>
      <c r="Y13" s="13">
        <v>0.38896919831286497</v>
      </c>
      <c r="Z13" s="23">
        <v>13.359551</v>
      </c>
      <c r="AA13" s="24"/>
    </row>
    <row r="14" spans="1:32" ht="12.9" customHeight="1" x14ac:dyDescent="0.25">
      <c r="A14" s="1" t="s">
        <v>632</v>
      </c>
      <c r="B14" s="2" t="s">
        <v>633</v>
      </c>
      <c r="C14" s="18">
        <v>37106</v>
      </c>
      <c r="D14" s="19">
        <v>28.96</v>
      </c>
      <c r="E14" s="19">
        <v>33.700000000000003</v>
      </c>
      <c r="F14" s="19">
        <v>16.75</v>
      </c>
      <c r="G14" s="16">
        <v>474.40874417000003</v>
      </c>
      <c r="H14" s="16">
        <v>529.04724417</v>
      </c>
      <c r="I14" s="20">
        <v>10.598470670881554</v>
      </c>
      <c r="J14" s="20">
        <v>9.9205536332179935</v>
      </c>
      <c r="K14" s="20">
        <v>11.607214428857715</v>
      </c>
      <c r="L14" s="20">
        <v>3.811828536522655</v>
      </c>
      <c r="M14" s="20">
        <v>3.4963902439024395</v>
      </c>
      <c r="N14" s="20">
        <v>3.795543905635649</v>
      </c>
      <c r="O14" s="20">
        <v>3.7023556363111361</v>
      </c>
      <c r="P14" s="20">
        <v>3.0669405459130434</v>
      </c>
      <c r="Q14" s="20">
        <v>3.3697276698726113</v>
      </c>
      <c r="R14" s="21">
        <v>3.1126176180382412E-2</v>
      </c>
      <c r="S14" s="20">
        <v>1.9139417604792837</v>
      </c>
      <c r="T14" s="21">
        <v>0</v>
      </c>
      <c r="U14" s="22">
        <v>44.260666666666665</v>
      </c>
      <c r="V14" s="21">
        <v>0.70364205991775985</v>
      </c>
      <c r="W14" s="11">
        <v>11.952988601693001</v>
      </c>
      <c r="X14" s="16">
        <v>849.46500000000003</v>
      </c>
      <c r="Y14" s="13">
        <v>0.62280052052762624</v>
      </c>
      <c r="Z14" s="23">
        <v>16.381517409185083</v>
      </c>
      <c r="AA14" s="24"/>
    </row>
    <row r="15" spans="1:32" ht="12.9" customHeight="1" x14ac:dyDescent="0.25">
      <c r="A15" s="1" t="s">
        <v>634</v>
      </c>
      <c r="B15" s="2" t="s">
        <v>635</v>
      </c>
      <c r="C15" s="18">
        <v>37106</v>
      </c>
      <c r="D15" s="19">
        <v>7.16</v>
      </c>
      <c r="E15" s="19">
        <v>15</v>
      </c>
      <c r="F15" s="19">
        <v>6.58</v>
      </c>
      <c r="G15" s="16">
        <v>247.49745267999998</v>
      </c>
      <c r="H15" s="16">
        <v>442.18145268000001</v>
      </c>
      <c r="I15" s="20">
        <v>4.0850230402622367</v>
      </c>
      <c r="J15" s="20">
        <v>3.7317857249434709</v>
      </c>
      <c r="K15" s="20">
        <v>4.5666118229799464</v>
      </c>
      <c r="L15" s="20">
        <v>1.7402124535103611</v>
      </c>
      <c r="M15" s="20">
        <v>1.6367481249752069</v>
      </c>
      <c r="N15" s="20">
        <v>1.7979324991672541</v>
      </c>
      <c r="O15" s="20">
        <v>1.1768948329267654</v>
      </c>
      <c r="P15" s="20">
        <v>2.4953806584650109</v>
      </c>
      <c r="Q15" s="20">
        <v>2.7705604804511279</v>
      </c>
      <c r="R15" s="21">
        <v>0.51408170540793297</v>
      </c>
      <c r="S15" s="20">
        <v>1.3157899216365936</v>
      </c>
      <c r="T15" s="21">
        <v>0</v>
      </c>
      <c r="U15" s="22">
        <v>67.090166666666676</v>
      </c>
      <c r="V15" s="21">
        <v>0.73988736551059398</v>
      </c>
      <c r="W15" s="11">
        <v>6.5908533940145215</v>
      </c>
      <c r="X15" s="16">
        <v>1288.7640000000001</v>
      </c>
      <c r="Y15" s="13">
        <v>0.34310506243191147</v>
      </c>
      <c r="Z15" s="23">
        <v>34.566683335195528</v>
      </c>
      <c r="AA15" s="24"/>
    </row>
    <row r="16" spans="1:32" ht="12.9" customHeight="1" x14ac:dyDescent="0.25">
      <c r="A16" s="1" t="s">
        <v>636</v>
      </c>
      <c r="B16" s="2" t="s">
        <v>637</v>
      </c>
      <c r="C16" s="18">
        <v>37106</v>
      </c>
      <c r="D16" s="19">
        <v>9.34</v>
      </c>
      <c r="E16" s="19">
        <v>12.3</v>
      </c>
      <c r="F16" s="19">
        <v>5.4375</v>
      </c>
      <c r="G16" s="16">
        <v>486.05385443000006</v>
      </c>
      <c r="H16" s="16">
        <v>765.30285443000002</v>
      </c>
      <c r="I16" s="20">
        <v>3.1021875940924559</v>
      </c>
      <c r="J16" s="20">
        <v>7.171532625189676</v>
      </c>
      <c r="K16" s="20">
        <v>13.718915989159877</v>
      </c>
      <c r="L16" s="20">
        <v>3.1021875940924559</v>
      </c>
      <c r="M16" s="20">
        <v>2.6883048919226389</v>
      </c>
      <c r="N16" s="20">
        <v>3.1384252944823308</v>
      </c>
      <c r="O16" s="20">
        <v>3.0389382052869172</v>
      </c>
      <c r="P16" s="20">
        <v>3.6758062172430348</v>
      </c>
      <c r="Q16" s="20">
        <v>3.7533244454634618</v>
      </c>
      <c r="R16" s="21">
        <v>0.55390874639098109</v>
      </c>
      <c r="S16" s="20">
        <v>1.9986424488881216</v>
      </c>
      <c r="T16" s="21">
        <v>0</v>
      </c>
      <c r="U16" s="22">
        <v>100.52533333333335</v>
      </c>
      <c r="V16" s="21">
        <v>0.28807000557073509</v>
      </c>
      <c r="W16" s="11">
        <v>7.613034735157969</v>
      </c>
      <c r="X16" s="16">
        <v>841.29900000000009</v>
      </c>
      <c r="Y16" s="13">
        <v>0.9096680899775228</v>
      </c>
      <c r="Z16" s="23">
        <v>52.040027240899363</v>
      </c>
      <c r="AA16" s="24"/>
    </row>
    <row r="17" spans="1:31" ht="12.9" customHeight="1" x14ac:dyDescent="0.25">
      <c r="A17" s="40" t="s">
        <v>638</v>
      </c>
      <c r="B17" s="41" t="s">
        <v>638</v>
      </c>
      <c r="C17" s="42">
        <v>37106</v>
      </c>
      <c r="D17" s="19">
        <v>2.95</v>
      </c>
      <c r="E17" s="19">
        <v>6.875</v>
      </c>
      <c r="F17" s="19">
        <v>2.29</v>
      </c>
      <c r="G17" s="16">
        <v>124.55015935000002</v>
      </c>
      <c r="H17" s="16">
        <v>680.01715935000004</v>
      </c>
      <c r="I17" s="20">
        <v>2.6050707253109522</v>
      </c>
      <c r="J17" s="20" t="s">
        <v>169</v>
      </c>
      <c r="K17" s="20" t="s">
        <v>169</v>
      </c>
      <c r="L17" s="20" t="e">
        <v>#DIV/0!</v>
      </c>
      <c r="M17" s="20">
        <v>1.1572436500470371</v>
      </c>
      <c r="N17" s="20">
        <v>1.0420521446593776</v>
      </c>
      <c r="O17" s="20">
        <v>0.67438509126251445</v>
      </c>
      <c r="P17" s="20">
        <v>4.5034248963576173</v>
      </c>
      <c r="Q17" s="20">
        <v>4.1744454226519334</v>
      </c>
      <c r="R17" s="21">
        <v>0.58474234898276944</v>
      </c>
      <c r="S17" s="20">
        <v>0.44726116840770924</v>
      </c>
      <c r="T17" s="21">
        <v>0</v>
      </c>
      <c r="U17" s="22">
        <v>88.885166666666692</v>
      </c>
      <c r="V17" s="21">
        <v>0.71742191704277625</v>
      </c>
      <c r="W17" s="11">
        <v>7.6505134079364554</v>
      </c>
      <c r="X17" s="16">
        <v>1283.3</v>
      </c>
      <c r="Y17" s="13">
        <v>0.52989726435751572</v>
      </c>
      <c r="Z17" s="23">
        <v>42.220393000000001</v>
      </c>
      <c r="AA17" s="24"/>
    </row>
    <row r="18" spans="1:31" ht="12.9" customHeight="1" x14ac:dyDescent="0.25">
      <c r="A18" s="40" t="s">
        <v>639</v>
      </c>
      <c r="B18" s="41" t="s">
        <v>640</v>
      </c>
      <c r="C18" s="42">
        <v>37106</v>
      </c>
      <c r="D18" s="19">
        <v>10.95</v>
      </c>
      <c r="E18" s="19">
        <v>15.375</v>
      </c>
      <c r="F18" s="19">
        <v>9</v>
      </c>
      <c r="G18" s="16">
        <v>292.77608490000006</v>
      </c>
      <c r="H18" s="16">
        <v>291.61108490000004</v>
      </c>
      <c r="I18" s="20">
        <v>20.936325267517716</v>
      </c>
      <c r="J18" s="20">
        <v>9.4166507177033498</v>
      </c>
      <c r="K18" s="20">
        <v>14.33067961165049</v>
      </c>
      <c r="L18" s="20">
        <v>3.4273246094832843</v>
      </c>
      <c r="M18" s="20">
        <v>2.7369923975523824</v>
      </c>
      <c r="N18" s="20">
        <v>3.0649086378737551</v>
      </c>
      <c r="O18" s="20">
        <v>3.0873131949131101</v>
      </c>
      <c r="P18" s="20">
        <v>2.5706195777503531</v>
      </c>
      <c r="Q18" s="20">
        <v>3.0044414269524014</v>
      </c>
      <c r="R18" s="21">
        <v>3.2751014438048502E-2</v>
      </c>
      <c r="S18" s="20">
        <v>1.7852309154324115</v>
      </c>
      <c r="T18" s="21">
        <v>0</v>
      </c>
      <c r="U18" s="22">
        <v>35.712666666666664</v>
      </c>
      <c r="V18" s="21">
        <v>0.22937706509361763</v>
      </c>
      <c r="W18" s="11">
        <v>8.1654805456514055</v>
      </c>
      <c r="X18" s="16">
        <v>348.10200000000009</v>
      </c>
      <c r="Y18" s="13">
        <v>0.83771734979977119</v>
      </c>
      <c r="Z18" s="23">
        <v>26.737542000000001</v>
      </c>
      <c r="AA18" s="24"/>
      <c r="AB18" s="2"/>
      <c r="AC18" s="25"/>
      <c r="AD18" s="26"/>
    </row>
    <row r="19" spans="1:31" ht="12.9" customHeight="1" x14ac:dyDescent="0.25">
      <c r="A19" s="40" t="s">
        <v>641</v>
      </c>
      <c r="B19" s="41" t="s">
        <v>642</v>
      </c>
      <c r="C19" s="42">
        <v>37106</v>
      </c>
      <c r="D19" s="19">
        <v>36.31</v>
      </c>
      <c r="E19" s="19">
        <v>50.99</v>
      </c>
      <c r="F19" s="19">
        <v>26.375</v>
      </c>
      <c r="G19" s="16">
        <v>705.62135632900004</v>
      </c>
      <c r="H19" s="16">
        <v>841.85635632900005</v>
      </c>
      <c r="I19" s="20">
        <v>25.973473564582015</v>
      </c>
      <c r="J19" s="20">
        <v>16.025003676055277</v>
      </c>
      <c r="K19" s="20">
        <v>20.58270348837209</v>
      </c>
      <c r="L19" s="20">
        <v>12.446138150933077</v>
      </c>
      <c r="M19" s="20">
        <v>8.3858442175773131</v>
      </c>
      <c r="N19" s="20">
        <v>11.761544850498337</v>
      </c>
      <c r="O19" s="20">
        <v>10.966389349884992</v>
      </c>
      <c r="P19" s="20">
        <v>8.7148691131366451</v>
      </c>
      <c r="Q19" s="20">
        <v>10.1550827060193</v>
      </c>
      <c r="R19" s="21">
        <v>0.32873597775230656</v>
      </c>
      <c r="S19" s="20">
        <v>2.4690031782870063</v>
      </c>
      <c r="T19" s="21">
        <v>0</v>
      </c>
      <c r="U19" s="22">
        <v>145.75433333333336</v>
      </c>
      <c r="V19" s="21">
        <v>1</v>
      </c>
      <c r="W19" s="11">
        <v>5.7758581654221821</v>
      </c>
      <c r="X19" s="16">
        <v>1823.7509999999993</v>
      </c>
      <c r="Y19" s="13">
        <v>0.46160707044382726</v>
      </c>
      <c r="Z19" s="23">
        <v>19.433251344781052</v>
      </c>
      <c r="AA19" s="24"/>
      <c r="AB19" s="2"/>
      <c r="AC19" s="25"/>
      <c r="AD19" s="26"/>
    </row>
    <row r="20" spans="1:31" ht="12.9" customHeight="1" x14ac:dyDescent="0.25">
      <c r="A20" s="1" t="s">
        <v>643</v>
      </c>
      <c r="B20" s="2" t="s">
        <v>644</v>
      </c>
      <c r="C20" s="18">
        <v>37106</v>
      </c>
      <c r="D20" s="19">
        <v>31.77</v>
      </c>
      <c r="E20" s="19">
        <v>39.75</v>
      </c>
      <c r="F20" s="19">
        <v>21.5625</v>
      </c>
      <c r="G20" s="16">
        <v>964.95254192999994</v>
      </c>
      <c r="H20" s="16">
        <v>1147.28254193</v>
      </c>
      <c r="I20" s="20" t="e">
        <v>#REF!</v>
      </c>
      <c r="J20" s="20">
        <v>6.1714975162399694</v>
      </c>
      <c r="K20" s="20">
        <v>8.883507572146236</v>
      </c>
      <c r="L20" s="20" t="e">
        <v>#REF!</v>
      </c>
      <c r="M20" s="20">
        <v>2.7930012451146542</v>
      </c>
      <c r="N20" s="20">
        <v>3.4969310103423141</v>
      </c>
      <c r="O20" s="20" t="e">
        <v>#REF!</v>
      </c>
      <c r="P20" s="20">
        <v>3.1317595824893951</v>
      </c>
      <c r="Q20" s="20">
        <v>3.8636847239509664</v>
      </c>
      <c r="R20" s="21">
        <v>0.31168669253666209</v>
      </c>
      <c r="S20" s="20">
        <v>2.1847817192247603</v>
      </c>
      <c r="T20" s="21">
        <v>0</v>
      </c>
      <c r="U20" s="22">
        <v>93.605000000000004</v>
      </c>
      <c r="V20" s="21">
        <v>0.9428235671171411</v>
      </c>
      <c r="W20" s="11">
        <v>12.256637379733988</v>
      </c>
      <c r="X20" s="16">
        <v>2064.027</v>
      </c>
      <c r="Y20" s="13">
        <v>0.55584667348343797</v>
      </c>
      <c r="Z20" s="23">
        <v>30.373073400377713</v>
      </c>
      <c r="AA20" s="24"/>
      <c r="AB20" s="2"/>
      <c r="AC20" s="25"/>
      <c r="AD20" s="26"/>
    </row>
    <row r="21" spans="1:31" ht="12.9" customHeight="1" x14ac:dyDescent="0.25">
      <c r="A21" s="40" t="s">
        <v>645</v>
      </c>
      <c r="B21" s="41" t="s">
        <v>404</v>
      </c>
      <c r="C21" s="42">
        <v>37106</v>
      </c>
      <c r="D21" s="19">
        <v>63.58</v>
      </c>
      <c r="E21" s="19">
        <v>66.55</v>
      </c>
      <c r="F21" s="19">
        <v>27.6875</v>
      </c>
      <c r="G21" s="16">
        <v>1224.5118538999998</v>
      </c>
      <c r="H21" s="16">
        <v>1673.1728538999998</v>
      </c>
      <c r="I21" s="20">
        <v>14.953040377612467</v>
      </c>
      <c r="J21" s="20">
        <v>11.820156555772993</v>
      </c>
      <c r="K21" s="20">
        <v>14.491701094945336</v>
      </c>
      <c r="L21" s="20">
        <v>5.4192354305379968</v>
      </c>
      <c r="M21" s="20">
        <v>4.7317665491578547</v>
      </c>
      <c r="N21" s="20">
        <v>5.2939459978906722</v>
      </c>
      <c r="O21" s="20">
        <v>4.5008558854231735</v>
      </c>
      <c r="P21" s="20">
        <v>5.3285759678343947</v>
      </c>
      <c r="Q21" s="20">
        <v>5.7143881622267765</v>
      </c>
      <c r="R21" s="21">
        <v>0.6937935827638132</v>
      </c>
      <c r="S21" s="20">
        <v>6.1762618664285958</v>
      </c>
      <c r="T21" s="21">
        <v>0</v>
      </c>
      <c r="U21" s="22">
        <v>215.90649999999999</v>
      </c>
      <c r="V21" s="21">
        <v>0.79070569899470367</v>
      </c>
      <c r="W21" s="11">
        <v>7.7495251597334951</v>
      </c>
      <c r="X21" s="16">
        <v>2829.4420000000014</v>
      </c>
      <c r="Y21" s="13">
        <v>0.59134375396279515</v>
      </c>
      <c r="Z21" s="23">
        <v>19.259387447310473</v>
      </c>
      <c r="AA21" s="24"/>
      <c r="AB21" s="2"/>
      <c r="AC21" s="25"/>
      <c r="AD21" s="26"/>
    </row>
    <row r="22" spans="1:31" ht="12.9" customHeight="1" x14ac:dyDescent="0.25">
      <c r="A22" s="1" t="s">
        <v>646</v>
      </c>
      <c r="B22" s="2" t="s">
        <v>647</v>
      </c>
      <c r="C22" s="18">
        <v>37106</v>
      </c>
      <c r="D22" s="19">
        <v>5.91</v>
      </c>
      <c r="E22" s="19">
        <v>9.3125</v>
      </c>
      <c r="F22" s="19">
        <v>5</v>
      </c>
      <c r="G22" s="16">
        <v>289.30265355</v>
      </c>
      <c r="H22" s="16">
        <v>502.43265355</v>
      </c>
      <c r="I22" s="20" t="e">
        <v>#REF!</v>
      </c>
      <c r="J22" s="20">
        <v>9.3355876553793422</v>
      </c>
      <c r="K22" s="20">
        <v>16.606490598463406</v>
      </c>
      <c r="L22" s="20" t="e">
        <v>#REF!</v>
      </c>
      <c r="M22" s="20">
        <v>2.2945852170195438</v>
      </c>
      <c r="N22" s="20">
        <v>2.57424160070167</v>
      </c>
      <c r="O22" s="20" t="e">
        <v>#REF!</v>
      </c>
      <c r="P22" s="20">
        <v>3.4441503533726352</v>
      </c>
      <c r="Q22" s="20">
        <v>4.0123032793496405</v>
      </c>
      <c r="R22" s="21">
        <v>0.57072362033477031</v>
      </c>
      <c r="S22" s="20">
        <v>1.6358183458200222</v>
      </c>
      <c r="T22" s="21">
        <v>0</v>
      </c>
      <c r="U22" s="22">
        <v>43.478833333333327</v>
      </c>
      <c r="V22" s="21">
        <v>0.48616376551042062</v>
      </c>
      <c r="W22" s="11">
        <v>11.555798880298077</v>
      </c>
      <c r="X22" s="16">
        <v>992.25399999999968</v>
      </c>
      <c r="Y22" s="13">
        <v>0.50635487843838389</v>
      </c>
      <c r="Z22" s="23">
        <v>48.951379619289341</v>
      </c>
      <c r="AA22" s="24"/>
      <c r="AB22" s="2"/>
      <c r="AC22" s="25"/>
      <c r="AD22" s="26"/>
      <c r="AE22" s="27"/>
    </row>
    <row r="23" spans="1:31" ht="12.9" customHeight="1" x14ac:dyDescent="0.25">
      <c r="A23" s="40" t="s">
        <v>648</v>
      </c>
      <c r="B23" s="41" t="s">
        <v>649</v>
      </c>
      <c r="C23" s="42">
        <v>37106</v>
      </c>
      <c r="D23" s="19">
        <v>9</v>
      </c>
      <c r="E23" s="19">
        <v>13.9</v>
      </c>
      <c r="F23" s="19">
        <v>5.8125</v>
      </c>
      <c r="G23" s="16">
        <v>338.68081349999994</v>
      </c>
      <c r="H23" s="16">
        <v>536.13481349999995</v>
      </c>
      <c r="I23" s="20">
        <v>9.4292256711082398</v>
      </c>
      <c r="J23" s="20">
        <v>5.8307692307692296</v>
      </c>
      <c r="K23" s="20">
        <v>4.0958083832335337</v>
      </c>
      <c r="L23" s="20">
        <v>4.456695722798937</v>
      </c>
      <c r="M23" s="20">
        <v>2.7200956937799039</v>
      </c>
      <c r="N23" s="20">
        <v>2.0727272727272732</v>
      </c>
      <c r="O23" s="20">
        <v>3.5076828872962271</v>
      </c>
      <c r="P23" s="20">
        <v>3.5552706465517234</v>
      </c>
      <c r="Q23" s="20">
        <v>2.6699940911354583</v>
      </c>
      <c r="R23" s="21">
        <v>0.634310673762426</v>
      </c>
      <c r="S23" s="20">
        <v>3.0998829675258106</v>
      </c>
      <c r="T23" s="21">
        <v>0</v>
      </c>
      <c r="U23" s="22">
        <v>61.171000000000006</v>
      </c>
      <c r="V23" s="21">
        <v>0.6353991270373216</v>
      </c>
      <c r="W23" s="11">
        <v>8.7645258946232669</v>
      </c>
      <c r="X23" s="16">
        <v>804.92299999999977</v>
      </c>
      <c r="Y23" s="13">
        <v>0.66606969051698128</v>
      </c>
      <c r="Z23" s="23">
        <v>37.631201499999996</v>
      </c>
      <c r="AA23" s="24"/>
      <c r="AB23" s="2"/>
      <c r="AC23" s="25"/>
      <c r="AD23" s="26"/>
      <c r="AE23" s="27"/>
    </row>
    <row r="24" spans="1:31" ht="12.9" customHeight="1" x14ac:dyDescent="0.25">
      <c r="A24" s="40" t="s">
        <v>650</v>
      </c>
      <c r="B24" s="41" t="s">
        <v>651</v>
      </c>
      <c r="C24" s="42">
        <v>37106</v>
      </c>
      <c r="D24" s="19">
        <v>17.36</v>
      </c>
      <c r="E24" s="19">
        <v>21.56</v>
      </c>
      <c r="F24" s="19">
        <v>14.05</v>
      </c>
      <c r="G24" s="16">
        <v>293.85416329999998</v>
      </c>
      <c r="H24" s="16">
        <v>686.73416329999998</v>
      </c>
      <c r="I24" s="20">
        <v>13.821406687424792</v>
      </c>
      <c r="J24" s="20">
        <v>15.994915846994543</v>
      </c>
      <c r="K24" s="20">
        <v>19.916146288209635</v>
      </c>
      <c r="L24" s="20">
        <v>2.6392818042458774</v>
      </c>
      <c r="M24" s="20">
        <v>2.0952238335886388</v>
      </c>
      <c r="N24" s="20">
        <v>2.1711137061803147</v>
      </c>
      <c r="O24" s="20">
        <v>1.7717427364701916</v>
      </c>
      <c r="P24" s="20">
        <v>3.6097925973234091</v>
      </c>
      <c r="Q24" s="20">
        <v>3.7321089050960023</v>
      </c>
      <c r="R24" s="21">
        <v>0.55348754895510643</v>
      </c>
      <c r="S24" s="20">
        <v>1.3634848448150261</v>
      </c>
      <c r="T24" s="21">
        <v>0</v>
      </c>
      <c r="U24" s="22">
        <v>247.55683333333332</v>
      </c>
      <c r="V24" s="21">
        <v>0.11174336398173884</v>
      </c>
      <c r="W24" s="11">
        <v>2.7740464848139248</v>
      </c>
      <c r="X24" s="16">
        <v>1149.5620000000004</v>
      </c>
      <c r="Y24" s="13">
        <v>0.59738766878167493</v>
      </c>
      <c r="Z24" s="23">
        <v>16.927083139400921</v>
      </c>
      <c r="AA24" s="24"/>
      <c r="AB24" s="2"/>
      <c r="AC24" s="25"/>
      <c r="AD24" s="26"/>
      <c r="AE24" s="27"/>
    </row>
    <row r="25" spans="1:31" ht="12.9" customHeight="1" x14ac:dyDescent="0.25">
      <c r="A25" s="40" t="s">
        <v>652</v>
      </c>
      <c r="B25" s="41" t="s">
        <v>653</v>
      </c>
      <c r="C25" s="42">
        <v>37106</v>
      </c>
      <c r="D25" s="19">
        <v>25.62</v>
      </c>
      <c r="E25" s="19">
        <v>33.799999999999997</v>
      </c>
      <c r="F25" s="19">
        <v>16.75</v>
      </c>
      <c r="G25" s="16">
        <v>517.93045246000008</v>
      </c>
      <c r="H25" s="16">
        <v>655.42045246000009</v>
      </c>
      <c r="I25" s="20">
        <v>8.2425751553249711</v>
      </c>
      <c r="J25" s="20">
        <v>8.3101699716713906</v>
      </c>
      <c r="K25" s="20">
        <v>10.159655172413794</v>
      </c>
      <c r="L25" s="20">
        <v>4.1421512684842323</v>
      </c>
      <c r="M25" s="20">
        <v>4.1787606837606841</v>
      </c>
      <c r="N25" s="20">
        <v>4.5154022988505753</v>
      </c>
      <c r="O25" s="20">
        <v>3.5918752554526856</v>
      </c>
      <c r="P25" s="20">
        <v>3.919978782655503</v>
      </c>
      <c r="Q25" s="20">
        <v>4.4922580703221389</v>
      </c>
      <c r="R25" s="21">
        <v>0.42648799498103984</v>
      </c>
      <c r="S25" s="20">
        <v>2.4031999909983903</v>
      </c>
      <c r="T25" s="21">
        <v>6.3492059999999996E-3</v>
      </c>
      <c r="U25" s="22">
        <v>134.22133333333335</v>
      </c>
      <c r="V25" s="21">
        <v>0.68177189915165004</v>
      </c>
      <c r="W25" s="11">
        <v>4.8831317360876563</v>
      </c>
      <c r="X25" s="16">
        <v>1438.9449999999999</v>
      </c>
      <c r="Y25" s="13">
        <v>0.45548679932867464</v>
      </c>
      <c r="Z25" s="23">
        <v>20.215864654957066</v>
      </c>
      <c r="AA25" s="24"/>
      <c r="AB25" s="2"/>
      <c r="AC25" s="25"/>
      <c r="AD25" s="26"/>
      <c r="AE25" s="27"/>
    </row>
    <row r="26" spans="1:31" ht="12.9" customHeight="1" x14ac:dyDescent="0.25">
      <c r="A26" s="40" t="s">
        <v>654</v>
      </c>
      <c r="B26" s="41" t="s">
        <v>655</v>
      </c>
      <c r="C26" s="42">
        <v>37106</v>
      </c>
      <c r="D26" s="19">
        <v>25.9</v>
      </c>
      <c r="E26" s="19">
        <v>27.75</v>
      </c>
      <c r="F26" s="19">
        <v>15.25</v>
      </c>
      <c r="G26" s="16">
        <v>712.05619710000008</v>
      </c>
      <c r="H26" s="16">
        <v>1316.2591971000002</v>
      </c>
      <c r="I26" s="20">
        <v>18.650980398371559</v>
      </c>
      <c r="J26" s="20">
        <v>9.7368421052631575</v>
      </c>
      <c r="K26" s="20">
        <v>11.06837606837607</v>
      </c>
      <c r="L26" s="20">
        <v>5.4851249566487628</v>
      </c>
      <c r="M26" s="20">
        <v>4.4425385934819897</v>
      </c>
      <c r="N26" s="20">
        <v>5.0096711798839459</v>
      </c>
      <c r="O26" s="20">
        <v>3.7725830994198626</v>
      </c>
      <c r="P26" s="20">
        <v>5.2705200727914798</v>
      </c>
      <c r="Q26" s="20">
        <v>5.8249251500074504</v>
      </c>
      <c r="R26" s="21">
        <v>0.60077961028799942</v>
      </c>
      <c r="S26" s="20">
        <v>5.0612432979358593</v>
      </c>
      <c r="T26" s="21">
        <v>0</v>
      </c>
      <c r="U26" s="22">
        <v>238.74300000000002</v>
      </c>
      <c r="V26" s="21">
        <v>6.5262646444084207E-2</v>
      </c>
      <c r="W26" s="11">
        <v>5.5132891732951332</v>
      </c>
      <c r="X26" s="16">
        <v>919.66100000000006</v>
      </c>
      <c r="Y26" s="13">
        <v>1.4312439008504221</v>
      </c>
      <c r="Z26" s="23">
        <v>27.492517262548262</v>
      </c>
      <c r="AA26" s="24"/>
      <c r="AB26" s="2"/>
      <c r="AC26" s="25"/>
      <c r="AD26" s="26"/>
      <c r="AE26" s="27"/>
    </row>
    <row r="27" spans="1:31" ht="12.9" customHeight="1" x14ac:dyDescent="0.25">
      <c r="A27" s="40" t="s">
        <v>656</v>
      </c>
      <c r="B27" s="41" t="s">
        <v>657</v>
      </c>
      <c r="C27" s="42">
        <v>37106</v>
      </c>
      <c r="D27" s="19">
        <v>18.7</v>
      </c>
      <c r="E27" s="19">
        <v>26.5</v>
      </c>
      <c r="F27" s="19">
        <v>14.75</v>
      </c>
      <c r="G27" s="16">
        <v>263.90495568</v>
      </c>
      <c r="H27" s="16">
        <v>517.95995568000001</v>
      </c>
      <c r="I27" s="20">
        <v>6.326653329881184</v>
      </c>
      <c r="J27" s="20">
        <v>5.3890489913544659</v>
      </c>
      <c r="K27" s="20">
        <v>5.0540540540540535</v>
      </c>
      <c r="L27" s="20">
        <v>2.9775963010350863</v>
      </c>
      <c r="M27" s="20">
        <v>2.7379209370424595</v>
      </c>
      <c r="N27" s="20">
        <v>2.558139534883721</v>
      </c>
      <c r="O27" s="20">
        <v>2.31790396275965</v>
      </c>
      <c r="P27" s="20">
        <v>4.0033858397862794</v>
      </c>
      <c r="Q27" s="20">
        <v>3.7559923824206809</v>
      </c>
      <c r="R27" s="21">
        <v>0.74310959663998721</v>
      </c>
      <c r="S27" s="20">
        <v>2.7136477329796094</v>
      </c>
      <c r="T27" s="21">
        <v>0</v>
      </c>
      <c r="U27" s="22">
        <v>111.60966666666667</v>
      </c>
      <c r="V27" s="21">
        <v>0.47999127913054124</v>
      </c>
      <c r="W27" s="11">
        <v>4.6408162585678063</v>
      </c>
      <c r="X27" s="16">
        <v>1121.345</v>
      </c>
      <c r="Y27" s="13">
        <v>0.46190954227289538</v>
      </c>
      <c r="Z27" s="23">
        <v>14.112564474866311</v>
      </c>
      <c r="AA27" s="24"/>
      <c r="AB27" s="2"/>
      <c r="AC27" s="25"/>
      <c r="AD27" s="26"/>
      <c r="AE27" s="27"/>
    </row>
    <row r="28" spans="1:31" ht="12.9" customHeight="1" x14ac:dyDescent="0.25">
      <c r="A28" s="40" t="s">
        <v>658</v>
      </c>
      <c r="B28" s="41" t="s">
        <v>659</v>
      </c>
      <c r="C28" s="42">
        <v>37106</v>
      </c>
      <c r="D28" s="19">
        <v>19.05</v>
      </c>
      <c r="E28" s="19">
        <v>25.3</v>
      </c>
      <c r="F28" s="19">
        <v>15.0625</v>
      </c>
      <c r="G28" s="16">
        <v>963.22927956000012</v>
      </c>
      <c r="H28" s="16">
        <v>1534.3742795600001</v>
      </c>
      <c r="I28" s="20">
        <v>6.326653329881184</v>
      </c>
      <c r="J28" s="20">
        <v>17.434452296819789</v>
      </c>
      <c r="K28" s="20">
        <v>28.933913043478249</v>
      </c>
      <c r="L28" s="20">
        <v>2.9775963010350863</v>
      </c>
      <c r="M28" s="20">
        <v>3.7808045977011493</v>
      </c>
      <c r="N28" s="20">
        <v>4.0710440456769978</v>
      </c>
      <c r="O28" s="20">
        <v>8.4601403500944183</v>
      </c>
      <c r="P28" s="20">
        <v>4.4603903475581399</v>
      </c>
      <c r="Q28" s="20">
        <v>4.9930825888708101</v>
      </c>
      <c r="R28" s="21">
        <v>0.6175428111772624</v>
      </c>
      <c r="S28" s="20">
        <v>1.6951010035495382</v>
      </c>
      <c r="T28" s="21">
        <v>0</v>
      </c>
      <c r="U28" s="22">
        <v>286.89216666666664</v>
      </c>
      <c r="V28" s="21">
        <v>0.55192572354421199</v>
      </c>
      <c r="W28" s="11">
        <v>5.3482613254573588</v>
      </c>
      <c r="X28" s="16">
        <v>3081.1440000000007</v>
      </c>
      <c r="Y28" s="13">
        <v>0.49798850023238111</v>
      </c>
      <c r="Z28" s="23">
        <v>50.563216774803152</v>
      </c>
      <c r="AA28" s="24"/>
      <c r="AB28" s="2"/>
      <c r="AC28" s="25"/>
      <c r="AD28" s="26"/>
      <c r="AE28" s="27"/>
    </row>
    <row r="29" spans="1:31" ht="13.5" customHeight="1" x14ac:dyDescent="0.25">
      <c r="A29" s="40" t="s">
        <v>660</v>
      </c>
      <c r="B29" s="41" t="s">
        <v>661</v>
      </c>
      <c r="C29" s="42">
        <v>37106</v>
      </c>
      <c r="D29" s="19">
        <v>5.2</v>
      </c>
      <c r="E29" s="19">
        <v>7.125</v>
      </c>
      <c r="F29" s="19">
        <v>3.0625</v>
      </c>
      <c r="G29" s="16">
        <v>265.87163338128079</v>
      </c>
      <c r="H29" s="16">
        <v>692.95363338128072</v>
      </c>
      <c r="I29" s="20">
        <v>6.326653329881184</v>
      </c>
      <c r="J29" s="20">
        <v>5.1794466403162067</v>
      </c>
      <c r="K29" s="20">
        <v>9.0865051903114171</v>
      </c>
      <c r="L29" s="20">
        <v>2.9775963010350863</v>
      </c>
      <c r="M29" s="20">
        <v>1.8574060949681082</v>
      </c>
      <c r="N29" s="20">
        <v>2.1008</v>
      </c>
      <c r="O29" s="20">
        <v>2.3351774922601618</v>
      </c>
      <c r="P29" s="20">
        <v>4.0241209836311311</v>
      </c>
      <c r="Q29" s="20">
        <v>4.6227727377003385</v>
      </c>
      <c r="R29" s="21">
        <v>0.55612861275832681</v>
      </c>
      <c r="S29" s="20">
        <v>1.5163464264888802</v>
      </c>
      <c r="T29" s="21">
        <v>0</v>
      </c>
      <c r="U29" s="22">
        <v>97.269833333333338</v>
      </c>
      <c r="V29" s="21">
        <v>0.73278457349743575</v>
      </c>
      <c r="W29" s="11">
        <v>7.1240343448168826</v>
      </c>
      <c r="X29" s="16">
        <v>1506.2619999999997</v>
      </c>
      <c r="Y29" s="13">
        <v>0.46004853961746417</v>
      </c>
      <c r="Z29" s="23">
        <v>51.129160265630922</v>
      </c>
      <c r="AC29" s="25"/>
      <c r="AD29" s="26"/>
      <c r="AE29" s="27"/>
    </row>
    <row r="30" spans="1:31" ht="12.9" customHeight="1" x14ac:dyDescent="0.25">
      <c r="A30" s="40" t="s">
        <v>662</v>
      </c>
      <c r="B30" s="41" t="s">
        <v>663</v>
      </c>
      <c r="C30" s="42">
        <v>37106</v>
      </c>
      <c r="D30" s="19">
        <v>39.99</v>
      </c>
      <c r="E30" s="19">
        <v>48</v>
      </c>
      <c r="F30" s="19">
        <v>24.75</v>
      </c>
      <c r="G30" s="16">
        <v>1152.9186576300001</v>
      </c>
      <c r="H30" s="16">
        <v>1037.2656576300001</v>
      </c>
      <c r="I30" s="20">
        <v>6.326653329881184</v>
      </c>
      <c r="J30" s="20">
        <v>13.895858095815647</v>
      </c>
      <c r="K30" s="20">
        <v>16.63510168758113</v>
      </c>
      <c r="L30" s="20">
        <v>2.9775963010350863</v>
      </c>
      <c r="M30" s="20">
        <v>5.4771891646918842</v>
      </c>
      <c r="N30" s="20">
        <v>5.8545221959948215</v>
      </c>
      <c r="O30" s="20">
        <v>10.126201375697159</v>
      </c>
      <c r="P30" s="20">
        <v>5.0174897578000293</v>
      </c>
      <c r="Q30" s="20">
        <v>5.1449117485739793</v>
      </c>
      <c r="R30" s="21">
        <v>0</v>
      </c>
      <c r="S30" s="20">
        <v>2.9194539947937375</v>
      </c>
      <c r="T30" s="21">
        <v>0</v>
      </c>
      <c r="U30" s="22">
        <v>30.339666666666673</v>
      </c>
      <c r="V30" s="21">
        <v>0.90144914798009212</v>
      </c>
      <c r="W30" s="11">
        <v>34.188432886430299</v>
      </c>
      <c r="X30" s="16">
        <v>899.13699999999972</v>
      </c>
      <c r="Y30" s="13">
        <v>1.1536235942131181</v>
      </c>
      <c r="Z30" s="23">
        <v>28.830173984246063</v>
      </c>
      <c r="AC30" s="25"/>
      <c r="AD30" s="26"/>
      <c r="AE30" s="27"/>
    </row>
    <row r="31" spans="1:31" ht="12.9" customHeight="1" x14ac:dyDescent="0.25">
      <c r="A31" s="40" t="s">
        <v>664</v>
      </c>
      <c r="B31" s="41" t="s">
        <v>665</v>
      </c>
      <c r="C31" s="42">
        <v>37106</v>
      </c>
      <c r="D31" s="19">
        <v>21.45</v>
      </c>
      <c r="E31" s="19">
        <v>35</v>
      </c>
      <c r="F31" s="19">
        <v>16.5</v>
      </c>
      <c r="G31" s="16">
        <v>613.62089936999996</v>
      </c>
      <c r="H31" s="16">
        <v>610.44489936999992</v>
      </c>
      <c r="I31" s="20">
        <v>14.710472928713202</v>
      </c>
      <c r="J31" s="20">
        <v>11.437361623616239</v>
      </c>
      <c r="K31" s="20">
        <v>14.567915690866506</v>
      </c>
      <c r="L31" s="20">
        <v>2.9775963010350863</v>
      </c>
      <c r="M31" s="20">
        <v>4.2929709141274239</v>
      </c>
      <c r="N31" s="20">
        <v>4.5405109489051094</v>
      </c>
      <c r="O31" s="20">
        <v>5.3894945269860779</v>
      </c>
      <c r="P31" s="20">
        <v>3.8465337074354125</v>
      </c>
      <c r="Q31" s="20">
        <v>4.1725557031442229</v>
      </c>
      <c r="R31" s="21">
        <v>0</v>
      </c>
      <c r="S31" s="20">
        <v>2.3941976994088838</v>
      </c>
      <c r="T31" s="21">
        <v>4.6511629999999998E-3</v>
      </c>
      <c r="U31" s="22">
        <v>58.612499999999997</v>
      </c>
      <c r="V31" s="21">
        <v>0.64256771166560023</v>
      </c>
      <c r="W31" s="11">
        <v>10.414926839326078</v>
      </c>
      <c r="X31" s="16">
        <v>718.48399999999981</v>
      </c>
      <c r="Y31" s="13">
        <v>0.84962907924184827</v>
      </c>
      <c r="Z31" s="23">
        <v>28.607034935664334</v>
      </c>
      <c r="AC31" s="25"/>
      <c r="AD31" s="26"/>
      <c r="AE31" s="27"/>
    </row>
    <row r="32" spans="1:31" ht="12.9" customHeight="1" x14ac:dyDescent="0.25">
      <c r="A32" s="1" t="s">
        <v>666</v>
      </c>
      <c r="B32" s="2" t="s">
        <v>667</v>
      </c>
      <c r="C32" s="18">
        <v>37106</v>
      </c>
      <c r="D32" s="19">
        <v>30.88</v>
      </c>
      <c r="E32" s="19">
        <v>43.5</v>
      </c>
      <c r="F32" s="19">
        <v>23.8125</v>
      </c>
      <c r="G32" s="16">
        <v>782.57708298999989</v>
      </c>
      <c r="H32" s="16">
        <v>968.78824498999984</v>
      </c>
      <c r="I32" s="20" t="e">
        <v>#REF!</v>
      </c>
      <c r="J32" s="20">
        <v>13.082923918448532</v>
      </c>
      <c r="K32" s="20">
        <v>17.658529608938554</v>
      </c>
      <c r="L32" s="20" t="e">
        <v>#REF!</v>
      </c>
      <c r="M32" s="20">
        <v>5.3208359174868551</v>
      </c>
      <c r="N32" s="20">
        <v>5.9325765765765768</v>
      </c>
      <c r="O32" s="20" t="e">
        <v>#REF!</v>
      </c>
      <c r="P32" s="20">
        <v>5.9148192501984242</v>
      </c>
      <c r="Q32" s="20">
        <v>6.4572968405652196</v>
      </c>
      <c r="R32" s="21">
        <v>0.34734776203495549</v>
      </c>
      <c r="S32" s="20">
        <v>2.1996523755738315</v>
      </c>
      <c r="T32" s="21">
        <v>0</v>
      </c>
      <c r="U32" s="22">
        <v>112.61925866666667</v>
      </c>
      <c r="V32" s="21">
        <v>0.62498779960003059</v>
      </c>
      <c r="W32" s="11">
        <v>8.6023319320316585</v>
      </c>
      <c r="X32" s="16">
        <v>1577.9584660000003</v>
      </c>
      <c r="Y32" s="13">
        <v>0.61395040862247874</v>
      </c>
      <c r="Z32" s="23">
        <v>25.342522117551812</v>
      </c>
      <c r="AA32" s="24"/>
      <c r="AB32" s="2"/>
      <c r="AC32" s="25"/>
      <c r="AD32" s="26"/>
      <c r="AE32" s="27"/>
    </row>
    <row r="33" spans="1:31" ht="12.9" customHeight="1" x14ac:dyDescent="0.25">
      <c r="A33" s="1" t="s">
        <v>668</v>
      </c>
      <c r="B33" s="2" t="s">
        <v>669</v>
      </c>
      <c r="C33" s="18">
        <v>37106</v>
      </c>
      <c r="D33" s="19">
        <v>21.56</v>
      </c>
      <c r="E33" s="19">
        <v>32.090000000000003</v>
      </c>
      <c r="F33" s="19">
        <v>14.875</v>
      </c>
      <c r="G33" s="16">
        <v>829.20305831999985</v>
      </c>
      <c r="H33" s="16">
        <v>754.8020583199999</v>
      </c>
      <c r="I33" s="20" t="e">
        <v>#REF!</v>
      </c>
      <c r="J33" s="20" t="s">
        <v>169</v>
      </c>
      <c r="K33" s="20">
        <v>24.628346915017481</v>
      </c>
      <c r="L33" s="20" t="e">
        <v>#REF!</v>
      </c>
      <c r="M33" s="20">
        <v>3.8526291827908041</v>
      </c>
      <c r="N33" s="20">
        <v>4.6784055727554179</v>
      </c>
      <c r="O33" s="20" t="e">
        <v>#REF!</v>
      </c>
      <c r="P33" s="20">
        <v>4.6083525143171133</v>
      </c>
      <c r="Q33" s="20">
        <v>4.165344397770542</v>
      </c>
      <c r="R33" s="21">
        <v>3.2880649331934215E-4</v>
      </c>
      <c r="S33" s="20">
        <v>1.6835618985278022</v>
      </c>
      <c r="T33" s="21">
        <v>0</v>
      </c>
      <c r="U33" s="22">
        <v>75.710833333333341</v>
      </c>
      <c r="V33" s="21">
        <v>0.54035639989873752</v>
      </c>
      <c r="W33" s="11">
        <v>9.969538375001374</v>
      </c>
      <c r="X33" s="16">
        <v>1098.3989999999999</v>
      </c>
      <c r="Y33" s="13">
        <v>0.68718385424604356</v>
      </c>
      <c r="Z33" s="23">
        <v>38.460253168831166</v>
      </c>
      <c r="AA33" s="24"/>
      <c r="AB33" s="2"/>
      <c r="AC33" s="25"/>
      <c r="AD33" s="26"/>
      <c r="AE33" s="27"/>
    </row>
    <row r="34" spans="1:31" ht="12.9" customHeight="1" x14ac:dyDescent="0.25">
      <c r="A34" s="40"/>
      <c r="B34" s="41"/>
      <c r="C34" s="42"/>
      <c r="D34" s="19"/>
      <c r="E34" s="19"/>
      <c r="F34" s="19"/>
      <c r="G34" s="16"/>
      <c r="H34" s="16"/>
      <c r="I34" s="20"/>
      <c r="J34" s="20"/>
      <c r="K34" s="20"/>
      <c r="L34" s="20"/>
      <c r="M34" s="20"/>
      <c r="N34" s="20"/>
      <c r="O34" s="20"/>
      <c r="P34" s="20"/>
      <c r="Q34" s="20"/>
      <c r="R34" s="21"/>
      <c r="S34" s="20"/>
      <c r="T34" s="21"/>
      <c r="U34" s="22"/>
      <c r="V34" s="21"/>
      <c r="W34" s="19"/>
      <c r="X34" s="16"/>
      <c r="Y34" s="20"/>
      <c r="Z34" s="23"/>
    </row>
    <row r="35" spans="1:31" ht="12.9" customHeight="1" x14ac:dyDescent="0.25">
      <c r="A35" s="40"/>
      <c r="B35" s="41"/>
      <c r="C35" s="42"/>
      <c r="D35" s="19"/>
      <c r="E35" s="19"/>
      <c r="F35" s="19"/>
      <c r="G35" s="16"/>
      <c r="H35" s="16"/>
      <c r="I35" s="20"/>
      <c r="J35" s="20"/>
      <c r="K35" s="20"/>
      <c r="L35" s="20"/>
      <c r="M35" s="20"/>
      <c r="N35" s="20"/>
      <c r="O35" s="20"/>
      <c r="P35" s="20"/>
      <c r="Q35" s="20"/>
      <c r="R35" s="21"/>
      <c r="S35" s="20"/>
      <c r="T35" s="21"/>
      <c r="U35" s="22"/>
      <c r="V35" s="21"/>
      <c r="W35" s="19"/>
      <c r="X35" s="16"/>
      <c r="Y35" s="20"/>
      <c r="Z35" s="23"/>
    </row>
    <row r="36" spans="1:31" ht="12.9" customHeight="1" x14ac:dyDescent="0.25">
      <c r="B36" s="2"/>
      <c r="C36" s="18"/>
      <c r="D36" s="19"/>
      <c r="E36" s="19"/>
      <c r="F36" s="19"/>
      <c r="G36" s="16"/>
      <c r="H36" s="16"/>
      <c r="I36" s="20"/>
      <c r="J36" s="20"/>
      <c r="K36" s="20"/>
      <c r="L36" s="20"/>
      <c r="M36" s="20"/>
      <c r="N36" s="20"/>
      <c r="O36" s="20"/>
      <c r="P36" s="20"/>
      <c r="Q36" s="20"/>
      <c r="R36" s="21"/>
      <c r="S36" s="20"/>
      <c r="T36" s="21"/>
      <c r="U36" s="22"/>
      <c r="V36" s="21"/>
      <c r="W36" s="19"/>
      <c r="X36" s="28"/>
      <c r="Y36" s="20"/>
      <c r="Z36" s="23"/>
    </row>
    <row r="37" spans="1:31" ht="12.9" customHeight="1" x14ac:dyDescent="0.25">
      <c r="B37" s="29"/>
      <c r="C37" s="29"/>
      <c r="D37" s="29"/>
      <c r="E37" s="29"/>
      <c r="F37" s="29"/>
      <c r="G37" s="52"/>
      <c r="H37" s="53" t="s">
        <v>38</v>
      </c>
      <c r="I37" s="29"/>
      <c r="J37" s="20">
        <v>9.8684138884673391</v>
      </c>
      <c r="K37" s="20">
        <v>13.928386107127034</v>
      </c>
      <c r="L37" s="20" t="e">
        <v>#DIV/0!</v>
      </c>
      <c r="M37" s="20">
        <v>3.5012311470686965</v>
      </c>
      <c r="N37" s="20">
        <v>3.8789843032834197</v>
      </c>
      <c r="O37" s="20" t="e">
        <v>#REF!</v>
      </c>
      <c r="P37" s="20">
        <v>4.3721444137274315</v>
      </c>
      <c r="Q37" s="20">
        <v>4.5796375582663185</v>
      </c>
      <c r="R37" s="21">
        <v>0.43879574232558149</v>
      </c>
      <c r="S37" s="20">
        <v>2.3718051691711612</v>
      </c>
      <c r="T37" s="21">
        <v>7.6621234782608689E-4</v>
      </c>
      <c r="U37" s="22"/>
      <c r="V37" s="21">
        <v>0.59463290075256681</v>
      </c>
      <c r="W37" s="19">
        <v>8.6211134925412711</v>
      </c>
      <c r="X37" s="16"/>
      <c r="Y37" s="20">
        <v>0.63214491887215052</v>
      </c>
      <c r="Z37" s="29"/>
    </row>
    <row r="38" spans="1:31" ht="12.9" customHeight="1" x14ac:dyDescent="0.25">
      <c r="B38" s="29"/>
      <c r="C38" s="29"/>
      <c r="D38" s="29"/>
      <c r="E38" s="29"/>
      <c r="F38" s="29"/>
      <c r="G38" s="52"/>
      <c r="H38" s="53" t="s">
        <v>39</v>
      </c>
      <c r="I38" s="29"/>
      <c r="J38" s="20">
        <v>9.7368421052631575</v>
      </c>
      <c r="K38" s="20">
        <v>14.411190353297913</v>
      </c>
      <c r="L38" s="20" t="e">
        <v>#DIV/0!</v>
      </c>
      <c r="M38" s="20">
        <v>3.2222895622895611</v>
      </c>
      <c r="N38" s="20">
        <v>3.4969310103423141</v>
      </c>
      <c r="O38" s="20" t="e">
        <v>#REF!</v>
      </c>
      <c r="P38" s="20">
        <v>4.0241209836311311</v>
      </c>
      <c r="Q38" s="20">
        <v>4.1744454226519334</v>
      </c>
      <c r="R38" s="21">
        <v>0.55390874639098109</v>
      </c>
      <c r="S38" s="20">
        <v>2.1847817192247603</v>
      </c>
      <c r="T38" s="21">
        <v>0</v>
      </c>
      <c r="U38" s="22"/>
      <c r="V38" s="21">
        <v>0.6353991270373216</v>
      </c>
      <c r="W38" s="19">
        <v>7.613034735157969</v>
      </c>
      <c r="X38" s="16"/>
      <c r="Y38" s="20">
        <v>0.55584667348343797</v>
      </c>
      <c r="Z38" s="29"/>
    </row>
    <row r="39" spans="1:31" ht="12.9" customHeight="1" x14ac:dyDescent="0.25">
      <c r="B39" s="29"/>
      <c r="C39" s="29"/>
      <c r="D39" s="29"/>
      <c r="E39" s="29"/>
      <c r="F39" s="29"/>
      <c r="G39" s="54"/>
      <c r="H39" s="55" t="s">
        <v>25</v>
      </c>
      <c r="I39" s="29"/>
      <c r="J39" s="20">
        <v>17.434452296819789</v>
      </c>
      <c r="K39" s="20">
        <v>28.933913043478249</v>
      </c>
      <c r="L39" s="20" t="e">
        <v>#DIV/0!</v>
      </c>
      <c r="M39" s="20">
        <v>8.3858442175773131</v>
      </c>
      <c r="N39" s="20">
        <v>11.761544850498337</v>
      </c>
      <c r="O39" s="20" t="e">
        <v>#REF!</v>
      </c>
      <c r="P39" s="20">
        <v>8.7148691131366451</v>
      </c>
      <c r="Q39" s="20">
        <v>10.1550827060193</v>
      </c>
      <c r="R39" s="21">
        <v>0.85499875935436398</v>
      </c>
      <c r="S39" s="20">
        <v>6.1762618664285958</v>
      </c>
      <c r="T39" s="21">
        <v>6.6225149999999998E-3</v>
      </c>
      <c r="U39" s="22"/>
      <c r="V39" s="21">
        <v>1</v>
      </c>
      <c r="W39" s="19">
        <v>34.188432886430299</v>
      </c>
      <c r="X39" s="16"/>
      <c r="Y39" s="20">
        <v>1.4312439008504221</v>
      </c>
      <c r="Z39" s="29"/>
    </row>
    <row r="40" spans="1:31" ht="12.9" customHeight="1" x14ac:dyDescent="0.25">
      <c r="B40" s="29"/>
      <c r="C40" s="29"/>
      <c r="D40" s="29"/>
      <c r="E40" s="29"/>
      <c r="F40" s="29"/>
      <c r="G40" s="52"/>
      <c r="H40" s="53" t="s">
        <v>26</v>
      </c>
      <c r="I40" s="29"/>
      <c r="J40" s="20">
        <v>3.7317857249434709</v>
      </c>
      <c r="K40" s="20">
        <v>4.0958083832335337</v>
      </c>
      <c r="L40" s="20" t="e">
        <v>#DIV/0!</v>
      </c>
      <c r="M40" s="20">
        <v>1.1572436500470371</v>
      </c>
      <c r="N40" s="20">
        <v>1.0420521446593776</v>
      </c>
      <c r="O40" s="20" t="e">
        <v>#REF!</v>
      </c>
      <c r="P40" s="20">
        <v>2.4953806584650109</v>
      </c>
      <c r="Q40" s="20">
        <v>2.6699940911354583</v>
      </c>
      <c r="R40" s="21">
        <v>0</v>
      </c>
      <c r="S40" s="20">
        <v>0.44726116840770924</v>
      </c>
      <c r="T40" s="21">
        <v>0</v>
      </c>
      <c r="U40" s="22"/>
      <c r="V40" s="21">
        <v>6.5262646444084207E-2</v>
      </c>
      <c r="W40" s="19">
        <v>2.7740464848139248</v>
      </c>
      <c r="X40" s="16"/>
      <c r="Y40" s="20">
        <v>0.34310506243191147</v>
      </c>
      <c r="Z40" s="29"/>
    </row>
    <row r="41" spans="1:31" ht="12.9" customHeight="1" x14ac:dyDescent="0.25">
      <c r="B41" s="29"/>
      <c r="C41" s="29"/>
      <c r="D41" s="29"/>
      <c r="E41" s="29"/>
      <c r="F41" s="29"/>
      <c r="G41" s="52"/>
      <c r="H41" s="53"/>
      <c r="I41" s="29"/>
      <c r="J41" s="20"/>
      <c r="K41" s="20"/>
      <c r="L41" s="20"/>
      <c r="M41" s="20"/>
      <c r="N41" s="20"/>
      <c r="O41" s="20"/>
      <c r="P41" s="20"/>
      <c r="Q41" s="20"/>
      <c r="R41" s="21"/>
      <c r="S41" s="20"/>
      <c r="T41" s="21"/>
      <c r="U41" s="22"/>
      <c r="V41" s="21"/>
      <c r="W41" s="19"/>
      <c r="X41" s="16"/>
      <c r="Y41" s="20"/>
      <c r="Z41" s="29"/>
    </row>
    <row r="42" spans="1:31" ht="12.9" customHeight="1" x14ac:dyDescent="0.25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351" t="s">
        <v>95</v>
      </c>
      <c r="V42" s="351"/>
      <c r="W42" s="351"/>
      <c r="X42" s="351"/>
      <c r="Y42" s="351"/>
      <c r="Z42" s="29"/>
      <c r="AA42" s="56"/>
    </row>
    <row r="43" spans="1:31" x14ac:dyDescent="0.25">
      <c r="A43" s="57"/>
      <c r="B43" s="49" t="s">
        <v>40</v>
      </c>
      <c r="C43" s="49"/>
      <c r="D43" s="49" t="s">
        <v>41</v>
      </c>
      <c r="E43" s="49"/>
      <c r="F43" s="49"/>
      <c r="G43" s="49" t="s">
        <v>42</v>
      </c>
      <c r="H43" s="49"/>
      <c r="J43" s="49" t="s">
        <v>43</v>
      </c>
      <c r="K43" s="49"/>
      <c r="P43" s="49" t="s">
        <v>44</v>
      </c>
      <c r="Q43" s="49"/>
      <c r="R43" s="49"/>
      <c r="S43" s="49"/>
      <c r="U43" s="349" t="s">
        <v>45</v>
      </c>
      <c r="V43" s="349"/>
      <c r="W43" s="349"/>
      <c r="X43" s="349"/>
      <c r="Y43" s="349"/>
      <c r="AA43" s="56"/>
    </row>
    <row r="44" spans="1:31" ht="5.25" customHeight="1" x14ac:dyDescent="0.25">
      <c r="A44" s="57"/>
      <c r="B44" s="8" t="s">
        <v>37</v>
      </c>
      <c r="C44" s="58"/>
      <c r="D44" s="8" t="s">
        <v>37</v>
      </c>
      <c r="E44" s="58"/>
      <c r="F44" s="58"/>
      <c r="G44" s="8" t="s">
        <v>37</v>
      </c>
      <c r="H44" s="58"/>
      <c r="J44" s="8" t="s">
        <v>37</v>
      </c>
      <c r="K44" s="58"/>
      <c r="P44" s="8" t="s">
        <v>37</v>
      </c>
      <c r="Q44" s="58"/>
      <c r="R44" s="58"/>
      <c r="S44" s="58"/>
      <c r="U44" s="8" t="s">
        <v>37</v>
      </c>
      <c r="V44" s="8" t="s">
        <v>37</v>
      </c>
      <c r="W44" s="8" t="s">
        <v>37</v>
      </c>
      <c r="X44" s="8" t="s">
        <v>37</v>
      </c>
      <c r="Y44" s="8" t="s">
        <v>37</v>
      </c>
      <c r="AA44" s="50"/>
    </row>
    <row r="45" spans="1:31" ht="13.5" customHeight="1" x14ac:dyDescent="0.25">
      <c r="A45" s="38"/>
      <c r="B45" s="2"/>
      <c r="C45" s="2"/>
      <c r="D45" s="50" t="s">
        <v>46</v>
      </c>
      <c r="E45" s="50" t="s">
        <v>47</v>
      </c>
      <c r="F45" s="50" t="s">
        <v>7</v>
      </c>
      <c r="G45" s="7" t="s">
        <v>48</v>
      </c>
      <c r="P45" s="50" t="s">
        <v>49</v>
      </c>
      <c r="Q45" s="50"/>
      <c r="R45" s="50" t="s">
        <v>50</v>
      </c>
      <c r="S45" s="50" t="s">
        <v>51</v>
      </c>
      <c r="U45" s="50" t="s">
        <v>52</v>
      </c>
      <c r="V45" s="50" t="s">
        <v>53</v>
      </c>
      <c r="W45" s="59" t="s">
        <v>54</v>
      </c>
      <c r="X45" s="50" t="s">
        <v>55</v>
      </c>
      <c r="Y45" s="50" t="s">
        <v>56</v>
      </c>
      <c r="AA45" s="31"/>
    </row>
    <row r="46" spans="1:31" s="2" customFormat="1" ht="12.9" customHeight="1" x14ac:dyDescent="0.25">
      <c r="A46" s="39" t="s">
        <v>21</v>
      </c>
      <c r="B46" s="2" t="s">
        <v>57</v>
      </c>
      <c r="C46" s="2" t="s">
        <v>58</v>
      </c>
      <c r="D46" s="39" t="s">
        <v>59</v>
      </c>
      <c r="E46" s="39" t="s">
        <v>60</v>
      </c>
      <c r="F46" s="39" t="s">
        <v>61</v>
      </c>
      <c r="G46" s="2" t="s">
        <v>62</v>
      </c>
      <c r="H46" s="2" t="s">
        <v>7</v>
      </c>
      <c r="I46" s="1"/>
      <c r="J46" s="39" t="s">
        <v>63</v>
      </c>
      <c r="K46" s="39" t="s">
        <v>64</v>
      </c>
      <c r="L46" s="1"/>
      <c r="M46" s="1"/>
      <c r="N46" s="1"/>
      <c r="O46" s="1"/>
      <c r="P46" s="39" t="s">
        <v>65</v>
      </c>
      <c r="Q46" s="39" t="s">
        <v>66</v>
      </c>
      <c r="R46" s="51" t="s">
        <v>67</v>
      </c>
      <c r="S46" s="39" t="s">
        <v>68</v>
      </c>
      <c r="T46" s="1"/>
      <c r="U46" s="39" t="s">
        <v>69</v>
      </c>
      <c r="V46" s="51" t="s">
        <v>70</v>
      </c>
      <c r="W46" s="39" t="s">
        <v>71</v>
      </c>
      <c r="X46" s="51" t="s">
        <v>72</v>
      </c>
      <c r="Y46" s="39" t="s">
        <v>73</v>
      </c>
      <c r="Z46" s="1"/>
      <c r="AA46" s="30"/>
    </row>
    <row r="47" spans="1:31" s="2" customFormat="1" ht="5.25" customHeight="1" x14ac:dyDescent="0.25">
      <c r="A47" s="8" t="s">
        <v>37</v>
      </c>
      <c r="B47" s="8" t="s">
        <v>37</v>
      </c>
      <c r="C47" s="8" t="s">
        <v>37</v>
      </c>
      <c r="D47" s="8" t="s">
        <v>37</v>
      </c>
      <c r="E47" s="8" t="s">
        <v>37</v>
      </c>
      <c r="F47" s="8" t="s">
        <v>37</v>
      </c>
      <c r="G47" s="8" t="s">
        <v>37</v>
      </c>
      <c r="H47" s="8" t="s">
        <v>37</v>
      </c>
      <c r="I47" s="1"/>
      <c r="J47" s="8" t="s">
        <v>37</v>
      </c>
      <c r="K47" s="8" t="s">
        <v>37</v>
      </c>
      <c r="L47" s="1"/>
      <c r="M47" s="1"/>
      <c r="N47" s="1"/>
      <c r="O47" s="1"/>
      <c r="P47" s="8" t="s">
        <v>37</v>
      </c>
      <c r="Q47" s="8" t="s">
        <v>37</v>
      </c>
      <c r="R47" s="8" t="s">
        <v>37</v>
      </c>
      <c r="S47" s="8" t="s">
        <v>37</v>
      </c>
      <c r="T47" s="1"/>
      <c r="U47" s="8" t="s">
        <v>37</v>
      </c>
      <c r="V47" s="8" t="s">
        <v>37</v>
      </c>
      <c r="W47" s="8" t="s">
        <v>37</v>
      </c>
      <c r="X47" s="8" t="s">
        <v>37</v>
      </c>
      <c r="Y47" s="8" t="s">
        <v>37</v>
      </c>
      <c r="Z47" s="1"/>
      <c r="AA47" s="34"/>
    </row>
    <row r="48" spans="1:31" s="2" customFormat="1" ht="12.9" customHeight="1" x14ac:dyDescent="0.25">
      <c r="A48" s="1" t="s">
        <v>626</v>
      </c>
      <c r="B48" s="1" t="s">
        <v>619</v>
      </c>
      <c r="C48" s="27" t="s">
        <v>620</v>
      </c>
      <c r="D48" s="27" t="s">
        <v>274</v>
      </c>
      <c r="E48" s="27" t="s">
        <v>670</v>
      </c>
      <c r="F48" s="10">
        <v>37008</v>
      </c>
      <c r="G48" s="2" t="s">
        <v>671</v>
      </c>
      <c r="H48" s="10">
        <v>37032</v>
      </c>
      <c r="J48" s="14">
        <v>6.424242424242417E-2</v>
      </c>
      <c r="K48" s="14">
        <v>-0.29407035175879404</v>
      </c>
      <c r="P48" s="14">
        <v>1.6448990120074454</v>
      </c>
      <c r="Q48" s="13">
        <v>11.281147579179544</v>
      </c>
      <c r="R48" s="11">
        <v>0</v>
      </c>
      <c r="S48" s="27" t="s">
        <v>672</v>
      </c>
      <c r="U48" s="15">
        <v>0</v>
      </c>
      <c r="V48" s="15">
        <v>0</v>
      </c>
      <c r="W48" s="17">
        <v>0</v>
      </c>
      <c r="X48" s="15">
        <v>0</v>
      </c>
      <c r="Y48" s="15">
        <v>0</v>
      </c>
      <c r="AA48" s="34"/>
    </row>
    <row r="49" spans="1:27" s="2" customFormat="1" ht="12.9" customHeight="1" x14ac:dyDescent="0.25">
      <c r="A49" s="1" t="s">
        <v>628</v>
      </c>
      <c r="B49" s="1" t="s">
        <v>619</v>
      </c>
      <c r="C49" s="27" t="s">
        <v>620</v>
      </c>
      <c r="D49" s="27" t="s">
        <v>274</v>
      </c>
      <c r="E49" s="27" t="s">
        <v>273</v>
      </c>
      <c r="F49" s="10">
        <v>37081</v>
      </c>
      <c r="G49" s="2" t="s">
        <v>673</v>
      </c>
      <c r="H49" s="10">
        <v>37032</v>
      </c>
      <c r="J49" s="14">
        <v>0.40255319148936164</v>
      </c>
      <c r="K49" s="14">
        <v>-0.20737474949899803</v>
      </c>
      <c r="N49" s="32"/>
      <c r="P49" s="14">
        <v>1.9418865197175794</v>
      </c>
      <c r="Q49" s="13">
        <v>13.705644592752741</v>
      </c>
      <c r="R49" s="11">
        <v>0</v>
      </c>
      <c r="S49" s="27" t="s">
        <v>672</v>
      </c>
      <c r="T49" s="33"/>
      <c r="U49" s="15">
        <v>0</v>
      </c>
      <c r="V49" s="15">
        <v>0</v>
      </c>
      <c r="W49" s="17">
        <v>0</v>
      </c>
      <c r="X49" s="15">
        <v>0</v>
      </c>
      <c r="Y49" s="15">
        <v>0</v>
      </c>
      <c r="Z49" s="60"/>
      <c r="AA49" s="34"/>
    </row>
    <row r="50" spans="1:27" s="2" customFormat="1" ht="12.9" customHeight="1" x14ac:dyDescent="0.25">
      <c r="A50" s="1" t="s">
        <v>630</v>
      </c>
      <c r="B50" s="1" t="s">
        <v>96</v>
      </c>
      <c r="C50" s="27" t="s">
        <v>621</v>
      </c>
      <c r="D50" s="27" t="s">
        <v>674</v>
      </c>
      <c r="E50" s="27" t="s">
        <v>144</v>
      </c>
      <c r="F50" s="10">
        <v>37005</v>
      </c>
      <c r="G50" s="2" t="s">
        <v>675</v>
      </c>
      <c r="H50" s="10">
        <v>37036</v>
      </c>
      <c r="J50" s="14">
        <v>-0.4049586776859504</v>
      </c>
      <c r="K50" s="14">
        <v>-0.4606741573033708</v>
      </c>
      <c r="N50" s="32"/>
      <c r="P50" s="14">
        <v>6.2252240021721423</v>
      </c>
      <c r="Q50" s="13">
        <v>25.385455104551045</v>
      </c>
      <c r="R50" s="11">
        <v>4.8908297895540285</v>
      </c>
      <c r="S50" s="27" t="s">
        <v>676</v>
      </c>
      <c r="T50" s="33"/>
      <c r="U50" s="15">
        <v>0</v>
      </c>
      <c r="V50" s="15">
        <v>0</v>
      </c>
      <c r="W50" s="17">
        <v>0</v>
      </c>
      <c r="X50" s="15">
        <v>0</v>
      </c>
      <c r="Y50" s="15">
        <v>0</v>
      </c>
      <c r="Z50" s="60"/>
      <c r="AA50" s="34"/>
    </row>
    <row r="51" spans="1:27" s="2" customFormat="1" ht="12.9" customHeight="1" x14ac:dyDescent="0.25">
      <c r="A51" s="1" t="s">
        <v>632</v>
      </c>
      <c r="B51" s="1" t="s">
        <v>96</v>
      </c>
      <c r="C51" s="27" t="s">
        <v>621</v>
      </c>
      <c r="D51" s="27" t="s">
        <v>677</v>
      </c>
      <c r="E51" s="27" t="s">
        <v>148</v>
      </c>
      <c r="F51" s="10">
        <v>37033</v>
      </c>
      <c r="G51" s="2" t="s">
        <v>198</v>
      </c>
      <c r="H51" s="10">
        <v>37036</v>
      </c>
      <c r="J51" s="14">
        <v>0.678840579710145</v>
      </c>
      <c r="K51" s="14">
        <v>4.8325791855203651E-2</v>
      </c>
      <c r="N51" s="32"/>
      <c r="P51" s="14">
        <v>1.8951661539734981</v>
      </c>
      <c r="Q51" s="13">
        <v>8.756108015430776</v>
      </c>
      <c r="R51" s="11">
        <v>0</v>
      </c>
      <c r="S51" s="27" t="s">
        <v>171</v>
      </c>
      <c r="T51" s="33"/>
      <c r="U51" s="15">
        <v>0</v>
      </c>
      <c r="V51" s="15">
        <v>0</v>
      </c>
      <c r="W51" s="17">
        <v>0</v>
      </c>
      <c r="X51" s="15">
        <v>0</v>
      </c>
      <c r="Y51" s="15">
        <v>0</v>
      </c>
      <c r="Z51" s="60"/>
      <c r="AA51" s="34"/>
    </row>
    <row r="52" spans="1:27" s="2" customFormat="1" ht="12.9" customHeight="1" x14ac:dyDescent="0.25">
      <c r="A52" s="1" t="s">
        <v>634</v>
      </c>
      <c r="B52" s="1" t="s">
        <v>622</v>
      </c>
      <c r="C52" s="27" t="s">
        <v>623</v>
      </c>
      <c r="D52" s="27" t="s">
        <v>678</v>
      </c>
      <c r="E52" s="27" t="s">
        <v>148</v>
      </c>
      <c r="F52" s="10">
        <v>37028</v>
      </c>
      <c r="G52" s="2" t="s">
        <v>679</v>
      </c>
      <c r="H52" s="10">
        <v>37036</v>
      </c>
      <c r="J52" s="14">
        <v>-9.0793650793650774E-2</v>
      </c>
      <c r="K52" s="14">
        <v>-0.51457627118644067</v>
      </c>
      <c r="N52" s="32"/>
      <c r="P52" s="14">
        <v>1.3200841870161604</v>
      </c>
      <c r="Q52" s="13">
        <v>10.640225206174668</v>
      </c>
      <c r="R52" s="11">
        <v>0</v>
      </c>
      <c r="S52" s="27" t="s">
        <v>156</v>
      </c>
      <c r="T52" s="33"/>
      <c r="U52" s="15">
        <v>0</v>
      </c>
      <c r="V52" s="15">
        <v>0</v>
      </c>
      <c r="W52" s="17">
        <v>0</v>
      </c>
      <c r="X52" s="15">
        <v>0</v>
      </c>
      <c r="Y52" s="15">
        <v>0</v>
      </c>
      <c r="Z52" s="60"/>
      <c r="AA52" s="34"/>
    </row>
    <row r="53" spans="1:27" s="2" customFormat="1" ht="12.9" customHeight="1" x14ac:dyDescent="0.25">
      <c r="A53" s="1" t="s">
        <v>636</v>
      </c>
      <c r="B53" s="1" t="s">
        <v>622</v>
      </c>
      <c r="C53" s="27" t="s">
        <v>623</v>
      </c>
      <c r="D53" s="27" t="s">
        <v>263</v>
      </c>
      <c r="E53" s="27" t="s">
        <v>680</v>
      </c>
      <c r="F53" s="10">
        <v>37106</v>
      </c>
      <c r="G53" s="2" t="s">
        <v>679</v>
      </c>
      <c r="H53" s="10">
        <v>37036</v>
      </c>
      <c r="J53" s="14">
        <v>0.62434782608695649</v>
      </c>
      <c r="K53" s="14">
        <v>-0.15090909090909091</v>
      </c>
      <c r="N53" s="32"/>
      <c r="P53" s="14">
        <v>2.69915734896701</v>
      </c>
      <c r="Q53" s="13">
        <v>12.870537524272883</v>
      </c>
      <c r="R53" s="11">
        <v>0</v>
      </c>
      <c r="S53" s="27" t="s">
        <v>681</v>
      </c>
      <c r="T53" s="33"/>
      <c r="U53" s="15">
        <v>0</v>
      </c>
      <c r="V53" s="15">
        <v>0</v>
      </c>
      <c r="W53" s="17">
        <v>0</v>
      </c>
      <c r="X53" s="15">
        <v>0</v>
      </c>
      <c r="Y53" s="15">
        <v>0</v>
      </c>
      <c r="Z53" s="60"/>
      <c r="AA53" s="34"/>
    </row>
    <row r="54" spans="1:27" s="2" customFormat="1" ht="12.9" customHeight="1" x14ac:dyDescent="0.25">
      <c r="A54" s="1" t="s">
        <v>638</v>
      </c>
      <c r="B54" s="1" t="s">
        <v>96</v>
      </c>
      <c r="C54" s="27" t="s">
        <v>621</v>
      </c>
      <c r="D54" s="27" t="s">
        <v>682</v>
      </c>
      <c r="E54" s="27" t="s">
        <v>199</v>
      </c>
      <c r="F54" s="10">
        <v>37098</v>
      </c>
      <c r="G54" s="2" t="s">
        <v>198</v>
      </c>
      <c r="H54" s="10">
        <v>37036</v>
      </c>
      <c r="J54" s="14">
        <v>-0.39487179487179486</v>
      </c>
      <c r="K54" s="14">
        <v>-0.39487179487179486</v>
      </c>
      <c r="N54" s="32"/>
      <c r="P54" s="14">
        <v>4.4466087044410676</v>
      </c>
      <c r="Q54" s="13">
        <v>7.4195662154454034</v>
      </c>
      <c r="R54" s="11">
        <v>3.6653852721155933</v>
      </c>
      <c r="S54" s="27" t="s">
        <v>676</v>
      </c>
      <c r="T54" s="33"/>
      <c r="U54" s="15">
        <v>0</v>
      </c>
      <c r="V54" s="15">
        <v>0</v>
      </c>
      <c r="W54" s="17">
        <v>0</v>
      </c>
      <c r="X54" s="15">
        <v>0</v>
      </c>
      <c r="Y54" s="15">
        <v>0</v>
      </c>
      <c r="Z54" s="60"/>
      <c r="AA54" s="34"/>
    </row>
    <row r="55" spans="1:27" s="2" customFormat="1" ht="12.9" customHeight="1" x14ac:dyDescent="0.25">
      <c r="A55" s="1" t="s">
        <v>639</v>
      </c>
      <c r="B55" s="1" t="s">
        <v>619</v>
      </c>
      <c r="C55" s="27" t="s">
        <v>620</v>
      </c>
      <c r="D55" s="27" t="s">
        <v>97</v>
      </c>
      <c r="E55" s="27" t="s">
        <v>144</v>
      </c>
      <c r="F55" s="10">
        <v>37053</v>
      </c>
      <c r="G55" s="2" t="s">
        <v>673</v>
      </c>
      <c r="H55" s="10">
        <v>37032</v>
      </c>
      <c r="J55" s="14" t="e">
        <v>#N/A</v>
      </c>
      <c r="K55" s="14">
        <v>-0.12835820895522379</v>
      </c>
      <c r="N55" s="32"/>
      <c r="P55" s="14">
        <v>16.443445019061894</v>
      </c>
      <c r="Q55" s="13">
        <v>9.5166104103748435</v>
      </c>
      <c r="R55" s="11">
        <v>0</v>
      </c>
      <c r="S55" s="27" t="s">
        <v>683</v>
      </c>
      <c r="T55" s="33"/>
      <c r="U55" s="15">
        <v>0</v>
      </c>
      <c r="V55" s="15">
        <v>0</v>
      </c>
      <c r="W55" s="17">
        <v>0</v>
      </c>
      <c r="X55" s="15">
        <v>0</v>
      </c>
      <c r="Y55" s="15">
        <v>0</v>
      </c>
      <c r="Z55" s="60"/>
      <c r="AA55" s="34"/>
    </row>
    <row r="56" spans="1:27" s="2" customFormat="1" ht="12.9" customHeight="1" x14ac:dyDescent="0.25">
      <c r="A56" s="1" t="s">
        <v>641</v>
      </c>
      <c r="B56" s="1" t="s">
        <v>622</v>
      </c>
      <c r="C56" s="27" t="s">
        <v>623</v>
      </c>
      <c r="D56" s="27" t="s">
        <v>263</v>
      </c>
      <c r="E56" s="27" t="s">
        <v>199</v>
      </c>
      <c r="F56" s="10">
        <v>37106</v>
      </c>
      <c r="G56" s="2" t="s">
        <v>166</v>
      </c>
      <c r="H56" s="10">
        <v>37036</v>
      </c>
      <c r="J56" s="14">
        <v>0.2853097345132744</v>
      </c>
      <c r="K56" s="14">
        <v>-5.9935275080906091E-2</v>
      </c>
      <c r="N56" s="32"/>
      <c r="P56" s="14">
        <v>16.156260968209455</v>
      </c>
      <c r="Q56" s="13">
        <v>44.799241842118747</v>
      </c>
      <c r="R56" s="11">
        <v>0</v>
      </c>
      <c r="S56" s="27" t="s">
        <v>156</v>
      </c>
      <c r="T56" s="33"/>
      <c r="U56" s="15">
        <v>0</v>
      </c>
      <c r="V56" s="15">
        <v>0</v>
      </c>
      <c r="W56" s="17">
        <v>0</v>
      </c>
      <c r="X56" s="15">
        <v>0</v>
      </c>
      <c r="Y56" s="15">
        <v>0</v>
      </c>
      <c r="Z56" s="60"/>
      <c r="AA56" s="34"/>
    </row>
    <row r="57" spans="1:27" s="2" customFormat="1" ht="12.9" customHeight="1" x14ac:dyDescent="0.25">
      <c r="A57" s="1" t="s">
        <v>643</v>
      </c>
      <c r="B57" s="1" t="s">
        <v>96</v>
      </c>
      <c r="C57" s="27" t="s">
        <v>621</v>
      </c>
      <c r="D57" s="27" t="s">
        <v>147</v>
      </c>
      <c r="E57" s="27" t="s">
        <v>230</v>
      </c>
      <c r="F57" s="10" t="s">
        <v>230</v>
      </c>
      <c r="G57" s="2" t="s">
        <v>684</v>
      </c>
      <c r="H57" s="10">
        <v>37036</v>
      </c>
      <c r="J57" s="14">
        <v>0.678840579710145</v>
      </c>
      <c r="K57" s="14">
        <v>4.8325791855203651E-2</v>
      </c>
      <c r="N57" s="32"/>
      <c r="P57" s="14">
        <v>2.1302832657984387</v>
      </c>
      <c r="Q57" s="13">
        <v>7.0444140629899534</v>
      </c>
      <c r="R57" s="11">
        <v>8.5783538131724715</v>
      </c>
      <c r="S57" s="27" t="s">
        <v>685</v>
      </c>
      <c r="T57" s="33"/>
      <c r="U57" s="15">
        <v>0</v>
      </c>
      <c r="V57" s="15">
        <v>0</v>
      </c>
      <c r="W57" s="17">
        <v>0</v>
      </c>
      <c r="X57" s="15">
        <v>0</v>
      </c>
      <c r="Y57" s="15">
        <v>0</v>
      </c>
      <c r="Z57" s="60"/>
      <c r="AA57" s="34"/>
    </row>
    <row r="58" spans="1:27" s="2" customFormat="1" ht="12.9" customHeight="1" x14ac:dyDescent="0.25">
      <c r="A58" s="1" t="s">
        <v>645</v>
      </c>
      <c r="B58" s="1" t="s">
        <v>622</v>
      </c>
      <c r="C58" s="27" t="s">
        <v>623</v>
      </c>
      <c r="D58" s="27" t="s">
        <v>356</v>
      </c>
      <c r="E58" s="27" t="s">
        <v>199</v>
      </c>
      <c r="F58" s="10">
        <v>37026</v>
      </c>
      <c r="G58" s="2" t="s">
        <v>686</v>
      </c>
      <c r="H58" s="10">
        <v>37036</v>
      </c>
      <c r="J58" s="14">
        <v>1.1924137931034482</v>
      </c>
      <c r="K58" s="14">
        <v>0.50041297935103246</v>
      </c>
      <c r="N58" s="32"/>
      <c r="P58" s="14">
        <v>1.5494677100337226</v>
      </c>
      <c r="Q58" s="13">
        <v>15.590230223965918</v>
      </c>
      <c r="R58" s="11">
        <v>0</v>
      </c>
      <c r="S58" s="27" t="s">
        <v>687</v>
      </c>
      <c r="T58" s="33"/>
      <c r="U58" s="15">
        <v>0</v>
      </c>
      <c r="V58" s="15">
        <v>0</v>
      </c>
      <c r="W58" s="17">
        <v>0</v>
      </c>
      <c r="X58" s="15">
        <v>0</v>
      </c>
      <c r="Y58" s="15">
        <v>0</v>
      </c>
      <c r="Z58" s="60"/>
      <c r="AA58" s="34"/>
    </row>
    <row r="59" spans="1:27" s="2" customFormat="1" ht="12.9" customHeight="1" x14ac:dyDescent="0.25">
      <c r="A59" s="1" t="s">
        <v>646</v>
      </c>
      <c r="B59" s="1" t="s">
        <v>619</v>
      </c>
      <c r="C59" s="27" t="s">
        <v>620</v>
      </c>
      <c r="D59" s="27" t="s">
        <v>274</v>
      </c>
      <c r="E59" s="27" t="s">
        <v>148</v>
      </c>
      <c r="F59" s="10">
        <v>37088</v>
      </c>
      <c r="G59" s="2" t="s">
        <v>673</v>
      </c>
      <c r="H59" s="10">
        <v>37032</v>
      </c>
      <c r="J59" s="14">
        <v>-9.0793650793650774E-2</v>
      </c>
      <c r="K59" s="14">
        <v>-0.51457627118644067</v>
      </c>
      <c r="N59" s="32"/>
      <c r="P59" s="14">
        <v>2.0306151327818149</v>
      </c>
      <c r="Q59" s="13">
        <v>5.0562662325076548</v>
      </c>
      <c r="R59" s="11">
        <v>0</v>
      </c>
      <c r="S59" s="27" t="s">
        <v>688</v>
      </c>
      <c r="T59" s="33"/>
      <c r="U59" s="15">
        <v>0</v>
      </c>
      <c r="V59" s="15">
        <v>0</v>
      </c>
      <c r="W59" s="17">
        <v>0</v>
      </c>
      <c r="X59" s="15">
        <v>0</v>
      </c>
      <c r="Y59" s="15">
        <v>0</v>
      </c>
      <c r="Z59" s="60"/>
    </row>
    <row r="60" spans="1:27" s="2" customFormat="1" ht="12.9" customHeight="1" x14ac:dyDescent="0.25">
      <c r="A60" s="1" t="s">
        <v>648</v>
      </c>
      <c r="B60" s="1" t="s">
        <v>624</v>
      </c>
      <c r="C60" s="27" t="s">
        <v>625</v>
      </c>
      <c r="D60" s="27" t="s">
        <v>689</v>
      </c>
      <c r="E60" s="27" t="s">
        <v>144</v>
      </c>
      <c r="F60" s="10">
        <v>37007</v>
      </c>
      <c r="G60" s="2" t="s">
        <v>675</v>
      </c>
      <c r="H60" s="10">
        <v>37043</v>
      </c>
      <c r="J60" s="14">
        <v>0.42574257425742573</v>
      </c>
      <c r="K60" s="14">
        <v>-0.17241379310344829</v>
      </c>
      <c r="N60" s="32"/>
      <c r="P60" s="14">
        <v>1.3831372360716603</v>
      </c>
      <c r="Q60" s="13">
        <v>13.411261738590275</v>
      </c>
      <c r="R60" s="11">
        <v>7.5888200085506616</v>
      </c>
      <c r="S60" s="27" t="s">
        <v>171</v>
      </c>
      <c r="T60" s="33"/>
      <c r="U60" s="15">
        <v>0</v>
      </c>
      <c r="V60" s="15">
        <v>0</v>
      </c>
      <c r="W60" s="17">
        <v>0</v>
      </c>
      <c r="X60" s="15">
        <v>0</v>
      </c>
      <c r="Y60" s="15">
        <v>0</v>
      </c>
      <c r="Z60" s="60"/>
    </row>
    <row r="61" spans="1:27" s="2" customFormat="1" ht="12.9" customHeight="1" x14ac:dyDescent="0.25">
      <c r="A61" s="1" t="s">
        <v>650</v>
      </c>
      <c r="B61" s="1" t="s">
        <v>624</v>
      </c>
      <c r="C61" s="27" t="s">
        <v>625</v>
      </c>
      <c r="D61" s="27" t="s">
        <v>147</v>
      </c>
      <c r="E61" s="27" t="s">
        <v>273</v>
      </c>
      <c r="F61" s="10">
        <v>37025</v>
      </c>
      <c r="G61" s="2" t="s">
        <v>355</v>
      </c>
      <c r="H61" s="10">
        <v>37043</v>
      </c>
      <c r="J61" s="14">
        <v>7.6589147286821674E-2</v>
      </c>
      <c r="K61" s="14">
        <v>2.7436823104692813E-3</v>
      </c>
      <c r="N61" s="32"/>
      <c r="P61" s="14">
        <v>0.33658159461042109</v>
      </c>
      <c r="Q61" s="13">
        <v>12.396539780836093</v>
      </c>
      <c r="R61" s="11">
        <v>4.4742668863261956</v>
      </c>
      <c r="S61" s="27" t="s">
        <v>152</v>
      </c>
      <c r="T61" s="33"/>
      <c r="U61" s="15">
        <v>0</v>
      </c>
      <c r="V61" s="15">
        <v>0</v>
      </c>
      <c r="W61" s="17">
        <v>0</v>
      </c>
      <c r="X61" s="15">
        <v>0</v>
      </c>
      <c r="Y61" s="15">
        <v>0</v>
      </c>
    </row>
    <row r="62" spans="1:27" s="2" customFormat="1" ht="12.9" customHeight="1" x14ac:dyDescent="0.25">
      <c r="A62" s="1" t="s">
        <v>652</v>
      </c>
      <c r="B62" s="1" t="s">
        <v>624</v>
      </c>
      <c r="C62" s="27" t="s">
        <v>625</v>
      </c>
      <c r="D62" s="27" t="s">
        <v>356</v>
      </c>
      <c r="E62" s="27" t="s">
        <v>199</v>
      </c>
      <c r="F62" s="10">
        <v>37026</v>
      </c>
      <c r="G62" s="2" t="s">
        <v>198</v>
      </c>
      <c r="H62" s="10">
        <v>37043</v>
      </c>
      <c r="J62" s="14">
        <v>0.36640000000000006</v>
      </c>
      <c r="K62" s="14">
        <v>6.7500000000000004E-2</v>
      </c>
      <c r="N62" s="32"/>
      <c r="P62" s="14">
        <v>4.5264851543170348</v>
      </c>
      <c r="Q62" s="13">
        <v>18.482271131205103</v>
      </c>
      <c r="R62" s="11">
        <v>1.4491873134407074</v>
      </c>
      <c r="S62" s="27" t="s">
        <v>156</v>
      </c>
      <c r="T62" s="33"/>
      <c r="U62" s="15">
        <v>0</v>
      </c>
      <c r="V62" s="15">
        <v>0</v>
      </c>
      <c r="W62" s="17">
        <v>0</v>
      </c>
      <c r="X62" s="15">
        <v>0</v>
      </c>
      <c r="Y62" s="15">
        <v>0</v>
      </c>
    </row>
    <row r="63" spans="1:27" s="2" customFormat="1" ht="12.9" customHeight="1" x14ac:dyDescent="0.25">
      <c r="A63" s="1" t="s">
        <v>654</v>
      </c>
      <c r="B63" s="1" t="s">
        <v>624</v>
      </c>
      <c r="C63" s="27" t="s">
        <v>625</v>
      </c>
      <c r="D63" s="27" t="s">
        <v>274</v>
      </c>
      <c r="E63" s="27" t="s">
        <v>148</v>
      </c>
      <c r="F63" s="10">
        <v>37021</v>
      </c>
      <c r="G63" s="2" t="s">
        <v>690</v>
      </c>
      <c r="H63" s="10">
        <v>37043</v>
      </c>
      <c r="J63" s="14">
        <v>0.58167938931297725</v>
      </c>
      <c r="K63" s="14">
        <v>0.22603550295857999</v>
      </c>
      <c r="P63" s="14">
        <v>3.9390270380306904</v>
      </c>
      <c r="Q63" s="13">
        <v>26.94008124576845</v>
      </c>
      <c r="R63" s="11">
        <v>2.4740900868248255</v>
      </c>
      <c r="S63" s="27" t="s">
        <v>691</v>
      </c>
      <c r="T63" s="33"/>
      <c r="U63" s="15">
        <v>0</v>
      </c>
      <c r="V63" s="15">
        <v>0</v>
      </c>
      <c r="W63" s="17">
        <v>0</v>
      </c>
      <c r="X63" s="15">
        <v>0</v>
      </c>
      <c r="Y63" s="15">
        <v>0</v>
      </c>
    </row>
    <row r="64" spans="1:27" s="2" customFormat="1" ht="12.9" customHeight="1" x14ac:dyDescent="0.25">
      <c r="A64" s="1" t="s">
        <v>656</v>
      </c>
      <c r="B64" s="1" t="s">
        <v>624</v>
      </c>
      <c r="C64" s="27" t="s">
        <v>625</v>
      </c>
      <c r="D64" s="27" t="s">
        <v>692</v>
      </c>
      <c r="E64" s="27" t="s">
        <v>156</v>
      </c>
      <c r="F64" s="10">
        <v>37043</v>
      </c>
      <c r="G64" s="2" t="s">
        <v>198</v>
      </c>
      <c r="H64" s="10">
        <v>36866</v>
      </c>
      <c r="J64" s="14">
        <v>-0.14269340974212039</v>
      </c>
      <c r="K64" s="14">
        <v>-9.8795180722891604E-2</v>
      </c>
      <c r="P64" s="14">
        <v>15.684000272248824</v>
      </c>
      <c r="Q64" s="13">
        <v>14.870714158820395</v>
      </c>
      <c r="R64" s="11">
        <v>3.0190085518724015</v>
      </c>
      <c r="S64" s="27" t="s">
        <v>156</v>
      </c>
      <c r="T64" s="33"/>
      <c r="U64" s="15">
        <v>0</v>
      </c>
      <c r="V64" s="15">
        <v>0</v>
      </c>
      <c r="W64" s="17">
        <v>0</v>
      </c>
      <c r="X64" s="15">
        <v>0</v>
      </c>
      <c r="Y64" s="15">
        <v>0</v>
      </c>
    </row>
    <row r="65" spans="1:26" s="2" customFormat="1" ht="12.9" customHeight="1" x14ac:dyDescent="0.25">
      <c r="A65" s="1" t="s">
        <v>658</v>
      </c>
      <c r="B65" s="1" t="s">
        <v>624</v>
      </c>
      <c r="C65" s="27" t="s">
        <v>625</v>
      </c>
      <c r="D65" s="27" t="s">
        <v>274</v>
      </c>
      <c r="E65" s="27" t="s">
        <v>148</v>
      </c>
      <c r="F65" s="10">
        <v>37022</v>
      </c>
      <c r="G65" s="2" t="s">
        <v>160</v>
      </c>
      <c r="H65" s="10">
        <v>37043</v>
      </c>
      <c r="J65" s="14">
        <v>0.19062499999999999</v>
      </c>
      <c r="K65" s="14">
        <v>0</v>
      </c>
      <c r="P65" s="14">
        <v>4.5835282677028006</v>
      </c>
      <c r="Q65" s="13">
        <v>17.741517562664907</v>
      </c>
      <c r="R65" s="11">
        <v>2.7208790873480533</v>
      </c>
      <c r="S65" s="27" t="s">
        <v>156</v>
      </c>
      <c r="T65" s="33"/>
      <c r="U65" s="15">
        <v>0</v>
      </c>
      <c r="V65" s="15">
        <v>0</v>
      </c>
      <c r="W65" s="17">
        <v>0</v>
      </c>
      <c r="X65" s="15">
        <v>0</v>
      </c>
      <c r="Y65" s="15">
        <v>0</v>
      </c>
    </row>
    <row r="66" spans="1:26" s="2" customFormat="1" ht="12.9" customHeight="1" x14ac:dyDescent="0.25">
      <c r="A66" s="1" t="s">
        <v>660</v>
      </c>
      <c r="B66" s="1" t="s">
        <v>622</v>
      </c>
      <c r="C66" s="27" t="s">
        <v>623</v>
      </c>
      <c r="D66" s="27" t="s">
        <v>356</v>
      </c>
      <c r="E66" s="27" t="s">
        <v>144</v>
      </c>
      <c r="F66" s="10">
        <v>37021</v>
      </c>
      <c r="G66" s="2" t="s">
        <v>679</v>
      </c>
      <c r="H66" s="10">
        <v>37036</v>
      </c>
      <c r="J66" s="14">
        <v>0.63137254901960793</v>
      </c>
      <c r="K66" s="14">
        <v>0</v>
      </c>
      <c r="P66" s="14">
        <v>0.13985657877771293</v>
      </c>
      <c r="Q66" s="13">
        <v>10.529507279845562</v>
      </c>
      <c r="R66" s="11">
        <v>26.14207199541563</v>
      </c>
      <c r="S66" s="27" t="s">
        <v>693</v>
      </c>
      <c r="T66" s="33"/>
      <c r="U66" s="15">
        <v>0</v>
      </c>
      <c r="V66" s="15">
        <v>0</v>
      </c>
      <c r="W66" s="17">
        <v>0</v>
      </c>
      <c r="X66" s="15">
        <v>0</v>
      </c>
      <c r="Y66" s="15">
        <v>0</v>
      </c>
    </row>
    <row r="67" spans="1:26" s="2" customFormat="1" ht="12.9" customHeight="1" x14ac:dyDescent="0.25">
      <c r="A67" s="1" t="s">
        <v>662</v>
      </c>
      <c r="B67" s="1" t="s">
        <v>96</v>
      </c>
      <c r="C67" s="27" t="s">
        <v>621</v>
      </c>
      <c r="D67" s="27" t="s">
        <v>694</v>
      </c>
      <c r="E67" s="27" t="s">
        <v>144</v>
      </c>
      <c r="F67" s="10">
        <v>37056</v>
      </c>
      <c r="G67" s="2" t="s">
        <v>198</v>
      </c>
      <c r="H67" s="10">
        <v>0</v>
      </c>
      <c r="J67" s="14">
        <v>0.54178313253012056</v>
      </c>
      <c r="K67" s="14">
        <v>0</v>
      </c>
      <c r="P67" s="14">
        <v>21.567704955085986</v>
      </c>
      <c r="Q67" s="13">
        <v>6.0287464812054994</v>
      </c>
      <c r="R67" s="11">
        <v>10.139496904060884</v>
      </c>
      <c r="S67" s="27" t="s">
        <v>171</v>
      </c>
      <c r="T67" s="33"/>
      <c r="U67" s="15">
        <v>0</v>
      </c>
      <c r="V67" s="15">
        <v>0</v>
      </c>
      <c r="W67" s="17">
        <v>0</v>
      </c>
      <c r="X67" s="15">
        <v>0</v>
      </c>
      <c r="Y67" s="15">
        <v>0</v>
      </c>
    </row>
    <row r="68" spans="1:26" s="2" customFormat="1" ht="12.9" customHeight="1" x14ac:dyDescent="0.25">
      <c r="A68" s="1" t="s">
        <v>664</v>
      </c>
      <c r="B68" s="1" t="s">
        <v>622</v>
      </c>
      <c r="C68" s="27" t="s">
        <v>623</v>
      </c>
      <c r="D68" s="27" t="s">
        <v>263</v>
      </c>
      <c r="E68" s="27" t="s">
        <v>695</v>
      </c>
      <c r="F68" s="10">
        <v>37081</v>
      </c>
      <c r="G68" s="2" t="s">
        <v>166</v>
      </c>
      <c r="H68" s="10">
        <v>37036</v>
      </c>
      <c r="J68" s="14">
        <v>0.28539325842696622</v>
      </c>
      <c r="K68" s="14">
        <v>0</v>
      </c>
      <c r="P68" s="14">
        <v>1.8442859519222938</v>
      </c>
      <c r="Q68" s="13">
        <v>6.6688474229150092</v>
      </c>
      <c r="R68" s="11">
        <v>0</v>
      </c>
      <c r="S68" s="27" t="s">
        <v>152</v>
      </c>
      <c r="T68" s="33"/>
      <c r="U68" s="15">
        <v>0</v>
      </c>
      <c r="V68" s="15">
        <v>0</v>
      </c>
      <c r="W68" s="17">
        <v>0</v>
      </c>
      <c r="X68" s="15">
        <v>0</v>
      </c>
      <c r="Y68" s="15">
        <v>0</v>
      </c>
    </row>
    <row r="69" spans="1:26" s="2" customFormat="1" ht="12.9" customHeight="1" x14ac:dyDescent="0.25">
      <c r="A69" s="1" t="s">
        <v>666</v>
      </c>
      <c r="B69" s="1" t="s">
        <v>619</v>
      </c>
      <c r="C69" s="27" t="s">
        <v>620</v>
      </c>
      <c r="D69" s="27" t="s">
        <v>97</v>
      </c>
      <c r="E69" s="27">
        <v>0</v>
      </c>
      <c r="F69" s="10">
        <v>37095</v>
      </c>
      <c r="G69" s="2" t="s">
        <v>696</v>
      </c>
      <c r="H69" s="10">
        <v>37032</v>
      </c>
      <c r="J69" s="14">
        <v>0.29002610966057435</v>
      </c>
      <c r="K69" s="14">
        <v>-0.4606741573033708</v>
      </c>
      <c r="N69" s="32"/>
      <c r="P69" s="14">
        <v>3.5551941587542495</v>
      </c>
      <c r="Q69" s="13">
        <v>16.107036553454787</v>
      </c>
      <c r="R69" s="11">
        <v>0</v>
      </c>
      <c r="S69" s="27" t="s">
        <v>697</v>
      </c>
      <c r="T69" s="33"/>
      <c r="U69" s="15">
        <v>0</v>
      </c>
      <c r="V69" s="15">
        <v>0</v>
      </c>
      <c r="W69" s="17">
        <v>0</v>
      </c>
      <c r="X69" s="15">
        <v>0</v>
      </c>
      <c r="Y69" s="15">
        <v>0</v>
      </c>
    </row>
    <row r="70" spans="1:26" s="2" customFormat="1" ht="12.9" customHeight="1" x14ac:dyDescent="0.25">
      <c r="A70" s="1" t="s">
        <v>668</v>
      </c>
      <c r="B70" s="1" t="s">
        <v>96</v>
      </c>
      <c r="C70" s="27" t="s">
        <v>621</v>
      </c>
      <c r="D70" s="27">
        <v>0</v>
      </c>
      <c r="E70" s="27" t="s">
        <v>144</v>
      </c>
      <c r="F70" s="10">
        <v>37036</v>
      </c>
      <c r="G70" s="2">
        <v>0</v>
      </c>
      <c r="H70" s="10">
        <v>0</v>
      </c>
      <c r="J70" s="14">
        <v>0.62434782608695649</v>
      </c>
      <c r="K70" s="14">
        <v>-0.15090909090909091</v>
      </c>
      <c r="N70" s="32"/>
      <c r="P70" s="14">
        <v>10.313797050054413</v>
      </c>
      <c r="Q70" s="13">
        <v>8.1380329630956645</v>
      </c>
      <c r="R70" s="11">
        <v>2.2929531842985642</v>
      </c>
      <c r="S70" s="27" t="s">
        <v>676</v>
      </c>
      <c r="T70" s="33"/>
      <c r="U70" s="15">
        <v>0</v>
      </c>
      <c r="V70" s="15">
        <v>0</v>
      </c>
      <c r="W70" s="17">
        <v>0</v>
      </c>
      <c r="X70" s="15">
        <v>0</v>
      </c>
      <c r="Y70" s="15">
        <v>0</v>
      </c>
    </row>
    <row r="71" spans="1:26" s="2" customFormat="1" ht="12.9" customHeight="1" x14ac:dyDescent="0.25">
      <c r="A71" s="1"/>
      <c r="B71" s="1"/>
      <c r="C71" s="27"/>
      <c r="D71" s="27"/>
      <c r="E71" s="27"/>
      <c r="F71" s="10"/>
      <c r="H71" s="10"/>
      <c r="J71" s="14"/>
      <c r="K71" s="14"/>
      <c r="T71" s="33"/>
    </row>
    <row r="72" spans="1:26" s="2" customFormat="1" ht="12.9" customHeight="1" x14ac:dyDescent="0.25">
      <c r="A72" s="1"/>
      <c r="B72" s="1"/>
      <c r="C72" s="27"/>
      <c r="D72" s="27"/>
      <c r="E72" s="27"/>
      <c r="F72" s="10"/>
      <c r="H72" s="10"/>
      <c r="J72" s="14"/>
      <c r="K72" s="14"/>
      <c r="T72" s="33"/>
    </row>
    <row r="73" spans="1:26" s="2" customFormat="1" ht="12.9" customHeight="1" x14ac:dyDescent="0.25">
      <c r="A73" s="1"/>
      <c r="B73" s="1"/>
      <c r="C73" s="27"/>
      <c r="D73" s="27"/>
      <c r="E73" s="27"/>
      <c r="F73" s="10"/>
      <c r="H73" s="10"/>
      <c r="J73" s="14"/>
      <c r="K73" s="14"/>
      <c r="T73" s="33"/>
      <c r="Z73" s="60"/>
    </row>
    <row r="74" spans="1:26" s="2" customFormat="1" ht="12.9" customHeight="1" x14ac:dyDescent="0.25">
      <c r="B74" s="35"/>
      <c r="C74" s="35"/>
      <c r="E74" s="35"/>
      <c r="N74" s="53" t="s">
        <v>38</v>
      </c>
      <c r="P74" s="14">
        <v>5.4937694035546221</v>
      </c>
      <c r="Q74" s="13">
        <v>14.060000144702865</v>
      </c>
      <c r="R74" s="11">
        <v>3.3667540388252188</v>
      </c>
      <c r="S74" s="27"/>
      <c r="T74" s="33"/>
      <c r="U74" s="15"/>
      <c r="V74" s="15"/>
      <c r="W74" s="17"/>
      <c r="X74" s="15"/>
      <c r="Y74" s="15"/>
      <c r="Z74" s="60"/>
    </row>
    <row r="75" spans="1:26" s="2" customFormat="1" ht="12.9" customHeight="1" x14ac:dyDescent="0.25">
      <c r="B75" s="35"/>
      <c r="C75" s="35"/>
      <c r="D75" s="35"/>
      <c r="N75" s="53" t="s">
        <v>39</v>
      </c>
      <c r="P75" s="14">
        <v>2.69915734896701</v>
      </c>
      <c r="Q75" s="13">
        <v>12.396539780836093</v>
      </c>
      <c r="R75" s="11">
        <v>1.4491873134407074</v>
      </c>
      <c r="S75" s="27"/>
      <c r="T75" s="33"/>
      <c r="U75" s="15"/>
      <c r="V75" s="15"/>
      <c r="W75" s="17"/>
      <c r="X75" s="15"/>
      <c r="Y75" s="15"/>
      <c r="Z75" s="60"/>
    </row>
    <row r="76" spans="1:26" s="2" customFormat="1" ht="12.9" customHeight="1" x14ac:dyDescent="0.25">
      <c r="B76" s="35"/>
      <c r="C76" s="35"/>
      <c r="D76" s="35"/>
      <c r="N76" s="55" t="s">
        <v>25</v>
      </c>
      <c r="P76" s="14">
        <v>21.567704955085986</v>
      </c>
      <c r="Q76" s="13">
        <v>44.799241842118747</v>
      </c>
      <c r="R76" s="11">
        <v>26.14207199541563</v>
      </c>
      <c r="S76" s="27"/>
      <c r="T76" s="33"/>
      <c r="U76" s="15"/>
      <c r="V76" s="15"/>
      <c r="W76" s="17"/>
      <c r="X76" s="15"/>
      <c r="Y76" s="15"/>
      <c r="Z76" s="60"/>
    </row>
    <row r="77" spans="1:26" s="2" customFormat="1" ht="12.9" customHeight="1" x14ac:dyDescent="0.25">
      <c r="B77" s="35"/>
      <c r="C77" s="35"/>
      <c r="D77" s="35"/>
      <c r="N77" s="53" t="s">
        <v>26</v>
      </c>
      <c r="P77" s="14">
        <v>0.13985657877771293</v>
      </c>
      <c r="Q77" s="13">
        <v>5.0562662325076548</v>
      </c>
      <c r="R77" s="11">
        <v>0</v>
      </c>
      <c r="S77" s="27"/>
      <c r="T77" s="33"/>
      <c r="U77" s="15"/>
      <c r="V77" s="15"/>
      <c r="W77" s="17"/>
      <c r="X77" s="15"/>
      <c r="Y77" s="15"/>
    </row>
    <row r="78" spans="1:26" s="2" customFormat="1" ht="12.9" customHeight="1" x14ac:dyDescent="0.25">
      <c r="A78" s="36" t="s">
        <v>74</v>
      </c>
    </row>
    <row r="79" spans="1:26" s="2" customFormat="1" ht="12.9" customHeight="1" x14ac:dyDescent="0.25">
      <c r="A79" s="9" t="s">
        <v>75</v>
      </c>
    </row>
    <row r="80" spans="1:26" s="2" customFormat="1" ht="12.9" customHeight="1" x14ac:dyDescent="0.25">
      <c r="A80" s="9" t="s">
        <v>76</v>
      </c>
    </row>
    <row r="81" spans="1:1" s="2" customFormat="1" ht="12.9" customHeight="1" x14ac:dyDescent="0.25">
      <c r="A81" s="9" t="s">
        <v>77</v>
      </c>
    </row>
    <row r="82" spans="1:1" s="2" customFormat="1" ht="12.9" customHeight="1" x14ac:dyDescent="0.25">
      <c r="A82" s="9" t="s">
        <v>78</v>
      </c>
    </row>
    <row r="83" spans="1:1" s="2" customFormat="1" ht="12.9" customHeight="1" x14ac:dyDescent="0.25">
      <c r="A83" s="9" t="s">
        <v>77</v>
      </c>
    </row>
    <row r="84" spans="1:1" s="2" customFormat="1" ht="12.9" customHeight="1" x14ac:dyDescent="0.25">
      <c r="A84" s="9" t="s">
        <v>79</v>
      </c>
    </row>
    <row r="85" spans="1:1" s="2" customFormat="1" ht="12.9" customHeight="1" x14ac:dyDescent="0.25"/>
    <row r="86" spans="1:1" s="2" customFormat="1" ht="12.9" customHeight="1" x14ac:dyDescent="0.25"/>
    <row r="87" spans="1:1" s="2" customFormat="1" ht="12.9" customHeight="1" x14ac:dyDescent="0.25"/>
    <row r="88" spans="1:1" s="2" customFormat="1" ht="12.9" customHeight="1" x14ac:dyDescent="0.25"/>
    <row r="89" spans="1:1" s="2" customFormat="1" ht="12.9" customHeight="1" x14ac:dyDescent="0.25"/>
    <row r="90" spans="1:1" s="2" customFormat="1" ht="12.9" customHeight="1" x14ac:dyDescent="0.25"/>
    <row r="91" spans="1:1" s="2" customFormat="1" ht="12.9" customHeight="1" x14ac:dyDescent="0.25"/>
    <row r="92" spans="1:1" s="2" customFormat="1" ht="12.9" customHeight="1" x14ac:dyDescent="0.25"/>
    <row r="93" spans="1:1" s="2" customFormat="1" ht="12.9" customHeight="1" x14ac:dyDescent="0.25"/>
    <row r="94" spans="1:1" s="2" customFormat="1" ht="12.9" customHeight="1" x14ac:dyDescent="0.25"/>
    <row r="95" spans="1:1" s="2" customFormat="1" ht="12.9" customHeight="1" x14ac:dyDescent="0.25"/>
    <row r="96" spans="1:1" s="2" customFormat="1" ht="12.9" customHeight="1" x14ac:dyDescent="0.25"/>
    <row r="97" spans="1:5" s="2" customFormat="1" ht="12.9" customHeight="1" x14ac:dyDescent="0.25"/>
    <row r="98" spans="1:5" s="2" customFormat="1" ht="12.9" customHeight="1" x14ac:dyDescent="0.25"/>
    <row r="99" spans="1:5" s="2" customFormat="1" ht="12.9" customHeight="1" x14ac:dyDescent="0.25"/>
    <row r="100" spans="1:5" ht="12.9" customHeight="1" x14ac:dyDescent="0.25">
      <c r="A100" s="2"/>
      <c r="B100" s="2"/>
      <c r="C100" s="2"/>
      <c r="D100" s="2"/>
      <c r="E100" s="2"/>
    </row>
    <row r="101" spans="1:5" ht="12.9" customHeight="1" x14ac:dyDescent="0.25">
      <c r="A101" s="2"/>
      <c r="B101" s="2"/>
      <c r="C101" s="2"/>
      <c r="D101" s="2"/>
      <c r="E101" s="2"/>
    </row>
    <row r="102" spans="1:5" ht="12.9" customHeight="1" x14ac:dyDescent="0.25">
      <c r="A102" s="2"/>
      <c r="B102" s="2"/>
      <c r="C102" s="2"/>
      <c r="D102" s="2"/>
    </row>
    <row r="103" spans="1:5" ht="12.9" customHeight="1" x14ac:dyDescent="0.25"/>
    <row r="104" spans="1:5" ht="12.9" customHeight="1" x14ac:dyDescent="0.25"/>
    <row r="105" spans="1:5" ht="12.9" customHeight="1" x14ac:dyDescent="0.25"/>
    <row r="106" spans="1:5" ht="12.9" customHeight="1" x14ac:dyDescent="0.25"/>
    <row r="107" spans="1:5" ht="12.9" customHeight="1" x14ac:dyDescent="0.25"/>
    <row r="108" spans="1:5" ht="12.9" customHeight="1" x14ac:dyDescent="0.25"/>
    <row r="109" spans="1:5" ht="12.9" customHeight="1" x14ac:dyDescent="0.25"/>
    <row r="110" spans="1:5" ht="12.9" customHeight="1" x14ac:dyDescent="0.25"/>
    <row r="111" spans="1:5" ht="12.9" customHeight="1" x14ac:dyDescent="0.25"/>
    <row r="112" spans="1:5" ht="12.9" customHeight="1" x14ac:dyDescent="0.25"/>
    <row r="113" ht="12.9" customHeight="1" x14ac:dyDescent="0.25"/>
    <row r="114" ht="12.9" customHeight="1" x14ac:dyDescent="0.25"/>
    <row r="115" ht="12.9" customHeight="1" x14ac:dyDescent="0.25"/>
    <row r="116" ht="12.9" customHeight="1" x14ac:dyDescent="0.25"/>
    <row r="117" ht="12.9" customHeight="1" x14ac:dyDescent="0.25"/>
    <row r="118" ht="12.9" customHeight="1" x14ac:dyDescent="0.25"/>
    <row r="119" ht="12.9" customHeight="1" x14ac:dyDescent="0.25"/>
    <row r="120" ht="12.9" customHeight="1" x14ac:dyDescent="0.25"/>
    <row r="121" ht="12.9" customHeight="1" x14ac:dyDescent="0.25"/>
    <row r="122" ht="12.9" customHeight="1" x14ac:dyDescent="0.25"/>
    <row r="123" ht="12.9" customHeight="1" x14ac:dyDescent="0.25"/>
    <row r="124" ht="12.9" customHeight="1" x14ac:dyDescent="0.25"/>
    <row r="125" ht="12.9" customHeight="1" x14ac:dyDescent="0.25"/>
    <row r="126" ht="12.9" customHeight="1" x14ac:dyDescent="0.25"/>
    <row r="127" ht="12.9" customHeight="1" x14ac:dyDescent="0.25"/>
    <row r="128" ht="12.9" customHeight="1" x14ac:dyDescent="0.25"/>
    <row r="129" ht="12.9" customHeight="1" x14ac:dyDescent="0.25"/>
    <row r="130" ht="12.9" customHeight="1" x14ac:dyDescent="0.25"/>
    <row r="131" ht="12.9" customHeight="1" x14ac:dyDescent="0.25"/>
    <row r="132" ht="12.9" customHeight="1" x14ac:dyDescent="0.25"/>
    <row r="133" ht="12.9" customHeight="1" x14ac:dyDescent="0.25"/>
    <row r="134" ht="12.9" customHeight="1" x14ac:dyDescent="0.25"/>
    <row r="135" ht="12.9" customHeight="1" x14ac:dyDescent="0.25"/>
    <row r="136" ht="12.9" customHeight="1" x14ac:dyDescent="0.25"/>
    <row r="137" ht="12.9" customHeight="1" x14ac:dyDescent="0.25"/>
    <row r="138" ht="12.9" customHeight="1" x14ac:dyDescent="0.25"/>
    <row r="139" ht="12.9" customHeight="1" x14ac:dyDescent="0.25"/>
    <row r="140" ht="12.9" customHeight="1" x14ac:dyDescent="0.25"/>
  </sheetData>
  <mergeCells count="5">
    <mergeCell ref="U43:Y43"/>
    <mergeCell ref="I8:K8"/>
    <mergeCell ref="L8:N8"/>
    <mergeCell ref="O8:Q8"/>
    <mergeCell ref="U42:Y42"/>
  </mergeCells>
  <phoneticPr fontId="0" type="noConversion"/>
  <pageMargins left="0" right="0" top="0" bottom="0" header="0.5" footer="0.5"/>
  <pageSetup scale="48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MAJORS</vt:lpstr>
      <vt:lpstr>US INTEGRATEDS</vt:lpstr>
      <vt:lpstr>INTERNATIONAL INTEGRATEDS</vt:lpstr>
      <vt:lpstr>GAS PIPELINES</vt:lpstr>
      <vt:lpstr>REFINING</vt:lpstr>
      <vt:lpstr>RETAIL &amp; LUBES</vt:lpstr>
      <vt:lpstr>LARGE E&amp;P</vt:lpstr>
      <vt:lpstr>MID E&amp;P</vt:lpstr>
      <vt:lpstr>SMALL E&amp;P</vt:lpstr>
      <vt:lpstr>EUROPEAN E&amp;P</vt:lpstr>
      <vt:lpstr>MLP</vt:lpstr>
      <vt:lpstr>OILFIELD SERVICES</vt:lpstr>
      <vt:lpstr>EUROPEAN OILFIELD SERVICES</vt:lpstr>
      <vt:lpstr>OFFSHORE OILFIELD SERVICES</vt:lpstr>
      <vt:lpstr>LAND DRILLING</vt:lpstr>
      <vt:lpstr>CANANDIAN</vt:lpstr>
      <vt:lpstr>CANANDIAN!Print_Area</vt:lpstr>
      <vt:lpstr>'EUROPEAN E&amp;P'!Print_Area</vt:lpstr>
      <vt:lpstr>'EUROPEAN OILFIELD SERVICES'!Print_Area</vt:lpstr>
      <vt:lpstr>'GAS PIPELINES'!Print_Area</vt:lpstr>
      <vt:lpstr>'INTERNATIONAL INTEGRATEDS'!Print_Area</vt:lpstr>
      <vt:lpstr>'LAND DRILLING'!Print_Area</vt:lpstr>
      <vt:lpstr>'LARGE E&amp;P'!Print_Area</vt:lpstr>
      <vt:lpstr>MAJORS!Print_Area</vt:lpstr>
      <vt:lpstr>'MID E&amp;P'!Print_Area</vt:lpstr>
      <vt:lpstr>MLP!Print_Area</vt:lpstr>
      <vt:lpstr>'OFFSHORE OILFIELD SERVICES'!Print_Area</vt:lpstr>
      <vt:lpstr>'OILFIELD SERVICES'!Print_Area</vt:lpstr>
      <vt:lpstr>REFINING!Print_Area</vt:lpstr>
      <vt:lpstr>'RETAIL &amp; LUBES'!Print_Area</vt:lpstr>
      <vt:lpstr>'SMALL E&amp;P'!Print_Area</vt:lpstr>
      <vt:lpstr>'US INTEGRATEDS'!Print_Area</vt:lpstr>
    </vt:vector>
  </TitlesOfParts>
  <Company>CSFB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Havlíček Jan</cp:lastModifiedBy>
  <cp:lastPrinted>2001-08-08T19:10:20Z</cp:lastPrinted>
  <dcterms:created xsi:type="dcterms:W3CDTF">2001-06-07T05:43:28Z</dcterms:created>
  <dcterms:modified xsi:type="dcterms:W3CDTF">2023-09-10T12:05:11Z</dcterms:modified>
</cp:coreProperties>
</file>