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781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E7" i="1" l="1"/>
  <c r="M7" i="1"/>
  <c r="N7" i="1"/>
  <c r="O7" i="1"/>
  <c r="P7" i="1"/>
  <c r="U7" i="1"/>
  <c r="V7" i="1"/>
  <c r="X7" i="1"/>
  <c r="Z7" i="1"/>
  <c r="AB7" i="1"/>
  <c r="M8" i="1"/>
  <c r="N8" i="1"/>
  <c r="O8" i="1"/>
  <c r="P8" i="1"/>
  <c r="AB8" i="1"/>
  <c r="O9" i="1"/>
  <c r="P9" i="1"/>
  <c r="P10" i="1"/>
  <c r="AE11" i="1"/>
  <c r="R14" i="1"/>
  <c r="AB14" i="1"/>
  <c r="D16" i="1"/>
  <c r="E16" i="1"/>
  <c r="F16" i="1"/>
  <c r="J16" i="1"/>
  <c r="K16" i="1"/>
  <c r="M16" i="1"/>
  <c r="N16" i="1"/>
  <c r="O16" i="1"/>
  <c r="P16" i="1"/>
  <c r="R16" i="1"/>
  <c r="U16" i="1"/>
  <c r="V16" i="1"/>
  <c r="X16" i="1"/>
  <c r="Z16" i="1"/>
  <c r="AB16" i="1"/>
  <c r="AE16" i="1"/>
  <c r="E17" i="1"/>
  <c r="F17" i="1"/>
  <c r="M17" i="1"/>
  <c r="N17" i="1"/>
  <c r="O17" i="1"/>
  <c r="P17" i="1"/>
  <c r="U17" i="1"/>
  <c r="V17" i="1"/>
  <c r="X17" i="1"/>
  <c r="Z17" i="1"/>
  <c r="D18" i="1"/>
  <c r="E18" i="1"/>
  <c r="F18" i="1"/>
  <c r="J18" i="1"/>
  <c r="K18" i="1"/>
  <c r="M18" i="1"/>
  <c r="N18" i="1"/>
  <c r="O18" i="1"/>
  <c r="P18" i="1"/>
  <c r="R18" i="1"/>
  <c r="U18" i="1"/>
  <c r="V18" i="1"/>
  <c r="X18" i="1"/>
  <c r="Z18" i="1"/>
  <c r="AB18" i="1"/>
  <c r="AE18" i="1"/>
  <c r="D19" i="1"/>
  <c r="E19" i="1"/>
  <c r="F19" i="1"/>
  <c r="J19" i="1"/>
  <c r="K19" i="1"/>
  <c r="M19" i="1"/>
  <c r="N19" i="1"/>
  <c r="O19" i="1"/>
  <c r="P19" i="1"/>
  <c r="U19" i="1"/>
  <c r="V19" i="1"/>
  <c r="X19" i="1"/>
  <c r="Z19" i="1"/>
  <c r="AB19" i="1"/>
  <c r="AE19" i="1"/>
  <c r="D20" i="1"/>
  <c r="E20" i="1"/>
  <c r="F20" i="1"/>
  <c r="J20" i="1"/>
  <c r="K20" i="1"/>
  <c r="M20" i="1"/>
  <c r="N20" i="1"/>
  <c r="O20" i="1"/>
  <c r="P20" i="1"/>
  <c r="R20" i="1"/>
  <c r="U20" i="1"/>
  <c r="V20" i="1"/>
  <c r="X20" i="1"/>
  <c r="Z20" i="1"/>
  <c r="AB20" i="1"/>
  <c r="AE20" i="1"/>
  <c r="D21" i="1"/>
  <c r="E21" i="1"/>
  <c r="F21" i="1"/>
  <c r="J21" i="1"/>
  <c r="K21" i="1"/>
  <c r="M21" i="1"/>
  <c r="N21" i="1"/>
  <c r="P21" i="1"/>
  <c r="R21" i="1"/>
  <c r="U21" i="1"/>
  <c r="V21" i="1"/>
  <c r="X21" i="1"/>
  <c r="Z21" i="1"/>
  <c r="AB21" i="1"/>
  <c r="AE21" i="1"/>
  <c r="D22" i="1"/>
  <c r="E22" i="1"/>
  <c r="F22" i="1"/>
  <c r="J22" i="1"/>
  <c r="K22" i="1"/>
  <c r="M22" i="1"/>
  <c r="N22" i="1"/>
  <c r="O22" i="1"/>
  <c r="P22" i="1"/>
  <c r="R22" i="1"/>
  <c r="U22" i="1"/>
  <c r="V22" i="1"/>
  <c r="X22" i="1"/>
  <c r="Z22" i="1"/>
  <c r="AB22" i="1"/>
  <c r="AE22" i="1"/>
  <c r="D23" i="1"/>
  <c r="E23" i="1"/>
  <c r="F23" i="1"/>
  <c r="J23" i="1"/>
  <c r="K23" i="1"/>
  <c r="M23" i="1"/>
  <c r="N23" i="1"/>
  <c r="O23" i="1"/>
  <c r="P23" i="1"/>
  <c r="R23" i="1"/>
  <c r="U23" i="1"/>
  <c r="V23" i="1"/>
  <c r="X23" i="1"/>
  <c r="Z23" i="1"/>
  <c r="AB23" i="1"/>
  <c r="AE23" i="1"/>
  <c r="D24" i="1"/>
  <c r="E24" i="1"/>
  <c r="F24" i="1"/>
  <c r="J24" i="1"/>
  <c r="K24" i="1"/>
  <c r="M24" i="1"/>
  <c r="N24" i="1"/>
  <c r="O24" i="1"/>
  <c r="P24" i="1"/>
  <c r="R24" i="1"/>
  <c r="U24" i="1"/>
  <c r="V24" i="1"/>
  <c r="X24" i="1"/>
  <c r="Z24" i="1"/>
  <c r="AB24" i="1"/>
  <c r="AE24" i="1"/>
  <c r="E25" i="1"/>
  <c r="F25" i="1"/>
  <c r="M25" i="1"/>
  <c r="N25" i="1"/>
  <c r="O25" i="1"/>
  <c r="P25" i="1"/>
  <c r="D27" i="1"/>
  <c r="E27" i="1"/>
  <c r="F27" i="1"/>
  <c r="J27" i="1"/>
  <c r="K27" i="1"/>
  <c r="M27" i="1"/>
  <c r="N27" i="1"/>
  <c r="O27" i="1"/>
  <c r="P27" i="1"/>
  <c r="R27" i="1"/>
  <c r="U27" i="1"/>
  <c r="V27" i="1"/>
  <c r="X27" i="1"/>
  <c r="Z27" i="1"/>
  <c r="AB27" i="1"/>
  <c r="AE27" i="1"/>
  <c r="D29" i="1"/>
  <c r="E29" i="1"/>
  <c r="F29" i="1"/>
  <c r="E31" i="1"/>
  <c r="F31" i="1"/>
  <c r="E32" i="1"/>
  <c r="F32" i="1"/>
  <c r="E33" i="1"/>
  <c r="F33" i="1"/>
  <c r="D34" i="1"/>
  <c r="E34" i="1"/>
  <c r="F34" i="1"/>
  <c r="D37" i="1"/>
  <c r="E37" i="1"/>
  <c r="F37" i="1"/>
  <c r="J37" i="1"/>
  <c r="K37" i="1"/>
  <c r="M37" i="1"/>
  <c r="N37" i="1"/>
  <c r="O37" i="1"/>
  <c r="R37" i="1"/>
  <c r="V37" i="1"/>
  <c r="Z37" i="1"/>
  <c r="AB37" i="1"/>
  <c r="AE37" i="1"/>
  <c r="E38" i="1"/>
  <c r="F38" i="1"/>
  <c r="M38" i="1"/>
  <c r="N38" i="1"/>
  <c r="O38" i="1"/>
  <c r="R38" i="1"/>
  <c r="V38" i="1"/>
  <c r="Z38" i="1"/>
  <c r="AB38" i="1"/>
  <c r="AE38" i="1"/>
  <c r="E39" i="1"/>
  <c r="F39" i="1"/>
  <c r="M39" i="1"/>
  <c r="N39" i="1"/>
  <c r="R39" i="1"/>
  <c r="E40" i="1"/>
  <c r="F40" i="1"/>
  <c r="M40" i="1"/>
  <c r="N40" i="1"/>
  <c r="R40" i="1"/>
  <c r="V40" i="1"/>
  <c r="Z40" i="1"/>
  <c r="AB40" i="1"/>
  <c r="AE40" i="1"/>
  <c r="E41" i="1"/>
  <c r="F41" i="1"/>
  <c r="M41" i="1"/>
  <c r="N41" i="1"/>
  <c r="R41" i="1"/>
  <c r="V41" i="1"/>
  <c r="Z41" i="1"/>
  <c r="AB41" i="1"/>
  <c r="AE41" i="1"/>
  <c r="M42" i="1"/>
  <c r="N42" i="1"/>
  <c r="R42" i="1"/>
  <c r="V42" i="1"/>
  <c r="AB42" i="1"/>
  <c r="AE42" i="1"/>
  <c r="R43" i="1"/>
  <c r="V43" i="1"/>
  <c r="D45" i="1"/>
  <c r="E45" i="1"/>
  <c r="F45" i="1"/>
  <c r="J45" i="1"/>
  <c r="K45" i="1"/>
  <c r="M45" i="1"/>
  <c r="N45" i="1"/>
  <c r="O45" i="1"/>
  <c r="P45" i="1"/>
  <c r="R45" i="1"/>
  <c r="U45" i="1"/>
  <c r="V45" i="1"/>
  <c r="X45" i="1"/>
  <c r="Z45" i="1"/>
  <c r="AB45" i="1"/>
  <c r="AC45" i="1"/>
  <c r="AE45" i="1"/>
  <c r="E47" i="1"/>
  <c r="F47" i="1"/>
  <c r="N47" i="1"/>
  <c r="O47" i="1"/>
  <c r="P47" i="1"/>
  <c r="E49" i="1"/>
  <c r="F49" i="1"/>
  <c r="N49" i="1"/>
  <c r="O49" i="1"/>
  <c r="P49" i="1"/>
  <c r="V49" i="1"/>
  <c r="E54" i="1"/>
  <c r="F54" i="1"/>
  <c r="J54" i="1"/>
  <c r="K54" i="1"/>
  <c r="M54" i="1"/>
  <c r="N54" i="1"/>
  <c r="O54" i="1"/>
  <c r="P54" i="1"/>
  <c r="R54" i="1"/>
  <c r="U54" i="1"/>
  <c r="V54" i="1"/>
  <c r="X54" i="1"/>
  <c r="Z54" i="1"/>
  <c r="AB54" i="1"/>
  <c r="AC54" i="1"/>
  <c r="AE54" i="1"/>
  <c r="D56" i="1"/>
  <c r="E56" i="1"/>
  <c r="F56" i="1"/>
  <c r="J56" i="1"/>
  <c r="K56" i="1"/>
  <c r="M56" i="1"/>
  <c r="N56" i="1"/>
  <c r="O56" i="1"/>
  <c r="P56" i="1"/>
  <c r="R56" i="1"/>
  <c r="U56" i="1"/>
  <c r="V56" i="1"/>
  <c r="X56" i="1"/>
  <c r="Z56" i="1"/>
  <c r="AB56" i="1"/>
  <c r="AC56" i="1"/>
  <c r="AE56" i="1"/>
  <c r="D58" i="1"/>
  <c r="E58" i="1"/>
  <c r="F58" i="1"/>
  <c r="J58" i="1"/>
  <c r="K58" i="1"/>
  <c r="M58" i="1"/>
  <c r="N58" i="1"/>
  <c r="O58" i="1"/>
  <c r="P58" i="1"/>
  <c r="R58" i="1"/>
  <c r="U58" i="1"/>
  <c r="V58" i="1"/>
  <c r="X58" i="1"/>
  <c r="Z58" i="1"/>
  <c r="AB58" i="1"/>
  <c r="AC58" i="1"/>
  <c r="AE58" i="1"/>
  <c r="E61" i="1"/>
  <c r="F61" i="1"/>
  <c r="D62" i="1"/>
  <c r="E62" i="1"/>
  <c r="F62" i="1"/>
  <c r="J62" i="1"/>
  <c r="K62" i="1"/>
  <c r="M62" i="1"/>
  <c r="N62" i="1"/>
  <c r="O62" i="1"/>
  <c r="P62" i="1"/>
  <c r="R62" i="1"/>
  <c r="U62" i="1"/>
  <c r="V62" i="1"/>
  <c r="X62" i="1"/>
  <c r="Z62" i="1"/>
  <c r="AB62" i="1"/>
  <c r="AC62" i="1"/>
  <c r="AE62" i="1"/>
  <c r="D63" i="1"/>
  <c r="E63" i="1"/>
  <c r="F63" i="1"/>
  <c r="J63" i="1"/>
  <c r="K63" i="1"/>
  <c r="M63" i="1"/>
  <c r="N63" i="1"/>
  <c r="O63" i="1"/>
  <c r="P63" i="1"/>
  <c r="R63" i="1"/>
  <c r="U63" i="1"/>
  <c r="V63" i="1"/>
  <c r="X63" i="1"/>
  <c r="Z63" i="1"/>
  <c r="AB63" i="1"/>
  <c r="AC63" i="1"/>
  <c r="AE63" i="1"/>
  <c r="D65" i="1"/>
  <c r="E65" i="1"/>
  <c r="F65" i="1"/>
  <c r="J65" i="1"/>
  <c r="K65" i="1"/>
  <c r="M65" i="1"/>
  <c r="N65" i="1"/>
  <c r="O65" i="1"/>
  <c r="P65" i="1"/>
  <c r="R65" i="1"/>
  <c r="U65" i="1"/>
  <c r="V65" i="1"/>
  <c r="X65" i="1"/>
  <c r="Z65" i="1"/>
  <c r="AB65" i="1"/>
  <c r="AC65" i="1"/>
  <c r="AE65" i="1"/>
  <c r="D66" i="1"/>
  <c r="E66" i="1"/>
  <c r="F66" i="1"/>
  <c r="J66" i="1"/>
  <c r="K66" i="1"/>
  <c r="M66" i="1"/>
  <c r="N66" i="1"/>
  <c r="O66" i="1"/>
  <c r="P66" i="1"/>
  <c r="R66" i="1"/>
  <c r="U66" i="1"/>
  <c r="V66" i="1"/>
  <c r="X66" i="1"/>
  <c r="Z66" i="1"/>
  <c r="AB66" i="1"/>
  <c r="AC66" i="1"/>
  <c r="AE66" i="1"/>
  <c r="D68" i="1"/>
  <c r="E68" i="1"/>
  <c r="F68" i="1"/>
  <c r="J68" i="1"/>
  <c r="K68" i="1"/>
  <c r="M68" i="1"/>
  <c r="N68" i="1"/>
  <c r="O68" i="1"/>
  <c r="P68" i="1"/>
  <c r="R68" i="1"/>
  <c r="U68" i="1"/>
  <c r="V68" i="1"/>
  <c r="X68" i="1"/>
  <c r="Z68" i="1"/>
  <c r="AB68" i="1"/>
  <c r="AC68" i="1"/>
  <c r="AE68" i="1"/>
  <c r="D70" i="1"/>
  <c r="E70" i="1"/>
  <c r="F70" i="1"/>
  <c r="J70" i="1"/>
  <c r="K70" i="1"/>
  <c r="M70" i="1"/>
  <c r="N70" i="1"/>
  <c r="O70" i="1"/>
  <c r="P70" i="1"/>
  <c r="R70" i="1"/>
  <c r="U70" i="1"/>
  <c r="V70" i="1"/>
  <c r="X70" i="1"/>
  <c r="Z70" i="1"/>
  <c r="AB70" i="1"/>
  <c r="AC70" i="1"/>
  <c r="AE70" i="1"/>
  <c r="N75" i="1"/>
  <c r="O75" i="1"/>
  <c r="P75" i="1"/>
  <c r="R75" i="1"/>
  <c r="U75" i="1"/>
  <c r="V75" i="1"/>
  <c r="X75" i="1"/>
  <c r="Z75" i="1"/>
  <c r="AB75" i="1"/>
  <c r="AC75" i="1"/>
  <c r="AE75" i="1"/>
  <c r="D76" i="1"/>
  <c r="E76" i="1"/>
  <c r="F76" i="1"/>
  <c r="J76" i="1"/>
  <c r="K76" i="1"/>
  <c r="M76" i="1"/>
  <c r="N76" i="1"/>
  <c r="O76" i="1"/>
  <c r="P76" i="1"/>
  <c r="R76" i="1"/>
  <c r="U76" i="1"/>
  <c r="V76" i="1"/>
  <c r="X76" i="1"/>
  <c r="Z76" i="1"/>
  <c r="AB76" i="1"/>
  <c r="AC76" i="1"/>
  <c r="P77" i="1"/>
  <c r="U77" i="1"/>
  <c r="V77" i="1"/>
  <c r="AE77" i="1"/>
  <c r="D78" i="1"/>
  <c r="E78" i="1"/>
  <c r="F78" i="1"/>
  <c r="J78" i="1"/>
  <c r="K78" i="1"/>
  <c r="M78" i="1"/>
  <c r="N78" i="1"/>
  <c r="O78" i="1"/>
  <c r="P78" i="1"/>
  <c r="R78" i="1"/>
  <c r="U78" i="1"/>
  <c r="V78" i="1"/>
  <c r="X78" i="1"/>
  <c r="Z78" i="1"/>
  <c r="AB78" i="1"/>
  <c r="AC78" i="1"/>
  <c r="AE78" i="1"/>
  <c r="N80" i="1"/>
  <c r="O80" i="1"/>
  <c r="P80" i="1"/>
  <c r="R80" i="1"/>
  <c r="U80" i="1"/>
  <c r="V80" i="1"/>
  <c r="X80" i="1"/>
  <c r="Z80" i="1"/>
  <c r="AB80" i="1"/>
  <c r="AC80" i="1"/>
  <c r="AE80" i="1"/>
  <c r="D81" i="1"/>
  <c r="E81" i="1"/>
  <c r="F81" i="1"/>
  <c r="J81" i="1"/>
  <c r="K81" i="1"/>
  <c r="M81" i="1"/>
  <c r="N81" i="1"/>
  <c r="O81" i="1"/>
  <c r="P81" i="1"/>
  <c r="R81" i="1"/>
  <c r="U81" i="1"/>
  <c r="V81" i="1"/>
  <c r="X81" i="1"/>
  <c r="Z81" i="1"/>
  <c r="AB81" i="1"/>
  <c r="AC81" i="1"/>
  <c r="AE81" i="1"/>
  <c r="D82" i="1"/>
  <c r="E82" i="1"/>
  <c r="F82" i="1"/>
  <c r="J82" i="1"/>
  <c r="K82" i="1"/>
  <c r="M82" i="1"/>
  <c r="N82" i="1"/>
  <c r="O82" i="1"/>
  <c r="P82" i="1"/>
  <c r="R82" i="1"/>
  <c r="U82" i="1"/>
  <c r="V82" i="1"/>
  <c r="X82" i="1"/>
  <c r="Z82" i="1"/>
  <c r="AB82" i="1"/>
  <c r="AC82" i="1"/>
  <c r="AE82" i="1"/>
  <c r="J83" i="1"/>
  <c r="K83" i="1"/>
  <c r="M83" i="1"/>
  <c r="N83" i="1"/>
  <c r="O83" i="1"/>
  <c r="P83" i="1"/>
  <c r="R83" i="1"/>
  <c r="U83" i="1"/>
  <c r="V83" i="1"/>
  <c r="X83" i="1"/>
  <c r="Z83" i="1"/>
  <c r="AB83" i="1"/>
  <c r="AC83" i="1"/>
  <c r="AE83" i="1"/>
  <c r="D84" i="1"/>
  <c r="E84" i="1"/>
  <c r="F84" i="1"/>
  <c r="J84" i="1"/>
  <c r="K84" i="1"/>
  <c r="M84" i="1"/>
  <c r="N84" i="1"/>
  <c r="O84" i="1"/>
  <c r="P84" i="1"/>
  <c r="R84" i="1"/>
  <c r="U84" i="1"/>
  <c r="V84" i="1"/>
  <c r="X84" i="1"/>
  <c r="Z84" i="1"/>
  <c r="AB84" i="1"/>
  <c r="AC84" i="1"/>
  <c r="AE84" i="1"/>
  <c r="D86" i="1"/>
  <c r="E86" i="1"/>
  <c r="F86" i="1"/>
  <c r="J86" i="1"/>
  <c r="K86" i="1"/>
  <c r="M86" i="1"/>
  <c r="N86" i="1"/>
  <c r="O86" i="1"/>
  <c r="P86" i="1"/>
  <c r="R86" i="1"/>
  <c r="U86" i="1"/>
  <c r="V86" i="1"/>
  <c r="X86" i="1"/>
  <c r="Z86" i="1"/>
  <c r="AB86" i="1"/>
  <c r="AC86" i="1"/>
  <c r="AE86" i="1"/>
  <c r="D87" i="1"/>
  <c r="E87" i="1"/>
  <c r="F87" i="1"/>
  <c r="J87" i="1"/>
  <c r="K87" i="1"/>
  <c r="M87" i="1"/>
  <c r="N87" i="1"/>
  <c r="O87" i="1"/>
  <c r="P87" i="1"/>
  <c r="R87" i="1"/>
  <c r="U87" i="1"/>
  <c r="V87" i="1"/>
  <c r="X87" i="1"/>
  <c r="Z87" i="1"/>
  <c r="AB87" i="1"/>
  <c r="AC87" i="1"/>
  <c r="AE87" i="1"/>
  <c r="D89" i="1"/>
  <c r="E89" i="1"/>
  <c r="F89" i="1"/>
  <c r="J89" i="1"/>
  <c r="K89" i="1"/>
  <c r="M89" i="1"/>
  <c r="N89" i="1"/>
  <c r="O89" i="1"/>
  <c r="P89" i="1"/>
  <c r="R89" i="1"/>
  <c r="U89" i="1"/>
  <c r="V89" i="1"/>
  <c r="X89" i="1"/>
  <c r="Z89" i="1"/>
  <c r="AB89" i="1"/>
  <c r="AC89" i="1"/>
  <c r="AE89" i="1"/>
  <c r="D91" i="1"/>
  <c r="E91" i="1"/>
  <c r="F91" i="1"/>
  <c r="J91" i="1"/>
  <c r="K91" i="1"/>
  <c r="M91" i="1"/>
  <c r="N91" i="1"/>
  <c r="O91" i="1"/>
  <c r="P91" i="1"/>
  <c r="R91" i="1"/>
  <c r="U91" i="1"/>
  <c r="V91" i="1"/>
  <c r="X91" i="1"/>
  <c r="Z91" i="1"/>
  <c r="AB91" i="1"/>
  <c r="AC91" i="1"/>
  <c r="AE91" i="1"/>
  <c r="M94" i="1"/>
  <c r="N94" i="1"/>
  <c r="O94" i="1"/>
  <c r="P94" i="1"/>
  <c r="R94" i="1"/>
  <c r="U94" i="1"/>
  <c r="V94" i="1"/>
  <c r="X94" i="1"/>
  <c r="Z94" i="1"/>
  <c r="AB94" i="1"/>
  <c r="AC94" i="1"/>
  <c r="AE94" i="1"/>
  <c r="D95" i="1"/>
  <c r="E95" i="1"/>
  <c r="F95" i="1"/>
  <c r="J95" i="1"/>
  <c r="K95" i="1"/>
  <c r="M95" i="1"/>
  <c r="N95" i="1"/>
  <c r="O95" i="1"/>
  <c r="P95" i="1"/>
  <c r="R95" i="1"/>
  <c r="U95" i="1"/>
  <c r="V95" i="1"/>
  <c r="X95" i="1"/>
  <c r="Z95" i="1"/>
  <c r="AB95" i="1"/>
  <c r="AC95" i="1"/>
  <c r="P96" i="1"/>
  <c r="U96" i="1"/>
  <c r="V96" i="1"/>
  <c r="AE96" i="1"/>
  <c r="D97" i="1"/>
  <c r="E97" i="1"/>
  <c r="F97" i="1"/>
  <c r="J97" i="1"/>
  <c r="K97" i="1"/>
  <c r="M97" i="1"/>
  <c r="N97" i="1"/>
  <c r="O97" i="1"/>
  <c r="P97" i="1"/>
  <c r="R97" i="1"/>
  <c r="U97" i="1"/>
  <c r="V97" i="1"/>
  <c r="X97" i="1"/>
  <c r="Z97" i="1"/>
  <c r="AB97" i="1"/>
  <c r="AC97" i="1"/>
  <c r="AE97" i="1"/>
  <c r="D99" i="1"/>
  <c r="E99" i="1"/>
  <c r="F99" i="1"/>
  <c r="M99" i="1"/>
  <c r="N99" i="1"/>
  <c r="O99" i="1"/>
  <c r="P99" i="1"/>
  <c r="R99" i="1"/>
  <c r="U99" i="1"/>
  <c r="V99" i="1"/>
  <c r="X99" i="1"/>
  <c r="Z99" i="1"/>
  <c r="AB99" i="1"/>
  <c r="AC99" i="1"/>
  <c r="AE99" i="1"/>
  <c r="D101" i="1"/>
  <c r="E101" i="1"/>
  <c r="F101" i="1"/>
  <c r="J101" i="1"/>
  <c r="K101" i="1"/>
  <c r="M101" i="1"/>
  <c r="N101" i="1"/>
  <c r="O101" i="1"/>
  <c r="P101" i="1"/>
  <c r="R101" i="1"/>
  <c r="U101" i="1"/>
  <c r="V101" i="1"/>
  <c r="X101" i="1"/>
  <c r="Z101" i="1"/>
  <c r="AB101" i="1"/>
  <c r="AC101" i="1"/>
  <c r="AE101" i="1"/>
  <c r="D102" i="1"/>
  <c r="E102" i="1"/>
  <c r="F102" i="1"/>
  <c r="J102" i="1"/>
  <c r="K102" i="1"/>
  <c r="M102" i="1"/>
  <c r="N102" i="1"/>
  <c r="O102" i="1"/>
  <c r="P102" i="1"/>
  <c r="R102" i="1"/>
  <c r="U102" i="1"/>
  <c r="V102" i="1"/>
  <c r="X102" i="1"/>
  <c r="Z102" i="1"/>
  <c r="AB102" i="1"/>
  <c r="AC102" i="1"/>
  <c r="AE102" i="1"/>
  <c r="D104" i="1"/>
  <c r="E104" i="1"/>
  <c r="F104" i="1"/>
  <c r="J104" i="1"/>
  <c r="K104" i="1"/>
  <c r="M104" i="1"/>
  <c r="N104" i="1"/>
  <c r="O104" i="1"/>
  <c r="P104" i="1"/>
  <c r="R104" i="1"/>
  <c r="U104" i="1"/>
  <c r="V104" i="1"/>
  <c r="X104" i="1"/>
  <c r="Z104" i="1"/>
  <c r="AB104" i="1"/>
  <c r="AC104" i="1"/>
  <c r="AE104" i="1"/>
  <c r="D106" i="1"/>
  <c r="E106" i="1"/>
  <c r="F106" i="1"/>
  <c r="J106" i="1"/>
  <c r="K106" i="1"/>
  <c r="M106" i="1"/>
  <c r="N106" i="1"/>
  <c r="O106" i="1"/>
  <c r="P106" i="1"/>
  <c r="R106" i="1"/>
  <c r="U106" i="1"/>
  <c r="V106" i="1"/>
  <c r="X106" i="1"/>
  <c r="Z106" i="1"/>
  <c r="AB106" i="1"/>
  <c r="AC106" i="1"/>
  <c r="AE106" i="1"/>
</calcChain>
</file>

<file path=xl/sharedStrings.xml><?xml version="1.0" encoding="utf-8"?>
<sst xmlns="http://schemas.openxmlformats.org/spreadsheetml/2006/main" count="155" uniqueCount="103">
  <si>
    <t>CAPITAL COSTS</t>
  </si>
  <si>
    <t xml:space="preserve">Capex Estimate </t>
  </si>
  <si>
    <t>- July 1999 FERC Application</t>
  </si>
  <si>
    <t>Date</t>
  </si>
  <si>
    <t>Throughput (Bcf)</t>
  </si>
  <si>
    <t>July 1999</t>
  </si>
  <si>
    <t>Total Capex Estimate</t>
  </si>
  <si>
    <t>Working Capital, Spare Parts</t>
  </si>
  <si>
    <t>Subtotal</t>
  </si>
  <si>
    <t>Contingency @</t>
  </si>
  <si>
    <t>Total before AFUDC</t>
  </si>
  <si>
    <t>AFUDC</t>
  </si>
  <si>
    <t>- BACT Compliance, Cool-down</t>
  </si>
  <si>
    <t>- Vaporizer Replacement</t>
  </si>
  <si>
    <t>- Vaporizer Addition</t>
  </si>
  <si>
    <t>Total Capex with AFUDC</t>
  </si>
  <si>
    <t>Less: WC, Spare Parts</t>
  </si>
  <si>
    <t>Startup Capex</t>
  </si>
  <si>
    <t>Existing Plant - Dec. 31, 1999</t>
  </si>
  <si>
    <t>LNG Terminal @ Startup</t>
  </si>
  <si>
    <t>COST OF SERVICE</t>
  </si>
  <si>
    <t>Depreciation @</t>
  </si>
  <si>
    <t>Return on Debt</t>
  </si>
  <si>
    <t>Return on Equity</t>
  </si>
  <si>
    <t>Income Taxes</t>
  </si>
  <si>
    <t>Other Taxes</t>
  </si>
  <si>
    <t>Fixed O&amp;M</t>
  </si>
  <si>
    <t>FIXED COS</t>
  </si>
  <si>
    <t>Storage Capacity</t>
  </si>
  <si>
    <t>Months</t>
  </si>
  <si>
    <t>Storage Period</t>
  </si>
  <si>
    <t>Base GHV</t>
  </si>
  <si>
    <t>Annual Billing Determinant</t>
  </si>
  <si>
    <t>Dth per Mcf</t>
  </si>
  <si>
    <t>MONTHLY RESERVATION CHARGE</t>
  </si>
  <si>
    <t>$ per Decatherm</t>
  </si>
  <si>
    <t>BILLING DETERMINANTS - THROUGHPUT</t>
  </si>
  <si>
    <t>Mcf</t>
  </si>
  <si>
    <t>ENRON ALTERNATIVE NO. 1</t>
  </si>
  <si>
    <t>Enron Share</t>
  </si>
  <si>
    <t>Enron Throughput</t>
  </si>
  <si>
    <t>Fuel Deduction</t>
  </si>
  <si>
    <t>Net Sales</t>
  </si>
  <si>
    <t>Enron GHV</t>
  </si>
  <si>
    <t>Mcf per year</t>
  </si>
  <si>
    <t>Dth</t>
  </si>
  <si>
    <t>RESERVATION CHARGE</t>
  </si>
  <si>
    <t>$ per Month</t>
  </si>
  <si>
    <t>ENRON ALTERNATIVE NO. 2</t>
  </si>
  <si>
    <t>November 2000</t>
  </si>
  <si>
    <t>No Stabilization</t>
  </si>
  <si>
    <t>(vs 194,932,259)</t>
  </si>
  <si>
    <t>August 2000</t>
  </si>
  <si>
    <t>(vs 213,453,665)</t>
  </si>
  <si>
    <t>(3.8% Air Injection)</t>
  </si>
  <si>
    <r>
      <t>(2.0% N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 xml:space="preserve"> Injection)</t>
    </r>
  </si>
  <si>
    <t>- FERC Compliance</t>
  </si>
  <si>
    <t>Berth Dredging</t>
  </si>
  <si>
    <t>Surveillance</t>
  </si>
  <si>
    <r>
      <t>N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Snuffing</t>
    </r>
  </si>
  <si>
    <t>FERC Reporting</t>
  </si>
  <si>
    <r>
      <t>- Stabilization (Air or N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)</t>
    </r>
  </si>
  <si>
    <t>Stripping Alternative</t>
  </si>
  <si>
    <t>ELBA ISLAND LNG TERMINAL - COST OF SERVICE</t>
  </si>
  <si>
    <t>(November 22, 2000)</t>
  </si>
  <si>
    <t>Percentage</t>
  </si>
  <si>
    <t>Annual COS excl. Treating</t>
  </si>
  <si>
    <t xml:space="preserve"> Total COS</t>
  </si>
  <si>
    <t>(costs for treating not included)</t>
  </si>
  <si>
    <t>October 1999</t>
  </si>
  <si>
    <t>New Turning Basin Dredging</t>
  </si>
  <si>
    <t>New Turning Basin Dykes</t>
  </si>
  <si>
    <t>Channel Dredging</t>
  </si>
  <si>
    <t>Chicksan Arms</t>
  </si>
  <si>
    <t>(costs for compliance not included)</t>
  </si>
  <si>
    <t>April 3, 2000</t>
  </si>
  <si>
    <t>Estimate</t>
  </si>
  <si>
    <t>February 2001</t>
  </si>
  <si>
    <t>FERC Environmental Compliance Costs</t>
  </si>
  <si>
    <t>$10MM Vaporizer Improvement Cap</t>
  </si>
  <si>
    <t>(vs 222952531)</t>
  </si>
  <si>
    <t>BILLING DETERMINANTS - STORAGE CAPACITY</t>
  </si>
  <si>
    <t>VARIABLE O&amp;M</t>
  </si>
  <si>
    <t>VAR. ELECTRIC POWER</t>
  </si>
  <si>
    <t>Firm Throughput</t>
  </si>
  <si>
    <t>$ per Decatherm of Deliveries</t>
  </si>
  <si>
    <t>COMMODITY RATE - VARIABLE O&amp;M</t>
  </si>
  <si>
    <t>COMMODITY RATE -ELECTRIC POWER</t>
  </si>
  <si>
    <t>ENRON COST OF SERVICE</t>
  </si>
  <si>
    <t>Ship Dock to Starbd</t>
  </si>
  <si>
    <t>$ per Decatherm of Net Sales</t>
  </si>
  <si>
    <t>Treating COS - 100%</t>
  </si>
  <si>
    <t>Standby Tugs at Dock - 7/24</t>
  </si>
  <si>
    <t>Net Plant in Service</t>
  </si>
  <si>
    <t>Deferred Taxes</t>
  </si>
  <si>
    <t>Working Capital</t>
  </si>
  <si>
    <t>Land</t>
  </si>
  <si>
    <t>AFUDC Equity Addback</t>
  </si>
  <si>
    <t>Depreciable Facilities</t>
  </si>
  <si>
    <t>Cost of Service</t>
  </si>
  <si>
    <t>Test</t>
  </si>
  <si>
    <t>Rate Base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</si>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</sst>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#,##0.0000_);\(#,##0.0000\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i/>
      <sz val="10"/>
      <color indexed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quotePrefix="1"/>
    <xf numFmtId="0" fontId="2" fillId="0" borderId="0" xfId="0" applyFont="1"/>
    <xf numFmtId="37" fontId="0" fillId="0" borderId="0" xfId="0" applyNumberFormat="1"/>
    <xf numFmtId="0" fontId="2" fillId="0" borderId="0" xfId="0" quotePrefix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167" fontId="0" fillId="0" borderId="0" xfId="0" applyNumberFormat="1"/>
    <xf numFmtId="0" fontId="3" fillId="0" borderId="0" xfId="0" applyFont="1" applyAlignment="1">
      <alignment wrapText="1"/>
    </xf>
    <xf numFmtId="0" fontId="3" fillId="0" borderId="1" xfId="0" applyFont="1" applyBorder="1" applyAlignment="1"/>
    <xf numFmtId="0" fontId="4" fillId="0" borderId="3" xfId="0" applyFont="1" applyBorder="1"/>
    <xf numFmtId="38" fontId="4" fillId="0" borderId="0" xfId="0" applyNumberFormat="1" applyFont="1"/>
    <xf numFmtId="0" fontId="4" fillId="0" borderId="0" xfId="0" applyFont="1"/>
    <xf numFmtId="37" fontId="4" fillId="0" borderId="0" xfId="0" applyNumberFormat="1" applyFont="1"/>
    <xf numFmtId="10" fontId="4" fillId="0" borderId="0" xfId="1" applyNumberFormat="1" applyFont="1" applyAlignment="1">
      <alignment horizontal="left"/>
    </xf>
    <xf numFmtId="167" fontId="4" fillId="0" borderId="0" xfId="0" applyNumberFormat="1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/>
    <xf numFmtId="167" fontId="0" fillId="2" borderId="0" xfId="0" applyNumberFormat="1" applyFill="1"/>
    <xf numFmtId="37" fontId="0" fillId="0" borderId="4" xfId="0" applyNumberFormat="1" applyBorder="1"/>
    <xf numFmtId="37" fontId="0" fillId="0" borderId="5" xfId="0" applyNumberFormat="1" applyBorder="1"/>
    <xf numFmtId="37" fontId="0" fillId="0" borderId="6" xfId="0" applyNumberFormat="1" applyBorder="1" applyAlignment="1">
      <alignment horizontal="center"/>
    </xf>
    <xf numFmtId="0" fontId="2" fillId="3" borderId="0" xfId="0" quotePrefix="1" applyFont="1" applyFill="1" applyAlignment="1">
      <alignment horizontal="center"/>
    </xf>
    <xf numFmtId="37" fontId="0" fillId="0" borderId="6" xfId="0" applyNumberFormat="1" applyBorder="1"/>
    <xf numFmtId="37" fontId="0" fillId="0" borderId="0" xfId="0" quotePrefix="1" applyNumberFormat="1" applyAlignment="1">
      <alignment horizontal="right"/>
    </xf>
    <xf numFmtId="0" fontId="2" fillId="4" borderId="0" xfId="0" quotePrefix="1" applyFont="1" applyFill="1" applyAlignment="1">
      <alignment horizontal="center"/>
    </xf>
    <xf numFmtId="37" fontId="5" fillId="0" borderId="0" xfId="0" quotePrefix="1" applyNumberFormat="1" applyFont="1"/>
    <xf numFmtId="0" fontId="5" fillId="0" borderId="0" xfId="0" applyFont="1" applyAlignment="1">
      <alignment horizontal="center"/>
    </xf>
    <xf numFmtId="17" fontId="2" fillId="5" borderId="0" xfId="0" quotePrefix="1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7" fillId="0" borderId="0" xfId="0" applyFont="1"/>
    <xf numFmtId="38" fontId="7" fillId="0" borderId="0" xfId="0" applyNumberFormat="1" applyFont="1"/>
    <xf numFmtId="167" fontId="7" fillId="0" borderId="0" xfId="0" applyNumberFormat="1" applyFont="1"/>
    <xf numFmtId="10" fontId="7" fillId="0" borderId="0" xfId="1" applyNumberFormat="1" applyFont="1" applyAlignment="1">
      <alignment horizontal="left"/>
    </xf>
    <xf numFmtId="17" fontId="2" fillId="0" borderId="0" xfId="0" quotePrefix="1" applyNumberFormat="1" applyFont="1" applyFill="1" applyAlignment="1">
      <alignment horizontal="center"/>
    </xf>
    <xf numFmtId="0" fontId="4" fillId="0" borderId="0" xfId="0" applyFont="1" applyBorder="1"/>
    <xf numFmtId="10" fontId="4" fillId="0" borderId="0" xfId="1" applyNumberFormat="1" applyFont="1" applyAlignment="1">
      <alignment horizontal="center"/>
    </xf>
    <xf numFmtId="10" fontId="4" fillId="0" borderId="0" xfId="1" quotePrefix="1" applyNumberFormat="1" applyFont="1" applyAlignment="1">
      <alignment horizontal="left"/>
    </xf>
    <xf numFmtId="0" fontId="4" fillId="0" borderId="0" xfId="0" quotePrefix="1" applyFont="1" applyAlignment="1">
      <alignment horizontal="right" wrapText="1"/>
    </xf>
    <xf numFmtId="0" fontId="3" fillId="0" borderId="0" xfId="0" applyFont="1" applyAlignment="1">
      <alignment horizontal="center"/>
    </xf>
    <xf numFmtId="17" fontId="2" fillId="6" borderId="0" xfId="0" quotePrefix="1" applyNumberFormat="1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4" fillId="0" borderId="6" xfId="0" applyNumberFormat="1" applyFont="1" applyBorder="1"/>
    <xf numFmtId="167" fontId="0" fillId="0" borderId="0" xfId="0" applyNumberFormat="1" applyFill="1"/>
    <xf numFmtId="1" fontId="9" fillId="0" borderId="0" xfId="0" applyNumberFormat="1" applyFont="1" applyAlignment="1">
      <alignment horizontal="left"/>
    </xf>
    <xf numFmtId="37" fontId="12" fillId="0" borderId="0" xfId="0" applyNumberFormat="1" applyFont="1"/>
    <xf numFmtId="37" fontId="12" fillId="0" borderId="0" xfId="0" applyNumberFormat="1" applyFont="1" applyBorder="1"/>
    <xf numFmtId="37" fontId="11" fillId="0" borderId="0" xfId="0" quotePrefix="1" applyNumberFormat="1" applyFont="1"/>
    <xf numFmtId="37" fontId="11" fillId="0" borderId="0" xfId="0" applyNumberFormat="1" applyFont="1"/>
    <xf numFmtId="37" fontId="11" fillId="0" borderId="6" xfId="0" applyNumberFormat="1" applyFont="1" applyBorder="1"/>
    <xf numFmtId="0" fontId="11" fillId="0" borderId="0" xfId="0" applyFont="1"/>
    <xf numFmtId="37" fontId="11" fillId="0" borderId="0" xfId="0" quotePrefix="1" applyNumberFormat="1" applyFont="1" applyAlignment="1">
      <alignment horizontal="right"/>
    </xf>
    <xf numFmtId="167" fontId="11" fillId="0" borderId="0" xfId="0" applyNumberFormat="1" applyFont="1" applyFill="1"/>
    <xf numFmtId="10" fontId="13" fillId="0" borderId="0" xfId="1" applyNumberFormat="1" applyFont="1" applyAlignment="1">
      <alignment horizontal="center"/>
    </xf>
    <xf numFmtId="38" fontId="13" fillId="0" borderId="0" xfId="0" applyNumberFormat="1" applyFont="1"/>
    <xf numFmtId="167" fontId="11" fillId="0" borderId="0" xfId="0" applyNumberFormat="1" applyFont="1"/>
    <xf numFmtId="37" fontId="13" fillId="0" borderId="0" xfId="0" applyNumberFormat="1" applyFont="1"/>
    <xf numFmtId="167" fontId="13" fillId="0" borderId="0" xfId="0" applyNumberFormat="1" applyFont="1"/>
    <xf numFmtId="38" fontId="11" fillId="0" borderId="0" xfId="0" applyNumberFormat="1" applyFont="1"/>
    <xf numFmtId="0" fontId="13" fillId="0" borderId="0" xfId="0" quotePrefix="1" applyFont="1" applyAlignment="1">
      <alignment horizontal="right" wrapText="1"/>
    </xf>
    <xf numFmtId="0" fontId="5" fillId="0" borderId="0" xfId="0" quotePrefix="1" applyFont="1" applyAlignment="1">
      <alignment horizontal="center"/>
    </xf>
    <xf numFmtId="37" fontId="11" fillId="0" borderId="4" xfId="0" applyNumberFormat="1" applyFont="1" applyBorder="1"/>
    <xf numFmtId="37" fontId="11" fillId="0" borderId="5" xfId="0" applyNumberFormat="1" applyFont="1" applyBorder="1"/>
    <xf numFmtId="167" fontId="11" fillId="2" borderId="0" xfId="0" applyNumberFormat="1" applyFont="1" applyFill="1"/>
    <xf numFmtId="37" fontId="5" fillId="0" borderId="4" xfId="0" applyNumberFormat="1" applyFont="1" applyBorder="1"/>
    <xf numFmtId="37" fontId="11" fillId="0" borderId="6" xfId="0" applyNumberFormat="1" applyFont="1" applyBorder="1" applyAlignment="1">
      <alignment horizontal="center"/>
    </xf>
    <xf numFmtId="37" fontId="11" fillId="0" borderId="0" xfId="0" applyNumberFormat="1" applyFont="1" applyBorder="1" applyAlignment="1">
      <alignment horizontal="center"/>
    </xf>
    <xf numFmtId="37" fontId="11" fillId="0" borderId="0" xfId="0" applyNumberFormat="1" applyFont="1" applyBorder="1"/>
    <xf numFmtId="0" fontId="2" fillId="0" borderId="0" xfId="0" quotePrefix="1" applyFont="1" applyAlignment="1">
      <alignment horizontal="center" wrapText="1"/>
    </xf>
    <xf numFmtId="37" fontId="5" fillId="0" borderId="5" xfId="0" applyNumberFormat="1" applyFont="1" applyBorder="1"/>
    <xf numFmtId="0" fontId="0" fillId="3" borderId="0" xfId="0" applyFill="1"/>
    <xf numFmtId="0" fontId="10" fillId="0" borderId="2" xfId="0" applyFont="1" applyBorder="1" applyAlignment="1"/>
    <xf numFmtId="37" fontId="0" fillId="7" borderId="0" xfId="0" applyNumberFormat="1" applyFill="1"/>
    <xf numFmtId="167" fontId="0" fillId="3" borderId="0" xfId="0" applyNumberFormat="1" applyFill="1"/>
    <xf numFmtId="0" fontId="13" fillId="0" borderId="0" xfId="0" applyFont="1"/>
    <xf numFmtId="10" fontId="3" fillId="0" borderId="0" xfId="1" applyNumberFormat="1" applyFont="1" applyAlignment="1">
      <alignment horizontal="left"/>
    </xf>
    <xf numFmtId="3" fontId="11" fillId="0" borderId="0" xfId="0" applyNumberFormat="1" applyFont="1"/>
    <xf numFmtId="10" fontId="4" fillId="0" borderId="0" xfId="1" applyNumberFormat="1" applyFont="1"/>
    <xf numFmtId="10" fontId="13" fillId="0" borderId="0" xfId="1" applyNumberFormat="1" applyFont="1"/>
    <xf numFmtId="17" fontId="2" fillId="8" borderId="0" xfId="0" quotePrefix="1" applyNumberFormat="1" applyFont="1" applyFill="1" applyAlignment="1">
      <alignment horizontal="center"/>
    </xf>
    <xf numFmtId="37" fontId="14" fillId="0" borderId="0" xfId="0" applyNumberFormat="1" applyFont="1"/>
    <xf numFmtId="10" fontId="0" fillId="0" borderId="0" xfId="0" applyNumberFormat="1"/>
    <xf numFmtId="0" fontId="2" fillId="0" borderId="0" xfId="0" applyFont="1" applyBorder="1"/>
    <xf numFmtId="0" fontId="2" fillId="0" borderId="7" xfId="0" applyFont="1" applyBorder="1"/>
    <xf numFmtId="0" fontId="10" fillId="0" borderId="7" xfId="0" applyFont="1" applyBorder="1" applyAlignment="1"/>
    <xf numFmtId="0" fontId="3" fillId="0" borderId="3" xfId="0" applyFont="1" applyBorder="1" applyAlignment="1"/>
    <xf numFmtId="37" fontId="15" fillId="0" borderId="0" xfId="0" applyNumberFormat="1" applyFont="1"/>
    <xf numFmtId="0" fontId="14" fillId="0" borderId="0" xfId="0" applyFont="1"/>
    <xf numFmtId="0" fontId="15" fillId="0" borderId="0" xfId="0" applyFont="1"/>
    <xf numFmtId="3" fontId="15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justify" wrapText="1"/>
    </xf>
    <xf numFmtId="0" fontId="2" fillId="9" borderId="0" xfId="0" applyFont="1" applyFill="1"/>
    <xf numFmtId="37" fontId="0" fillId="10" borderId="0" xfId="0" applyNumberFormat="1" applyFill="1"/>
    <xf numFmtId="37" fontId="14" fillId="10" borderId="0" xfId="0" applyNumberFormat="1" applyFont="1" applyFill="1"/>
    <xf numFmtId="9" fontId="2" fillId="10" borderId="0" xfId="1" applyFont="1" applyFill="1" applyAlignment="1">
      <alignment horizontal="left"/>
    </xf>
    <xf numFmtId="9" fontId="2" fillId="10" borderId="0" xfId="1" applyNumberFormat="1" applyFont="1" applyFill="1" applyAlignment="1">
      <alignment horizontal="left"/>
    </xf>
    <xf numFmtId="37" fontId="14" fillId="0" borderId="0" xfId="0" applyNumberFormat="1" applyFont="1" applyFill="1"/>
    <xf numFmtId="10" fontId="2" fillId="10" borderId="0" xfId="1" applyNumberFormat="1" applyFont="1" applyFill="1" applyAlignment="1">
      <alignment horizontal="right"/>
    </xf>
    <xf numFmtId="10" fontId="2" fillId="10" borderId="0" xfId="0" applyNumberFormat="1" applyFont="1" applyFill="1"/>
    <xf numFmtId="0" fontId="2" fillId="11" borderId="0" xfId="0" applyFont="1" applyFill="1"/>
    <xf numFmtId="164" fontId="2" fillId="10" borderId="0" xfId="0" applyNumberFormat="1" applyFont="1" applyFill="1"/>
    <xf numFmtId="0" fontId="0" fillId="10" borderId="6" xfId="0" applyFill="1" applyBorder="1"/>
    <xf numFmtId="0" fontId="0" fillId="10" borderId="0" xfId="0" applyFill="1"/>
    <xf numFmtId="10" fontId="4" fillId="10" borderId="0" xfId="1" applyNumberFormat="1" applyFont="1" applyFill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7" fontId="2" fillId="9" borderId="0" xfId="0" quotePrefix="1" applyNumberFormat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22"/>
  <sheetViews>
    <sheetView tabSelected="1" zoomScaleNormal="100" workbookViewId="0">
      <selection activeCell="D94" sqref="D94:F94"/>
    </sheetView>
  </sheetViews>
  <sheetFormatPr defaultRowHeight="13.2" x14ac:dyDescent="0.25"/>
  <cols>
    <col min="1" max="1" width="17.88671875" customWidth="1"/>
    <col min="2" max="2" width="7" customWidth="1"/>
    <col min="3" max="5" width="15.6640625" customWidth="1"/>
    <col min="6" max="9" width="18.88671875" customWidth="1"/>
    <col min="10" max="16" width="15.6640625" customWidth="1"/>
    <col min="17" max="17" width="4.33203125" customWidth="1"/>
    <col min="18" max="18" width="14.33203125" customWidth="1"/>
    <col min="19" max="19" width="20.109375" customWidth="1"/>
    <col min="20" max="20" width="5.44140625" customWidth="1"/>
    <col min="21" max="21" width="17.109375" customWidth="1"/>
    <col min="22" max="22" width="17.88671875" customWidth="1"/>
    <col min="23" max="23" width="6.6640625" customWidth="1"/>
    <col min="24" max="24" width="17.33203125" customWidth="1"/>
    <col min="25" max="25" width="4.44140625" customWidth="1"/>
    <col min="26" max="26" width="20" customWidth="1"/>
    <col min="27" max="27" width="5.33203125" customWidth="1"/>
    <col min="28" max="28" width="17.88671875" customWidth="1"/>
    <col min="29" max="29" width="15.109375" customWidth="1"/>
    <col min="31" max="31" width="17.88671875" customWidth="1"/>
  </cols>
  <sheetData>
    <row r="1" spans="1:31" ht="17.399999999999999" x14ac:dyDescent="0.3">
      <c r="A1" s="111" t="s">
        <v>63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46"/>
    </row>
    <row r="2" spans="1:31" ht="52.8" x14ac:dyDescent="0.25">
      <c r="E2" s="97" t="s">
        <v>99</v>
      </c>
      <c r="F2" s="96" t="s">
        <v>100</v>
      </c>
      <c r="G2" s="96"/>
      <c r="H2" s="96"/>
      <c r="I2" s="96"/>
      <c r="R2" s="34" t="s">
        <v>78</v>
      </c>
      <c r="Z2" s="74" t="s">
        <v>79</v>
      </c>
      <c r="AB2" s="34" t="s">
        <v>78</v>
      </c>
      <c r="AC2" s="34" t="s">
        <v>92</v>
      </c>
      <c r="AE2" s="34" t="s">
        <v>62</v>
      </c>
    </row>
    <row r="3" spans="1:31" ht="13.8" thickBot="1" x14ac:dyDescent="0.3">
      <c r="V3" s="32"/>
      <c r="Z3" s="32"/>
      <c r="AB3" s="32"/>
      <c r="AE3" s="1" t="s">
        <v>64</v>
      </c>
    </row>
    <row r="4" spans="1:31" ht="13.8" thickBot="1" x14ac:dyDescent="0.3">
      <c r="A4" s="8" t="s">
        <v>0</v>
      </c>
      <c r="B4" s="88"/>
      <c r="C4" s="5" t="s">
        <v>3</v>
      </c>
      <c r="D4" s="39" t="s">
        <v>5</v>
      </c>
      <c r="E4" s="39"/>
      <c r="F4" s="39"/>
      <c r="G4" s="39"/>
      <c r="H4" s="39"/>
      <c r="I4" s="39"/>
      <c r="J4" s="45" t="s">
        <v>69</v>
      </c>
      <c r="K4" s="85" t="s">
        <v>69</v>
      </c>
      <c r="L4" s="39"/>
      <c r="M4" s="114" t="s">
        <v>75</v>
      </c>
      <c r="N4" s="114"/>
      <c r="O4" s="114"/>
      <c r="P4" s="114"/>
      <c r="Q4" s="114"/>
      <c r="R4" s="114"/>
      <c r="U4" s="30" t="s">
        <v>52</v>
      </c>
      <c r="V4" s="30" t="s">
        <v>52</v>
      </c>
      <c r="X4" s="27" t="s">
        <v>49</v>
      </c>
      <c r="Z4" s="27" t="s">
        <v>49</v>
      </c>
      <c r="AB4" s="33" t="s">
        <v>77</v>
      </c>
      <c r="AE4" s="33" t="s">
        <v>77</v>
      </c>
    </row>
    <row r="5" spans="1:31" x14ac:dyDescent="0.25">
      <c r="A5" s="2"/>
      <c r="B5" s="2"/>
      <c r="C5" s="5" t="s">
        <v>4</v>
      </c>
      <c r="D5" s="7">
        <v>85</v>
      </c>
      <c r="E5" s="7"/>
      <c r="F5" s="7"/>
      <c r="G5" s="7"/>
      <c r="H5" s="7"/>
      <c r="I5" s="7"/>
      <c r="J5" s="7">
        <v>120</v>
      </c>
      <c r="K5" s="7">
        <v>140</v>
      </c>
      <c r="L5" s="7"/>
      <c r="M5" s="115">
        <v>160</v>
      </c>
      <c r="N5" s="115"/>
      <c r="O5" s="115"/>
      <c r="P5" s="115"/>
      <c r="Q5" s="115"/>
      <c r="R5" s="115"/>
      <c r="U5" s="7">
        <v>160</v>
      </c>
      <c r="V5" s="7">
        <v>160</v>
      </c>
      <c r="X5" s="7">
        <v>160</v>
      </c>
      <c r="Z5" s="7">
        <v>160</v>
      </c>
      <c r="AB5" s="7">
        <v>160</v>
      </c>
      <c r="AE5" s="7">
        <v>160</v>
      </c>
    </row>
    <row r="6" spans="1:31" x14ac:dyDescent="0.25">
      <c r="R6" s="66" t="s">
        <v>76</v>
      </c>
      <c r="V6" s="66" t="s">
        <v>76</v>
      </c>
      <c r="Z6" s="66" t="s">
        <v>76</v>
      </c>
      <c r="AB6" s="66" t="s">
        <v>76</v>
      </c>
      <c r="AC6" s="66" t="s">
        <v>76</v>
      </c>
      <c r="AE6" s="66" t="s">
        <v>76</v>
      </c>
    </row>
    <row r="7" spans="1:31" x14ac:dyDescent="0.25">
      <c r="A7" s="4" t="s">
        <v>1</v>
      </c>
      <c r="B7" s="4"/>
      <c r="C7" s="1" t="s">
        <v>2</v>
      </c>
      <c r="D7" s="99">
        <v>20173489</v>
      </c>
      <c r="E7" s="99">
        <f>+D7</f>
        <v>20173489</v>
      </c>
      <c r="F7" s="99">
        <v>25000000</v>
      </c>
      <c r="G7" s="3"/>
      <c r="H7" s="3"/>
      <c r="I7" s="3"/>
      <c r="J7" s="3">
        <v>20173489</v>
      </c>
      <c r="K7" s="3">
        <v>20173489</v>
      </c>
      <c r="L7" s="3"/>
      <c r="M7" s="3">
        <f>D7</f>
        <v>20173489</v>
      </c>
      <c r="N7" s="3">
        <f>D7</f>
        <v>20173489</v>
      </c>
      <c r="O7" s="3">
        <f>D7</f>
        <v>20173489</v>
      </c>
      <c r="P7" s="3">
        <f>D7</f>
        <v>20173489</v>
      </c>
      <c r="Q7" s="3"/>
      <c r="R7" s="51">
        <v>287500</v>
      </c>
      <c r="S7" t="s">
        <v>57</v>
      </c>
      <c r="U7" s="3">
        <f>X7</f>
        <v>20173489</v>
      </c>
      <c r="V7" s="54">
        <f>M7</f>
        <v>20173489</v>
      </c>
      <c r="X7" s="3">
        <f>D7</f>
        <v>20173489</v>
      </c>
      <c r="Z7" s="54">
        <f>N7</f>
        <v>20173489</v>
      </c>
      <c r="AA7" s="56"/>
      <c r="AB7" s="51">
        <f>535000*1.25</f>
        <v>668750</v>
      </c>
      <c r="AC7" t="s">
        <v>57</v>
      </c>
      <c r="AE7" s="51"/>
    </row>
    <row r="8" spans="1:31" x14ac:dyDescent="0.25">
      <c r="C8" s="1" t="s">
        <v>13</v>
      </c>
      <c r="D8" s="99"/>
      <c r="E8" s="99"/>
      <c r="F8" s="99"/>
      <c r="G8" s="3"/>
      <c r="H8" s="3"/>
      <c r="I8" s="3"/>
      <c r="J8" s="3"/>
      <c r="K8" s="3"/>
      <c r="L8" s="3"/>
      <c r="M8" s="3">
        <f>8000000</f>
        <v>8000000</v>
      </c>
      <c r="N8" s="3">
        <f>M8</f>
        <v>8000000</v>
      </c>
      <c r="O8" s="3">
        <f>M8</f>
        <v>8000000</v>
      </c>
      <c r="P8" s="3">
        <f>M8</f>
        <v>8000000</v>
      </c>
      <c r="Q8" s="3"/>
      <c r="R8" s="52">
        <v>168750</v>
      </c>
      <c r="S8" t="s">
        <v>72</v>
      </c>
      <c r="U8" s="24">
        <v>11096000</v>
      </c>
      <c r="V8" s="67">
        <v>11096000</v>
      </c>
      <c r="X8" s="24">
        <v>11096000</v>
      </c>
      <c r="Z8" s="70">
        <v>6000000</v>
      </c>
      <c r="AA8" s="56"/>
      <c r="AB8" s="52">
        <f>4400000*1.25</f>
        <v>5500000</v>
      </c>
      <c r="AC8" t="s">
        <v>70</v>
      </c>
      <c r="AE8" s="52"/>
    </row>
    <row r="9" spans="1:31" x14ac:dyDescent="0.25">
      <c r="C9" s="1" t="s">
        <v>14</v>
      </c>
      <c r="D9" s="99"/>
      <c r="E9" s="99"/>
      <c r="F9" s="99"/>
      <c r="G9" s="3"/>
      <c r="H9" s="3"/>
      <c r="I9" s="3"/>
      <c r="J9" s="3"/>
      <c r="K9" s="3"/>
      <c r="L9" s="3"/>
      <c r="M9" s="3"/>
      <c r="N9" s="3">
        <v>3500000</v>
      </c>
      <c r="O9" s="3">
        <f>N9</f>
        <v>3500000</v>
      </c>
      <c r="P9" s="3">
        <f>N9</f>
        <v>3500000</v>
      </c>
      <c r="Q9" s="3"/>
      <c r="R9" s="52">
        <v>281000</v>
      </c>
      <c r="S9" t="s">
        <v>58</v>
      </c>
      <c r="U9" s="25"/>
      <c r="V9" s="68"/>
      <c r="X9" s="25"/>
      <c r="Z9" s="75">
        <v>1900000</v>
      </c>
      <c r="AA9" s="56"/>
      <c r="AB9" s="52">
        <v>3000000</v>
      </c>
      <c r="AC9" t="s">
        <v>71</v>
      </c>
      <c r="AE9" s="52"/>
    </row>
    <row r="10" spans="1:31" x14ac:dyDescent="0.25">
      <c r="C10" s="1" t="s">
        <v>12</v>
      </c>
      <c r="D10" s="99"/>
      <c r="E10" s="99"/>
      <c r="F10" s="99"/>
      <c r="G10" s="3"/>
      <c r="H10" s="3"/>
      <c r="I10" s="3"/>
      <c r="J10" s="3"/>
      <c r="K10" s="3"/>
      <c r="L10" s="3"/>
      <c r="M10" s="3"/>
      <c r="N10" s="3"/>
      <c r="O10" s="3">
        <v>3000000</v>
      </c>
      <c r="P10" s="3">
        <f>O10</f>
        <v>3000000</v>
      </c>
      <c r="Q10" s="3"/>
      <c r="R10" s="52">
        <v>1314000</v>
      </c>
      <c r="S10" t="s">
        <v>89</v>
      </c>
      <c r="U10" s="3"/>
      <c r="V10" s="54"/>
      <c r="X10" s="3"/>
      <c r="Z10" s="54"/>
      <c r="AA10" s="56"/>
      <c r="AB10" s="52">
        <v>281000</v>
      </c>
      <c r="AC10" t="s">
        <v>58</v>
      </c>
      <c r="AE10" s="51"/>
    </row>
    <row r="11" spans="1:31" ht="15.6" x14ac:dyDescent="0.35">
      <c r="C11" s="1" t="s">
        <v>61</v>
      </c>
      <c r="D11" s="99"/>
      <c r="E11" s="99"/>
      <c r="F11" s="99"/>
      <c r="G11" s="3"/>
      <c r="H11" s="3"/>
      <c r="I11" s="3"/>
      <c r="J11" s="3"/>
      <c r="K11" s="3"/>
      <c r="L11" s="3"/>
      <c r="M11" s="3"/>
      <c r="N11" s="3"/>
      <c r="O11" s="3"/>
      <c r="P11" s="78">
        <v>9739130</v>
      </c>
      <c r="Q11" s="3"/>
      <c r="R11" s="51">
        <v>195000</v>
      </c>
      <c r="S11" t="s">
        <v>59</v>
      </c>
      <c r="U11" s="3">
        <v>14581000</v>
      </c>
      <c r="V11" s="54">
        <v>22059000</v>
      </c>
      <c r="X11" s="26" t="s">
        <v>50</v>
      </c>
      <c r="Z11" s="71" t="s">
        <v>50</v>
      </c>
      <c r="AA11" s="56"/>
      <c r="AB11" s="51">
        <v>195000</v>
      </c>
      <c r="AC11" t="s">
        <v>59</v>
      </c>
      <c r="AE11" s="54">
        <f>29597300+(2327000/1.4)</f>
        <v>31259442.857142858</v>
      </c>
    </row>
    <row r="12" spans="1:31" x14ac:dyDescent="0.25">
      <c r="C12" s="1"/>
      <c r="D12" s="99"/>
      <c r="E12" s="99"/>
      <c r="F12" s="9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1">
        <v>1255000</v>
      </c>
      <c r="S12" t="s">
        <v>73</v>
      </c>
      <c r="U12" s="3"/>
      <c r="V12" s="54"/>
      <c r="X12" s="47"/>
      <c r="Z12" s="72"/>
      <c r="AA12" s="56"/>
      <c r="AB12" s="51">
        <v>30000</v>
      </c>
      <c r="AC12" t="s">
        <v>60</v>
      </c>
      <c r="AE12" s="54"/>
    </row>
    <row r="13" spans="1:31" x14ac:dyDescent="0.25">
      <c r="C13" s="1"/>
      <c r="D13" s="99"/>
      <c r="E13" s="99"/>
      <c r="F13" s="9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1">
        <v>30000</v>
      </c>
      <c r="S13" t="s">
        <v>60</v>
      </c>
      <c r="U13" s="3"/>
      <c r="V13" s="54"/>
      <c r="X13" s="47"/>
      <c r="Z13" s="72"/>
      <c r="AA13" s="56"/>
      <c r="AE13" s="54"/>
    </row>
    <row r="14" spans="1:31" ht="14.4" x14ac:dyDescent="0.3">
      <c r="C14" s="1" t="s">
        <v>56</v>
      </c>
      <c r="D14" s="99"/>
      <c r="E14" s="99"/>
      <c r="F14" s="9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3">
        <f>SUM(R7:R13)</f>
        <v>3531250</v>
      </c>
      <c r="U14" s="31" t="s">
        <v>54</v>
      </c>
      <c r="V14" s="31" t="s">
        <v>55</v>
      </c>
      <c r="X14" s="3"/>
      <c r="Z14" s="54"/>
      <c r="AA14" s="56"/>
      <c r="AB14" s="53">
        <f>SUM(AB7:AB12)</f>
        <v>9674750</v>
      </c>
      <c r="AE14" s="53"/>
    </row>
    <row r="15" spans="1:31" x14ac:dyDescent="0.25">
      <c r="D15" s="99"/>
      <c r="E15" s="99"/>
      <c r="F15" s="9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4"/>
      <c r="S15" s="3"/>
      <c r="T15" s="3"/>
      <c r="U15" s="3"/>
      <c r="V15" s="54"/>
      <c r="X15" s="3"/>
      <c r="Z15" s="54"/>
      <c r="AA15" s="56"/>
      <c r="AB15" s="54"/>
      <c r="AE15" s="54"/>
    </row>
    <row r="16" spans="1:31" x14ac:dyDescent="0.25">
      <c r="C16" t="s">
        <v>6</v>
      </c>
      <c r="D16" s="3">
        <f>SUM(D7:D14)</f>
        <v>20173489</v>
      </c>
      <c r="E16" s="3">
        <f>SUM(E7:E15)</f>
        <v>20173489</v>
      </c>
      <c r="F16" s="3">
        <f>SUM(F7:F15)</f>
        <v>25000000</v>
      </c>
      <c r="G16" s="3"/>
      <c r="H16" s="3"/>
      <c r="I16" s="3"/>
      <c r="J16" s="3">
        <f>SUM(J7:J14)</f>
        <v>20173489</v>
      </c>
      <c r="K16" s="3">
        <f>SUM(K7:K14)</f>
        <v>20173489</v>
      </c>
      <c r="L16" s="3"/>
      <c r="M16" s="3">
        <f>SUM(M7:M14)</f>
        <v>28173489</v>
      </c>
      <c r="N16" s="3">
        <f>SUM(N7:N14)</f>
        <v>31673489</v>
      </c>
      <c r="O16" s="3">
        <f>SUM(O7:O14)</f>
        <v>34673489</v>
      </c>
      <c r="P16" s="3">
        <f>SUM(P7:P14)</f>
        <v>44412619</v>
      </c>
      <c r="Q16" s="3"/>
      <c r="R16" s="54">
        <f>R14</f>
        <v>3531250</v>
      </c>
      <c r="S16" s="3"/>
      <c r="T16" s="3"/>
      <c r="U16" s="3">
        <f>SUM(U7:U14)</f>
        <v>45850489</v>
      </c>
      <c r="V16" s="54">
        <f>SUM(V7:V14)</f>
        <v>53328489</v>
      </c>
      <c r="X16" s="3">
        <f>SUM(X7:X14)</f>
        <v>31269489</v>
      </c>
      <c r="Z16" s="54">
        <f>SUM(Z7:Z14)</f>
        <v>28073489</v>
      </c>
      <c r="AA16" s="56"/>
      <c r="AB16" s="54">
        <f>AB14</f>
        <v>9674750</v>
      </c>
      <c r="AE16" s="54">
        <f>AE11</f>
        <v>31259442.857142858</v>
      </c>
    </row>
    <row r="17" spans="1:31" ht="26.4" x14ac:dyDescent="0.25">
      <c r="A17" s="6" t="s">
        <v>7</v>
      </c>
      <c r="B17" s="6"/>
      <c r="D17" s="100">
        <v>550000</v>
      </c>
      <c r="E17" s="100">
        <f>+D17</f>
        <v>550000</v>
      </c>
      <c r="F17" s="100">
        <f>+E17</f>
        <v>550000</v>
      </c>
      <c r="G17" s="86"/>
      <c r="H17" s="86"/>
      <c r="I17" s="86"/>
      <c r="J17" s="3">
        <v>550000</v>
      </c>
      <c r="K17" s="3">
        <v>550000</v>
      </c>
      <c r="L17" s="3"/>
      <c r="M17" s="3">
        <f>D17</f>
        <v>550000</v>
      </c>
      <c r="N17" s="3">
        <f>D17</f>
        <v>550000</v>
      </c>
      <c r="O17" s="3">
        <f>D17</f>
        <v>550000</v>
      </c>
      <c r="P17" s="3">
        <f>D17</f>
        <v>550000</v>
      </c>
      <c r="Q17" s="3"/>
      <c r="R17" s="54">
        <v>0</v>
      </c>
      <c r="S17" s="3"/>
      <c r="T17" s="3"/>
      <c r="U17" s="3">
        <f>N17</f>
        <v>550000</v>
      </c>
      <c r="V17" s="54">
        <f>U17</f>
        <v>550000</v>
      </c>
      <c r="X17" s="3">
        <f>D17</f>
        <v>550000</v>
      </c>
      <c r="Z17" s="54">
        <f>N17</f>
        <v>550000</v>
      </c>
      <c r="AA17" s="56"/>
      <c r="AB17" s="54">
        <v>0</v>
      </c>
      <c r="AE17" s="54">
        <v>0</v>
      </c>
    </row>
    <row r="18" spans="1:31" x14ac:dyDescent="0.25">
      <c r="C18" t="s">
        <v>8</v>
      </c>
      <c r="D18" s="3">
        <f>D16+D17</f>
        <v>20723489</v>
      </c>
      <c r="E18" s="3">
        <f>+E16+E17</f>
        <v>20723489</v>
      </c>
      <c r="F18" s="3">
        <f>+F16+F17</f>
        <v>25550000</v>
      </c>
      <c r="G18" s="3"/>
      <c r="H18" s="3"/>
      <c r="I18" s="3"/>
      <c r="J18" s="3">
        <f>J16+J17</f>
        <v>20723489</v>
      </c>
      <c r="K18" s="3">
        <f>K16+K17</f>
        <v>20723489</v>
      </c>
      <c r="L18" s="3"/>
      <c r="M18" s="3">
        <f>M16+M17</f>
        <v>28723489</v>
      </c>
      <c r="N18" s="3">
        <f>N16+N17</f>
        <v>32223489</v>
      </c>
      <c r="O18" s="3">
        <f>O16+O17</f>
        <v>35223489</v>
      </c>
      <c r="P18" s="3">
        <f>P16+P17</f>
        <v>44962619</v>
      </c>
      <c r="Q18" s="3"/>
      <c r="R18" s="54">
        <f>R16+R17</f>
        <v>3531250</v>
      </c>
      <c r="S18" s="3"/>
      <c r="T18" s="3"/>
      <c r="U18" s="3">
        <f>U16+U17</f>
        <v>46400489</v>
      </c>
      <c r="V18" s="54">
        <f>V16+V17</f>
        <v>53878489</v>
      </c>
      <c r="X18" s="3">
        <f>X16+X17</f>
        <v>31819489</v>
      </c>
      <c r="Z18" s="54">
        <f>Z16+Z17</f>
        <v>28623489</v>
      </c>
      <c r="AA18" s="56"/>
      <c r="AB18" s="54">
        <f>AB16+AB17</f>
        <v>9674750</v>
      </c>
      <c r="AE18" s="54">
        <f>AE16+AE17</f>
        <v>31259442.857142858</v>
      </c>
    </row>
    <row r="19" spans="1:31" x14ac:dyDescent="0.25">
      <c r="A19" s="2" t="s">
        <v>9</v>
      </c>
      <c r="B19" s="2"/>
      <c r="C19" s="101">
        <v>0.15</v>
      </c>
      <c r="D19" s="86">
        <f>D18*$C$19</f>
        <v>3108523.35</v>
      </c>
      <c r="E19" s="86">
        <f>+E18*$C$19</f>
        <v>3108523.35</v>
      </c>
      <c r="F19" s="86">
        <f>+F18*$C$19</f>
        <v>3832500</v>
      </c>
      <c r="G19" s="86"/>
      <c r="H19" s="86"/>
      <c r="I19" s="86"/>
      <c r="J19" s="3">
        <f>J18*$C$19</f>
        <v>3108523.35</v>
      </c>
      <c r="K19" s="3">
        <f>K18*$C$19</f>
        <v>3108523.35</v>
      </c>
      <c r="L19" s="3"/>
      <c r="M19" s="3">
        <f>D19+1200000</f>
        <v>4308523.3499999996</v>
      </c>
      <c r="N19" s="3">
        <f>O19-450000</f>
        <v>4833523.3499999996</v>
      </c>
      <c r="O19" s="3">
        <f>O18*$C$19</f>
        <v>5283523.3499999996</v>
      </c>
      <c r="P19" s="3">
        <f>P18*$C$19</f>
        <v>6744392.8499999996</v>
      </c>
      <c r="Q19" s="3"/>
      <c r="R19" s="55">
        <v>328750</v>
      </c>
      <c r="S19" s="3"/>
      <c r="T19" s="3"/>
      <c r="U19" s="28">
        <f>X19+874860+463676</f>
        <v>5465672.3499999996</v>
      </c>
      <c r="V19" s="55">
        <f>X19+1323540+701476</f>
        <v>6152152.3499999996</v>
      </c>
      <c r="X19" s="28">
        <f>D19+665760+352853</f>
        <v>4127136.35</v>
      </c>
      <c r="Z19" s="55">
        <f>D19+725220</f>
        <v>3833743.35</v>
      </c>
      <c r="AA19" s="56"/>
      <c r="AB19" s="55">
        <f>AB18*C19</f>
        <v>1451212.5</v>
      </c>
      <c r="AE19" s="55">
        <f>5920000+1480000+4440000+(2327000-2327000/1.4)</f>
        <v>12504857.142857142</v>
      </c>
    </row>
    <row r="20" spans="1:31" x14ac:dyDescent="0.25">
      <c r="C20" t="s">
        <v>10</v>
      </c>
      <c r="D20" s="3">
        <f>D18+D19</f>
        <v>23832012.350000001</v>
      </c>
      <c r="E20" s="3">
        <f>+E19+E18</f>
        <v>23832012.350000001</v>
      </c>
      <c r="F20" s="3">
        <f>+F19+F18</f>
        <v>29382500</v>
      </c>
      <c r="G20" s="3"/>
      <c r="H20" s="3"/>
      <c r="I20" s="3"/>
      <c r="J20" s="3">
        <f>J18+J19</f>
        <v>23832012.350000001</v>
      </c>
      <c r="K20" s="3">
        <f>K18+K19</f>
        <v>23832012.350000001</v>
      </c>
      <c r="L20" s="3"/>
      <c r="M20" s="3">
        <f>M18+M19</f>
        <v>33032012.350000001</v>
      </c>
      <c r="N20" s="3">
        <f>N18+N19</f>
        <v>37057012.350000001</v>
      </c>
      <c r="O20" s="3">
        <f>O18+O19</f>
        <v>40507012.350000001</v>
      </c>
      <c r="P20" s="3">
        <f>P18+P19</f>
        <v>51707011.850000001</v>
      </c>
      <c r="Q20" s="3"/>
      <c r="R20" s="54">
        <f>R18+R19</f>
        <v>3860000</v>
      </c>
      <c r="S20" s="3"/>
      <c r="T20" s="3"/>
      <c r="U20" s="3">
        <f>U18+U19</f>
        <v>51866161.350000001</v>
      </c>
      <c r="V20" s="54">
        <f>V18+V19</f>
        <v>60030641.350000001</v>
      </c>
      <c r="X20" s="3">
        <f>X18+X19</f>
        <v>35946625.350000001</v>
      </c>
      <c r="Z20" s="54">
        <f>Z18+Z19</f>
        <v>32457232.350000001</v>
      </c>
      <c r="AA20" s="56"/>
      <c r="AB20" s="54">
        <f>AB18+AB19</f>
        <v>11125962.5</v>
      </c>
      <c r="AE20" s="54">
        <f>AE18+AE19</f>
        <v>43764300</v>
      </c>
    </row>
    <row r="21" spans="1:31" x14ac:dyDescent="0.25">
      <c r="A21" s="2" t="s">
        <v>11</v>
      </c>
      <c r="B21" s="2"/>
      <c r="C21" s="102">
        <v>0.1</v>
      </c>
      <c r="D21" s="100">
        <f>2386809</f>
        <v>2386809</v>
      </c>
      <c r="E21" s="86">
        <f>+E20*($D$21/$D$20)</f>
        <v>2386809</v>
      </c>
      <c r="F21" s="86">
        <f>+F20*($D$21/$D$20)</f>
        <v>2942698.0152811138</v>
      </c>
      <c r="G21" s="86"/>
      <c r="H21" s="86"/>
      <c r="I21" s="86"/>
      <c r="J21" s="3">
        <f>2386809</f>
        <v>2386809</v>
      </c>
      <c r="K21" s="3">
        <f>2386809</f>
        <v>2386809</v>
      </c>
      <c r="L21" s="3"/>
      <c r="M21" s="3">
        <f>D21+818598</f>
        <v>3205407</v>
      </c>
      <c r="N21" s="3">
        <f>O21-698411</f>
        <v>3563545</v>
      </c>
      <c r="O21" s="3">
        <v>4261956</v>
      </c>
      <c r="P21" s="3">
        <f>5312114</f>
        <v>5312114</v>
      </c>
      <c r="Q21" s="3"/>
      <c r="R21" s="55">
        <f>R20*C21</f>
        <v>386000</v>
      </c>
      <c r="S21" s="3"/>
      <c r="T21" s="3"/>
      <c r="U21" s="28">
        <f>X21+2601871</f>
        <v>7051497</v>
      </c>
      <c r="V21" s="55">
        <f>X21+3936264</f>
        <v>8385890</v>
      </c>
      <c r="X21" s="28">
        <f>D21+2062817</f>
        <v>4449626</v>
      </c>
      <c r="Z21" s="55">
        <f>D21+1468660</f>
        <v>3855469</v>
      </c>
      <c r="AA21" s="56"/>
      <c r="AB21" s="55">
        <f>AB20*C21</f>
        <v>1112596.25</v>
      </c>
      <c r="AE21" s="55">
        <f>AE20*C21</f>
        <v>4376430</v>
      </c>
    </row>
    <row r="22" spans="1:31" x14ac:dyDescent="0.25">
      <c r="C22" t="s">
        <v>15</v>
      </c>
      <c r="D22" s="3">
        <f>D20+D21</f>
        <v>26218821.350000001</v>
      </c>
      <c r="E22" s="3">
        <f>+E21+E20</f>
        <v>26218821.350000001</v>
      </c>
      <c r="F22" s="3">
        <f>+F21+F20</f>
        <v>32325198.015281115</v>
      </c>
      <c r="G22" s="3"/>
      <c r="H22" s="3"/>
      <c r="I22" s="3"/>
      <c r="J22" s="3">
        <f>J20+J21</f>
        <v>26218821.350000001</v>
      </c>
      <c r="K22" s="3">
        <f>K20+K21</f>
        <v>26218821.350000001</v>
      </c>
      <c r="L22" s="3"/>
      <c r="M22" s="3">
        <f>M20+M21</f>
        <v>36237419.350000001</v>
      </c>
      <c r="N22" s="3">
        <f>N20+N21</f>
        <v>40620557.350000001</v>
      </c>
      <c r="O22" s="3">
        <f>O20+O21</f>
        <v>44768968.350000001</v>
      </c>
      <c r="P22" s="3">
        <f>P20+P21</f>
        <v>57019125.850000001</v>
      </c>
      <c r="Q22" s="3"/>
      <c r="R22" s="54">
        <f>R20+R21</f>
        <v>4246000</v>
      </c>
      <c r="S22" s="3"/>
      <c r="T22" s="3"/>
      <c r="U22" s="3">
        <f>U20+U21</f>
        <v>58917658.350000001</v>
      </c>
      <c r="V22" s="54">
        <f>V20+V21</f>
        <v>68416531.349999994</v>
      </c>
      <c r="X22" s="3">
        <f>X20+X21</f>
        <v>40396251.350000001</v>
      </c>
      <c r="Z22" s="54">
        <f>Z20+Z21</f>
        <v>36312701.350000001</v>
      </c>
      <c r="AA22" s="56"/>
      <c r="AB22" s="54">
        <f>AB20+AB21</f>
        <v>12238558.75</v>
      </c>
      <c r="AE22" s="54">
        <f>AE20+AE21</f>
        <v>48140730</v>
      </c>
    </row>
    <row r="23" spans="1:31" x14ac:dyDescent="0.25">
      <c r="A23" s="2" t="s">
        <v>16</v>
      </c>
      <c r="B23" s="2"/>
      <c r="D23" s="86">
        <f>D17</f>
        <v>550000</v>
      </c>
      <c r="E23" s="86">
        <f>+D23</f>
        <v>550000</v>
      </c>
      <c r="F23" s="86">
        <f>+E23</f>
        <v>550000</v>
      </c>
      <c r="G23" s="86"/>
      <c r="H23" s="86"/>
      <c r="I23" s="86"/>
      <c r="J23" s="3">
        <f>J17</f>
        <v>550000</v>
      </c>
      <c r="K23" s="3">
        <f>K17</f>
        <v>550000</v>
      </c>
      <c r="L23" s="3"/>
      <c r="M23" s="3">
        <f>M17</f>
        <v>550000</v>
      </c>
      <c r="N23" s="3">
        <f>N17</f>
        <v>550000</v>
      </c>
      <c r="O23" s="3">
        <f>O17</f>
        <v>550000</v>
      </c>
      <c r="P23" s="3">
        <f>P17</f>
        <v>550000</v>
      </c>
      <c r="Q23" s="3"/>
      <c r="R23" s="54">
        <f>R17</f>
        <v>0</v>
      </c>
      <c r="S23" s="3"/>
      <c r="T23" s="3"/>
      <c r="U23" s="3">
        <f>U17</f>
        <v>550000</v>
      </c>
      <c r="V23" s="54">
        <f>U23</f>
        <v>550000</v>
      </c>
      <c r="X23" s="3">
        <f>X17</f>
        <v>550000</v>
      </c>
      <c r="Z23" s="54">
        <f>Z17</f>
        <v>550000</v>
      </c>
      <c r="AA23" s="56"/>
      <c r="AB23" s="54">
        <f>AB17</f>
        <v>0</v>
      </c>
      <c r="AE23" s="54">
        <f>AE17</f>
        <v>0</v>
      </c>
    </row>
    <row r="24" spans="1:31" x14ac:dyDescent="0.25">
      <c r="C24" s="2" t="s">
        <v>17</v>
      </c>
      <c r="D24" s="3">
        <f>D22-D23</f>
        <v>25668821.350000001</v>
      </c>
      <c r="E24" s="3">
        <f>+E22-E23</f>
        <v>25668821.350000001</v>
      </c>
      <c r="F24" s="3">
        <f>+F22-F23</f>
        <v>31775198.015281115</v>
      </c>
      <c r="G24" s="3"/>
      <c r="H24" s="3"/>
      <c r="I24" s="3"/>
      <c r="J24" s="3">
        <f>J22-J23</f>
        <v>25668821.350000001</v>
      </c>
      <c r="K24" s="3">
        <f>K22-K23</f>
        <v>25668821.350000001</v>
      </c>
      <c r="L24" s="3"/>
      <c r="M24" s="3">
        <f>M22-M23</f>
        <v>35687419.350000001</v>
      </c>
      <c r="N24" s="3">
        <f>N22-N23</f>
        <v>40070557.350000001</v>
      </c>
      <c r="O24" s="3">
        <f>O22-O23</f>
        <v>44218968.350000001</v>
      </c>
      <c r="P24" s="3">
        <f>P22-P23</f>
        <v>56469125.850000001</v>
      </c>
      <c r="Q24" s="3"/>
      <c r="R24" s="54">
        <f>R22-R23</f>
        <v>4246000</v>
      </c>
      <c r="S24" s="3"/>
      <c r="T24" s="3"/>
      <c r="U24" s="3">
        <f>U22-U23</f>
        <v>58367658.350000001</v>
      </c>
      <c r="V24" s="54">
        <f>V22-V23</f>
        <v>67866531.349999994</v>
      </c>
      <c r="X24" s="3">
        <f>X22-X23</f>
        <v>39846251.350000001</v>
      </c>
      <c r="Z24" s="54">
        <f>Z22-Z23</f>
        <v>35762701.350000001</v>
      </c>
      <c r="AA24" s="56"/>
      <c r="AB24" s="54">
        <f>AB22-AB23</f>
        <v>12238558.75</v>
      </c>
      <c r="AE24" s="54">
        <f>AE22-AE23</f>
        <v>48140730</v>
      </c>
    </row>
    <row r="25" spans="1:31" x14ac:dyDescent="0.25">
      <c r="A25" s="2" t="s">
        <v>18</v>
      </c>
      <c r="B25" s="2"/>
      <c r="D25" s="103">
        <v>155086000</v>
      </c>
      <c r="E25" s="103">
        <f>+D25</f>
        <v>155086000</v>
      </c>
      <c r="F25" s="103">
        <f>+E25</f>
        <v>155086000</v>
      </c>
      <c r="G25" s="3"/>
      <c r="H25" s="3"/>
      <c r="I25" s="3"/>
      <c r="J25" s="3">
        <v>155086000</v>
      </c>
      <c r="K25" s="3">
        <v>155086000</v>
      </c>
      <c r="L25" s="3"/>
      <c r="M25" s="3">
        <f>D25</f>
        <v>155086000</v>
      </c>
      <c r="N25" s="3">
        <f>D25</f>
        <v>155086000</v>
      </c>
      <c r="O25" s="3">
        <f>D25</f>
        <v>155086000</v>
      </c>
      <c r="P25" s="3">
        <f>D25</f>
        <v>155086000</v>
      </c>
      <c r="Q25" s="3"/>
      <c r="R25" s="54">
        <v>0</v>
      </c>
      <c r="S25" s="3"/>
      <c r="T25" s="3"/>
      <c r="U25" s="3">
        <v>155086000</v>
      </c>
      <c r="V25" s="54">
        <v>155086000</v>
      </c>
      <c r="X25" s="3">
        <v>155086000</v>
      </c>
      <c r="Z25" s="54">
        <v>155086000</v>
      </c>
      <c r="AA25" s="56"/>
      <c r="AB25" s="54">
        <v>0</v>
      </c>
      <c r="AE25" s="54">
        <v>0</v>
      </c>
    </row>
    <row r="26" spans="1:31" x14ac:dyDescent="0.2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56"/>
      <c r="S26" s="3"/>
      <c r="T26" s="3"/>
      <c r="V26" s="56"/>
      <c r="Z26" s="56"/>
      <c r="AA26" s="56"/>
      <c r="AB26" s="56"/>
      <c r="AE26" s="56"/>
    </row>
    <row r="27" spans="1:31" x14ac:dyDescent="0.25">
      <c r="A27" s="2" t="s">
        <v>19</v>
      </c>
      <c r="B27" s="2"/>
      <c r="D27" s="3">
        <f>D24+D25</f>
        <v>180754821.34999999</v>
      </c>
      <c r="E27" s="3">
        <f>+E24+E25</f>
        <v>180754821.34999999</v>
      </c>
      <c r="F27" s="3">
        <f>+F24+F25</f>
        <v>186861198.01528111</v>
      </c>
      <c r="G27" s="3"/>
      <c r="H27" s="3"/>
      <c r="I27" s="3"/>
      <c r="J27" s="3">
        <f>J24+J25</f>
        <v>180754821.34999999</v>
      </c>
      <c r="K27" s="3">
        <f>K24+K25</f>
        <v>180754821.34999999</v>
      </c>
      <c r="L27" s="3"/>
      <c r="M27" s="3">
        <f>M24+M25</f>
        <v>190773419.34999999</v>
      </c>
      <c r="N27" s="3">
        <f>N24+N25</f>
        <v>195156557.34999999</v>
      </c>
      <c r="O27" s="3">
        <f>O24+O25</f>
        <v>199304968.34999999</v>
      </c>
      <c r="P27" s="3">
        <f>P24+P25</f>
        <v>211555125.84999999</v>
      </c>
      <c r="Q27" s="3"/>
      <c r="R27" s="54">
        <f>R24+R25</f>
        <v>4246000</v>
      </c>
      <c r="S27" s="3"/>
      <c r="T27" s="3"/>
      <c r="U27" s="3">
        <f>U24+U25</f>
        <v>213453658.34999999</v>
      </c>
      <c r="V27" s="54">
        <f>V24+V25</f>
        <v>222952531.34999999</v>
      </c>
      <c r="X27" s="3">
        <f>X24+X25</f>
        <v>194932251.34999999</v>
      </c>
      <c r="Z27" s="54">
        <f>Z24+Z25</f>
        <v>190848701.34999999</v>
      </c>
      <c r="AA27" s="56"/>
      <c r="AB27" s="54">
        <f>AB24+AB25</f>
        <v>12238558.75</v>
      </c>
      <c r="AE27" s="54">
        <f>AE24+AE25</f>
        <v>48140730</v>
      </c>
    </row>
    <row r="28" spans="1:31" x14ac:dyDescent="0.25">
      <c r="A28" s="2" t="s">
        <v>96</v>
      </c>
      <c r="B28" s="2"/>
      <c r="D28" s="100">
        <v>3500000</v>
      </c>
      <c r="E28" s="100">
        <v>3500000</v>
      </c>
      <c r="F28" s="100">
        <v>3500000</v>
      </c>
      <c r="G28" s="86"/>
      <c r="H28" s="86"/>
      <c r="I28" s="86"/>
      <c r="J28" s="3"/>
      <c r="K28" s="3"/>
      <c r="L28" s="3"/>
      <c r="M28" s="3"/>
      <c r="N28" s="3"/>
      <c r="O28" s="3"/>
      <c r="P28" s="3"/>
      <c r="Q28" s="3"/>
      <c r="R28" s="54"/>
      <c r="S28" s="3"/>
      <c r="T28" s="3"/>
      <c r="U28" s="3"/>
      <c r="V28" s="54"/>
      <c r="X28" s="3"/>
      <c r="Z28" s="54"/>
      <c r="AA28" s="56"/>
      <c r="AB28" s="54"/>
      <c r="AE28" s="54"/>
    </row>
    <row r="29" spans="1:31" x14ac:dyDescent="0.25">
      <c r="A29" s="2" t="s">
        <v>98</v>
      </c>
      <c r="B29" s="2"/>
      <c r="D29" s="3">
        <f>+D27-D28</f>
        <v>177254821.34999999</v>
      </c>
      <c r="E29" s="3">
        <f>+E27-E28</f>
        <v>177254821.34999999</v>
      </c>
      <c r="F29" s="3">
        <f>+F27-F28</f>
        <v>183361198.01528111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54"/>
      <c r="S29" s="3"/>
      <c r="T29" s="3"/>
      <c r="U29" s="3"/>
      <c r="V29" s="54"/>
      <c r="X29" s="3"/>
      <c r="Z29" s="54"/>
      <c r="AA29" s="56"/>
      <c r="AB29" s="54"/>
      <c r="AE29" s="54"/>
    </row>
    <row r="30" spans="1:31" x14ac:dyDescent="0.25">
      <c r="A30" s="2"/>
      <c r="B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54"/>
      <c r="S30" s="3"/>
      <c r="T30" s="3"/>
      <c r="U30" s="3"/>
      <c r="V30" s="54"/>
      <c r="X30" s="3"/>
      <c r="Z30" s="54"/>
      <c r="AA30" s="56"/>
      <c r="AB30" s="54"/>
      <c r="AE30" s="54"/>
    </row>
    <row r="31" spans="1:31" x14ac:dyDescent="0.25">
      <c r="A31" s="2" t="s">
        <v>93</v>
      </c>
      <c r="B31" s="2"/>
      <c r="D31" s="3">
        <v>70491601</v>
      </c>
      <c r="E31" s="3">
        <f>+E27-108703378-(E37/2)</f>
        <v>70491600.92211999</v>
      </c>
      <c r="F31" s="3">
        <f>+F27-108703378-(F37/2)</f>
        <v>76544241.47274664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4"/>
      <c r="S31" s="3"/>
      <c r="T31" s="3"/>
      <c r="U31" s="3"/>
      <c r="V31" s="54"/>
      <c r="X31" s="3"/>
      <c r="Z31" s="54"/>
      <c r="AA31" s="56"/>
      <c r="AB31" s="54"/>
      <c r="AE31" s="54"/>
    </row>
    <row r="32" spans="1:31" x14ac:dyDescent="0.25">
      <c r="A32" s="2" t="s">
        <v>94</v>
      </c>
      <c r="B32" s="2"/>
      <c r="D32" s="3">
        <v>-16016851</v>
      </c>
      <c r="E32" s="3">
        <f>-16374000+(0.02782745*E24)/2</f>
        <v>-16016851.078661971</v>
      </c>
      <c r="F32" s="3">
        <f>-16374000+(0.02782745*F24)/2</f>
        <v>-15931888.632994832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54"/>
      <c r="S32" s="3"/>
      <c r="T32" s="3"/>
      <c r="U32" s="3"/>
      <c r="V32" s="54"/>
      <c r="X32" s="3"/>
      <c r="Z32" s="54"/>
      <c r="AA32" s="56"/>
      <c r="AB32" s="54"/>
      <c r="AE32" s="54"/>
    </row>
    <row r="33" spans="1:31" x14ac:dyDescent="0.25">
      <c r="A33" s="2" t="s">
        <v>95</v>
      </c>
      <c r="B33" s="2"/>
      <c r="D33" s="100">
        <v>2296000</v>
      </c>
      <c r="E33" s="100">
        <f>+D33</f>
        <v>2296000</v>
      </c>
      <c r="F33" s="100">
        <f>+E33</f>
        <v>2296000</v>
      </c>
      <c r="G33" s="86"/>
      <c r="H33" s="86"/>
      <c r="I33" s="86"/>
      <c r="J33" s="3"/>
      <c r="K33" s="3"/>
      <c r="L33" s="3"/>
      <c r="M33" s="3"/>
      <c r="N33" s="3"/>
      <c r="O33" s="3"/>
      <c r="P33" s="3"/>
      <c r="Q33" s="3"/>
      <c r="R33" s="54"/>
      <c r="S33" s="3"/>
      <c r="T33" s="3"/>
      <c r="U33" s="3"/>
      <c r="V33" s="54"/>
      <c r="X33" s="3"/>
      <c r="Z33" s="54"/>
      <c r="AA33" s="56"/>
      <c r="AB33" s="54"/>
      <c r="AE33" s="54"/>
    </row>
    <row r="34" spans="1:31" x14ac:dyDescent="0.25">
      <c r="A34" s="98" t="s">
        <v>101</v>
      </c>
      <c r="B34" s="2"/>
      <c r="D34" s="3">
        <f>+D31+D32+D33</f>
        <v>56770750</v>
      </c>
      <c r="E34" s="3">
        <f>SUM(E31:E33)</f>
        <v>56770749.843458019</v>
      </c>
      <c r="F34" s="3">
        <f>SUM(F31:F33)</f>
        <v>62908352.83975181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54"/>
      <c r="S34" s="3"/>
      <c r="T34" s="3"/>
      <c r="U34" s="3"/>
      <c r="V34" s="54"/>
      <c r="X34" s="3"/>
      <c r="Z34" s="54"/>
      <c r="AA34" s="56"/>
      <c r="AB34" s="54"/>
      <c r="AE34" s="54"/>
    </row>
    <row r="35" spans="1:31" ht="13.8" thickBot="1" x14ac:dyDescent="0.3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57"/>
      <c r="S35" s="3"/>
      <c r="T35" s="3"/>
      <c r="U35" s="29" t="s">
        <v>53</v>
      </c>
      <c r="V35" s="57" t="s">
        <v>80</v>
      </c>
      <c r="X35" s="29" t="s">
        <v>51</v>
      </c>
      <c r="Z35" s="57"/>
      <c r="AA35" s="56"/>
      <c r="AB35" s="57"/>
      <c r="AE35" s="57"/>
    </row>
    <row r="36" spans="1:31" ht="13.8" thickBot="1" x14ac:dyDescent="0.3">
      <c r="A36" s="8" t="s">
        <v>20</v>
      </c>
      <c r="B36" s="88"/>
      <c r="C36" s="3"/>
      <c r="R36" s="54"/>
      <c r="U36" s="3"/>
      <c r="V36" s="54"/>
      <c r="Z36" s="56"/>
      <c r="AA36" s="56"/>
      <c r="AB36" s="54"/>
      <c r="AE36" s="54"/>
    </row>
    <row r="37" spans="1:31" x14ac:dyDescent="0.25">
      <c r="A37" s="2" t="s">
        <v>21</v>
      </c>
      <c r="B37" s="2"/>
      <c r="C37" s="104">
        <v>1.7600000000000001E-2</v>
      </c>
      <c r="D37" s="3">
        <f>3119685</f>
        <v>3119685</v>
      </c>
      <c r="E37" s="3">
        <f>+(E27-E28)*$C$37</f>
        <v>3119684.8557600002</v>
      </c>
      <c r="F37" s="3">
        <f>+(F27-F28)*$C$37</f>
        <v>3227157.0850689476</v>
      </c>
      <c r="G37" s="3"/>
      <c r="H37" s="3"/>
      <c r="I37" s="3"/>
      <c r="J37" s="3">
        <f>3119685</f>
        <v>3119685</v>
      </c>
      <c r="K37" s="3">
        <f>3119685</f>
        <v>3119685</v>
      </c>
      <c r="L37" s="3"/>
      <c r="M37" s="3">
        <f>D37+176327</f>
        <v>3296012</v>
      </c>
      <c r="N37" s="3">
        <f>O37-73012</f>
        <v>3373155</v>
      </c>
      <c r="O37" s="3">
        <f>P37-215603</f>
        <v>3446167</v>
      </c>
      <c r="P37" s="3">
        <v>3661770</v>
      </c>
      <c r="Q37" s="3"/>
      <c r="R37" s="54">
        <f>(P37-O37)/($P$27-$O$27)*$R$27</f>
        <v>74729.679026575788</v>
      </c>
      <c r="U37" s="3">
        <v>3695185</v>
      </c>
      <c r="V37" s="54">
        <f>X37/X27*V27</f>
        <v>3853510.3711285936</v>
      </c>
      <c r="X37" s="3">
        <v>3369208</v>
      </c>
      <c r="Z37" s="54">
        <f>X37/X27*Z27</f>
        <v>3298627.9434258984</v>
      </c>
      <c r="AA37" s="56"/>
      <c r="AB37" s="54">
        <f>D37*$AB$27/$D$27</f>
        <v>211227.82711319224</v>
      </c>
      <c r="AE37" s="54">
        <f>D37*$AE$27/$D$27</f>
        <v>830870.85671283538</v>
      </c>
    </row>
    <row r="38" spans="1:31" x14ac:dyDescent="0.25">
      <c r="A38" s="2" t="s">
        <v>22</v>
      </c>
      <c r="B38" s="107">
        <v>0.409731113956466</v>
      </c>
      <c r="C38" s="105">
        <v>7.8100000000000003E-2</v>
      </c>
      <c r="D38" s="3">
        <v>1816664</v>
      </c>
      <c r="E38" s="3">
        <f>+E34*$B$38*$C$38</f>
        <v>1816663.9949906564</v>
      </c>
      <c r="F38" s="3">
        <f>+F34*$B$38*$C$38</f>
        <v>2013067.2908720574</v>
      </c>
      <c r="G38" s="3"/>
      <c r="H38" s="3"/>
      <c r="I38" s="3"/>
      <c r="J38" s="3">
        <v>1816664</v>
      </c>
      <c r="K38" s="3">
        <v>1816664</v>
      </c>
      <c r="L38" s="3"/>
      <c r="M38" s="3">
        <f>D38+315754</f>
        <v>2132418</v>
      </c>
      <c r="N38" s="3">
        <f>O38-130744</f>
        <v>2270560</v>
      </c>
      <c r="O38" s="3">
        <f>2787389-386085</f>
        <v>2401304</v>
      </c>
      <c r="P38" s="3">
        <v>2787389</v>
      </c>
      <c r="Q38" s="3"/>
      <c r="R38" s="54">
        <f t="shared" ref="R38:R43" si="0">(P38-O38)/($P$27-$O$27)*$R$27</f>
        <v>133820.06802769681</v>
      </c>
      <c r="U38" s="24">
        <v>9413638</v>
      </c>
      <c r="V38" s="67">
        <f>X38+(U38-X38)/(U$27-X$27)*(V$27-X$27)</f>
        <v>10403441.794147819</v>
      </c>
      <c r="X38" s="24">
        <v>7483666</v>
      </c>
      <c r="Z38" s="67">
        <f>(D38+D39)+(X38-D38-D39)/(X27-D27)*(Z27-D27)</f>
        <v>7058150.6442867294</v>
      </c>
      <c r="AA38" s="56"/>
      <c r="AB38" s="67">
        <f>($U38-$X38)/$U11*$AB14</f>
        <v>1280570.3728825185</v>
      </c>
      <c r="AE38" s="67">
        <f>($U38-$X38)/$U$11*$AE$11</f>
        <v>4137565.9728335314</v>
      </c>
    </row>
    <row r="39" spans="1:31" x14ac:dyDescent="0.25">
      <c r="A39" s="2" t="s">
        <v>23</v>
      </c>
      <c r="B39" s="107">
        <v>0.59039995067882667</v>
      </c>
      <c r="C39" s="105">
        <v>0.125</v>
      </c>
      <c r="D39" s="3">
        <v>4189681</v>
      </c>
      <c r="E39" s="3">
        <f>+E34*$B$39*$C$39</f>
        <v>4189680.9884472028</v>
      </c>
      <c r="F39" s="3">
        <f>+F34*$B$39*$C$39</f>
        <v>4642636.0517344614</v>
      </c>
      <c r="G39" s="3"/>
      <c r="H39" s="3"/>
      <c r="I39" s="3"/>
      <c r="J39" s="3">
        <v>4189681</v>
      </c>
      <c r="K39" s="3">
        <v>4189681</v>
      </c>
      <c r="L39" s="3"/>
      <c r="M39" s="3">
        <f>D39+728206</f>
        <v>4917887</v>
      </c>
      <c r="N39" s="3">
        <f>O39-301530</f>
        <v>5236478</v>
      </c>
      <c r="O39" s="3">
        <v>5538008</v>
      </c>
      <c r="P39" s="3">
        <v>6428417</v>
      </c>
      <c r="Q39" s="3"/>
      <c r="R39" s="54">
        <f t="shared" si="0"/>
        <v>308622.69436127658</v>
      </c>
      <c r="U39" s="25"/>
      <c r="V39" s="68"/>
      <c r="X39" s="25"/>
      <c r="Z39" s="68"/>
      <c r="AA39" s="56"/>
      <c r="AB39" s="68"/>
      <c r="AE39" s="68"/>
    </row>
    <row r="40" spans="1:31" x14ac:dyDescent="0.25">
      <c r="A40" s="2" t="s">
        <v>97</v>
      </c>
      <c r="B40" s="2"/>
      <c r="C40" s="106"/>
      <c r="D40" s="99">
        <v>562291</v>
      </c>
      <c r="E40" s="3">
        <f>+E21*($D$40/$D$21)</f>
        <v>562291</v>
      </c>
      <c r="F40" s="3">
        <f>+F21*($D$40/$D$21)</f>
        <v>693248.85640637053</v>
      </c>
      <c r="G40" s="3"/>
      <c r="H40" s="3"/>
      <c r="I40" s="3"/>
      <c r="J40" s="3">
        <v>562291</v>
      </c>
      <c r="K40" s="3">
        <v>562291</v>
      </c>
      <c r="L40" s="3"/>
      <c r="M40" s="3">
        <f>D40+23689</f>
        <v>585980</v>
      </c>
      <c r="N40" s="3">
        <f>O40-5730</f>
        <v>596344</v>
      </c>
      <c r="O40" s="3">
        <v>602074</v>
      </c>
      <c r="P40" s="3">
        <v>632465</v>
      </c>
      <c r="Q40" s="3"/>
      <c r="R40" s="54">
        <f t="shared" si="0"/>
        <v>10533.757300671439</v>
      </c>
      <c r="U40" s="3">
        <v>656416</v>
      </c>
      <c r="V40" s="73">
        <f>X40+(U40-X40)/(U$27-X$27)*(V$27-X$27)</f>
        <v>683341.61809008359</v>
      </c>
      <c r="X40" s="3">
        <v>603915</v>
      </c>
      <c r="Z40" s="54">
        <f>D40</f>
        <v>562291</v>
      </c>
      <c r="AA40" s="56"/>
      <c r="AB40" s="54">
        <f>(U40-X40)/U$11*AB$16</f>
        <v>34835.337065359032</v>
      </c>
      <c r="AE40" s="73">
        <f>($U40-$X40)/$U$11*$AE$11</f>
        <v>112554.14645379996</v>
      </c>
    </row>
    <row r="41" spans="1:31" x14ac:dyDescent="0.25">
      <c r="A41" s="2" t="s">
        <v>24</v>
      </c>
      <c r="B41" s="2"/>
      <c r="C41" s="105">
        <v>0.36333864081776091</v>
      </c>
      <c r="D41" s="3">
        <v>2667408</v>
      </c>
      <c r="E41" s="3">
        <f>+E39*(1-$C$41)</f>
        <v>2667407.9926447831</v>
      </c>
      <c r="F41" s="3">
        <f>+F39*(1-$C$41)</f>
        <v>2955786.9788857265</v>
      </c>
      <c r="G41" s="3"/>
      <c r="H41" s="3"/>
      <c r="I41" s="3"/>
      <c r="J41" s="3">
        <v>2667408</v>
      </c>
      <c r="K41" s="3">
        <v>2667408</v>
      </c>
      <c r="L41" s="3"/>
      <c r="M41" s="3">
        <f>D41+463621</f>
        <v>3131029</v>
      </c>
      <c r="N41" s="3">
        <f>O41-191972</f>
        <v>3333863</v>
      </c>
      <c r="O41" s="3">
        <v>3525835</v>
      </c>
      <c r="P41" s="3">
        <v>4092723</v>
      </c>
      <c r="Q41" s="3"/>
      <c r="R41" s="54">
        <f t="shared" si="0"/>
        <v>196487.79601405124</v>
      </c>
      <c r="U41" s="3">
        <v>4180580</v>
      </c>
      <c r="V41" s="73">
        <f>X41+(U41-X41)/(U$27-X$27)*(V$27-X$27)</f>
        <v>4620150.0365356151</v>
      </c>
      <c r="X41" s="3">
        <v>3323483</v>
      </c>
      <c r="Z41" s="54">
        <f>D41+(X41-D41)/(X27-D27)*(Z27-D27)</f>
        <v>3134512.5683879238</v>
      </c>
      <c r="AA41" s="56"/>
      <c r="AB41" s="54">
        <f>(U41-X41)/U$11*AB$16</f>
        <v>568698.93702420965</v>
      </c>
      <c r="AE41" s="73">
        <f>($U41-$X41)/$U$11*$AE$11</f>
        <v>1837485.4052896628</v>
      </c>
    </row>
    <row r="42" spans="1:31" x14ac:dyDescent="0.25">
      <c r="A42" s="2" t="s">
        <v>25</v>
      </c>
      <c r="B42" s="2"/>
      <c r="D42" s="99">
        <v>1200000</v>
      </c>
      <c r="E42" s="99">
        <v>1200000</v>
      </c>
      <c r="F42" s="99">
        <v>1200000</v>
      </c>
      <c r="G42" s="3"/>
      <c r="H42" s="3"/>
      <c r="I42" s="3"/>
      <c r="J42" s="3">
        <v>1200000</v>
      </c>
      <c r="K42" s="3">
        <v>1200000</v>
      </c>
      <c r="L42" s="3"/>
      <c r="M42" s="3">
        <f>D42+400000</f>
        <v>1600000</v>
      </c>
      <c r="N42" s="3">
        <f>O42-200000</f>
        <v>1865300</v>
      </c>
      <c r="O42" s="3">
        <v>2065300</v>
      </c>
      <c r="P42" s="3">
        <v>2500000</v>
      </c>
      <c r="Q42" s="3"/>
      <c r="R42" s="54">
        <f t="shared" si="0"/>
        <v>150670.40566621284</v>
      </c>
      <c r="U42" s="3">
        <v>2600000</v>
      </c>
      <c r="V42" s="73">
        <f>X42+(U42-X42)/(U$27-X$27)*(V$27-X$27)</f>
        <v>3010287.3178047435</v>
      </c>
      <c r="X42" s="3">
        <v>1800000</v>
      </c>
      <c r="Z42" s="54">
        <v>1600000</v>
      </c>
      <c r="AA42" s="56"/>
      <c r="AB42" s="54">
        <f>(U42-X42)/U$11*AB$16</f>
        <v>530814.07310884027</v>
      </c>
      <c r="AE42" s="73">
        <f>($U42-$X42)/$U$11*$AE$11</f>
        <v>1715078.1349505717</v>
      </c>
    </row>
    <row r="43" spans="1:31" x14ac:dyDescent="0.25">
      <c r="A43" s="2" t="s">
        <v>26</v>
      </c>
      <c r="B43" s="2"/>
      <c r="D43" s="100">
        <v>7112000</v>
      </c>
      <c r="E43" s="100">
        <v>7112000</v>
      </c>
      <c r="F43" s="100">
        <v>7112000</v>
      </c>
      <c r="G43" s="86"/>
      <c r="H43" s="86"/>
      <c r="I43" s="86"/>
      <c r="J43" s="86">
        <v>7112000</v>
      </c>
      <c r="K43" s="86">
        <v>7112000</v>
      </c>
      <c r="L43" s="87"/>
      <c r="M43" s="86">
        <v>7362600</v>
      </c>
      <c r="N43" s="86">
        <v>7362600</v>
      </c>
      <c r="O43" s="86">
        <v>7362600</v>
      </c>
      <c r="P43" s="86">
        <v>7362600</v>
      </c>
      <c r="Q43" s="3"/>
      <c r="R43" s="92">
        <f t="shared" si="0"/>
        <v>0</v>
      </c>
      <c r="U43" s="86">
        <v>7646600</v>
      </c>
      <c r="V43" s="92">
        <f>U43</f>
        <v>7646600</v>
      </c>
      <c r="W43" s="93"/>
      <c r="X43" s="86">
        <v>7362600</v>
      </c>
      <c r="Y43" s="93"/>
      <c r="Z43" s="92">
        <v>7362600</v>
      </c>
      <c r="AA43" s="94"/>
      <c r="AB43" s="92">
        <v>125000</v>
      </c>
      <c r="AC43" s="95">
        <v>3140800</v>
      </c>
      <c r="AD43" s="93"/>
      <c r="AE43" s="92">
        <v>500000</v>
      </c>
    </row>
    <row r="44" spans="1:31" x14ac:dyDescent="0.25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54"/>
      <c r="U44" s="3"/>
      <c r="V44" s="54"/>
      <c r="X44" s="3"/>
      <c r="Z44" s="54"/>
      <c r="AA44" s="56"/>
      <c r="AB44" s="54"/>
      <c r="AE44" s="54"/>
    </row>
    <row r="45" spans="1:31" x14ac:dyDescent="0.25">
      <c r="A45" s="5" t="s">
        <v>102</v>
      </c>
      <c r="B45" s="2" t="s">
        <v>27</v>
      </c>
      <c r="D45" s="3">
        <f>SUM(D37:D43)</f>
        <v>20667729</v>
      </c>
      <c r="E45" s="3">
        <f>SUM(E37:E43)</f>
        <v>20667728.831842642</v>
      </c>
      <c r="F45" s="3">
        <f>SUM(F37:F43)</f>
        <v>21843896.262967564</v>
      </c>
      <c r="G45" s="3"/>
      <c r="H45" s="3"/>
      <c r="I45" s="3"/>
      <c r="J45" s="3">
        <f>SUM(J37:J43)</f>
        <v>20667729</v>
      </c>
      <c r="K45" s="3">
        <f>SUM(K37:K43)</f>
        <v>20667729</v>
      </c>
      <c r="L45" s="3"/>
      <c r="M45" s="3">
        <f>SUM(M37:M43)</f>
        <v>23025926</v>
      </c>
      <c r="N45" s="3">
        <f>SUM(N37:N43)</f>
        <v>24038300</v>
      </c>
      <c r="O45" s="3">
        <f>SUM(O37:O43)</f>
        <v>24941288</v>
      </c>
      <c r="P45" s="3">
        <f>SUM(P37:P43)</f>
        <v>27465364</v>
      </c>
      <c r="Q45" s="3"/>
      <c r="R45" s="54">
        <f>SUM(R37:R43)</f>
        <v>874864.40039648465</v>
      </c>
      <c r="S45" s="50"/>
      <c r="T45" s="50"/>
      <c r="U45" s="3">
        <f>SUM(U37:U43)</f>
        <v>28192419</v>
      </c>
      <c r="V45" s="54">
        <f>SUM(V37:V43)</f>
        <v>30217331.137706853</v>
      </c>
      <c r="X45" s="3">
        <f>SUM(X37:X43)</f>
        <v>23942872</v>
      </c>
      <c r="Z45" s="54">
        <f>SUM(Z37:Z43)</f>
        <v>23016182.156100549</v>
      </c>
      <c r="AA45" s="56"/>
      <c r="AB45" s="54">
        <f>SUM(AB37:AB43)</f>
        <v>2751146.5471941195</v>
      </c>
      <c r="AC45" s="54">
        <f>SUM(AC37:AC43)</f>
        <v>3140800</v>
      </c>
      <c r="AE45" s="54">
        <f>SUM(AE37:AE43)</f>
        <v>9133554.5162404012</v>
      </c>
    </row>
    <row r="46" spans="1:31" x14ac:dyDescent="0.25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56"/>
      <c r="V46" s="56"/>
      <c r="Z46" s="56"/>
      <c r="AA46" s="56"/>
      <c r="AB46" s="56"/>
      <c r="AE46" s="56"/>
    </row>
    <row r="47" spans="1:31" x14ac:dyDescent="0.25">
      <c r="B47" s="2" t="s">
        <v>82</v>
      </c>
      <c r="D47" s="99">
        <v>1304000</v>
      </c>
      <c r="E47" s="99">
        <f>+D47</f>
        <v>1304000</v>
      </c>
      <c r="F47" s="99">
        <f>+E47</f>
        <v>1304000</v>
      </c>
      <c r="G47" s="3"/>
      <c r="H47" s="3"/>
      <c r="I47" s="3"/>
      <c r="J47" s="3">
        <v>1840000</v>
      </c>
      <c r="K47" s="3">
        <v>2150000</v>
      </c>
      <c r="L47" s="3"/>
      <c r="M47" s="3">
        <v>2450000</v>
      </c>
      <c r="N47" s="3">
        <f>M47</f>
        <v>2450000</v>
      </c>
      <c r="O47" s="3">
        <f>M47</f>
        <v>2450000</v>
      </c>
      <c r="P47" s="3">
        <f>M47</f>
        <v>2450000</v>
      </c>
      <c r="Q47" s="3"/>
      <c r="R47" s="54">
        <v>0</v>
      </c>
      <c r="U47" s="3">
        <v>2450400</v>
      </c>
      <c r="V47" s="54">
        <v>2450400</v>
      </c>
      <c r="X47" s="3">
        <v>2450400</v>
      </c>
      <c r="Z47" s="54">
        <v>2450400</v>
      </c>
      <c r="AA47" s="56"/>
      <c r="AB47" s="54">
        <v>0</v>
      </c>
      <c r="AC47" s="82"/>
      <c r="AE47" s="54">
        <v>0</v>
      </c>
    </row>
    <row r="48" spans="1:31" x14ac:dyDescent="0.25">
      <c r="R48" s="56"/>
      <c r="V48" s="56"/>
      <c r="Z48" s="56"/>
      <c r="AA48" s="56"/>
      <c r="AB48" s="56"/>
      <c r="AE48" s="56"/>
    </row>
    <row r="49" spans="1:31" x14ac:dyDescent="0.25">
      <c r="B49" s="2" t="s">
        <v>83</v>
      </c>
      <c r="D49" s="99">
        <v>1074000</v>
      </c>
      <c r="E49" s="99">
        <f>+D49</f>
        <v>1074000</v>
      </c>
      <c r="F49" s="99">
        <f>+E49</f>
        <v>1074000</v>
      </c>
      <c r="G49" s="3"/>
      <c r="H49" s="3"/>
      <c r="I49" s="3"/>
      <c r="J49" s="3">
        <v>1516000</v>
      </c>
      <c r="K49" s="3">
        <v>1770000</v>
      </c>
      <c r="L49" s="3"/>
      <c r="M49" s="3">
        <v>2021000</v>
      </c>
      <c r="N49" s="3">
        <f>M49</f>
        <v>2021000</v>
      </c>
      <c r="O49" s="3">
        <f>M49</f>
        <v>2021000</v>
      </c>
      <c r="P49" s="3">
        <f>M49</f>
        <v>2021000</v>
      </c>
      <c r="Q49" s="3"/>
      <c r="R49" s="54">
        <v>0</v>
      </c>
      <c r="U49" s="3">
        <v>2951000</v>
      </c>
      <c r="V49" s="54">
        <f>U49</f>
        <v>2951000</v>
      </c>
      <c r="X49" s="3">
        <v>2021000</v>
      </c>
      <c r="Z49" s="54">
        <v>2021000</v>
      </c>
      <c r="AA49" s="56"/>
      <c r="AB49" s="54">
        <v>0</v>
      </c>
      <c r="AE49" s="54">
        <v>500000</v>
      </c>
    </row>
    <row r="50" spans="1:31" ht="13.8" thickBot="1" x14ac:dyDescent="0.3">
      <c r="R50" s="56"/>
      <c r="V50" s="56"/>
      <c r="Z50" s="56"/>
      <c r="AA50" s="56"/>
      <c r="AB50" s="56"/>
      <c r="AE50" s="56"/>
    </row>
    <row r="51" spans="1:31" ht="13.8" thickBot="1" x14ac:dyDescent="0.3">
      <c r="A51" s="9" t="s">
        <v>81</v>
      </c>
      <c r="B51" s="89"/>
      <c r="C51" s="10"/>
      <c r="R51" s="56"/>
      <c r="V51" s="56"/>
      <c r="Z51" s="56"/>
      <c r="AA51" s="56"/>
      <c r="AB51" s="56"/>
      <c r="AE51" s="56"/>
    </row>
    <row r="52" spans="1:31" x14ac:dyDescent="0.25">
      <c r="A52" s="2" t="s">
        <v>28</v>
      </c>
      <c r="B52" s="2"/>
      <c r="C52" t="s">
        <v>37</v>
      </c>
      <c r="D52" s="99">
        <v>4000000</v>
      </c>
      <c r="E52" s="99">
        <v>4000000</v>
      </c>
      <c r="F52" s="99">
        <v>4000000</v>
      </c>
      <c r="G52" s="3"/>
      <c r="H52" s="3"/>
      <c r="I52" s="3"/>
      <c r="J52" s="3">
        <v>4000000</v>
      </c>
      <c r="K52" s="3">
        <v>4000000</v>
      </c>
      <c r="L52" s="3"/>
      <c r="M52" s="3">
        <v>4000000</v>
      </c>
      <c r="N52" s="3">
        <v>4000000</v>
      </c>
      <c r="O52" s="3">
        <v>4000000</v>
      </c>
      <c r="P52" s="3">
        <v>4000000</v>
      </c>
      <c r="Q52" s="3"/>
      <c r="R52" s="54">
        <v>4000000</v>
      </c>
      <c r="U52" s="3">
        <v>4000000</v>
      </c>
      <c r="V52" s="54">
        <v>4000000</v>
      </c>
      <c r="X52" s="3">
        <v>4000000</v>
      </c>
      <c r="Z52" s="54">
        <v>4000000</v>
      </c>
      <c r="AA52" s="56"/>
      <c r="AB52" s="54">
        <v>4000000</v>
      </c>
      <c r="AC52" s="54">
        <v>4000000</v>
      </c>
      <c r="AE52" s="54">
        <v>4000000</v>
      </c>
    </row>
    <row r="53" spans="1:31" x14ac:dyDescent="0.25">
      <c r="A53" s="2" t="s">
        <v>30</v>
      </c>
      <c r="B53" s="2"/>
      <c r="C53" t="s">
        <v>29</v>
      </c>
      <c r="D53">
        <v>12</v>
      </c>
      <c r="E53">
        <v>12</v>
      </c>
      <c r="F53">
        <v>12</v>
      </c>
      <c r="J53">
        <v>12</v>
      </c>
      <c r="K53">
        <v>12</v>
      </c>
      <c r="M53">
        <v>12</v>
      </c>
      <c r="N53">
        <v>12</v>
      </c>
      <c r="O53">
        <v>12</v>
      </c>
      <c r="P53">
        <v>12</v>
      </c>
      <c r="R53" s="56">
        <v>12</v>
      </c>
      <c r="U53">
        <v>12</v>
      </c>
      <c r="V53" s="56">
        <v>12</v>
      </c>
      <c r="X53">
        <v>12</v>
      </c>
      <c r="Z53" s="56">
        <v>12</v>
      </c>
      <c r="AA53" s="56"/>
      <c r="AB53" s="56">
        <v>12</v>
      </c>
      <c r="AC53" s="56">
        <v>12</v>
      </c>
      <c r="AE53" s="56">
        <v>12</v>
      </c>
    </row>
    <row r="54" spans="1:31" x14ac:dyDescent="0.25">
      <c r="A54" s="2" t="s">
        <v>31</v>
      </c>
      <c r="B54" s="2"/>
      <c r="C54" s="76" t="s">
        <v>33</v>
      </c>
      <c r="D54" s="108">
        <v>1.0209999999999999</v>
      </c>
      <c r="E54" s="109">
        <f>$D54</f>
        <v>1.0209999999999999</v>
      </c>
      <c r="F54" s="109">
        <f>$D54</f>
        <v>1.0209999999999999</v>
      </c>
      <c r="J54">
        <f>$D54</f>
        <v>1.0209999999999999</v>
      </c>
      <c r="K54">
        <f>$D54</f>
        <v>1.0209999999999999</v>
      </c>
      <c r="M54">
        <f t="shared" ref="M54:R54" si="1">$D54</f>
        <v>1.0209999999999999</v>
      </c>
      <c r="N54">
        <f t="shared" si="1"/>
        <v>1.0209999999999999</v>
      </c>
      <c r="O54">
        <f t="shared" si="1"/>
        <v>1.0209999999999999</v>
      </c>
      <c r="P54">
        <f t="shared" si="1"/>
        <v>1.0209999999999999</v>
      </c>
      <c r="R54" s="56">
        <f t="shared" si="1"/>
        <v>1.0209999999999999</v>
      </c>
      <c r="U54" s="35">
        <f>$D54</f>
        <v>1.0209999999999999</v>
      </c>
      <c r="V54" s="56">
        <f>$D54</f>
        <v>1.0209999999999999</v>
      </c>
      <c r="X54" s="35">
        <f>$D54</f>
        <v>1.0209999999999999</v>
      </c>
      <c r="Z54" s="56">
        <f>$D54</f>
        <v>1.0209999999999999</v>
      </c>
      <c r="AA54" s="56"/>
      <c r="AB54" s="56">
        <f>$D54</f>
        <v>1.0209999999999999</v>
      </c>
      <c r="AC54" s="56">
        <f>$D54</f>
        <v>1.0209999999999999</v>
      </c>
      <c r="AE54" s="56">
        <f>$D54</f>
        <v>1.0209999999999999</v>
      </c>
    </row>
    <row r="55" spans="1:31" x14ac:dyDescent="0.25">
      <c r="R55" s="56"/>
      <c r="V55" s="56"/>
      <c r="Z55" s="56"/>
      <c r="AA55" s="56"/>
      <c r="AB55" s="56"/>
      <c r="AC55" s="56"/>
      <c r="AE55" s="56"/>
    </row>
    <row r="56" spans="1:31" x14ac:dyDescent="0.25">
      <c r="C56" t="s">
        <v>32</v>
      </c>
      <c r="D56" s="3">
        <f>D52*D53*D54</f>
        <v>49007999.999999993</v>
      </c>
      <c r="E56" s="3">
        <f>+E52*E53*E54</f>
        <v>49007999.999999993</v>
      </c>
      <c r="F56" s="3">
        <f>+F52*F53*F54</f>
        <v>49007999.999999993</v>
      </c>
      <c r="G56" s="3"/>
      <c r="H56" s="3"/>
      <c r="I56" s="3"/>
      <c r="J56" s="3">
        <f>J52*J53*J54</f>
        <v>49007999.999999993</v>
      </c>
      <c r="K56" s="3">
        <f>K52*K53*K54</f>
        <v>49007999.999999993</v>
      </c>
      <c r="L56" s="3"/>
      <c r="M56" s="3">
        <f>M52*M53*M54</f>
        <v>49007999.999999993</v>
      </c>
      <c r="N56" s="3">
        <f>N52*N53*N54</f>
        <v>49007999.999999993</v>
      </c>
      <c r="O56" s="3">
        <f>O52*O53*O54</f>
        <v>49007999.999999993</v>
      </c>
      <c r="P56" s="3">
        <f>P52*P53*P54</f>
        <v>49007999.999999993</v>
      </c>
      <c r="Q56" s="3"/>
      <c r="R56" s="54">
        <f>R52*R53*R54</f>
        <v>49007999.999999993</v>
      </c>
      <c r="U56" s="3">
        <f>U52*U53*U54</f>
        <v>49007999.999999993</v>
      </c>
      <c r="V56" s="54">
        <f>V52*V53*V54</f>
        <v>49007999.999999993</v>
      </c>
      <c r="X56" s="3">
        <f>X52*X53*X54</f>
        <v>49007999.999999993</v>
      </c>
      <c r="Z56" s="54">
        <f>Z52*Z53*Z54</f>
        <v>49007999.999999993</v>
      </c>
      <c r="AA56" s="56"/>
      <c r="AB56" s="54">
        <f>AB52*AB53*AB54</f>
        <v>49007999.999999993</v>
      </c>
      <c r="AC56" s="54">
        <f>AC52*AC53*AC54</f>
        <v>49007999.999999993</v>
      </c>
      <c r="AE56" s="54">
        <f>AE52*AE53*AE54</f>
        <v>49007999.999999993</v>
      </c>
    </row>
    <row r="57" spans="1:31" x14ac:dyDescent="0.25">
      <c r="R57" s="56"/>
      <c r="V57" s="56"/>
      <c r="Z57" s="56"/>
      <c r="AA57" s="56"/>
      <c r="AB57" s="56"/>
      <c r="AC57" s="56"/>
      <c r="AE57" s="56"/>
    </row>
    <row r="58" spans="1:31" ht="39.6" x14ac:dyDescent="0.25">
      <c r="A58" s="6" t="s">
        <v>34</v>
      </c>
      <c r="B58" s="6"/>
      <c r="C58" t="s">
        <v>35</v>
      </c>
      <c r="D58" s="11">
        <f>D45/D56</f>
        <v>0.42172153525954953</v>
      </c>
      <c r="E58" s="11">
        <f>+E45/E56</f>
        <v>0.42172153182832689</v>
      </c>
      <c r="F58" s="11">
        <f>+F45/F56</f>
        <v>0.44572103050456185</v>
      </c>
      <c r="G58" s="11"/>
      <c r="H58" s="11"/>
      <c r="I58" s="11"/>
      <c r="J58" s="11">
        <f>J45/J56</f>
        <v>0.42172153525954953</v>
      </c>
      <c r="K58" s="11">
        <f>K45/K56</f>
        <v>0.42172153525954953</v>
      </c>
      <c r="L58" s="11"/>
      <c r="M58" s="11">
        <f>M45/M56</f>
        <v>0.46984014854717604</v>
      </c>
      <c r="N58" s="11">
        <f>N45/N56</f>
        <v>0.49049746980084891</v>
      </c>
      <c r="O58" s="11">
        <f>O45/O56</f>
        <v>0.50892278811622604</v>
      </c>
      <c r="P58" s="79">
        <f>P45/P56</f>
        <v>0.56042613450865175</v>
      </c>
      <c r="Q58" s="49"/>
      <c r="R58" s="58">
        <f>R45/R56</f>
        <v>1.7851460994051681E-2</v>
      </c>
      <c r="U58" s="23">
        <f>U45/U56</f>
        <v>0.57526156953966712</v>
      </c>
      <c r="V58" s="69">
        <f>V45/V56</f>
        <v>0.61657956124932378</v>
      </c>
      <c r="X58" s="11">
        <f>X45/X56</f>
        <v>0.48855027750571345</v>
      </c>
      <c r="Z58" s="61">
        <f>Z45/Z56</f>
        <v>0.46964132705069689</v>
      </c>
      <c r="AA58" s="56"/>
      <c r="AB58" s="69">
        <f>AB45/AB56</f>
        <v>5.6136682729230329E-2</v>
      </c>
      <c r="AC58" s="69">
        <f>AC45/AC56</f>
        <v>6.4087495919033635E-2</v>
      </c>
      <c r="AE58" s="69">
        <f>AE45/AE56</f>
        <v>0.18636864422625699</v>
      </c>
    </row>
    <row r="59" spans="1:31" ht="13.8" thickBot="1" x14ac:dyDescent="0.3">
      <c r="A59" s="6"/>
      <c r="B59" s="6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56"/>
      <c r="U59" s="11"/>
      <c r="V59" s="61"/>
      <c r="X59" s="11"/>
      <c r="Z59" s="61"/>
      <c r="AA59" s="56"/>
      <c r="AB59" s="61"/>
      <c r="AE59" s="61"/>
    </row>
    <row r="60" spans="1:31" ht="13.8" thickBot="1" x14ac:dyDescent="0.3">
      <c r="A60" s="9" t="s">
        <v>36</v>
      </c>
      <c r="B60" s="89"/>
      <c r="C60" s="10"/>
      <c r="R60" s="56"/>
      <c r="V60" s="56"/>
      <c r="Z60" s="56"/>
      <c r="AA60" s="56"/>
      <c r="AB60" s="56"/>
      <c r="AE60" s="56"/>
    </row>
    <row r="61" spans="1:31" x14ac:dyDescent="0.25">
      <c r="A61" s="2" t="s">
        <v>84</v>
      </c>
      <c r="B61" s="2"/>
      <c r="C61" t="s">
        <v>44</v>
      </c>
      <c r="D61" s="99">
        <v>85000000</v>
      </c>
      <c r="E61" s="99">
        <f>+D61</f>
        <v>85000000</v>
      </c>
      <c r="F61" s="99">
        <f>+E61</f>
        <v>85000000</v>
      </c>
      <c r="G61" s="3"/>
      <c r="H61" s="3"/>
      <c r="I61" s="3"/>
      <c r="J61" s="3">
        <v>120000000</v>
      </c>
      <c r="K61" s="3">
        <v>140000000</v>
      </c>
      <c r="L61" s="3"/>
      <c r="M61" s="3">
        <v>160000000</v>
      </c>
      <c r="N61" s="3">
        <v>160000000</v>
      </c>
      <c r="O61" s="3">
        <v>160000000</v>
      </c>
      <c r="P61" s="3">
        <v>160000000</v>
      </c>
      <c r="Q61" s="3"/>
      <c r="R61" s="54">
        <v>160000000</v>
      </c>
      <c r="U61" s="3">
        <v>160000000</v>
      </c>
      <c r="V61" s="54">
        <v>160000000</v>
      </c>
      <c r="X61" s="3">
        <v>160000000</v>
      </c>
      <c r="Z61" s="54">
        <v>160000000</v>
      </c>
      <c r="AA61" s="56"/>
      <c r="AB61" s="54">
        <v>160000000</v>
      </c>
      <c r="AC61" s="54">
        <v>160000000</v>
      </c>
      <c r="AE61" s="54">
        <v>160000000</v>
      </c>
    </row>
    <row r="62" spans="1:31" x14ac:dyDescent="0.25">
      <c r="A62" s="2" t="s">
        <v>31</v>
      </c>
      <c r="B62" s="2"/>
      <c r="C62" s="38" t="s">
        <v>33</v>
      </c>
      <c r="D62" s="37">
        <f>D54</f>
        <v>1.0209999999999999</v>
      </c>
      <c r="E62" s="37">
        <f>+D62</f>
        <v>1.0209999999999999</v>
      </c>
      <c r="F62" s="37">
        <f>+E62</f>
        <v>1.0209999999999999</v>
      </c>
      <c r="G62" s="37"/>
      <c r="H62" s="37"/>
      <c r="I62" s="37"/>
      <c r="J62" s="37">
        <f t="shared" ref="J62:R62" si="2">J54</f>
        <v>1.0209999999999999</v>
      </c>
      <c r="K62" s="37">
        <f t="shared" si="2"/>
        <v>1.0209999999999999</v>
      </c>
      <c r="L62" s="37"/>
      <c r="M62" s="37">
        <f t="shared" si="2"/>
        <v>1.0209999999999999</v>
      </c>
      <c r="N62" s="37">
        <f t="shared" si="2"/>
        <v>1.0209999999999999</v>
      </c>
      <c r="O62" s="37">
        <f t="shared" si="2"/>
        <v>1.0209999999999999</v>
      </c>
      <c r="P62" s="37">
        <f t="shared" si="2"/>
        <v>1.0209999999999999</v>
      </c>
      <c r="Q62" s="37"/>
      <c r="R62" s="61">
        <f t="shared" si="2"/>
        <v>1.0209999999999999</v>
      </c>
      <c r="U62">
        <f>U54</f>
        <v>1.0209999999999999</v>
      </c>
      <c r="V62" s="56">
        <f>V54</f>
        <v>1.0209999999999999</v>
      </c>
      <c r="X62">
        <f>X54</f>
        <v>1.0209999999999999</v>
      </c>
      <c r="Z62" s="56">
        <f>Z54</f>
        <v>1.0209999999999999</v>
      </c>
      <c r="AA62" s="56"/>
      <c r="AB62" s="56">
        <f>AB54</f>
        <v>1.0209999999999999</v>
      </c>
      <c r="AC62" s="56">
        <f>AC54</f>
        <v>1.0209999999999999</v>
      </c>
      <c r="AE62" s="56">
        <f>AE54</f>
        <v>1.0209999999999999</v>
      </c>
    </row>
    <row r="63" spans="1:31" x14ac:dyDescent="0.25">
      <c r="A63" s="34" t="s">
        <v>42</v>
      </c>
      <c r="B63" s="34"/>
      <c r="C63" s="38" t="s">
        <v>45</v>
      </c>
      <c r="D63" s="36">
        <f>D61*D62</f>
        <v>86784999.999999985</v>
      </c>
      <c r="E63" s="36">
        <f>+E61*E62</f>
        <v>86784999.999999985</v>
      </c>
      <c r="F63" s="36">
        <f>+F61*F62</f>
        <v>86784999.999999985</v>
      </c>
      <c r="G63" s="36"/>
      <c r="H63" s="36"/>
      <c r="I63" s="36"/>
      <c r="J63" s="36">
        <f>J61*J62</f>
        <v>122519999.99999999</v>
      </c>
      <c r="K63" s="36">
        <f>K61*K62</f>
        <v>142940000</v>
      </c>
      <c r="L63" s="36"/>
      <c r="M63" s="36">
        <f>M61*M62</f>
        <v>163360000</v>
      </c>
      <c r="N63" s="36">
        <f>N61*N62</f>
        <v>163360000</v>
      </c>
      <c r="O63" s="36">
        <f>O61*O62</f>
        <v>163360000</v>
      </c>
      <c r="P63" s="36">
        <f>P61*P62</f>
        <v>163360000</v>
      </c>
      <c r="Q63" s="36"/>
      <c r="R63" s="64">
        <f>R61*R62</f>
        <v>163360000</v>
      </c>
      <c r="U63" s="36">
        <f>U61*U62</f>
        <v>163360000</v>
      </c>
      <c r="V63" s="64">
        <f>V61*V62</f>
        <v>163360000</v>
      </c>
      <c r="X63" s="36">
        <f>X61*X62</f>
        <v>163360000</v>
      </c>
      <c r="Z63" s="64">
        <f>Z61*Z62</f>
        <v>163360000</v>
      </c>
      <c r="AA63" s="56"/>
      <c r="AB63" s="64">
        <f>AB61*AB62</f>
        <v>163360000</v>
      </c>
      <c r="AC63" s="64">
        <f>AB63</f>
        <v>163360000</v>
      </c>
      <c r="AE63" s="64">
        <f>AE61*AE62</f>
        <v>163360000</v>
      </c>
    </row>
    <row r="64" spans="1:31" x14ac:dyDescent="0.25">
      <c r="D64" s="3"/>
      <c r="E64" s="3"/>
      <c r="F64" s="3"/>
      <c r="G64" s="3"/>
      <c r="H64" s="3"/>
      <c r="I64" s="3"/>
      <c r="J64" s="3"/>
      <c r="K64" s="3"/>
      <c r="L64" s="3"/>
      <c r="R64" s="56"/>
      <c r="V64" s="56"/>
      <c r="Z64" s="56"/>
      <c r="AA64" s="56"/>
      <c r="AB64" s="56"/>
      <c r="AE64" s="56"/>
    </row>
    <row r="65" spans="1:31" s="35" customFormat="1" ht="26.4" x14ac:dyDescent="0.25">
      <c r="A65" s="6" t="s">
        <v>46</v>
      </c>
      <c r="B65" s="6"/>
      <c r="C65" s="35" t="s">
        <v>47</v>
      </c>
      <c r="D65" s="36">
        <f>D45/12</f>
        <v>1722310.75</v>
      </c>
      <c r="E65" s="36">
        <f>+E45/12</f>
        <v>1722310.7359868868</v>
      </c>
      <c r="F65" s="36">
        <f>+F45/12</f>
        <v>1820324.6885806303</v>
      </c>
      <c r="G65" s="36"/>
      <c r="H65" s="36"/>
      <c r="I65" s="36"/>
      <c r="J65" s="36">
        <f>J45/12</f>
        <v>1722310.75</v>
      </c>
      <c r="K65" s="36">
        <f>K45/12</f>
        <v>1722310.75</v>
      </c>
      <c r="L65" s="36"/>
      <c r="M65" s="36">
        <f>M45/12</f>
        <v>1918827.1666666667</v>
      </c>
      <c r="N65" s="36">
        <f>N45/12</f>
        <v>2003191.6666666667</v>
      </c>
      <c r="O65" s="36">
        <f>O45/12</f>
        <v>2078440.6666666667</v>
      </c>
      <c r="P65" s="36">
        <f>P45/12</f>
        <v>2288780.3333333335</v>
      </c>
      <c r="Q65" s="36"/>
      <c r="R65" s="64">
        <f>R45/12</f>
        <v>72905.366699707054</v>
      </c>
      <c r="U65" s="36">
        <f>U45/12</f>
        <v>2349368.25</v>
      </c>
      <c r="V65" s="64">
        <f>V45/12</f>
        <v>2518110.9281422379</v>
      </c>
      <c r="W65"/>
      <c r="X65" s="36">
        <f>X45/12</f>
        <v>1995239.3333333333</v>
      </c>
      <c r="Z65" s="64">
        <f>Z45/12</f>
        <v>1918015.1796750457</v>
      </c>
      <c r="AA65" s="56"/>
      <c r="AB65" s="64">
        <f>AB45/12</f>
        <v>229262.21226617662</v>
      </c>
      <c r="AC65" s="64">
        <f>AC45/12</f>
        <v>261733.33333333334</v>
      </c>
      <c r="AE65" s="64">
        <f>AE45/12</f>
        <v>761129.54302003339</v>
      </c>
    </row>
    <row r="66" spans="1:31" s="35" customFormat="1" x14ac:dyDescent="0.25">
      <c r="A66" s="6"/>
      <c r="B66" s="6"/>
      <c r="C66" s="35" t="s">
        <v>35</v>
      </c>
      <c r="D66" s="37">
        <f>D45/D63</f>
        <v>0.23814863167598091</v>
      </c>
      <c r="E66" s="37">
        <f>E45/E63</f>
        <v>0.23814862973834933</v>
      </c>
      <c r="F66" s="37">
        <f>F45/F63</f>
        <v>0.25170128781434081</v>
      </c>
      <c r="G66" s="37"/>
      <c r="H66" s="37"/>
      <c r="I66" s="37"/>
      <c r="J66" s="37">
        <f>J45/J63</f>
        <v>0.1686886141038198</v>
      </c>
      <c r="K66" s="37">
        <f>K45/K63</f>
        <v>0.14459024066041695</v>
      </c>
      <c r="L66" s="37"/>
      <c r="M66" s="37">
        <f>M45/M63</f>
        <v>0.14095204456415278</v>
      </c>
      <c r="N66" s="37">
        <f>N45/N63</f>
        <v>0.14714924094025464</v>
      </c>
      <c r="O66" s="37">
        <f>O45/O63</f>
        <v>0.15267683643486776</v>
      </c>
      <c r="P66" s="37">
        <f>P45/P63</f>
        <v>0.16812784035259548</v>
      </c>
      <c r="Q66" s="37"/>
      <c r="R66" s="61">
        <f>R45/R63</f>
        <v>5.3554382982155032E-3</v>
      </c>
      <c r="U66" s="37">
        <f>U45/U63</f>
        <v>0.17257847086190009</v>
      </c>
      <c r="V66" s="61">
        <f>V45/V63</f>
        <v>0.1849738683747971</v>
      </c>
      <c r="W66"/>
      <c r="X66" s="37">
        <f>X45/X63</f>
        <v>0.146565083251714</v>
      </c>
      <c r="Z66" s="61">
        <f>Z45/Z63</f>
        <v>0.14089239811520904</v>
      </c>
      <c r="AA66" s="56"/>
      <c r="AB66" s="61">
        <f>AB45/AB63</f>
        <v>1.6841004818769097E-2</v>
      </c>
      <c r="AC66" s="61">
        <f>AC45/AC63</f>
        <v>1.9226248775710088E-2</v>
      </c>
      <c r="AE66" s="61">
        <f>AE45/AE63</f>
        <v>5.591059326787709E-2</v>
      </c>
    </row>
    <row r="67" spans="1:31" x14ac:dyDescent="0.25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54"/>
      <c r="U67" s="3"/>
      <c r="V67" s="54"/>
      <c r="X67" s="3"/>
      <c r="Z67" s="54"/>
      <c r="AA67" s="56"/>
      <c r="AB67" s="54"/>
      <c r="AE67" s="54"/>
    </row>
    <row r="68" spans="1:31" ht="26.4" x14ac:dyDescent="0.25">
      <c r="A68" s="6" t="s">
        <v>86</v>
      </c>
      <c r="B68" s="6"/>
      <c r="C68" t="s">
        <v>85</v>
      </c>
      <c r="D68" s="11">
        <f>D47/D63</f>
        <v>1.5025638071095238E-2</v>
      </c>
      <c r="E68" s="11">
        <f>+D68</f>
        <v>1.5025638071095238E-2</v>
      </c>
      <c r="F68" s="11">
        <f>+E68</f>
        <v>1.5025638071095238E-2</v>
      </c>
      <c r="G68" s="11"/>
      <c r="H68" s="11"/>
      <c r="I68" s="11"/>
      <c r="J68" s="11">
        <f>J47/J63</f>
        <v>1.5017956252040485E-2</v>
      </c>
      <c r="K68" s="11">
        <f>K47/K63</f>
        <v>1.5041276059885266E-2</v>
      </c>
      <c r="L68" s="11"/>
      <c r="M68" s="11">
        <f>M47/M63</f>
        <v>1.4997551420176298E-2</v>
      </c>
      <c r="N68" s="11">
        <f>N47/N63</f>
        <v>1.4997551420176298E-2</v>
      </c>
      <c r="O68" s="11">
        <f>O47/O63</f>
        <v>1.4997551420176298E-2</v>
      </c>
      <c r="P68" s="11">
        <f>P47/P63</f>
        <v>1.4997551420176298E-2</v>
      </c>
      <c r="Q68" s="11"/>
      <c r="R68" s="61">
        <f>R47/R63</f>
        <v>0</v>
      </c>
      <c r="U68" s="11">
        <f>U47/U63</f>
        <v>1.4999999999999999E-2</v>
      </c>
      <c r="V68" s="61">
        <f>V47/V63</f>
        <v>1.4999999999999999E-2</v>
      </c>
      <c r="X68" s="11">
        <f>X47/X63</f>
        <v>1.4999999999999999E-2</v>
      </c>
      <c r="Z68" s="61">
        <f>Z47/Z63</f>
        <v>1.4999999999999999E-2</v>
      </c>
      <c r="AA68" s="56"/>
      <c r="AB68" s="61">
        <f>AB47/AB63</f>
        <v>0</v>
      </c>
      <c r="AC68" s="61">
        <f>AC47/AC63</f>
        <v>0</v>
      </c>
      <c r="AE68" s="61">
        <f>AE47/AE63</f>
        <v>0</v>
      </c>
    </row>
    <row r="69" spans="1:31" x14ac:dyDescent="0.25">
      <c r="A69" s="6"/>
      <c r="B69" s="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56"/>
      <c r="U69" s="11"/>
      <c r="V69" s="56"/>
      <c r="X69" s="11"/>
      <c r="Z69" s="56"/>
      <c r="AA69" s="56"/>
      <c r="AB69" s="56"/>
      <c r="AE69" s="56"/>
    </row>
    <row r="70" spans="1:31" ht="39.6" x14ac:dyDescent="0.25">
      <c r="A70" s="6" t="s">
        <v>87</v>
      </c>
      <c r="B70" s="6"/>
      <c r="C70" t="s">
        <v>85</v>
      </c>
      <c r="D70" s="11">
        <f>D49/D63</f>
        <v>1.237541049720574E-2</v>
      </c>
      <c r="E70" s="11">
        <f>+D70</f>
        <v>1.237541049720574E-2</v>
      </c>
      <c r="F70" s="11">
        <f>+E70</f>
        <v>1.237541049720574E-2</v>
      </c>
      <c r="G70" s="11"/>
      <c r="H70" s="11"/>
      <c r="I70" s="11"/>
      <c r="J70" s="11">
        <f>J49/J63</f>
        <v>1.2373490042442052E-2</v>
      </c>
      <c r="K70" s="11">
        <f>K49/K63</f>
        <v>1.2382817965579964E-2</v>
      </c>
      <c r="L70" s="11"/>
      <c r="M70" s="11">
        <f>M49/M63</f>
        <v>1.2371449559255631E-2</v>
      </c>
      <c r="N70" s="11">
        <f>N49/N63</f>
        <v>1.2371449559255631E-2</v>
      </c>
      <c r="O70" s="11">
        <f>O49/O63</f>
        <v>1.2371449559255631E-2</v>
      </c>
      <c r="P70" s="11">
        <f>P49/P63</f>
        <v>1.2371449559255631E-2</v>
      </c>
      <c r="Q70" s="11"/>
      <c r="R70" s="61">
        <f>R49/R63</f>
        <v>0</v>
      </c>
      <c r="U70" s="11">
        <f>U49/U63</f>
        <v>1.8064397649363368E-2</v>
      </c>
      <c r="V70" s="61">
        <f>V49/V63</f>
        <v>1.8064397649363368E-2</v>
      </c>
      <c r="X70" s="11">
        <f>X49/X63</f>
        <v>1.2371449559255631E-2</v>
      </c>
      <c r="Z70" s="61">
        <f>Z49/Z63</f>
        <v>1.2371449559255631E-2</v>
      </c>
      <c r="AA70" s="56"/>
      <c r="AB70" s="61">
        <f>AB49/AB63</f>
        <v>0</v>
      </c>
      <c r="AC70" s="61">
        <f>AC49/AC63</f>
        <v>0</v>
      </c>
      <c r="AE70" s="61">
        <f>AE49/AE63</f>
        <v>3.0607247796278158E-3</v>
      </c>
    </row>
    <row r="71" spans="1:31" ht="13.8" thickBot="1" x14ac:dyDescent="0.3">
      <c r="A71" s="6"/>
      <c r="B71" s="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56"/>
      <c r="U71" s="11"/>
      <c r="V71" s="61"/>
      <c r="X71" s="11"/>
      <c r="Z71" s="61"/>
      <c r="AA71" s="56"/>
      <c r="AB71" s="61"/>
      <c r="AE71" s="61"/>
    </row>
    <row r="72" spans="1:31" ht="18" thickBot="1" x14ac:dyDescent="0.35">
      <c r="A72" s="77" t="s">
        <v>88</v>
      </c>
      <c r="B72" s="90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56"/>
      <c r="U72" s="11"/>
      <c r="V72" s="61"/>
      <c r="X72" s="11"/>
      <c r="Z72" s="61"/>
      <c r="AA72" s="56"/>
      <c r="AB72" s="61"/>
      <c r="AE72" s="61"/>
    </row>
    <row r="73" spans="1:31" ht="13.8" thickBot="1" x14ac:dyDescent="0.3">
      <c r="A73" s="6"/>
      <c r="B73" s="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56"/>
      <c r="U73" s="11"/>
      <c r="V73" s="61"/>
      <c r="X73" s="11"/>
      <c r="Z73" s="61"/>
      <c r="AA73" s="56"/>
      <c r="AB73" s="61"/>
      <c r="AE73" s="61"/>
    </row>
    <row r="74" spans="1:31" ht="13.8" thickBot="1" x14ac:dyDescent="0.3">
      <c r="A74" s="13" t="s">
        <v>38</v>
      </c>
      <c r="B74" s="91"/>
      <c r="C74" s="14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56"/>
      <c r="U74" s="11"/>
      <c r="V74" s="61"/>
      <c r="X74" s="11"/>
      <c r="Z74" s="61"/>
      <c r="AA74" s="56"/>
      <c r="AB74" s="61"/>
      <c r="AE74" s="61"/>
    </row>
    <row r="75" spans="1:31" x14ac:dyDescent="0.25">
      <c r="A75" s="12" t="s">
        <v>39</v>
      </c>
      <c r="B75" s="12"/>
      <c r="C75" s="40" t="s">
        <v>65</v>
      </c>
      <c r="D75" s="110">
        <v>0</v>
      </c>
      <c r="E75" s="110">
        <v>0</v>
      </c>
      <c r="F75" s="110">
        <v>0</v>
      </c>
      <c r="G75" s="41"/>
      <c r="H75" s="41"/>
      <c r="I75" s="41"/>
      <c r="J75" s="41">
        <v>0</v>
      </c>
      <c r="K75" s="41">
        <v>0.41</v>
      </c>
      <c r="L75" s="11"/>
      <c r="M75" s="41">
        <v>0.41</v>
      </c>
      <c r="N75" s="41">
        <f>M75</f>
        <v>0.41</v>
      </c>
      <c r="O75" s="41">
        <f>M75</f>
        <v>0.41</v>
      </c>
      <c r="P75" s="41">
        <f>M75</f>
        <v>0.41</v>
      </c>
      <c r="Q75" s="41"/>
      <c r="R75" s="59">
        <f>P75</f>
        <v>0.41</v>
      </c>
      <c r="U75" s="83">
        <f>R75</f>
        <v>0.41</v>
      </c>
      <c r="V75" s="84">
        <f>U75</f>
        <v>0.41</v>
      </c>
      <c r="W75" s="83"/>
      <c r="X75" s="83">
        <f>V75</f>
        <v>0.41</v>
      </c>
      <c r="Z75" s="84">
        <f>X75</f>
        <v>0.41</v>
      </c>
      <c r="AA75" s="84"/>
      <c r="AB75" s="84">
        <f>Z75</f>
        <v>0.41</v>
      </c>
      <c r="AC75" s="84">
        <f>AB75</f>
        <v>0.41</v>
      </c>
      <c r="AD75" s="83"/>
      <c r="AE75" s="84">
        <f>AC75</f>
        <v>0.41</v>
      </c>
    </row>
    <row r="76" spans="1:31" x14ac:dyDescent="0.25">
      <c r="C76" s="18" t="s">
        <v>66</v>
      </c>
      <c r="D76" s="15">
        <f>D45*D75</f>
        <v>0</v>
      </c>
      <c r="E76" s="15">
        <f>E45*E75</f>
        <v>0</v>
      </c>
      <c r="F76" s="15">
        <f>F45*F75</f>
        <v>0</v>
      </c>
      <c r="G76" s="15"/>
      <c r="H76" s="15"/>
      <c r="I76" s="15"/>
      <c r="J76" s="15">
        <f>J45*J75</f>
        <v>0</v>
      </c>
      <c r="K76" s="15">
        <f>K45*K75</f>
        <v>8473768.8899999987</v>
      </c>
      <c r="L76" s="15"/>
      <c r="M76" s="15">
        <f>M45*M75</f>
        <v>9440629.6600000001</v>
      </c>
      <c r="N76" s="15">
        <f>N45*N75</f>
        <v>9855703</v>
      </c>
      <c r="O76" s="15">
        <f>O45*O75</f>
        <v>10225928.08</v>
      </c>
      <c r="P76" s="48">
        <f>O76</f>
        <v>10225928.08</v>
      </c>
      <c r="Q76" s="15"/>
      <c r="R76" s="60">
        <f>R45*R75</f>
        <v>358694.40416255867</v>
      </c>
      <c r="U76" s="15">
        <f>X76</f>
        <v>9816577.5199999996</v>
      </c>
      <c r="V76" s="60">
        <f>X76</f>
        <v>9816577.5199999996</v>
      </c>
      <c r="X76" s="15">
        <f>X45*X75</f>
        <v>9816577.5199999996</v>
      </c>
      <c r="Z76" s="60">
        <f>Z45*Z75</f>
        <v>9436634.6840012241</v>
      </c>
      <c r="AA76" s="56"/>
      <c r="AB76" s="60">
        <f>AB45*AB75</f>
        <v>1127970.084349589</v>
      </c>
      <c r="AC76" s="60">
        <f>AC45*AC75</f>
        <v>1287728</v>
      </c>
      <c r="AE76" s="60">
        <v>0</v>
      </c>
    </row>
    <row r="77" spans="1:31" x14ac:dyDescent="0.25">
      <c r="A77" s="6"/>
      <c r="B77" s="6"/>
      <c r="C77" s="42" t="s">
        <v>91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7">
        <f>P45-O45</f>
        <v>2524076</v>
      </c>
      <c r="Q77" s="17"/>
      <c r="R77" s="61"/>
      <c r="U77" s="17">
        <f>U45-X45</f>
        <v>4249547</v>
      </c>
      <c r="V77" s="62">
        <f>V45-X45</f>
        <v>6274459.1377068534</v>
      </c>
      <c r="X77" s="11"/>
      <c r="Z77" s="61"/>
      <c r="AA77" s="56"/>
      <c r="AB77" s="62"/>
      <c r="AE77" s="62">
        <f>AE45</f>
        <v>9133554.5162404012</v>
      </c>
    </row>
    <row r="78" spans="1:31" x14ac:dyDescent="0.25">
      <c r="A78" s="6"/>
      <c r="B78" s="6"/>
      <c r="C78" s="22" t="s">
        <v>67</v>
      </c>
      <c r="D78" s="17">
        <f>D76+D77</f>
        <v>0</v>
      </c>
      <c r="E78" s="17">
        <f>E76+E77</f>
        <v>0</v>
      </c>
      <c r="F78" s="17">
        <f>F76+F77</f>
        <v>0</v>
      </c>
      <c r="G78" s="17"/>
      <c r="H78" s="17"/>
      <c r="I78" s="17"/>
      <c r="J78" s="17">
        <f>J76+J77</f>
        <v>0</v>
      </c>
      <c r="K78" s="17">
        <f>K76+K77</f>
        <v>8473768.8899999987</v>
      </c>
      <c r="L78" s="17"/>
      <c r="M78" s="17">
        <f>M76+M77</f>
        <v>9440629.6600000001</v>
      </c>
      <c r="N78" s="17">
        <f>N76+N77</f>
        <v>9855703</v>
      </c>
      <c r="O78" s="17">
        <f>O76+O77</f>
        <v>10225928.08</v>
      </c>
      <c r="P78" s="17">
        <f>P76+P77</f>
        <v>12750004.08</v>
      </c>
      <c r="Q78" s="17"/>
      <c r="R78" s="62">
        <f>R76+R77</f>
        <v>358694.40416255867</v>
      </c>
      <c r="U78" s="17">
        <f>U76+U77</f>
        <v>14066124.52</v>
      </c>
      <c r="V78" s="62">
        <f>V76+V77</f>
        <v>16091036.657706853</v>
      </c>
      <c r="X78" s="17">
        <f>X76+X77</f>
        <v>9816577.5199999996</v>
      </c>
      <c r="Z78" s="62">
        <f>Z76+Z77</f>
        <v>9436634.6840012241</v>
      </c>
      <c r="AA78" s="56"/>
      <c r="AB78" s="62">
        <f>AB76+AB77</f>
        <v>1127970.084349589</v>
      </c>
      <c r="AC78" s="62">
        <f>AC76+AC77</f>
        <v>1287728</v>
      </c>
      <c r="AE78" s="62">
        <f>AE76+AE77</f>
        <v>9133554.5162404012</v>
      </c>
    </row>
    <row r="79" spans="1:31" x14ac:dyDescent="0.25">
      <c r="A79" s="6"/>
      <c r="B79" s="6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61"/>
      <c r="U79" s="11"/>
      <c r="V79" s="61"/>
      <c r="X79" s="11"/>
      <c r="Z79" s="61"/>
      <c r="AA79" s="56"/>
      <c r="AB79" s="61"/>
      <c r="AE79" s="61"/>
    </row>
    <row r="80" spans="1:31" x14ac:dyDescent="0.25">
      <c r="A80" s="12" t="s">
        <v>40</v>
      </c>
      <c r="B80" s="12"/>
      <c r="C80" s="16" t="s">
        <v>44</v>
      </c>
      <c r="D80" s="17">
        <v>0</v>
      </c>
      <c r="E80" s="17">
        <v>0</v>
      </c>
      <c r="F80" s="17">
        <v>0</v>
      </c>
      <c r="G80" s="17"/>
      <c r="H80" s="17"/>
      <c r="I80" s="17"/>
      <c r="J80" s="17">
        <v>0</v>
      </c>
      <c r="K80" s="17">
        <v>58000000</v>
      </c>
      <c r="L80" s="17"/>
      <c r="M80" s="17">
        <v>58000000</v>
      </c>
      <c r="N80" s="17">
        <f>M80</f>
        <v>58000000</v>
      </c>
      <c r="O80" s="17">
        <f>M80</f>
        <v>58000000</v>
      </c>
      <c r="P80" s="17">
        <f>M80</f>
        <v>58000000</v>
      </c>
      <c r="Q80" s="17"/>
      <c r="R80" s="62">
        <f>P80</f>
        <v>58000000</v>
      </c>
      <c r="U80" s="17">
        <f>R80</f>
        <v>58000000</v>
      </c>
      <c r="V80" s="62">
        <f>U80</f>
        <v>58000000</v>
      </c>
      <c r="X80" s="17">
        <f>V80</f>
        <v>58000000</v>
      </c>
      <c r="Z80" s="62">
        <f>N80</f>
        <v>58000000</v>
      </c>
      <c r="AA80" s="56"/>
      <c r="AB80" s="62">
        <f>P80</f>
        <v>58000000</v>
      </c>
      <c r="AC80" s="62">
        <f>AB80</f>
        <v>58000000</v>
      </c>
      <c r="AE80" s="62">
        <f>X80</f>
        <v>58000000</v>
      </c>
    </row>
    <row r="81" spans="1:31" x14ac:dyDescent="0.25">
      <c r="A81" s="12" t="s">
        <v>41</v>
      </c>
      <c r="B81" s="12"/>
      <c r="C81" s="81">
        <v>0.02</v>
      </c>
      <c r="D81" s="15">
        <f>D80*$C$81</f>
        <v>0</v>
      </c>
      <c r="E81" s="15">
        <f>E80*$C$81</f>
        <v>0</v>
      </c>
      <c r="F81" s="15">
        <f>F80*$C$81</f>
        <v>0</v>
      </c>
      <c r="G81" s="15"/>
      <c r="H81" s="15"/>
      <c r="I81" s="15"/>
      <c r="J81" s="15">
        <f>J80*$C$81</f>
        <v>0</v>
      </c>
      <c r="K81" s="15">
        <f>K80*$C$81</f>
        <v>1160000</v>
      </c>
      <c r="L81" s="15"/>
      <c r="M81" s="15">
        <f>M80*$C$81</f>
        <v>1160000</v>
      </c>
      <c r="N81" s="15">
        <f>N80*$C$81</f>
        <v>1160000</v>
      </c>
      <c r="O81" s="15">
        <f>O80*$C$81</f>
        <v>1160000</v>
      </c>
      <c r="P81" s="15">
        <f>P80*$C$81</f>
        <v>1160000</v>
      </c>
      <c r="Q81" s="15"/>
      <c r="R81" s="60">
        <f>R80*$C$81</f>
        <v>1160000</v>
      </c>
      <c r="U81" s="15">
        <f>U80*$C$81</f>
        <v>1160000</v>
      </c>
      <c r="V81" s="60">
        <f>V80*$C$81</f>
        <v>1160000</v>
      </c>
      <c r="X81" s="15">
        <f>X80*$C$81</f>
        <v>1160000</v>
      </c>
      <c r="Z81" s="60">
        <f>Z80*$C$81</f>
        <v>1160000</v>
      </c>
      <c r="AA81" s="56"/>
      <c r="AB81" s="60">
        <f>AB80*$C$81</f>
        <v>1160000</v>
      </c>
      <c r="AC81" s="60">
        <f>AC80*$C$81</f>
        <v>1160000</v>
      </c>
      <c r="AE81" s="60">
        <f>AE80*$C$81</f>
        <v>1160000</v>
      </c>
    </row>
    <row r="82" spans="1:31" x14ac:dyDescent="0.25">
      <c r="A82" s="21" t="s">
        <v>42</v>
      </c>
      <c r="B82" s="21"/>
      <c r="C82" s="16" t="s">
        <v>37</v>
      </c>
      <c r="D82" s="15">
        <f>D80-D81</f>
        <v>0</v>
      </c>
      <c r="E82" s="15">
        <f>E80-E81</f>
        <v>0</v>
      </c>
      <c r="F82" s="15">
        <f>F80-F81</f>
        <v>0</v>
      </c>
      <c r="G82" s="15"/>
      <c r="H82" s="15"/>
      <c r="I82" s="15"/>
      <c r="J82" s="15">
        <f>J80-J81</f>
        <v>0</v>
      </c>
      <c r="K82" s="15">
        <f>K80-K81</f>
        <v>56840000</v>
      </c>
      <c r="L82" s="15"/>
      <c r="M82" s="15">
        <f>M80-M81</f>
        <v>56840000</v>
      </c>
      <c r="N82" s="15">
        <f>N80-N81</f>
        <v>56840000</v>
      </c>
      <c r="O82" s="15">
        <f>O80-O81</f>
        <v>56840000</v>
      </c>
      <c r="P82" s="15">
        <f>P80-P81</f>
        <v>56840000</v>
      </c>
      <c r="Q82" s="15"/>
      <c r="R82" s="60">
        <f>R80-R81</f>
        <v>56840000</v>
      </c>
      <c r="U82" s="15">
        <f>U80-U81</f>
        <v>56840000</v>
      </c>
      <c r="V82" s="60">
        <f>V80-V81</f>
        <v>56840000</v>
      </c>
      <c r="X82" s="15">
        <f>X80-X81</f>
        <v>56840000</v>
      </c>
      <c r="Z82" s="60">
        <f>Z80-Z81</f>
        <v>56840000</v>
      </c>
      <c r="AA82" s="56"/>
      <c r="AB82" s="60">
        <f>AB80-AB81</f>
        <v>56840000</v>
      </c>
      <c r="AC82" s="60">
        <f>AC80-AC81</f>
        <v>56840000</v>
      </c>
      <c r="AE82" s="60">
        <f>AE80-AE81</f>
        <v>56840000</v>
      </c>
    </row>
    <row r="83" spans="1:31" x14ac:dyDescent="0.25">
      <c r="A83" s="12" t="s">
        <v>43</v>
      </c>
      <c r="B83" s="12"/>
      <c r="C83" s="18" t="s">
        <v>33</v>
      </c>
      <c r="D83" s="19">
        <v>1.097</v>
      </c>
      <c r="E83" s="19">
        <v>1.097</v>
      </c>
      <c r="F83" s="19">
        <v>1.097</v>
      </c>
      <c r="G83" s="19"/>
      <c r="H83" s="19"/>
      <c r="I83" s="19"/>
      <c r="J83" s="19">
        <f>$D83</f>
        <v>1.097</v>
      </c>
      <c r="K83" s="19">
        <f>$D83</f>
        <v>1.097</v>
      </c>
      <c r="L83" s="19"/>
      <c r="M83" s="19">
        <f t="shared" ref="M83:R83" si="3">$D83</f>
        <v>1.097</v>
      </c>
      <c r="N83" s="19">
        <f t="shared" si="3"/>
        <v>1.097</v>
      </c>
      <c r="O83" s="19">
        <f t="shared" si="3"/>
        <v>1.097</v>
      </c>
      <c r="P83" s="19">
        <f t="shared" si="3"/>
        <v>1.097</v>
      </c>
      <c r="Q83" s="19"/>
      <c r="R83" s="63">
        <f t="shared" si="3"/>
        <v>1.097</v>
      </c>
      <c r="U83" s="19">
        <f>$D83</f>
        <v>1.097</v>
      </c>
      <c r="V83" s="63">
        <f>$D83</f>
        <v>1.097</v>
      </c>
      <c r="X83" s="19">
        <f>$D83</f>
        <v>1.097</v>
      </c>
      <c r="Z83" s="63">
        <f>N83</f>
        <v>1.097</v>
      </c>
      <c r="AA83" s="56"/>
      <c r="AB83" s="63">
        <f>P83</f>
        <v>1.097</v>
      </c>
      <c r="AC83" s="63">
        <f>AB83</f>
        <v>1.097</v>
      </c>
      <c r="AE83" s="63">
        <f>X83</f>
        <v>1.097</v>
      </c>
    </row>
    <row r="84" spans="1:31" x14ac:dyDescent="0.25">
      <c r="A84" s="20" t="s">
        <v>42</v>
      </c>
      <c r="B84" s="20"/>
      <c r="C84" s="18" t="s">
        <v>45</v>
      </c>
      <c r="D84" s="15">
        <f>D82*D83</f>
        <v>0</v>
      </c>
      <c r="E84" s="15">
        <f>E82*E83</f>
        <v>0</v>
      </c>
      <c r="F84" s="15">
        <f>F82*F83</f>
        <v>0</v>
      </c>
      <c r="G84" s="15"/>
      <c r="H84" s="15"/>
      <c r="I84" s="15"/>
      <c r="J84" s="15">
        <f>J82*J83</f>
        <v>0</v>
      </c>
      <c r="K84" s="15">
        <f>K82*K83</f>
        <v>62353480</v>
      </c>
      <c r="L84" s="15"/>
      <c r="M84" s="15">
        <f>M82*M83</f>
        <v>62353480</v>
      </c>
      <c r="N84" s="15">
        <f>N82*N83</f>
        <v>62353480</v>
      </c>
      <c r="O84" s="15">
        <f>O82*O83</f>
        <v>62353480</v>
      </c>
      <c r="P84" s="15">
        <f>P82*P83</f>
        <v>62353480</v>
      </c>
      <c r="Q84" s="15"/>
      <c r="R84" s="60">
        <f>R82*R83</f>
        <v>62353480</v>
      </c>
      <c r="U84" s="15">
        <f>U82*U83</f>
        <v>62353480</v>
      </c>
      <c r="V84" s="60">
        <f>V82*V83</f>
        <v>62353480</v>
      </c>
      <c r="X84" s="15">
        <f>X82*X83</f>
        <v>62353480</v>
      </c>
      <c r="Z84" s="60">
        <f>Z82*Z83</f>
        <v>62353480</v>
      </c>
      <c r="AA84" s="56"/>
      <c r="AB84" s="60">
        <f>AB82*AB83</f>
        <v>62353480</v>
      </c>
      <c r="AC84" s="60">
        <f>AB84</f>
        <v>62353480</v>
      </c>
      <c r="AE84" s="60">
        <f>AE82*AE83</f>
        <v>62353480</v>
      </c>
    </row>
    <row r="85" spans="1:31" x14ac:dyDescent="0.25">
      <c r="A85" s="12"/>
      <c r="B85" s="12"/>
      <c r="C85" s="18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61"/>
      <c r="U85" s="11"/>
      <c r="V85" s="61"/>
      <c r="X85" s="11"/>
      <c r="Z85" s="61"/>
      <c r="AA85" s="56"/>
      <c r="AB85" s="61"/>
      <c r="AE85" s="61"/>
    </row>
    <row r="86" spans="1:31" ht="26.4" x14ac:dyDescent="0.25">
      <c r="A86" s="12" t="s">
        <v>46</v>
      </c>
      <c r="B86" s="12"/>
      <c r="C86" s="16" t="s">
        <v>47</v>
      </c>
      <c r="D86" s="15">
        <f>D78/12</f>
        <v>0</v>
      </c>
      <c r="E86" s="15">
        <f>E78/12</f>
        <v>0</v>
      </c>
      <c r="F86" s="15">
        <f>F78/12</f>
        <v>0</v>
      </c>
      <c r="G86" s="15"/>
      <c r="H86" s="15"/>
      <c r="I86" s="15"/>
      <c r="J86" s="15">
        <f>J78/12</f>
        <v>0</v>
      </c>
      <c r="K86" s="15">
        <f>K78/12</f>
        <v>706147.40749999986</v>
      </c>
      <c r="L86" s="15"/>
      <c r="M86" s="15">
        <f>M78/12</f>
        <v>786719.13833333331</v>
      </c>
      <c r="N86" s="15">
        <f>N78/12</f>
        <v>821308.58333333337</v>
      </c>
      <c r="O86" s="15">
        <f>O78/12</f>
        <v>852160.67333333334</v>
      </c>
      <c r="P86" s="15">
        <f>P78/12</f>
        <v>1062500.3400000001</v>
      </c>
      <c r="Q86" s="15"/>
      <c r="R86" s="60">
        <f>R78/12</f>
        <v>29891.20034687989</v>
      </c>
      <c r="U86" s="15">
        <f>U78/12</f>
        <v>1172177.0433333332</v>
      </c>
      <c r="V86" s="60">
        <f>V78/12</f>
        <v>1340919.7214755712</v>
      </c>
      <c r="X86" s="15">
        <f>X78/12</f>
        <v>818048.12666666659</v>
      </c>
      <c r="Z86" s="60">
        <f>Z78/12</f>
        <v>786386.22366676864</v>
      </c>
      <c r="AA86" s="56"/>
      <c r="AB86" s="60">
        <f>AB78/12</f>
        <v>93997.507029132408</v>
      </c>
      <c r="AC86" s="60">
        <f>AC78/12</f>
        <v>107310.66666666667</v>
      </c>
      <c r="AE86" s="60">
        <f>AE78/12</f>
        <v>761129.54302003339</v>
      </c>
    </row>
    <row r="87" spans="1:31" x14ac:dyDescent="0.25">
      <c r="A87" s="12"/>
      <c r="B87" s="12"/>
      <c r="C87" s="16" t="s">
        <v>90</v>
      </c>
      <c r="D87" s="19">
        <f>IF(D84=0,0,D78/D84)</f>
        <v>0</v>
      </c>
      <c r="E87" s="19">
        <f>IF(E84=0,0,E78/E84)</f>
        <v>0</v>
      </c>
      <c r="F87" s="19">
        <f>IF(F84=0,0,F78/F84)</f>
        <v>0</v>
      </c>
      <c r="G87" s="19"/>
      <c r="H87" s="19"/>
      <c r="I87" s="19"/>
      <c r="J87" s="19">
        <f>IF(J84=0,0,J78/J84)</f>
        <v>0</v>
      </c>
      <c r="K87" s="19">
        <f>IF(K84=0,0,K78/K84)</f>
        <v>0.13589889273220995</v>
      </c>
      <c r="L87" s="19"/>
      <c r="M87" s="19">
        <f>M78/M84</f>
        <v>0.15140501636797177</v>
      </c>
      <c r="N87" s="19">
        <f>N78/N84</f>
        <v>0.15806179542825838</v>
      </c>
      <c r="O87" s="19">
        <f>O78/O84</f>
        <v>0.16399931615685284</v>
      </c>
      <c r="P87" s="19">
        <f>P78/P84</f>
        <v>0.20447943049850625</v>
      </c>
      <c r="Q87" s="19"/>
      <c r="R87" s="63">
        <f>R78/R84</f>
        <v>5.752596393377862E-3</v>
      </c>
      <c r="U87" s="19">
        <f>U78/U84</f>
        <v>0.22558684006089155</v>
      </c>
      <c r="V87" s="63">
        <f>V78/V84</f>
        <v>0.2580615654123371</v>
      </c>
      <c r="X87" s="19">
        <f>X78/X84</f>
        <v>0.15743431673741384</v>
      </c>
      <c r="Z87" s="63">
        <f>Z78/Z84</f>
        <v>0.15134094655183999</v>
      </c>
      <c r="AA87" s="56"/>
      <c r="AB87" s="63">
        <f>AB78/AB84</f>
        <v>1.808992993413662E-2</v>
      </c>
      <c r="AC87" s="63">
        <f>AC78/AC84</f>
        <v>2.0652063044436331E-2</v>
      </c>
      <c r="AE87" s="63">
        <f>AE78/AE84</f>
        <v>0.14648026888379609</v>
      </c>
    </row>
    <row r="88" spans="1:31" x14ac:dyDescent="0.25">
      <c r="A88" s="12"/>
      <c r="B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61"/>
      <c r="U88" s="11"/>
      <c r="V88" s="61"/>
      <c r="X88" s="11"/>
      <c r="Z88" s="61"/>
      <c r="AA88" s="56"/>
      <c r="AB88" s="61"/>
      <c r="AE88" s="61"/>
    </row>
    <row r="89" spans="1:31" s="16" customFormat="1" ht="26.4" x14ac:dyDescent="0.25">
      <c r="A89" s="12" t="s">
        <v>86</v>
      </c>
      <c r="B89" s="12"/>
      <c r="C89" s="16" t="s">
        <v>90</v>
      </c>
      <c r="D89" s="19">
        <f>IF(D84=0,0,D68)</f>
        <v>0</v>
      </c>
      <c r="E89" s="19">
        <f>IF(E84=0,0,E68)</f>
        <v>0</v>
      </c>
      <c r="F89" s="19">
        <f>IF(F84=0,0,F68)</f>
        <v>0</v>
      </c>
      <c r="G89" s="19"/>
      <c r="H89" s="19"/>
      <c r="I89" s="19"/>
      <c r="J89" s="19">
        <f t="shared" ref="J89:R89" si="4">IF(J84=0,0,J68)</f>
        <v>0</v>
      </c>
      <c r="K89" s="19">
        <f t="shared" si="4"/>
        <v>1.5041276059885266E-2</v>
      </c>
      <c r="L89" s="19"/>
      <c r="M89" s="19">
        <f t="shared" si="4"/>
        <v>1.4997551420176298E-2</v>
      </c>
      <c r="N89" s="19">
        <f t="shared" si="4"/>
        <v>1.4997551420176298E-2</v>
      </c>
      <c r="O89" s="19">
        <f t="shared" si="4"/>
        <v>1.4997551420176298E-2</v>
      </c>
      <c r="P89" s="19">
        <f t="shared" si="4"/>
        <v>1.4997551420176298E-2</v>
      </c>
      <c r="Q89" s="19"/>
      <c r="R89" s="63">
        <f t="shared" si="4"/>
        <v>0</v>
      </c>
      <c r="U89" s="19">
        <f>U68</f>
        <v>1.4999999999999999E-2</v>
      </c>
      <c r="V89" s="63">
        <f>V68</f>
        <v>1.4999999999999999E-2</v>
      </c>
      <c r="X89" s="19">
        <f>X68</f>
        <v>1.4999999999999999E-2</v>
      </c>
      <c r="Z89" s="63">
        <f>Z68</f>
        <v>1.4999999999999999E-2</v>
      </c>
      <c r="AA89" s="80"/>
      <c r="AB89" s="63">
        <f>AB68</f>
        <v>0</v>
      </c>
      <c r="AC89" s="63">
        <f>AC68</f>
        <v>0</v>
      </c>
      <c r="AE89" s="63">
        <f>AE68/AE84</f>
        <v>0</v>
      </c>
    </row>
    <row r="90" spans="1:31" s="16" customFormat="1" ht="39.6" x14ac:dyDescent="0.25">
      <c r="A90" s="12"/>
      <c r="B90" s="12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3" t="s">
        <v>68</v>
      </c>
      <c r="Q90" s="19"/>
      <c r="R90" s="65" t="s">
        <v>74</v>
      </c>
      <c r="U90" s="19"/>
      <c r="V90" s="63"/>
      <c r="X90" s="19"/>
      <c r="Z90" s="63"/>
      <c r="AA90" s="80"/>
      <c r="AB90" s="63"/>
      <c r="AE90" s="63"/>
    </row>
    <row r="91" spans="1:31" s="16" customFormat="1" ht="39.6" x14ac:dyDescent="0.25">
      <c r="A91" s="12" t="s">
        <v>87</v>
      </c>
      <c r="B91" s="12"/>
      <c r="C91" s="16" t="s">
        <v>90</v>
      </c>
      <c r="D91" s="19">
        <f>IF(D84=0,0,D70)</f>
        <v>0</v>
      </c>
      <c r="E91" s="19">
        <f>IF(E84=0,0,E70)</f>
        <v>0</v>
      </c>
      <c r="F91" s="19">
        <f>IF(F84=0,0,F70)</f>
        <v>0</v>
      </c>
      <c r="G91" s="19"/>
      <c r="H91" s="19"/>
      <c r="I91" s="19"/>
      <c r="J91" s="19">
        <f t="shared" ref="J91:R91" si="5">IF(J84=0,0,J70)</f>
        <v>0</v>
      </c>
      <c r="K91" s="19">
        <f t="shared" si="5"/>
        <v>1.2382817965579964E-2</v>
      </c>
      <c r="L91" s="19"/>
      <c r="M91" s="19">
        <f t="shared" si="5"/>
        <v>1.2371449559255631E-2</v>
      </c>
      <c r="N91" s="19">
        <f t="shared" si="5"/>
        <v>1.2371449559255631E-2</v>
      </c>
      <c r="O91" s="19">
        <f t="shared" si="5"/>
        <v>1.2371449559255631E-2</v>
      </c>
      <c r="P91" s="19">
        <f t="shared" si="5"/>
        <v>1.2371449559255631E-2</v>
      </c>
      <c r="Q91" s="19"/>
      <c r="R91" s="63">
        <f t="shared" si="5"/>
        <v>0</v>
      </c>
      <c r="U91" s="63">
        <f>$X91+(U49-$X49)/U84</f>
        <v>2.7286415011063613E-2</v>
      </c>
      <c r="V91" s="63">
        <f>$X91+(V49-$X49)/V84</f>
        <v>2.7286415011063613E-2</v>
      </c>
      <c r="X91" s="19">
        <f>X70</f>
        <v>1.2371449559255631E-2</v>
      </c>
      <c r="Z91" s="63">
        <f>Z70</f>
        <v>1.2371449559255631E-2</v>
      </c>
      <c r="AA91" s="80"/>
      <c r="AB91" s="63">
        <f>AB70</f>
        <v>0</v>
      </c>
      <c r="AC91" s="63">
        <f>AC70</f>
        <v>0</v>
      </c>
      <c r="AE91" s="63">
        <f>AE70</f>
        <v>3.0607247796278158E-3</v>
      </c>
    </row>
    <row r="92" spans="1:31" ht="40.200000000000003" thickBot="1" x14ac:dyDescent="0.3">
      <c r="A92" s="12"/>
      <c r="B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43" t="s">
        <v>68</v>
      </c>
      <c r="Q92" s="11"/>
      <c r="R92" s="65" t="s">
        <v>74</v>
      </c>
      <c r="U92" s="11"/>
      <c r="V92" s="61"/>
      <c r="X92" s="11"/>
      <c r="Z92" s="61"/>
      <c r="AA92" s="56"/>
      <c r="AB92" s="61"/>
      <c r="AE92" s="61"/>
    </row>
    <row r="93" spans="1:31" ht="13.8" thickBot="1" x14ac:dyDescent="0.3">
      <c r="A93" s="13" t="s">
        <v>48</v>
      </c>
      <c r="B93" s="91"/>
      <c r="C93" s="14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61"/>
      <c r="U93" s="11"/>
      <c r="V93" s="61"/>
      <c r="X93" s="11"/>
      <c r="Z93" s="61"/>
      <c r="AA93" s="56"/>
      <c r="AB93" s="61"/>
      <c r="AE93" s="61"/>
    </row>
    <row r="94" spans="1:31" x14ac:dyDescent="0.25">
      <c r="A94" s="12" t="s">
        <v>39</v>
      </c>
      <c r="B94" s="12"/>
      <c r="C94" s="40" t="s">
        <v>65</v>
      </c>
      <c r="D94" s="110">
        <v>0</v>
      </c>
      <c r="E94" s="110">
        <v>0</v>
      </c>
      <c r="F94" s="110">
        <v>0</v>
      </c>
      <c r="G94" s="41"/>
      <c r="H94" s="41"/>
      <c r="I94" s="41"/>
      <c r="J94" s="41">
        <v>0</v>
      </c>
      <c r="K94" s="41">
        <v>0</v>
      </c>
      <c r="L94" s="11"/>
      <c r="M94" s="41">
        <f>58/160</f>
        <v>0.36249999999999999</v>
      </c>
      <c r="N94" s="41">
        <f>M94</f>
        <v>0.36249999999999999</v>
      </c>
      <c r="O94" s="41">
        <f>M94</f>
        <v>0.36249999999999999</v>
      </c>
      <c r="P94" s="41">
        <f>M94</f>
        <v>0.36249999999999999</v>
      </c>
      <c r="Q94" s="41"/>
      <c r="R94" s="59">
        <f>P94</f>
        <v>0.36249999999999999</v>
      </c>
      <c r="U94" s="83">
        <f>P94</f>
        <v>0.36249999999999999</v>
      </c>
      <c r="V94" s="84">
        <f>U94</f>
        <v>0.36249999999999999</v>
      </c>
      <c r="W94" s="16"/>
      <c r="X94" s="83">
        <f>V94</f>
        <v>0.36249999999999999</v>
      </c>
      <c r="Y94" s="83"/>
      <c r="Z94" s="84">
        <f>X94</f>
        <v>0.36249999999999999</v>
      </c>
      <c r="AA94" s="84"/>
      <c r="AB94" s="84">
        <f>Z94</f>
        <v>0.36249999999999999</v>
      </c>
      <c r="AC94" s="84">
        <f>AB94</f>
        <v>0.36249999999999999</v>
      </c>
      <c r="AD94" s="83"/>
      <c r="AE94" s="84">
        <f>AC94</f>
        <v>0.36249999999999999</v>
      </c>
    </row>
    <row r="95" spans="1:31" x14ac:dyDescent="0.25">
      <c r="C95" s="18" t="s">
        <v>66</v>
      </c>
      <c r="D95" s="15">
        <f>D45*D94</f>
        <v>0</v>
      </c>
      <c r="E95" s="15">
        <f>E45*E94</f>
        <v>0</v>
      </c>
      <c r="F95" s="15">
        <f>F45*F94</f>
        <v>0</v>
      </c>
      <c r="G95" s="15"/>
      <c r="H95" s="15"/>
      <c r="I95" s="15"/>
      <c r="J95" s="15">
        <f>J45*J94</f>
        <v>0</v>
      </c>
      <c r="K95" s="15">
        <f>K45*K94</f>
        <v>0</v>
      </c>
      <c r="L95" s="15"/>
      <c r="M95" s="15">
        <f>M45*M94</f>
        <v>8346898.1749999998</v>
      </c>
      <c r="N95" s="15">
        <f>N45*N94</f>
        <v>8713883.75</v>
      </c>
      <c r="O95" s="15">
        <f>O45*O94</f>
        <v>9041216.9000000004</v>
      </c>
      <c r="P95" s="48">
        <f>O95</f>
        <v>9041216.9000000004</v>
      </c>
      <c r="Q95" s="15"/>
      <c r="R95" s="60">
        <f>R45*R94</f>
        <v>317138.34514372569</v>
      </c>
      <c r="U95" s="15">
        <f>X95</f>
        <v>8679291.0999999996</v>
      </c>
      <c r="V95" s="60">
        <f>X95</f>
        <v>8679291.0999999996</v>
      </c>
      <c r="X95" s="60">
        <f>X45*X94</f>
        <v>8679291.0999999996</v>
      </c>
      <c r="Z95" s="60">
        <f>Z45*Z94</f>
        <v>8343366.0315864487</v>
      </c>
      <c r="AA95" s="56"/>
      <c r="AB95" s="60">
        <f>AB45*AB94</f>
        <v>997290.62335786829</v>
      </c>
      <c r="AC95" s="60">
        <f>AC45*AC94</f>
        <v>1138540</v>
      </c>
      <c r="AE95" s="60">
        <v>0</v>
      </c>
    </row>
    <row r="96" spans="1:31" x14ac:dyDescent="0.25">
      <c r="A96" s="6"/>
      <c r="B96" s="6"/>
      <c r="C96" s="42" t="s">
        <v>91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7">
        <f>P77</f>
        <v>2524076</v>
      </c>
      <c r="Q96" s="17"/>
      <c r="R96" s="61"/>
      <c r="U96" s="17">
        <f>U45-X45</f>
        <v>4249547</v>
      </c>
      <c r="V96" s="62">
        <f>V45-X45</f>
        <v>6274459.1377068534</v>
      </c>
      <c r="X96" s="11"/>
      <c r="Z96" s="61"/>
      <c r="AA96" s="56"/>
      <c r="AB96" s="62"/>
      <c r="AC96" s="56"/>
      <c r="AE96" s="62">
        <f>AE77</f>
        <v>9133554.5162404012</v>
      </c>
    </row>
    <row r="97" spans="1:31" x14ac:dyDescent="0.25">
      <c r="A97" s="6"/>
      <c r="B97" s="6"/>
      <c r="C97" s="22" t="s">
        <v>67</v>
      </c>
      <c r="D97" s="17">
        <f>D95+D96</f>
        <v>0</v>
      </c>
      <c r="E97" s="17">
        <f>E95+E96</f>
        <v>0</v>
      </c>
      <c r="F97" s="17">
        <f>F95+F96</f>
        <v>0</v>
      </c>
      <c r="G97" s="17"/>
      <c r="H97" s="17"/>
      <c r="I97" s="17"/>
      <c r="J97" s="17">
        <f>J95+J96</f>
        <v>0</v>
      </c>
      <c r="K97" s="17">
        <f>K95+K96</f>
        <v>0</v>
      </c>
      <c r="L97" s="17"/>
      <c r="M97" s="17">
        <f>M95+M96</f>
        <v>8346898.1749999998</v>
      </c>
      <c r="N97" s="17">
        <f>N95+N96</f>
        <v>8713883.75</v>
      </c>
      <c r="O97" s="17">
        <f>O95+O96</f>
        <v>9041216.9000000004</v>
      </c>
      <c r="P97" s="17">
        <f>P95+P96</f>
        <v>11565292.9</v>
      </c>
      <c r="Q97" s="17"/>
      <c r="R97" s="62">
        <f>R95+R96</f>
        <v>317138.34514372569</v>
      </c>
      <c r="U97" s="17">
        <f>U95+U96</f>
        <v>12928838.1</v>
      </c>
      <c r="V97" s="62">
        <f>V95+V96</f>
        <v>14953750.237706853</v>
      </c>
      <c r="X97" s="17">
        <f>X95+X96</f>
        <v>8679291.0999999996</v>
      </c>
      <c r="Z97" s="62">
        <f>Z95+Z96</f>
        <v>8343366.0315864487</v>
      </c>
      <c r="AA97" s="56"/>
      <c r="AB97" s="62">
        <f>AB95+AB96</f>
        <v>997290.62335786829</v>
      </c>
      <c r="AC97" s="62">
        <f>AC95+AC96</f>
        <v>1138540</v>
      </c>
      <c r="AE97" s="62">
        <f>AE95+AE96</f>
        <v>9133554.5162404012</v>
      </c>
    </row>
    <row r="98" spans="1:31" x14ac:dyDescent="0.25">
      <c r="A98" s="6"/>
      <c r="B98" s="6"/>
      <c r="C98" s="22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62"/>
      <c r="U98" s="17"/>
      <c r="V98" s="62"/>
      <c r="X98" s="17"/>
      <c r="Z98" s="62"/>
      <c r="AA98" s="56"/>
      <c r="AB98" s="62"/>
      <c r="AC98" s="56"/>
      <c r="AE98" s="62"/>
    </row>
    <row r="99" spans="1:31" x14ac:dyDescent="0.25">
      <c r="A99" s="20" t="s">
        <v>42</v>
      </c>
      <c r="B99" s="20"/>
      <c r="C99" s="18" t="s">
        <v>45</v>
      </c>
      <c r="D99" s="15">
        <f>D84</f>
        <v>0</v>
      </c>
      <c r="E99" s="15">
        <f>E84</f>
        <v>0</v>
      </c>
      <c r="F99" s="15">
        <f>F84</f>
        <v>0</v>
      </c>
      <c r="G99" s="15"/>
      <c r="H99" s="15"/>
      <c r="I99" s="15"/>
      <c r="J99" s="15">
        <v>0</v>
      </c>
      <c r="K99" s="15">
        <v>0</v>
      </c>
      <c r="L99" s="15"/>
      <c r="M99" s="15">
        <f>M84</f>
        <v>62353480</v>
      </c>
      <c r="N99" s="15">
        <f>N84</f>
        <v>62353480</v>
      </c>
      <c r="O99" s="15">
        <f>O84</f>
        <v>62353480</v>
      </c>
      <c r="P99" s="15">
        <f>P84</f>
        <v>62353480</v>
      </c>
      <c r="Q99" s="15"/>
      <c r="R99" s="60">
        <f>R84</f>
        <v>62353480</v>
      </c>
      <c r="U99" s="15">
        <f>U84</f>
        <v>62353480</v>
      </c>
      <c r="V99" s="60">
        <f>V84</f>
        <v>62353480</v>
      </c>
      <c r="X99" s="15">
        <f>X84</f>
        <v>62353480</v>
      </c>
      <c r="Z99" s="60">
        <f>Z84</f>
        <v>62353480</v>
      </c>
      <c r="AA99" s="56"/>
      <c r="AB99" s="60">
        <f>AB84</f>
        <v>62353480</v>
      </c>
      <c r="AC99" s="60">
        <f>AB99</f>
        <v>62353480</v>
      </c>
      <c r="AE99" s="60">
        <f>AE84</f>
        <v>62353480</v>
      </c>
    </row>
    <row r="100" spans="1:31" x14ac:dyDescent="0.25">
      <c r="A100" s="12"/>
      <c r="B100" s="12"/>
      <c r="C100" s="16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61"/>
      <c r="U100" s="11"/>
      <c r="V100" s="61"/>
      <c r="X100" s="11"/>
      <c r="Z100" s="61"/>
      <c r="AA100" s="56"/>
      <c r="AB100" s="61"/>
      <c r="AC100" s="56"/>
      <c r="AE100" s="61"/>
    </row>
    <row r="101" spans="1:31" ht="26.4" x14ac:dyDescent="0.25">
      <c r="A101" s="12" t="s">
        <v>46</v>
      </c>
      <c r="B101" s="12"/>
      <c r="C101" s="16" t="s">
        <v>47</v>
      </c>
      <c r="D101" s="15">
        <f>D97/12</f>
        <v>0</v>
      </c>
      <c r="E101" s="15">
        <f>E97/12</f>
        <v>0</v>
      </c>
      <c r="F101" s="15">
        <f>F97/12</f>
        <v>0</v>
      </c>
      <c r="G101" s="15"/>
      <c r="H101" s="15"/>
      <c r="I101" s="15"/>
      <c r="J101" s="15">
        <f>J97/12</f>
        <v>0</v>
      </c>
      <c r="K101" s="15">
        <f>K97/12</f>
        <v>0</v>
      </c>
      <c r="L101" s="15"/>
      <c r="M101" s="15">
        <f>M97/12</f>
        <v>695574.84791666665</v>
      </c>
      <c r="N101" s="15">
        <f>N97/12</f>
        <v>726156.97916666663</v>
      </c>
      <c r="O101" s="15">
        <f>O97/12</f>
        <v>753434.7416666667</v>
      </c>
      <c r="P101" s="15">
        <f>P97/12</f>
        <v>963774.40833333333</v>
      </c>
      <c r="Q101" s="15"/>
      <c r="R101" s="60">
        <f>R97/12</f>
        <v>26428.195428643809</v>
      </c>
      <c r="U101" s="15">
        <f>U97/12</f>
        <v>1077403.175</v>
      </c>
      <c r="V101" s="60">
        <f>V97/12</f>
        <v>1246145.8531422378</v>
      </c>
      <c r="X101" s="15">
        <f>X97/12</f>
        <v>723274.2583333333</v>
      </c>
      <c r="Z101" s="60">
        <f>Z97/12</f>
        <v>695280.50263220409</v>
      </c>
      <c r="AA101" s="56"/>
      <c r="AB101" s="60">
        <f>AB97/12</f>
        <v>83107.551946489024</v>
      </c>
      <c r="AC101" s="60">
        <f>AC97/12</f>
        <v>94878.333333333328</v>
      </c>
      <c r="AE101" s="60">
        <f>AE97/12</f>
        <v>761129.54302003339</v>
      </c>
    </row>
    <row r="102" spans="1:31" x14ac:dyDescent="0.25">
      <c r="A102" s="12"/>
      <c r="B102" s="12"/>
      <c r="C102" s="16" t="s">
        <v>90</v>
      </c>
      <c r="D102" s="19">
        <f>IF(D99=0,0,D97/D99)</f>
        <v>0</v>
      </c>
      <c r="E102" s="19">
        <f>IF(E99=0,0,E97/E99)</f>
        <v>0</v>
      </c>
      <c r="F102" s="19">
        <f>IF(F99=0,0,F97/F99)</f>
        <v>0</v>
      </c>
      <c r="G102" s="19"/>
      <c r="H102" s="19"/>
      <c r="I102" s="19"/>
      <c r="J102" s="19">
        <f>IF(J99=0,0,J97/J99)</f>
        <v>0</v>
      </c>
      <c r="K102" s="19">
        <f>IF(K99=0,0,K97/K99)</f>
        <v>0</v>
      </c>
      <c r="L102" s="19"/>
      <c r="M102" s="19">
        <f>IF(M99=0,0,M97/M99)</f>
        <v>0.13386419130095065</v>
      </c>
      <c r="N102" s="19">
        <f>IF(N99=0,0,N97/N99)</f>
        <v>0.13974975815303331</v>
      </c>
      <c r="O102" s="19">
        <f>IF(O99=0,0,O97/O99)</f>
        <v>0.1449993953825833</v>
      </c>
      <c r="P102" s="19">
        <f>IF(P99=0,0,P97/P99)</f>
        <v>0.18547950972423674</v>
      </c>
      <c r="Q102" s="19"/>
      <c r="R102" s="63">
        <f>IF(R99=0,0,R97/R99)</f>
        <v>5.0861370551206712E-3</v>
      </c>
      <c r="U102" s="19">
        <f>U97/U99</f>
        <v>0.20734749848765457</v>
      </c>
      <c r="V102" s="63">
        <f>V97/V99</f>
        <v>0.23982222383910012</v>
      </c>
      <c r="X102" s="19">
        <f>X97/X99</f>
        <v>0.13919497516417687</v>
      </c>
      <c r="Z102" s="63">
        <f>Z97/Z99</f>
        <v>0.13380754420741953</v>
      </c>
      <c r="AA102" s="56"/>
      <c r="AB102" s="63">
        <f>AB97/AB99</f>
        <v>1.5994145368596401E-2</v>
      </c>
      <c r="AC102" s="63">
        <f>AC97/AC99</f>
        <v>1.8259445984410174E-2</v>
      </c>
      <c r="AE102" s="63">
        <f>AE97/AE99</f>
        <v>0.14648026888379609</v>
      </c>
    </row>
    <row r="103" spans="1:31" x14ac:dyDescent="0.25">
      <c r="A103" s="12"/>
      <c r="B103" s="12"/>
      <c r="C103" s="16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61"/>
      <c r="U103" s="11"/>
      <c r="V103" s="61"/>
      <c r="X103" s="11"/>
      <c r="Z103" s="61"/>
      <c r="AA103" s="56"/>
      <c r="AB103" s="61"/>
      <c r="AC103" s="56"/>
      <c r="AE103" s="61"/>
    </row>
    <row r="104" spans="1:31" s="16" customFormat="1" ht="26.4" x14ac:dyDescent="0.25">
      <c r="A104" s="12" t="s">
        <v>86</v>
      </c>
      <c r="B104" s="12"/>
      <c r="C104" s="16" t="s">
        <v>90</v>
      </c>
      <c r="D104" s="19">
        <f>D89</f>
        <v>0</v>
      </c>
      <c r="E104" s="19">
        <f>E89</f>
        <v>0</v>
      </c>
      <c r="F104" s="19">
        <f>F89</f>
        <v>0</v>
      </c>
      <c r="G104" s="19"/>
      <c r="H104" s="19"/>
      <c r="I104" s="19"/>
      <c r="J104" s="19">
        <f>J89</f>
        <v>0</v>
      </c>
      <c r="K104" s="19">
        <f>K89</f>
        <v>1.5041276059885266E-2</v>
      </c>
      <c r="L104" s="19"/>
      <c r="M104" s="19">
        <f t="shared" ref="M104:R104" si="6">M89</f>
        <v>1.4997551420176298E-2</v>
      </c>
      <c r="N104" s="19">
        <f t="shared" si="6"/>
        <v>1.4997551420176298E-2</v>
      </c>
      <c r="O104" s="19">
        <f t="shared" si="6"/>
        <v>1.4997551420176298E-2</v>
      </c>
      <c r="P104" s="19">
        <f t="shared" si="6"/>
        <v>1.4997551420176298E-2</v>
      </c>
      <c r="Q104" s="19"/>
      <c r="R104" s="63">
        <f t="shared" si="6"/>
        <v>0</v>
      </c>
      <c r="U104" s="19">
        <f>U89</f>
        <v>1.4999999999999999E-2</v>
      </c>
      <c r="V104" s="63">
        <f>V89</f>
        <v>1.4999999999999999E-2</v>
      </c>
      <c r="X104" s="19">
        <f>X89</f>
        <v>1.4999999999999999E-2</v>
      </c>
      <c r="Z104" s="63">
        <f>Z89</f>
        <v>1.4999999999999999E-2</v>
      </c>
      <c r="AA104" s="80"/>
      <c r="AB104" s="63">
        <f>AB89</f>
        <v>0</v>
      </c>
      <c r="AC104" s="63">
        <f>AC89</f>
        <v>0</v>
      </c>
      <c r="AE104" s="63">
        <f>AE89</f>
        <v>0</v>
      </c>
    </row>
    <row r="105" spans="1:31" s="16" customFormat="1" ht="39.6" x14ac:dyDescent="0.25">
      <c r="A105" s="12"/>
      <c r="B105" s="12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3" t="s">
        <v>68</v>
      </c>
      <c r="Q105" s="19"/>
      <c r="R105" s="65" t="s">
        <v>74</v>
      </c>
      <c r="U105" s="19"/>
      <c r="V105" s="63"/>
      <c r="X105" s="19"/>
      <c r="Z105" s="63"/>
      <c r="AA105" s="80"/>
      <c r="AB105" s="65" t="s">
        <v>74</v>
      </c>
      <c r="AE105" s="63"/>
    </row>
    <row r="106" spans="1:31" s="16" customFormat="1" ht="39.6" x14ac:dyDescent="0.25">
      <c r="A106" s="12" t="s">
        <v>87</v>
      </c>
      <c r="B106" s="12"/>
      <c r="C106" s="16" t="s">
        <v>90</v>
      </c>
      <c r="D106" s="19">
        <f>D91</f>
        <v>0</v>
      </c>
      <c r="E106" s="19">
        <f>E91</f>
        <v>0</v>
      </c>
      <c r="F106" s="19">
        <f>F91</f>
        <v>0</v>
      </c>
      <c r="G106" s="19"/>
      <c r="H106" s="19"/>
      <c r="I106" s="19"/>
      <c r="J106" s="19">
        <f>J91</f>
        <v>0</v>
      </c>
      <c r="K106" s="19">
        <f>K91</f>
        <v>1.2382817965579964E-2</v>
      </c>
      <c r="L106" s="19"/>
      <c r="M106" s="19">
        <f t="shared" ref="M106:R106" si="7">M91</f>
        <v>1.2371449559255631E-2</v>
      </c>
      <c r="N106" s="19">
        <f t="shared" si="7"/>
        <v>1.2371449559255631E-2</v>
      </c>
      <c r="O106" s="19">
        <f t="shared" si="7"/>
        <v>1.2371449559255631E-2</v>
      </c>
      <c r="P106" s="19">
        <f t="shared" si="7"/>
        <v>1.2371449559255631E-2</v>
      </c>
      <c r="Q106" s="19"/>
      <c r="R106" s="63">
        <f t="shared" si="7"/>
        <v>0</v>
      </c>
      <c r="U106" s="19">
        <f>U91</f>
        <v>2.7286415011063613E-2</v>
      </c>
      <c r="V106" s="63">
        <f>V91</f>
        <v>2.7286415011063613E-2</v>
      </c>
      <c r="X106" s="19">
        <f>X91</f>
        <v>1.2371449559255631E-2</v>
      </c>
      <c r="Z106" s="63">
        <f>Z91</f>
        <v>1.2371449559255631E-2</v>
      </c>
      <c r="AA106" s="80"/>
      <c r="AB106" s="63">
        <f>AB91</f>
        <v>0</v>
      </c>
      <c r="AC106" s="63">
        <f>AC91</f>
        <v>0</v>
      </c>
      <c r="AE106" s="63">
        <f>AE91</f>
        <v>3.0607247796278158E-3</v>
      </c>
    </row>
    <row r="107" spans="1:31" ht="39.6" x14ac:dyDescent="0.25">
      <c r="P107" s="43" t="s">
        <v>68</v>
      </c>
      <c r="R107" s="65" t="s">
        <v>74</v>
      </c>
    </row>
    <row r="116" spans="1:31" x14ac:dyDescent="0.25">
      <c r="A116" s="2"/>
      <c r="B116" s="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61"/>
      <c r="U116" s="11"/>
      <c r="V116" s="61"/>
      <c r="X116" s="11"/>
      <c r="Z116" s="61"/>
      <c r="AA116" s="56"/>
      <c r="AB116" s="61"/>
      <c r="AE116" s="61"/>
    </row>
    <row r="117" spans="1:31" x14ac:dyDescent="0.25">
      <c r="A117" s="44"/>
      <c r="B117" s="44"/>
      <c r="C117" s="16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63"/>
      <c r="U117" s="19"/>
      <c r="V117" s="63"/>
      <c r="X117" s="19"/>
      <c r="Z117" s="63"/>
      <c r="AA117" s="56"/>
      <c r="AB117" s="63"/>
      <c r="AE117" s="63"/>
    </row>
    <row r="118" spans="1:31" x14ac:dyDescent="0.25">
      <c r="P118" s="43"/>
      <c r="Q118" s="43"/>
      <c r="R118" s="65"/>
      <c r="V118" s="56"/>
      <c r="Z118" s="56"/>
      <c r="AA118" s="56"/>
      <c r="AB118" s="56"/>
      <c r="AE118" s="56"/>
    </row>
    <row r="119" spans="1:31" x14ac:dyDescent="0.25">
      <c r="A119" s="2"/>
      <c r="B119" s="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61"/>
      <c r="U119" s="11"/>
      <c r="V119" s="61"/>
      <c r="X119" s="11"/>
      <c r="Z119" s="61"/>
      <c r="AA119" s="56"/>
      <c r="AB119" s="61"/>
      <c r="AE119" s="61"/>
    </row>
    <row r="120" spans="1:31" x14ac:dyDescent="0.25">
      <c r="A120" s="6"/>
      <c r="B120" s="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61"/>
      <c r="U120" s="11"/>
      <c r="V120" s="61"/>
      <c r="X120" s="11"/>
      <c r="Z120" s="61"/>
      <c r="AA120" s="56"/>
      <c r="AB120" s="61"/>
      <c r="AE120" s="61"/>
    </row>
    <row r="121" spans="1:31" x14ac:dyDescent="0.25">
      <c r="R121" s="56"/>
      <c r="V121" s="56"/>
      <c r="Z121" s="56"/>
      <c r="AA121" s="56"/>
      <c r="AB121" s="56"/>
      <c r="AE121" s="56"/>
    </row>
    <row r="122" spans="1:31" x14ac:dyDescent="0.25">
      <c r="A122" s="44"/>
      <c r="B122" s="44"/>
      <c r="C122" s="16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63"/>
      <c r="U122" s="19"/>
      <c r="V122" s="63"/>
      <c r="X122" s="19"/>
      <c r="Z122" s="63"/>
      <c r="AA122" s="56"/>
      <c r="AB122" s="63"/>
      <c r="AE122" s="63"/>
    </row>
  </sheetData>
  <mergeCells count="3">
    <mergeCell ref="A1:P1"/>
    <mergeCell ref="M4:R4"/>
    <mergeCell ref="M5:R5"/>
  </mergeCells>
  <phoneticPr fontId="0" type="noConversion"/>
  <pageMargins left="0.75" right="0.75" top="1" bottom="1" header="0.5" footer="0.5"/>
  <pageSetup paperSize="5" scale="44" fitToWidth="2" orientation="portrait" r:id="rId1"/>
  <headerFooter alignWithMargins="0"/>
  <rowBreaks count="2" manualBreakCount="2">
    <brk id="70" max="16383" man="1"/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2001-02-26T14:12:41Z</cp:lastPrinted>
  <dcterms:created xsi:type="dcterms:W3CDTF">2001-01-24T19:36:45Z</dcterms:created>
  <dcterms:modified xsi:type="dcterms:W3CDTF">2023-09-10T12:05:11Z</dcterms:modified>
</cp:coreProperties>
</file>